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2.xml" ContentType="application/vnd.ms-excel.person+xml"/>
  <Override PartName="/xl/persons/person8.xml" ContentType="application/vnd.ms-excel.person+xml"/>
  <Override PartName="/xl/persons/person6.xml" ContentType="application/vnd.ms-excel.person+xml"/>
  <Override PartName="/xl/persons/person3.xml" ContentType="application/vnd.ms-excel.person+xml"/>
  <Override PartName="/xl/persons/person5.xml" ContentType="application/vnd.ms-excel.person+xml"/>
  <Override PartName="/xl/persons/person0.xml" ContentType="application/vnd.ms-excel.person+xml"/>
  <Override PartName="/xl/persons/person9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7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bip\Downloads\"/>
    </mc:Choice>
  </mc:AlternateContent>
  <xr:revisionPtr revIDLastSave="0" documentId="13_ncr:1_{91EC2ED7-01C9-445D-8ADF-238AE541F9D7}" xr6:coauthVersionLast="47" xr6:coauthVersionMax="47" xr10:uidLastSave="{00000000-0000-0000-0000-000000000000}"/>
  <bookViews>
    <workbookView xWindow="-120" yWindow="-120" windowWidth="25440" windowHeight="15540" tabRatio="599" firstSheet="1" activeTab="2" xr2:uid="{00000000-000D-0000-FFFF-FFFF00000000}"/>
  </bookViews>
  <sheets>
    <sheet name="WEB" sheetId="17" r:id="rId1"/>
    <sheet name="Informe" sheetId="19" r:id="rId2"/>
    <sheet name="2022-25" sheetId="18" r:id="rId3"/>
    <sheet name="2021" sheetId="16" r:id="rId4"/>
    <sheet name="2020" sheetId="15" r:id="rId5"/>
    <sheet name="2019" sheetId="14" r:id="rId6"/>
    <sheet name="2018" sheetId="13" r:id="rId7"/>
    <sheet name="2017" sheetId="12" r:id="rId8"/>
    <sheet name="2016" sheetId="11" r:id="rId9"/>
    <sheet name="2015" sheetId="10" r:id="rId10"/>
    <sheet name="2014" sheetId="9" r:id="rId11"/>
    <sheet name="Movimientos2013" sheetId="8" r:id="rId12"/>
    <sheet name="2012" sheetId="6" r:id="rId13"/>
    <sheet name="2011" sheetId="5" r:id="rId14"/>
    <sheet name="2010" sheetId="1" r:id="rId15"/>
    <sheet name="2009" sheetId="3" r:id="rId16"/>
    <sheet name="Plantillas" sheetId="2" r:id="rId17"/>
    <sheet name="RECTIFICACIONES" sheetId="4" r:id="rId18"/>
    <sheet name="Ho2012declarado" sheetId="7" r:id="rId19"/>
  </sheets>
  <definedNames>
    <definedName name="_xlnm._FilterDatabase" localSheetId="15" hidden="1">'2009'!$A$1:$Q$276</definedName>
    <definedName name="_xlnm._FilterDatabase" localSheetId="14" hidden="1">'2010'!$A$1:$Q$410</definedName>
    <definedName name="_xlnm._FilterDatabase" localSheetId="13" hidden="1">'2011'!$A$1:$Q$390</definedName>
    <definedName name="_xlnm._FilterDatabase" localSheetId="12" hidden="1">'2012'!$A$1:$S$275</definedName>
    <definedName name="_xlnm._FilterDatabase" localSheetId="10" hidden="1">'2014'!$A$1:$S$125</definedName>
    <definedName name="_xlnm._FilterDatabase" localSheetId="9" hidden="1">'2015'!$A$1:$S$241</definedName>
    <definedName name="_xlnm._FilterDatabase" localSheetId="8" hidden="1">'2016'!$A$1:$R$205</definedName>
    <definedName name="_xlnm._FilterDatabase" localSheetId="7" hidden="1">'2017'!$A$1:$R$97</definedName>
    <definedName name="_xlnm._FilterDatabase" localSheetId="6" hidden="1">'2018'!$A$1:$R$122</definedName>
    <definedName name="_xlnm._FilterDatabase" localSheetId="5" hidden="1">'2019'!$A$1:$R$126</definedName>
    <definedName name="_xlnm._FilterDatabase" localSheetId="4" hidden="1">'2020'!$A$1:$S$114</definedName>
    <definedName name="_xlnm._FilterDatabase" localSheetId="3" hidden="1">'2021'!$A$1:$S$148</definedName>
    <definedName name="_xlnm._FilterDatabase" localSheetId="2" hidden="1">'2022-25'!$A$1:$S$272</definedName>
    <definedName name="_xlnm._FilterDatabase" localSheetId="11" hidden="1">Movimientos2013!$A$1:$S$122</definedName>
    <definedName name="_xlnm._FilterDatabase" localSheetId="16" hidden="1">Plantillas!$A$1:$N$8</definedName>
    <definedName name="_xlnm._FilterDatabase" localSheetId="0" hidden="1">WEB!$A$1:$U$14</definedName>
  </definedNames>
  <calcPr calcId="191029"/>
  <pivotCaches>
    <pivotCache cacheId="0" r:id="rId20"/>
  </pivotCaches>
</workbook>
</file>

<file path=xl/calcChain.xml><?xml version="1.0" encoding="utf-8"?>
<calcChain xmlns="http://schemas.openxmlformats.org/spreadsheetml/2006/main">
  <c r="I272" i="18" l="1"/>
  <c r="K272" i="18" s="1"/>
  <c r="K271" i="18"/>
  <c r="K270" i="18"/>
  <c r="I268" i="18"/>
  <c r="K268" i="18" s="1"/>
  <c r="I267" i="18"/>
  <c r="K267" i="18" s="1"/>
  <c r="I266" i="18"/>
  <c r="K266" i="18" s="1"/>
  <c r="I265" i="18"/>
  <c r="K265" i="18" s="1"/>
  <c r="I264" i="18"/>
  <c r="K264" i="18" s="1"/>
  <c r="I263" i="18"/>
  <c r="K263" i="18" s="1"/>
  <c r="I261" i="18"/>
  <c r="K261" i="18" s="1"/>
  <c r="I260" i="18"/>
  <c r="K260" i="18" s="1"/>
  <c r="I259" i="18"/>
  <c r="K259" i="18" s="1"/>
  <c r="I258" i="18"/>
  <c r="K258" i="18" s="1"/>
  <c r="I257" i="18"/>
  <c r="K257" i="18" s="1"/>
  <c r="I256" i="18"/>
  <c r="K256" i="18" s="1"/>
  <c r="I255" i="18"/>
  <c r="K255" i="18" s="1"/>
  <c r="I254" i="18"/>
  <c r="K254" i="18" s="1"/>
  <c r="I269" i="18" l="1"/>
  <c r="K269" i="18" s="1"/>
  <c r="I253" i="18"/>
  <c r="K253" i="18" s="1"/>
  <c r="H250" i="18"/>
  <c r="I250" i="18" s="1"/>
  <c r="K250" i="18" s="1"/>
  <c r="I249" i="18"/>
  <c r="K249" i="18" s="1"/>
  <c r="H248" i="18"/>
  <c r="I248" i="18" s="1"/>
  <c r="K248" i="18" s="1"/>
  <c r="H247" i="18"/>
  <c r="I247" i="18" s="1"/>
  <c r="K247" i="18" s="1"/>
  <c r="H246" i="18"/>
  <c r="I246" i="18" s="1"/>
  <c r="K246" i="18" s="1"/>
  <c r="H245" i="18"/>
  <c r="I245" i="18" s="1"/>
  <c r="K245" i="18" s="1"/>
  <c r="I244" i="18"/>
  <c r="K244" i="18" s="1"/>
  <c r="I243" i="18"/>
  <c r="K243" i="18" s="1"/>
  <c r="I242" i="18"/>
  <c r="K242" i="18" s="1"/>
  <c r="I241" i="18"/>
  <c r="K241" i="18" s="1"/>
  <c r="I240" i="18"/>
  <c r="K240" i="18" s="1"/>
  <c r="I239" i="18"/>
  <c r="K239" i="18" s="1"/>
  <c r="I238" i="18"/>
  <c r="K238" i="18" s="1"/>
  <c r="H237" i="18" l="1"/>
  <c r="I237" i="18" s="1"/>
  <c r="K237" i="18" s="1"/>
  <c r="H236" i="18"/>
  <c r="I236" i="18" s="1"/>
  <c r="K236" i="18" s="1"/>
  <c r="I233" i="18"/>
  <c r="K233" i="18" s="1"/>
  <c r="H231" i="18" l="1"/>
  <c r="I231" i="18" s="1"/>
  <c r="K231" i="18" s="1"/>
  <c r="K26" i="17"/>
  <c r="M26" i="17" s="1"/>
  <c r="K230" i="18"/>
  <c r="H229" i="18"/>
  <c r="I229" i="18" s="1"/>
  <c r="K229" i="18" s="1"/>
  <c r="K228" i="18"/>
  <c r="H227" i="18"/>
  <c r="I227" i="18" s="1"/>
  <c r="K227" i="18" s="1"/>
  <c r="I226" i="18"/>
  <c r="K226" i="18" s="1"/>
  <c r="H225" i="18"/>
  <c r="K223" i="18"/>
  <c r="K222" i="18"/>
  <c r="I220" i="18"/>
  <c r="K220" i="18" s="1"/>
  <c r="I221" i="18"/>
  <c r="K221" i="18" s="1"/>
  <c r="I225" i="18" l="1"/>
  <c r="K225" i="18" s="1"/>
  <c r="I219" i="18" l="1"/>
  <c r="K219" i="18" s="1"/>
  <c r="I218" i="18"/>
  <c r="K218" i="18" s="1"/>
  <c r="I217" i="18"/>
  <c r="K217" i="18" s="1"/>
  <c r="I216" i="18"/>
  <c r="K216" i="18" s="1"/>
  <c r="H215" i="18"/>
  <c r="I215" i="18" s="1"/>
  <c r="K215" i="18" s="1"/>
  <c r="H214" i="18"/>
  <c r="I214" i="18" s="1"/>
  <c r="K214" i="18" s="1"/>
  <c r="K213" i="18" l="1"/>
  <c r="I212" i="18"/>
  <c r="K212" i="18" s="1"/>
  <c r="K211" i="18"/>
  <c r="I210" i="18"/>
  <c r="K210" i="18" s="1"/>
  <c r="I209" i="18" l="1"/>
  <c r="K209" i="18" s="1"/>
  <c r="I208" i="18"/>
  <c r="K208" i="18" s="1"/>
  <c r="I207" i="18"/>
  <c r="K207" i="18" s="1"/>
  <c r="I204" i="18"/>
  <c r="K204" i="18" s="1"/>
  <c r="I203" i="18"/>
  <c r="K203" i="18" s="1"/>
  <c r="I202" i="18"/>
  <c r="K202" i="18" s="1"/>
  <c r="I201" i="18"/>
  <c r="K201" i="18" s="1"/>
  <c r="I199" i="18"/>
  <c r="K199" i="18" s="1"/>
  <c r="I198" i="18"/>
  <c r="K198" i="18" s="1"/>
  <c r="I197" i="18"/>
  <c r="K197" i="18" s="1"/>
  <c r="I196" i="18"/>
  <c r="K196" i="18" s="1"/>
  <c r="I195" i="18"/>
  <c r="K195" i="18" s="1"/>
  <c r="I136" i="18"/>
  <c r="K136" i="18" s="1"/>
  <c r="I194" i="18"/>
  <c r="K194" i="18" s="1"/>
  <c r="I191" i="18"/>
  <c r="K191" i="18" s="1"/>
  <c r="I190" i="18"/>
  <c r="K190" i="18" s="1"/>
  <c r="I189" i="18"/>
  <c r="K189" i="18" s="1"/>
  <c r="I188" i="18"/>
  <c r="K188" i="18" s="1"/>
  <c r="I187" i="18"/>
  <c r="K187" i="18" s="1"/>
  <c r="I186" i="18"/>
  <c r="K186" i="18" s="1"/>
  <c r="I185" i="18"/>
  <c r="K185" i="18" s="1"/>
  <c r="I184" i="18"/>
  <c r="K184" i="18" s="1"/>
  <c r="I183" i="18"/>
  <c r="K183" i="18" s="1"/>
  <c r="I182" i="18" l="1"/>
  <c r="K182" i="18" s="1"/>
  <c r="I181" i="18"/>
  <c r="K181" i="18" s="1"/>
  <c r="I180" i="18"/>
  <c r="K180" i="18" s="1"/>
  <c r="I179" i="18"/>
  <c r="K179" i="18" s="1"/>
  <c r="H177" i="18"/>
  <c r="I177" i="18" s="1"/>
  <c r="K177" i="18" s="1"/>
  <c r="H176" i="18"/>
  <c r="I176" i="18" s="1"/>
  <c r="K176" i="18" s="1"/>
  <c r="H175" i="18"/>
  <c r="I175" i="18" s="1"/>
  <c r="K175" i="18" s="1"/>
  <c r="I174" i="18" l="1"/>
  <c r="K174" i="18" s="1"/>
  <c r="I173" i="18"/>
  <c r="K173" i="18" s="1"/>
  <c r="I172" i="18"/>
  <c r="K172" i="18" s="1"/>
  <c r="H171" i="18"/>
  <c r="I171" i="18" s="1"/>
  <c r="K171" i="18" s="1"/>
  <c r="I170" i="18"/>
  <c r="K170" i="18" s="1"/>
  <c r="I167" i="18"/>
  <c r="K167" i="18" s="1"/>
  <c r="H164" i="18"/>
  <c r="I164" i="18" s="1"/>
  <c r="K164" i="18" s="1"/>
  <c r="H163" i="18"/>
  <c r="I163" i="18" s="1"/>
  <c r="K163" i="18" s="1"/>
  <c r="I162" i="18"/>
  <c r="K162" i="18" s="1"/>
  <c r="H160" i="18"/>
  <c r="I160" i="18" s="1"/>
  <c r="K160" i="18" s="1"/>
  <c r="I159" i="18"/>
  <c r="K159" i="18" s="1"/>
  <c r="I158" i="18"/>
  <c r="K158" i="18" s="1"/>
  <c r="I157" i="18"/>
  <c r="K157" i="18" s="1"/>
  <c r="I156" i="18"/>
  <c r="K156" i="18" s="1"/>
  <c r="I155" i="18"/>
  <c r="K155" i="18" s="1"/>
  <c r="I154" i="18"/>
  <c r="K154" i="18" s="1"/>
  <c r="I153" i="18"/>
  <c r="K153" i="18" s="1"/>
  <c r="I152" i="18"/>
  <c r="K152" i="18" s="1"/>
  <c r="H150" i="18"/>
  <c r="I150" i="18" s="1"/>
  <c r="K150" i="18" s="1"/>
  <c r="I149" i="18"/>
  <c r="K149" i="18" s="1"/>
  <c r="I148" i="18"/>
  <c r="K148" i="18" s="1"/>
  <c r="I147" i="18"/>
  <c r="K147" i="18" s="1"/>
  <c r="I145" i="18" l="1"/>
  <c r="K145" i="18" s="1"/>
  <c r="I144" i="18"/>
  <c r="K144" i="18" s="1"/>
  <c r="H143" i="18"/>
  <c r="I143" i="18" s="1"/>
  <c r="K143" i="18" s="1"/>
  <c r="I141" i="18"/>
  <c r="K141" i="18" s="1"/>
  <c r="I140" i="18"/>
  <c r="K140" i="18" s="1"/>
  <c r="I139" i="18"/>
  <c r="K139" i="18" s="1"/>
  <c r="H138" i="18"/>
  <c r="I138" i="18" s="1"/>
  <c r="K138" i="18" s="1"/>
  <c r="I134" i="18"/>
  <c r="K134" i="18" s="1"/>
  <c r="I133" i="18"/>
  <c r="K133" i="18" s="1"/>
  <c r="I132" i="18"/>
  <c r="K132" i="18" s="1"/>
  <c r="I131" i="18"/>
  <c r="K131" i="18" s="1"/>
  <c r="I130" i="18"/>
  <c r="K130" i="18" s="1"/>
  <c r="I129" i="18"/>
  <c r="K129" i="18" s="1"/>
  <c r="I128" i="18"/>
  <c r="K128" i="18" s="1"/>
  <c r="I127" i="18"/>
  <c r="K127" i="18" s="1"/>
  <c r="I126" i="18"/>
  <c r="K126" i="18" s="1"/>
  <c r="I142" i="18" l="1"/>
  <c r="K142" i="18" s="1"/>
  <c r="H125" i="18" l="1"/>
  <c r="I125" i="18" s="1"/>
  <c r="K125" i="18" s="1"/>
  <c r="I124" i="18" l="1"/>
  <c r="K124" i="18" s="1"/>
  <c r="K123" i="18"/>
  <c r="H122" i="18"/>
  <c r="I122" i="18" s="1"/>
  <c r="K122" i="18" s="1"/>
  <c r="I118" i="18" l="1"/>
  <c r="K118" i="18" s="1"/>
  <c r="I117" i="18"/>
  <c r="K117" i="18" s="1"/>
  <c r="I116" i="18"/>
  <c r="K116" i="18" s="1"/>
  <c r="I115" i="18"/>
  <c r="K115" i="18" s="1"/>
  <c r="H114" i="18"/>
  <c r="I113" i="18"/>
  <c r="K113" i="18" s="1"/>
  <c r="I114" i="18" l="1"/>
  <c r="K114" i="18" s="1"/>
  <c r="I111" i="18" l="1"/>
  <c r="K111" i="18" s="1"/>
  <c r="I110" i="18"/>
  <c r="K110" i="18" s="1"/>
  <c r="I104" i="18"/>
  <c r="K104" i="18" s="1"/>
  <c r="I101" i="18" l="1"/>
  <c r="K101" i="18" s="1"/>
  <c r="I100" i="18"/>
  <c r="K100" i="18" s="1"/>
  <c r="H92" i="18"/>
  <c r="I92" i="18" s="1"/>
  <c r="K92" i="18" s="1"/>
  <c r="H91" i="18"/>
  <c r="I91" i="18" s="1"/>
  <c r="K91" i="18" s="1"/>
  <c r="K25" i="17"/>
  <c r="M25" i="17" s="1"/>
  <c r="K24" i="17"/>
  <c r="M24" i="17" s="1"/>
  <c r="P24" i="17"/>
  <c r="I83" i="18" l="1"/>
  <c r="K83" i="18" s="1"/>
  <c r="I71" i="18" l="1"/>
  <c r="K71" i="18" s="1"/>
  <c r="K23" i="17" l="1"/>
  <c r="M23" i="17" s="1"/>
  <c r="I23" i="17"/>
  <c r="P23" i="17"/>
  <c r="I22" i="17"/>
  <c r="K22" i="17" s="1"/>
  <c r="M22" i="17" s="1"/>
  <c r="P22" i="17"/>
  <c r="P20" i="17" l="1"/>
  <c r="I20" i="17"/>
  <c r="K20" i="17" s="1"/>
  <c r="P19" i="17"/>
  <c r="I19" i="17"/>
  <c r="K19" i="17" s="1"/>
  <c r="D19" i="17"/>
  <c r="P18" i="17"/>
  <c r="I18" i="17"/>
  <c r="K18" i="17" s="1"/>
  <c r="P17" i="17"/>
  <c r="I17" i="17"/>
  <c r="K17" i="17" s="1"/>
  <c r="D17" i="17"/>
  <c r="P16" i="17"/>
  <c r="I16" i="17"/>
  <c r="K16" i="17" s="1"/>
  <c r="P15" i="17"/>
  <c r="I15" i="17"/>
  <c r="K15" i="17" s="1"/>
  <c r="I26" i="18" l="1"/>
  <c r="K26" i="18" s="1"/>
  <c r="I14" i="17"/>
  <c r="K14" i="17" s="1"/>
  <c r="M14" i="17" s="1"/>
  <c r="I13" i="17"/>
  <c r="K13" i="17" s="1"/>
  <c r="M13" i="17" s="1"/>
  <c r="I12" i="17"/>
  <c r="K12" i="17" s="1"/>
  <c r="M12" i="17" s="1"/>
  <c r="I11" i="17"/>
  <c r="K11" i="17" s="1"/>
  <c r="M11" i="17" s="1"/>
  <c r="I10" i="17" l="1"/>
  <c r="K10" i="17" s="1"/>
  <c r="M10" i="17" s="1"/>
  <c r="I9" i="17"/>
  <c r="K9" i="17" s="1"/>
  <c r="M9" i="17" s="1"/>
  <c r="P9" i="17"/>
  <c r="P10" i="17"/>
  <c r="P8" i="17"/>
  <c r="I8" i="17"/>
  <c r="K8" i="17" s="1"/>
  <c r="M8" i="17" s="1"/>
  <c r="H132" i="16"/>
  <c r="I132" i="16" s="1"/>
  <c r="K7" i="17"/>
  <c r="M7" i="17" s="1"/>
  <c r="K6" i="17"/>
  <c r="M6" i="17" s="1"/>
  <c r="I5" i="17"/>
  <c r="K5" i="17" s="1"/>
  <c r="M5" i="17" s="1"/>
  <c r="I4" i="17"/>
  <c r="K4" i="17" s="1"/>
  <c r="I3" i="17"/>
  <c r="K3" i="17" s="1"/>
  <c r="M3" i="17" s="1"/>
  <c r="K2" i="17"/>
  <c r="M2" i="17" s="1"/>
  <c r="H105" i="16"/>
  <c r="I105" i="16" s="1"/>
  <c r="H98" i="16"/>
  <c r="I98" i="16" s="1"/>
  <c r="K98" i="16" s="1"/>
  <c r="I79" i="16"/>
  <c r="K79" i="16" s="1"/>
  <c r="I98" i="15"/>
  <c r="K98" i="15" s="1"/>
  <c r="M4" i="17" l="1"/>
  <c r="K132" i="16"/>
  <c r="K105" i="16"/>
  <c r="H120" i="14"/>
  <c r="H116" i="14"/>
  <c r="I109" i="14"/>
  <c r="K109" i="14" s="1"/>
  <c r="I120" i="14" l="1"/>
  <c r="K120" i="14" s="1"/>
  <c r="I116" i="14"/>
  <c r="K116" i="14" s="1"/>
  <c r="H94" i="14"/>
  <c r="I94" i="14" s="1"/>
  <c r="K94" i="14" l="1"/>
  <c r="H9" i="14"/>
  <c r="I9" i="14" s="1"/>
  <c r="K9" i="14" s="1"/>
  <c r="H86" i="14"/>
  <c r="H6" i="14"/>
  <c r="I6" i="14" s="1"/>
  <c r="K6" i="14" s="1"/>
  <c r="I86" i="14" l="1"/>
  <c r="K86" i="14" s="1"/>
  <c r="H60" i="14"/>
  <c r="H70" i="14"/>
  <c r="I70" i="14" s="1"/>
  <c r="K70" i="14" l="1"/>
  <c r="I60" i="14"/>
  <c r="K60" i="14" s="1"/>
  <c r="H63" i="14"/>
  <c r="I63" i="14" l="1"/>
  <c r="K63" i="14" s="1"/>
  <c r="H44" i="14"/>
  <c r="I44" i="14" s="1"/>
  <c r="K44" i="14" s="1"/>
  <c r="H122" i="13" l="1"/>
  <c r="I122" i="13" l="1"/>
  <c r="K122" i="13" s="1"/>
  <c r="H111" i="13" l="1"/>
  <c r="H110" i="13"/>
  <c r="H105" i="13"/>
  <c r="I105" i="13" s="1"/>
  <c r="K105" i="13" s="1"/>
  <c r="H104" i="13"/>
  <c r="H99" i="13"/>
  <c r="H98" i="13"/>
  <c r="H97" i="13"/>
  <c r="I111" i="13" l="1"/>
  <c r="K111" i="13" s="1"/>
  <c r="I110" i="13"/>
  <c r="K110" i="13" s="1"/>
  <c r="I104" i="13"/>
  <c r="K104" i="13" s="1"/>
  <c r="I99" i="13"/>
  <c r="K99" i="13" s="1"/>
  <c r="I98" i="13"/>
  <c r="K98" i="13" s="1"/>
  <c r="I97" i="13"/>
  <c r="K97" i="13" s="1"/>
  <c r="H85" i="13"/>
  <c r="I85" i="13" s="1"/>
  <c r="K85" i="13" s="1"/>
  <c r="H79" i="13"/>
  <c r="I79" i="13" s="1"/>
  <c r="K79" i="13" s="1"/>
  <c r="H76" i="13" l="1"/>
  <c r="I76" i="13" s="1"/>
  <c r="K76" i="13" s="1"/>
  <c r="H75" i="13"/>
  <c r="I75" i="13" l="1"/>
  <c r="K75" i="13" s="1"/>
  <c r="H72" i="13"/>
  <c r="H71" i="13"/>
  <c r="I72" i="13" l="1"/>
  <c r="K72" i="13" s="1"/>
  <c r="I71" i="13"/>
  <c r="K71" i="13" s="1"/>
  <c r="H63" i="13"/>
  <c r="H59" i="13"/>
  <c r="I59" i="13" s="1"/>
  <c r="K59" i="13" s="1"/>
  <c r="H57" i="13"/>
  <c r="H44" i="13"/>
  <c r="I63" i="13" l="1"/>
  <c r="K63" i="13" s="1"/>
  <c r="I57" i="13"/>
  <c r="K57" i="13" s="1"/>
  <c r="I44" i="13"/>
  <c r="K44" i="13" s="1"/>
  <c r="H33" i="13"/>
  <c r="H27" i="13"/>
  <c r="I27" i="13" s="1"/>
  <c r="K27" i="13" s="1"/>
  <c r="I33" i="13" l="1"/>
  <c r="K33" i="13" s="1"/>
  <c r="H23" i="13" l="1"/>
  <c r="I23" i="13" s="1"/>
  <c r="K23" i="13" s="1"/>
  <c r="H17" i="13" l="1"/>
  <c r="I17" i="13" s="1"/>
  <c r="K17" i="13" s="1"/>
  <c r="H198" i="11" l="1"/>
  <c r="I198" i="11"/>
  <c r="K198" i="11" s="1"/>
  <c r="I193" i="11"/>
  <c r="K193" i="11" s="1"/>
  <c r="I186" i="11"/>
  <c r="K186" i="11" s="1"/>
  <c r="I185" i="11"/>
  <c r="K185" i="11" s="1"/>
  <c r="I178" i="11" l="1"/>
  <c r="K178" i="11" s="1"/>
  <c r="K166" i="11"/>
  <c r="K158" i="11"/>
  <c r="K157" i="11"/>
  <c r="H174" i="11" l="1"/>
  <c r="I174" i="11"/>
  <c r="K174" i="11" s="1"/>
  <c r="I167" i="11" l="1"/>
  <c r="K167" i="11" s="1"/>
  <c r="I162" i="11" l="1"/>
  <c r="K162" i="11" s="1"/>
  <c r="H152" i="11" l="1"/>
  <c r="I152" i="11" s="1"/>
  <c r="K152" i="11" s="1"/>
  <c r="H148" i="11" l="1"/>
  <c r="I148" i="11" s="1"/>
  <c r="K148" i="11" s="1"/>
  <c r="I138" i="11"/>
  <c r="K138" i="11" s="1"/>
  <c r="H123" i="11" l="1"/>
  <c r="I123" i="11" s="1"/>
  <c r="K123" i="11" s="1"/>
  <c r="H119" i="11"/>
  <c r="I119" i="11" s="1"/>
  <c r="K119" i="11" s="1"/>
  <c r="I114" i="11"/>
  <c r="K114" i="11" s="1"/>
  <c r="I113" i="11"/>
  <c r="K113" i="11" s="1"/>
  <c r="I110" i="11"/>
  <c r="K110" i="11" s="1"/>
  <c r="H234" i="10" l="1"/>
  <c r="I234" i="10"/>
  <c r="K234" i="10" l="1"/>
  <c r="H223" i="10"/>
  <c r="I223" i="10" s="1"/>
  <c r="K223" i="10" s="1"/>
  <c r="H197" i="10" l="1"/>
  <c r="I197" i="10" s="1"/>
  <c r="K197" i="10" s="1"/>
  <c r="H196" i="10"/>
  <c r="I196" i="10" s="1"/>
  <c r="K196" i="10" s="1"/>
  <c r="H195" i="10"/>
  <c r="I195" i="10"/>
  <c r="K195" i="10" s="1"/>
  <c r="H194" i="10"/>
  <c r="I194" i="10" s="1"/>
  <c r="K194" i="10" s="1"/>
  <c r="H193" i="10"/>
  <c r="I193" i="10" s="1"/>
  <c r="K193" i="10" s="1"/>
  <c r="H192" i="10"/>
  <c r="H187" i="10"/>
  <c r="I187" i="10" s="1"/>
  <c r="K187" i="10" s="1"/>
  <c r="I186" i="10"/>
  <c r="K186" i="10" s="1"/>
  <c r="I192" i="10" l="1"/>
  <c r="K192" i="10" s="1"/>
  <c r="H179" i="10"/>
  <c r="H178" i="10"/>
  <c r="I178" i="10" s="1"/>
  <c r="I179" i="10" l="1"/>
  <c r="K179" i="10" s="1"/>
  <c r="K178" i="10"/>
  <c r="H172" i="10" l="1"/>
  <c r="I172" i="10" s="1"/>
  <c r="K172" i="10" s="1"/>
  <c r="H171" i="10"/>
  <c r="I171" i="10" s="1"/>
  <c r="H169" i="10"/>
  <c r="I169" i="10" s="1"/>
  <c r="H168" i="10"/>
  <c r="H166" i="10"/>
  <c r="I166" i="10" s="1"/>
  <c r="H165" i="10"/>
  <c r="H164" i="10"/>
  <c r="I164" i="10" s="1"/>
  <c r="H163" i="10"/>
  <c r="I163" i="10" s="1"/>
  <c r="K163" i="10" s="1"/>
  <c r="H162" i="10"/>
  <c r="I162" i="10" s="1"/>
  <c r="H161" i="10"/>
  <c r="I161" i="10" s="1"/>
  <c r="H160" i="10"/>
  <c r="I160" i="10" s="1"/>
  <c r="K160" i="10" s="1"/>
  <c r="H159" i="10"/>
  <c r="I159" i="10" s="1"/>
  <c r="H158" i="10"/>
  <c r="I158" i="10" s="1"/>
  <c r="K158" i="10" s="1"/>
  <c r="H157" i="10"/>
  <c r="I157" i="10" s="1"/>
  <c r="K171" i="10" l="1"/>
  <c r="K169" i="10"/>
  <c r="I168" i="10"/>
  <c r="K168" i="10" s="1"/>
  <c r="K166" i="10"/>
  <c r="I165" i="10"/>
  <c r="K165" i="10" s="1"/>
  <c r="K164" i="10"/>
  <c r="K162" i="10"/>
  <c r="K159" i="10"/>
  <c r="K161" i="10"/>
  <c r="K157" i="10"/>
  <c r="H156" i="10"/>
  <c r="I156" i="10" s="1"/>
  <c r="K156" i="10" s="1"/>
  <c r="H152" i="10" l="1"/>
  <c r="I152" i="10" s="1"/>
  <c r="K152" i="10" s="1"/>
  <c r="H151" i="10"/>
  <c r="I151" i="10" s="1"/>
  <c r="H150" i="10"/>
  <c r="I150" i="10" s="1"/>
  <c r="K150" i="10" s="1"/>
  <c r="H144" i="10"/>
  <c r="I144" i="10" s="1"/>
  <c r="K144" i="10" s="1"/>
  <c r="H143" i="10"/>
  <c r="H142" i="10"/>
  <c r="H141" i="10"/>
  <c r="I141" i="10" s="1"/>
  <c r="H140" i="10"/>
  <c r="I140" i="10" s="1"/>
  <c r="K140" i="10" s="1"/>
  <c r="H139" i="10"/>
  <c r="I143" i="10"/>
  <c r="I142" i="10"/>
  <c r="K142" i="10" s="1"/>
  <c r="I139" i="10"/>
  <c r="K151" i="10" l="1"/>
  <c r="K139" i="10"/>
  <c r="K141" i="10"/>
  <c r="K143" i="10"/>
  <c r="H133" i="10"/>
  <c r="I133" i="10" s="1"/>
  <c r="K133" i="10" s="1"/>
  <c r="H132" i="10"/>
  <c r="I132" i="10" s="1"/>
  <c r="K132" i="10" s="1"/>
  <c r="I130" i="10" l="1"/>
  <c r="K130" i="10" s="1"/>
  <c r="H126" i="10"/>
  <c r="I126" i="10" s="1"/>
  <c r="K126" i="10" s="1"/>
  <c r="H123" i="10"/>
  <c r="I123" i="10" s="1"/>
  <c r="K123" i="10" s="1"/>
  <c r="I115" i="10"/>
  <c r="K115" i="10" s="1"/>
  <c r="H125" i="9" l="1"/>
  <c r="I125" i="9" s="1"/>
  <c r="K125" i="9" s="1"/>
  <c r="H124" i="9" l="1"/>
  <c r="I124" i="9" s="1"/>
  <c r="K124" i="9" s="1"/>
  <c r="H123" i="9" l="1"/>
  <c r="I123" i="9" s="1"/>
  <c r="H122" i="9"/>
  <c r="H121" i="9"/>
  <c r="I121" i="9" s="1"/>
  <c r="K121" i="9" s="1"/>
  <c r="H120" i="9"/>
  <c r="K123" i="9" l="1"/>
  <c r="I122" i="9"/>
  <c r="K122" i="9" s="1"/>
  <c r="I120" i="9"/>
  <c r="K120" i="9" s="1"/>
  <c r="H119" i="9"/>
  <c r="I119" i="9" l="1"/>
  <c r="K119" i="9" s="1"/>
  <c r="H118" i="9"/>
  <c r="I118" i="9" s="1"/>
  <c r="K118" i="9" s="1"/>
  <c r="H117" i="9"/>
  <c r="I117" i="9" s="1"/>
  <c r="K117" i="9" s="1"/>
  <c r="H114" i="9"/>
  <c r="H111" i="9"/>
  <c r="I111" i="9" s="1"/>
  <c r="H107" i="9"/>
  <c r="I107" i="9" s="1"/>
  <c r="H106" i="9"/>
  <c r="H102" i="9"/>
  <c r="H101" i="9"/>
  <c r="I101" i="9" s="1"/>
  <c r="K101" i="9" s="1"/>
  <c r="H100" i="9"/>
  <c r="I100" i="9" s="1"/>
  <c r="H99" i="9"/>
  <c r="I99" i="9" s="1"/>
  <c r="H97" i="9"/>
  <c r="I114" i="9" l="1"/>
  <c r="K114" i="9" s="1"/>
  <c r="K111" i="9"/>
  <c r="K107" i="9"/>
  <c r="I106" i="9"/>
  <c r="K106" i="9" s="1"/>
  <c r="I102" i="9"/>
  <c r="K102" i="9" s="1"/>
  <c r="K100" i="9"/>
  <c r="K99" i="9"/>
  <c r="I97" i="9"/>
  <c r="K97" i="9" s="1"/>
  <c r="H91" i="9"/>
  <c r="I91" i="9" s="1"/>
  <c r="H90" i="9"/>
  <c r="H89" i="9"/>
  <c r="H87" i="9"/>
  <c r="H86" i="9"/>
  <c r="H85" i="9"/>
  <c r="H84" i="9"/>
  <c r="H83" i="9"/>
  <c r="H82" i="9"/>
  <c r="K91" i="9" l="1"/>
  <c r="I90" i="9"/>
  <c r="K90" i="9" s="1"/>
  <c r="I89" i="9"/>
  <c r="K89" i="9" s="1"/>
  <c r="I87" i="9"/>
  <c r="K87" i="9" s="1"/>
  <c r="I86" i="9"/>
  <c r="K86" i="9" s="1"/>
  <c r="I85" i="9"/>
  <c r="K85" i="9" s="1"/>
  <c r="I84" i="9"/>
  <c r="K84" i="9" s="1"/>
  <c r="I83" i="9"/>
  <c r="K83" i="9" s="1"/>
  <c r="I82" i="9"/>
  <c r="K82" i="9" s="1"/>
  <c r="H80" i="9"/>
  <c r="I80" i="9" s="1"/>
  <c r="K80" i="9" s="1"/>
  <c r="H79" i="9"/>
  <c r="H78" i="9"/>
  <c r="I78" i="9" s="1"/>
  <c r="K78" i="9" l="1"/>
  <c r="I79" i="9"/>
  <c r="K79" i="9" s="1"/>
  <c r="H76" i="9" l="1"/>
  <c r="I76" i="9" s="1"/>
  <c r="K76" i="9" s="1"/>
  <c r="H74" i="9"/>
  <c r="H72" i="9"/>
  <c r="I72" i="9" s="1"/>
  <c r="K72" i="9" s="1"/>
  <c r="I74" i="9" l="1"/>
  <c r="K74" i="9" s="1"/>
  <c r="H66" i="9"/>
  <c r="I66" i="9" s="1"/>
  <c r="K66" i="9" s="1"/>
  <c r="H65" i="9"/>
  <c r="I65" i="9" s="1"/>
  <c r="K65" i="9" s="1"/>
  <c r="H63" i="9"/>
  <c r="I63" i="9" s="1"/>
  <c r="K63" i="9" s="1"/>
  <c r="H62" i="9"/>
  <c r="H60" i="9"/>
  <c r="I59" i="9"/>
  <c r="K59" i="9" s="1"/>
  <c r="I53" i="9"/>
  <c r="K53" i="9" s="1"/>
  <c r="I52" i="9"/>
  <c r="K52" i="9" s="1"/>
  <c r="I51" i="9"/>
  <c r="K51" i="9" s="1"/>
  <c r="H50" i="9"/>
  <c r="I62" i="9" l="1"/>
  <c r="K62" i="9" s="1"/>
  <c r="I60" i="9"/>
  <c r="K60" i="9" s="1"/>
  <c r="I50" i="9"/>
  <c r="K50" i="9" s="1"/>
  <c r="H46" i="9"/>
  <c r="I46" i="9" s="1"/>
  <c r="K46" i="9" l="1"/>
  <c r="H39" i="9" l="1"/>
  <c r="I39" i="9" s="1"/>
  <c r="K39" i="9" s="1"/>
  <c r="H38" i="9"/>
  <c r="I38" i="9" s="1"/>
  <c r="K38" i="9" s="1"/>
  <c r="H36" i="9"/>
  <c r="I36" i="9" s="1"/>
  <c r="K36" i="9" s="1"/>
  <c r="H35" i="9"/>
  <c r="I35" i="9" s="1"/>
  <c r="K35" i="9" s="1"/>
  <c r="I31" i="9"/>
  <c r="K31" i="9" s="1"/>
  <c r="I28" i="9"/>
  <c r="K28" i="9" s="1"/>
  <c r="I27" i="9" l="1"/>
  <c r="K27" i="9" s="1"/>
  <c r="I26" i="9"/>
  <c r="K26" i="9" s="1"/>
  <c r="H20" i="9" l="1"/>
  <c r="I20" i="9" s="1"/>
  <c r="K20" i="9" s="1"/>
  <c r="H19" i="9" l="1"/>
  <c r="I19" i="9" s="1"/>
  <c r="K19" i="9" s="1"/>
  <c r="H16" i="9" l="1"/>
  <c r="I16" i="9" s="1"/>
  <c r="K16" i="9" s="1"/>
  <c r="H15" i="9"/>
  <c r="I15" i="9" s="1"/>
  <c r="K15" i="9" s="1"/>
  <c r="H14" i="9"/>
  <c r="I14" i="9" l="1"/>
  <c r="K14" i="9" s="1"/>
  <c r="H11" i="9"/>
  <c r="I11" i="9" s="1"/>
  <c r="K11" i="9" s="1"/>
  <c r="H10" i="9"/>
  <c r="I10" i="9" s="1"/>
  <c r="K10" i="9" s="1"/>
  <c r="I4" i="9"/>
  <c r="K4" i="9" s="1"/>
  <c r="I3" i="9"/>
  <c r="K3" i="9" s="1"/>
  <c r="I2" i="9"/>
  <c r="K2" i="9" l="1"/>
  <c r="H121" i="8"/>
  <c r="I120" i="8"/>
  <c r="K120" i="8" s="1"/>
  <c r="I121" i="8" l="1"/>
  <c r="K121" i="8" s="1"/>
  <c r="H118" i="8"/>
  <c r="H117" i="8"/>
  <c r="I117" i="8" s="1"/>
  <c r="H116" i="8"/>
  <c r="I116" i="8" s="1"/>
  <c r="H115" i="8"/>
  <c r="H113" i="8"/>
  <c r="H114" i="8"/>
  <c r="I113" i="8"/>
  <c r="H109" i="8"/>
  <c r="I109" i="8" s="1"/>
  <c r="H110" i="8"/>
  <c r="H104" i="8"/>
  <c r="I90" i="8"/>
  <c r="K90" i="8" s="1"/>
  <c r="H91" i="8"/>
  <c r="I102" i="8"/>
  <c r="K102" i="8" s="1"/>
  <c r="H100" i="8"/>
  <c r="I100" i="8" s="1"/>
  <c r="K100" i="8" s="1"/>
  <c r="H99" i="8"/>
  <c r="H98" i="8"/>
  <c r="I98" i="8" s="1"/>
  <c r="H97" i="8"/>
  <c r="H96" i="8"/>
  <c r="I118" i="8" l="1"/>
  <c r="K118" i="8" s="1"/>
  <c r="K117" i="8"/>
  <c r="K116" i="8"/>
  <c r="I115" i="8"/>
  <c r="K115" i="8" s="1"/>
  <c r="K113" i="8"/>
  <c r="I114" i="8"/>
  <c r="K114" i="8" s="1"/>
  <c r="K109" i="8"/>
  <c r="I110" i="8"/>
  <c r="K110" i="8" s="1"/>
  <c r="I104" i="8"/>
  <c r="K104" i="8" s="1"/>
  <c r="I91" i="8"/>
  <c r="K91" i="8" s="1"/>
  <c r="I99" i="8"/>
  <c r="K99" i="8" s="1"/>
  <c r="K98" i="8"/>
  <c r="I97" i="8"/>
  <c r="K97" i="8" s="1"/>
  <c r="I96" i="8"/>
  <c r="K96" i="8" s="1"/>
  <c r="H89" i="8"/>
  <c r="I89" i="8" l="1"/>
  <c r="K89" i="8" s="1"/>
  <c r="I87" i="8"/>
  <c r="K87" i="8" s="1"/>
  <c r="I86" i="8"/>
  <c r="K86" i="8" s="1"/>
  <c r="I85" i="8"/>
  <c r="K85" i="8" s="1"/>
  <c r="I84" i="8"/>
  <c r="K84" i="8" s="1"/>
  <c r="I82" i="8" l="1"/>
  <c r="K82" i="8" s="1"/>
  <c r="I81" i="8" l="1"/>
  <c r="K81" i="8" s="1"/>
  <c r="I79" i="8"/>
  <c r="K79" i="8" s="1"/>
  <c r="H83" i="8"/>
  <c r="H62" i="8"/>
  <c r="H71" i="8"/>
  <c r="I71" i="8" s="1"/>
  <c r="H64" i="8"/>
  <c r="I64" i="8" s="1"/>
  <c r="K64" i="8" s="1"/>
  <c r="H77" i="8"/>
  <c r="I77" i="8" s="1"/>
  <c r="H78" i="8"/>
  <c r="I83" i="8" l="1"/>
  <c r="K83" i="8" s="1"/>
  <c r="K71" i="8"/>
  <c r="K77" i="8"/>
  <c r="I78" i="8"/>
  <c r="K78" i="8" s="1"/>
  <c r="I4" i="8"/>
  <c r="K4" i="8" s="1"/>
  <c r="I66" i="8"/>
  <c r="K66" i="8" s="1"/>
  <c r="I65" i="8"/>
  <c r="K65" i="8" s="1"/>
  <c r="I62" i="8" l="1"/>
  <c r="K62" i="8" s="1"/>
  <c r="H54" i="8" l="1"/>
  <c r="I54" i="8" s="1"/>
  <c r="K54" i="8" s="1"/>
  <c r="H57" i="8" l="1"/>
  <c r="H58" i="8"/>
  <c r="I58" i="8" s="1"/>
  <c r="K58" i="8" s="1"/>
  <c r="I57" i="8" l="1"/>
  <c r="K57" i="8" s="1"/>
  <c r="H11" i="8"/>
  <c r="H56" i="8"/>
  <c r="I56" i="8" s="1"/>
  <c r="H61" i="8"/>
  <c r="I61" i="8" s="1"/>
  <c r="H53" i="8"/>
  <c r="I53" i="8" s="1"/>
  <c r="K53" i="8" s="1"/>
  <c r="I11" i="8" l="1"/>
  <c r="K11" i="8" s="1"/>
  <c r="K56" i="8"/>
  <c r="K61" i="8"/>
  <c r="I22" i="8"/>
  <c r="K22" i="8" s="1"/>
  <c r="H41" i="8" l="1"/>
  <c r="I41" i="8" s="1"/>
  <c r="K41" i="8" l="1"/>
  <c r="H51" i="8"/>
  <c r="I51" i="8" s="1"/>
  <c r="H38" i="8"/>
  <c r="H15" i="8"/>
  <c r="H43" i="8"/>
  <c r="H42" i="8"/>
  <c r="I42" i="8" s="1"/>
  <c r="K42" i="8" s="1"/>
  <c r="I43" i="8"/>
  <c r="K43" i="8" s="1"/>
  <c r="H18" i="8"/>
  <c r="I18" i="8" s="1"/>
  <c r="K18" i="8" s="1"/>
  <c r="H55" i="8"/>
  <c r="I55" i="8" s="1"/>
  <c r="K55" i="8" s="1"/>
  <c r="K51" i="8" l="1"/>
  <c r="I38" i="8"/>
  <c r="I15" i="8"/>
  <c r="K15" i="8" s="1"/>
  <c r="H36" i="8"/>
  <c r="I36" i="8" s="1"/>
  <c r="K36" i="8" s="1"/>
  <c r="H34" i="8"/>
  <c r="H20" i="8"/>
  <c r="I20" i="8" s="1"/>
  <c r="K20" i="8" s="1"/>
  <c r="H23" i="8"/>
  <c r="I23" i="8" s="1"/>
  <c r="H13" i="8"/>
  <c r="I13" i="8" s="1"/>
  <c r="H9" i="8"/>
  <c r="I9" i="8" s="1"/>
  <c r="H14" i="8"/>
  <c r="H16" i="8"/>
  <c r="H17" i="8"/>
  <c r="I17" i="8" s="1"/>
  <c r="K17" i="8" s="1"/>
  <c r="H12" i="8"/>
  <c r="I12" i="8" s="1"/>
  <c r="K12" i="8" s="1"/>
  <c r="H24" i="8"/>
  <c r="I24" i="8" s="1"/>
  <c r="K24" i="8" s="1"/>
  <c r="H10" i="8"/>
  <c r="I10" i="8" s="1"/>
  <c r="K10" i="8" s="1"/>
  <c r="I21" i="8"/>
  <c r="H275" i="6"/>
  <c r="I275" i="6" s="1"/>
  <c r="K275" i="6" s="1"/>
  <c r="K21" i="8" l="1"/>
  <c r="K38" i="8"/>
  <c r="I34" i="8"/>
  <c r="K34" i="8" s="1"/>
  <c r="K9" i="8"/>
  <c r="I14" i="8"/>
  <c r="K14" i="8" s="1"/>
  <c r="I16" i="8"/>
  <c r="K16" i="8" s="1"/>
  <c r="K23" i="8"/>
  <c r="K13" i="8"/>
  <c r="H274" i="6" l="1"/>
  <c r="I274" i="6" s="1"/>
  <c r="K274" i="6" l="1"/>
  <c r="H5" i="8"/>
  <c r="I5" i="8" s="1"/>
  <c r="K5" i="8" l="1"/>
  <c r="H6" i="8"/>
  <c r="I6" i="8" s="1"/>
  <c r="H2" i="8"/>
  <c r="I2" i="8" s="1"/>
  <c r="K6" i="8" l="1"/>
  <c r="K2" i="8"/>
  <c r="H146" i="6" l="1"/>
  <c r="I239" i="6" l="1"/>
  <c r="K239" i="6" s="1"/>
  <c r="H238" i="6"/>
  <c r="I238" i="6" s="1"/>
  <c r="K238" i="6" s="1"/>
  <c r="I214" i="6" l="1"/>
  <c r="K214" i="6" s="1"/>
  <c r="H261" i="6" l="1"/>
  <c r="I261" i="6" s="1"/>
  <c r="K261" i="6" s="1"/>
  <c r="H258" i="6"/>
  <c r="H259" i="6"/>
  <c r="I259" i="6" s="1"/>
  <c r="K259" i="6" s="1"/>
  <c r="H257" i="6"/>
  <c r="I257" i="6" s="1"/>
  <c r="K257" i="6" s="1"/>
  <c r="I253" i="6"/>
  <c r="H251" i="6" l="1"/>
  <c r="I251" i="6" s="1"/>
  <c r="K251" i="6" s="1"/>
  <c r="H247" i="6"/>
  <c r="I247" i="6" s="1"/>
  <c r="H243" i="6"/>
  <c r="I243" i="6" s="1"/>
  <c r="H242" i="6"/>
  <c r="I242" i="6" s="1"/>
  <c r="H241" i="6"/>
  <c r="I241" i="6"/>
  <c r="K241" i="6" s="1"/>
  <c r="H240" i="6"/>
  <c r="I240" i="6" s="1"/>
  <c r="K240" i="6" s="1"/>
  <c r="H250" i="6"/>
  <c r="I250" i="6" s="1"/>
  <c r="K250" i="6" s="1"/>
  <c r="I271" i="6"/>
  <c r="K271" i="6" s="1"/>
  <c r="I272" i="6"/>
  <c r="K272" i="6" s="1"/>
  <c r="I248" i="6"/>
  <c r="K248" i="6" s="1"/>
  <c r="I270" i="6"/>
  <c r="K270" i="6" s="1"/>
  <c r="I252" i="6"/>
  <c r="K252" i="6" s="1"/>
  <c r="I258" i="6"/>
  <c r="K258" i="6" s="1"/>
  <c r="K247" i="6" l="1"/>
  <c r="K242" i="6"/>
  <c r="K243" i="6"/>
  <c r="I255" i="6"/>
  <c r="I237" i="6"/>
  <c r="K237" i="6" s="1"/>
  <c r="I236" i="6"/>
  <c r="K236" i="6" s="1"/>
  <c r="I262" i="6"/>
  <c r="I245" i="6"/>
  <c r="I244" i="6"/>
  <c r="K245" i="6" l="1"/>
  <c r="K262" i="6"/>
  <c r="K244" i="6"/>
  <c r="I265" i="6"/>
  <c r="K265" i="6" s="1"/>
  <c r="I235" i="6"/>
  <c r="K235" i="6" s="1"/>
  <c r="I222" i="6" l="1"/>
  <c r="K222" i="6" s="1"/>
  <c r="I223" i="6" l="1"/>
  <c r="K223" i="6" s="1"/>
  <c r="H230" i="6" l="1"/>
  <c r="I230" i="6" s="1"/>
  <c r="H232" i="6"/>
  <c r="I232" i="6" s="1"/>
  <c r="K230" i="6" l="1"/>
  <c r="K232" i="6"/>
  <c r="I71" i="6"/>
  <c r="K71" i="6" s="1"/>
  <c r="H150" i="6"/>
  <c r="I150" i="6" s="1"/>
  <c r="K150" i="6" s="1"/>
  <c r="H226" i="6"/>
  <c r="H189" i="6" l="1"/>
  <c r="I189" i="6" s="1"/>
  <c r="K189" i="6" s="1"/>
  <c r="H203" i="6"/>
  <c r="I203" i="6" s="1"/>
  <c r="K203" i="6" s="1"/>
  <c r="H201" i="6"/>
  <c r="I201" i="6"/>
  <c r="K201" i="6" s="1"/>
  <c r="I228" i="6"/>
  <c r="K228" i="6" s="1"/>
  <c r="H194" i="6" l="1"/>
  <c r="I194" i="6" s="1"/>
  <c r="K194" i="6" l="1"/>
  <c r="I226" i="6"/>
  <c r="H225" i="6"/>
  <c r="I225" i="6"/>
  <c r="H215" i="6"/>
  <c r="I215" i="6" s="1"/>
  <c r="K215" i="6" s="1"/>
  <c r="H213" i="6"/>
  <c r="H211" i="6"/>
  <c r="I211" i="6" s="1"/>
  <c r="H210" i="6"/>
  <c r="I210" i="6" s="1"/>
  <c r="I208" i="6"/>
  <c r="K208" i="6" s="1"/>
  <c r="I205" i="6"/>
  <c r="K205" i="6" s="1"/>
  <c r="H204" i="6"/>
  <c r="I204" i="6" s="1"/>
  <c r="K204" i="6" s="1"/>
  <c r="I202" i="6"/>
  <c r="K202" i="6" s="1"/>
  <c r="K226" i="6" l="1"/>
  <c r="K225" i="6"/>
  <c r="I213" i="6"/>
  <c r="K213" i="6" s="1"/>
  <c r="K211" i="6"/>
  <c r="K210" i="6"/>
  <c r="H193" i="6"/>
  <c r="I193" i="6" s="1"/>
  <c r="K193" i="6" s="1"/>
  <c r="I221" i="6"/>
  <c r="K221" i="6" s="1"/>
  <c r="I220" i="6"/>
  <c r="K220" i="6" s="1"/>
  <c r="I219" i="6"/>
  <c r="K219" i="6" s="1"/>
  <c r="I227" i="6"/>
  <c r="K227" i="6" s="1"/>
  <c r="I207" i="6"/>
  <c r="K207" i="6" s="1"/>
  <c r="I206" i="6"/>
  <c r="K206" i="6" s="1"/>
  <c r="C4" i="7" l="1"/>
  <c r="I82" i="6" l="1"/>
  <c r="K82" i="6" s="1"/>
  <c r="H180" i="6"/>
  <c r="I180" i="6" s="1"/>
  <c r="K180" i="6" s="1"/>
  <c r="H195" i="6"/>
  <c r="I142" i="6"/>
  <c r="K142" i="6" s="1"/>
  <c r="I195" i="6" l="1"/>
  <c r="K195" i="6" s="1"/>
  <c r="H110" i="6"/>
  <c r="I110" i="6" s="1"/>
  <c r="K110" i="6" s="1"/>
  <c r="H197" i="6" l="1"/>
  <c r="I146" i="6" l="1"/>
  <c r="K146" i="6" s="1"/>
  <c r="H196" i="6"/>
  <c r="I196" i="6" s="1"/>
  <c r="K196" i="6" s="1"/>
  <c r="I197" i="6"/>
  <c r="K197" i="6" s="1"/>
  <c r="H192" i="6"/>
  <c r="H191" i="6"/>
  <c r="I191" i="6" s="1"/>
  <c r="H186" i="6"/>
  <c r="H185" i="6"/>
  <c r="I185" i="6" s="1"/>
  <c r="I186" i="6"/>
  <c r="H179" i="6"/>
  <c r="H172" i="6"/>
  <c r="I172" i="6" s="1"/>
  <c r="K172" i="6" s="1"/>
  <c r="H144" i="6"/>
  <c r="H188" i="6"/>
  <c r="H148" i="6"/>
  <c r="I148" i="6" s="1"/>
  <c r="H190" i="6"/>
  <c r="I190" i="6" s="1"/>
  <c r="K190" i="6" s="1"/>
  <c r="H167" i="6"/>
  <c r="I167" i="6" s="1"/>
  <c r="K167" i="6" s="1"/>
  <c r="H57" i="6"/>
  <c r="I57" i="6" s="1"/>
  <c r="K57" i="6" s="1"/>
  <c r="H198" i="6"/>
  <c r="I198" i="6" s="1"/>
  <c r="K198" i="6" s="1"/>
  <c r="H26" i="6"/>
  <c r="I26" i="6" s="1"/>
  <c r="K26" i="6" s="1"/>
  <c r="K191" i="6" l="1"/>
  <c r="K185" i="6"/>
  <c r="I192" i="6"/>
  <c r="K192" i="6" s="1"/>
  <c r="K186" i="6"/>
  <c r="I179" i="6"/>
  <c r="K179" i="6" s="1"/>
  <c r="I144" i="6"/>
  <c r="K144" i="6" s="1"/>
  <c r="I188" i="6"/>
  <c r="K188" i="6" s="1"/>
  <c r="K148" i="6"/>
  <c r="H184" i="6"/>
  <c r="I184" i="6" s="1"/>
  <c r="H181" i="6"/>
  <c r="I181" i="6" s="1"/>
  <c r="K181" i="6" s="1"/>
  <c r="H178" i="6"/>
  <c r="H170" i="6"/>
  <c r="I170" i="6" s="1"/>
  <c r="K170" i="6" s="1"/>
  <c r="H169" i="6"/>
  <c r="I169" i="6" s="1"/>
  <c r="H153" i="6"/>
  <c r="I153" i="6" s="1"/>
  <c r="H161" i="6"/>
  <c r="I161" i="6" s="1"/>
  <c r="K161" i="6" s="1"/>
  <c r="H4" i="6"/>
  <c r="H157" i="6"/>
  <c r="I157" i="6" s="1"/>
  <c r="K157" i="6" l="1"/>
  <c r="K184" i="6"/>
  <c r="I178" i="6"/>
  <c r="K178" i="6" s="1"/>
  <c r="K169" i="6"/>
  <c r="K153" i="6"/>
  <c r="I4" i="6"/>
  <c r="K4" i="6" s="1"/>
  <c r="H135" i="6"/>
  <c r="H134" i="6"/>
  <c r="I134" i="6" s="1"/>
  <c r="K134" i="6" s="1"/>
  <c r="H133" i="6"/>
  <c r="I133" i="6" s="1"/>
  <c r="K133" i="6" s="1"/>
  <c r="H132" i="6"/>
  <c r="I132" i="6" s="1"/>
  <c r="K132" i="6" s="1"/>
  <c r="H125" i="6"/>
  <c r="I125" i="6" s="1"/>
  <c r="K125" i="6" s="1"/>
  <c r="H131" i="6"/>
  <c r="I131" i="6" s="1"/>
  <c r="K131" i="6" s="1"/>
  <c r="H126" i="6"/>
  <c r="H105" i="6"/>
  <c r="H124" i="6"/>
  <c r="I124" i="6" s="1"/>
  <c r="K124" i="6" s="1"/>
  <c r="H119" i="6"/>
  <c r="I119" i="6" s="1"/>
  <c r="K119" i="6" s="1"/>
  <c r="H117" i="6"/>
  <c r="I117" i="6" s="1"/>
  <c r="K117" i="6" s="1"/>
  <c r="H118" i="6"/>
  <c r="I118" i="6" s="1"/>
  <c r="K118" i="6" s="1"/>
  <c r="H116" i="6"/>
  <c r="H92" i="6"/>
  <c r="I92" i="6" s="1"/>
  <c r="H94" i="6"/>
  <c r="I94" i="6" s="1"/>
  <c r="K94" i="6" s="1"/>
  <c r="H103" i="6"/>
  <c r="H101" i="6"/>
  <c r="H100" i="6"/>
  <c r="I100" i="6" s="1"/>
  <c r="K100" i="6" s="1"/>
  <c r="H91" i="6"/>
  <c r="I91" i="6" s="1"/>
  <c r="K91" i="6" s="1"/>
  <c r="H81" i="6"/>
  <c r="I81" i="6" s="1"/>
  <c r="K81" i="6" s="1"/>
  <c r="H156" i="6"/>
  <c r="I156" i="6" s="1"/>
  <c r="K156" i="6" s="1"/>
  <c r="H25" i="6"/>
  <c r="I25" i="6" s="1"/>
  <c r="K25" i="6" s="1"/>
  <c r="H9" i="6"/>
  <c r="I9" i="6" s="1"/>
  <c r="K9" i="6" s="1"/>
  <c r="H48" i="6"/>
  <c r="I48" i="6" s="1"/>
  <c r="K48" i="6" s="1"/>
  <c r="H120" i="6"/>
  <c r="I120" i="6" s="1"/>
  <c r="K120" i="6" s="1"/>
  <c r="I135" i="6" l="1"/>
  <c r="K135" i="6" s="1"/>
  <c r="I126" i="6"/>
  <c r="K126" i="6" s="1"/>
  <c r="I116" i="6"/>
  <c r="K116" i="6" s="1"/>
  <c r="K92" i="6"/>
  <c r="I103" i="6"/>
  <c r="K103" i="6" s="1"/>
  <c r="I101" i="6"/>
  <c r="K101" i="6" s="1"/>
  <c r="I164" i="6"/>
  <c r="K164" i="6" s="1"/>
  <c r="I163" i="6"/>
  <c r="K163" i="6" s="1"/>
  <c r="I173" i="6"/>
  <c r="K173" i="6" s="1"/>
  <c r="I141" i="6"/>
  <c r="K141" i="6" s="1"/>
  <c r="I168" i="6"/>
  <c r="K168" i="6" s="1"/>
  <c r="I145" i="6"/>
  <c r="K145" i="6" s="1"/>
  <c r="I105" i="6"/>
  <c r="K105" i="6" s="1"/>
  <c r="I99" i="6"/>
  <c r="K99" i="6" s="1"/>
  <c r="I123" i="6"/>
  <c r="I122" i="6"/>
  <c r="I149" i="6"/>
  <c r="K149" i="6" s="1"/>
  <c r="I121" i="6"/>
  <c r="K121" i="6" s="1"/>
  <c r="I147" i="6"/>
  <c r="K147" i="6" s="1"/>
  <c r="I143" i="6"/>
  <c r="K143" i="6" s="1"/>
  <c r="H137" i="6" l="1"/>
  <c r="I140" i="6" l="1"/>
  <c r="K140" i="6" s="1"/>
  <c r="I139" i="6"/>
  <c r="K139" i="6" s="1"/>
  <c r="H138" i="6"/>
  <c r="H86" i="6"/>
  <c r="I86" i="6" s="1"/>
  <c r="K86" i="6" s="1"/>
  <c r="H95" i="6"/>
  <c r="I95" i="6" s="1"/>
  <c r="H40" i="6"/>
  <c r="I40" i="6" s="1"/>
  <c r="H39" i="6"/>
  <c r="I39" i="6" s="1"/>
  <c r="K39" i="6" s="1"/>
  <c r="H30" i="6"/>
  <c r="H47" i="6"/>
  <c r="I47" i="6" s="1"/>
  <c r="K47" i="6" s="1"/>
  <c r="H38" i="6"/>
  <c r="H56" i="6"/>
  <c r="H55" i="6"/>
  <c r="H89" i="6"/>
  <c r="I89" i="6" s="1"/>
  <c r="K89" i="6" s="1"/>
  <c r="H88" i="6"/>
  <c r="I88" i="6" s="1"/>
  <c r="I138" i="6" l="1"/>
  <c r="K138" i="6" s="1"/>
  <c r="K95" i="6"/>
  <c r="K40" i="6"/>
  <c r="I30" i="6"/>
  <c r="K30" i="6" s="1"/>
  <c r="I38" i="6"/>
  <c r="K38" i="6" s="1"/>
  <c r="I56" i="6"/>
  <c r="K56" i="6" s="1"/>
  <c r="I55" i="6"/>
  <c r="K55" i="6" s="1"/>
  <c r="K88" i="6"/>
  <c r="H93" i="6"/>
  <c r="I93" i="6" s="1"/>
  <c r="K93" i="6" s="1"/>
  <c r="H87" i="6"/>
  <c r="I87" i="6" s="1"/>
  <c r="K87" i="6" s="1"/>
  <c r="H83" i="6"/>
  <c r="I83" i="6" s="1"/>
  <c r="H80" i="6"/>
  <c r="I80" i="6" s="1"/>
  <c r="K80" i="6" s="1"/>
  <c r="H78" i="6"/>
  <c r="I78" i="6" s="1"/>
  <c r="K78" i="6" s="1"/>
  <c r="H73" i="6"/>
  <c r="I73" i="6" s="1"/>
  <c r="K73" i="6" s="1"/>
  <c r="H74" i="6"/>
  <c r="I74" i="6" s="1"/>
  <c r="K74" i="6" s="1"/>
  <c r="H29" i="6"/>
  <c r="H68" i="6"/>
  <c r="I68" i="6" s="1"/>
  <c r="K68" i="6" s="1"/>
  <c r="H66" i="6"/>
  <c r="H36" i="6"/>
  <c r="I36" i="6" s="1"/>
  <c r="H62" i="6"/>
  <c r="H61" i="6"/>
  <c r="I61" i="6" s="1"/>
  <c r="K61" i="6" s="1"/>
  <c r="H60" i="6"/>
  <c r="H58" i="6"/>
  <c r="H52" i="6"/>
  <c r="H28" i="6"/>
  <c r="I28" i="6" s="1"/>
  <c r="K28" i="6" s="1"/>
  <c r="H11" i="6"/>
  <c r="H70" i="6"/>
  <c r="I70" i="6" s="1"/>
  <c r="H63" i="6"/>
  <c r="I63" i="6" s="1"/>
  <c r="K63" i="6" s="1"/>
  <c r="H35" i="6"/>
  <c r="I35" i="6" s="1"/>
  <c r="K35" i="6" s="1"/>
  <c r="H65" i="6"/>
  <c r="I65" i="6" s="1"/>
  <c r="K65" i="6" s="1"/>
  <c r="H34" i="6"/>
  <c r="H33" i="6"/>
  <c r="H27" i="6"/>
  <c r="I27" i="6" s="1"/>
  <c r="H32" i="6"/>
  <c r="H31" i="6"/>
  <c r="I31" i="6" s="1"/>
  <c r="K31" i="6" s="1"/>
  <c r="I24" i="6"/>
  <c r="K24" i="6" s="1"/>
  <c r="H23" i="6"/>
  <c r="I23" i="6" s="1"/>
  <c r="K23" i="6" s="1"/>
  <c r="H15" i="6"/>
  <c r="I15" i="6" s="1"/>
  <c r="I67" i="6"/>
  <c r="K67" i="6" s="1"/>
  <c r="H10" i="6"/>
  <c r="I10" i="6" s="1"/>
  <c r="H14" i="6"/>
  <c r="I14" i="6" s="1"/>
  <c r="K14" i="6" s="1"/>
  <c r="K83" i="6" l="1"/>
  <c r="I29" i="6"/>
  <c r="K29" i="6" s="1"/>
  <c r="I66" i="6"/>
  <c r="K66" i="6" s="1"/>
  <c r="K36" i="6"/>
  <c r="I62" i="6"/>
  <c r="K62" i="6" s="1"/>
  <c r="I60" i="6"/>
  <c r="K60" i="6" s="1"/>
  <c r="I58" i="6"/>
  <c r="K58" i="6" s="1"/>
  <c r="I52" i="6"/>
  <c r="K52" i="6" s="1"/>
  <c r="I11" i="6"/>
  <c r="K11" i="6" s="1"/>
  <c r="K70" i="6"/>
  <c r="I34" i="6"/>
  <c r="K34" i="6" s="1"/>
  <c r="I33" i="6"/>
  <c r="K33" i="6" s="1"/>
  <c r="K27" i="6"/>
  <c r="I32" i="6"/>
  <c r="K32" i="6" s="1"/>
  <c r="K15" i="6"/>
  <c r="K10" i="6"/>
  <c r="H129" i="6"/>
  <c r="H130" i="6"/>
  <c r="H115" i="6"/>
  <c r="H97" i="6"/>
  <c r="H98" i="6"/>
  <c r="I72" i="6"/>
  <c r="K72" i="6" s="1"/>
  <c r="H69" i="6"/>
  <c r="I69" i="6" s="1"/>
  <c r="K69" i="6" s="1"/>
  <c r="I129" i="6" l="1"/>
  <c r="K129" i="6" s="1"/>
  <c r="I130" i="6"/>
  <c r="K130" i="6" s="1"/>
  <c r="I137" i="6"/>
  <c r="K137" i="6" s="1"/>
  <c r="I115" i="6"/>
  <c r="K115" i="6" s="1"/>
  <c r="I98" i="6"/>
  <c r="K98" i="6" s="1"/>
  <c r="I97" i="6"/>
  <c r="K97" i="6" s="1"/>
  <c r="I22" i="6"/>
  <c r="K22" i="6" s="1"/>
  <c r="I12" i="6"/>
  <c r="K12" i="6" s="1"/>
  <c r="I37" i="6"/>
  <c r="K37" i="6" s="1"/>
  <c r="I45" i="6"/>
  <c r="K45" i="6" s="1"/>
  <c r="I46" i="6"/>
  <c r="K46" i="6" s="1"/>
  <c r="I59" i="6"/>
  <c r="K59" i="6" s="1"/>
  <c r="I64" i="6"/>
  <c r="K64" i="6" s="1"/>
  <c r="I17" i="6"/>
  <c r="K17" i="6" s="1"/>
  <c r="I18" i="6"/>
  <c r="K18" i="6" s="1"/>
  <c r="I41" i="6"/>
  <c r="K41" i="6" s="1"/>
  <c r="I42" i="6"/>
  <c r="K42" i="6" s="1"/>
  <c r="I43" i="6"/>
  <c r="K43" i="6" s="1"/>
  <c r="I44" i="6"/>
  <c r="K44" i="6" s="1"/>
  <c r="I49" i="6"/>
  <c r="K49" i="6" s="1"/>
  <c r="I50" i="6"/>
  <c r="K50" i="6" s="1"/>
  <c r="I51" i="6"/>
  <c r="K51" i="6" s="1"/>
  <c r="I75" i="6"/>
  <c r="K75" i="6" s="1"/>
  <c r="I76" i="6"/>
  <c r="K76" i="6" s="1"/>
  <c r="I77" i="6"/>
  <c r="K77" i="6" s="1"/>
  <c r="I96" i="6"/>
  <c r="K96" i="6" s="1"/>
  <c r="I106" i="6"/>
  <c r="K106" i="6" s="1"/>
  <c r="I107" i="6"/>
  <c r="K107" i="6" s="1"/>
  <c r="I108" i="6"/>
  <c r="K108" i="6" s="1"/>
  <c r="I114" i="6"/>
  <c r="K114" i="6" s="1"/>
  <c r="I127" i="6"/>
  <c r="K127" i="6" s="1"/>
  <c r="I128" i="6"/>
  <c r="K128" i="6" s="1"/>
  <c r="I2" i="6"/>
  <c r="I19" i="6"/>
  <c r="K19" i="6" s="1"/>
  <c r="I20" i="6"/>
  <c r="K20" i="6" s="1"/>
  <c r="I21" i="6"/>
  <c r="K21" i="6" s="1"/>
  <c r="I79" i="6"/>
  <c r="K79" i="6" s="1"/>
  <c r="H16" i="6"/>
  <c r="I16" i="6" s="1"/>
  <c r="K16" i="6" s="1"/>
  <c r="H390" i="5" l="1"/>
  <c r="H389" i="5"/>
  <c r="I389" i="5" s="1"/>
  <c r="K389" i="5" s="1"/>
  <c r="I388" i="5"/>
  <c r="K388" i="5" s="1"/>
  <c r="I390" i="5" l="1"/>
  <c r="K390" i="5" s="1"/>
  <c r="H387" i="5" l="1"/>
  <c r="I387" i="5" s="1"/>
  <c r="H386" i="5"/>
  <c r="I386" i="5" s="1"/>
  <c r="K386" i="5" s="1"/>
  <c r="H385" i="5"/>
  <c r="I385" i="5"/>
  <c r="K385" i="5" s="1"/>
  <c r="H384" i="5"/>
  <c r="I384" i="5"/>
  <c r="K384" i="5" s="1"/>
  <c r="H383" i="5"/>
  <c r="I383" i="5" s="1"/>
  <c r="H382" i="5"/>
  <c r="I382" i="5" s="1"/>
  <c r="H381" i="5"/>
  <c r="I381" i="5"/>
  <c r="K381" i="5" s="1"/>
  <c r="H380" i="5"/>
  <c r="I380" i="5" s="1"/>
  <c r="K380" i="5" s="1"/>
  <c r="H379" i="5"/>
  <c r="I379" i="5" s="1"/>
  <c r="H377" i="5"/>
  <c r="I377" i="5" s="1"/>
  <c r="K377" i="5" s="1"/>
  <c r="H376" i="5"/>
  <c r="H375" i="5"/>
  <c r="I375" i="5" s="1"/>
  <c r="K375" i="5" s="1"/>
  <c r="H374" i="5"/>
  <c r="I374" i="5" s="1"/>
  <c r="H373" i="5"/>
  <c r="I373" i="5" s="1"/>
  <c r="K373" i="5" s="1"/>
  <c r="H372" i="5"/>
  <c r="I372" i="5" s="1"/>
  <c r="H371" i="5"/>
  <c r="I371" i="5" s="1"/>
  <c r="I376" i="5"/>
  <c r="I368" i="5"/>
  <c r="K368" i="5" s="1"/>
  <c r="I355" i="5"/>
  <c r="K355" i="5" s="1"/>
  <c r="K387" i="5" l="1"/>
  <c r="K382" i="5"/>
  <c r="K383" i="5"/>
  <c r="K379" i="5"/>
  <c r="K371" i="5"/>
  <c r="K372" i="5"/>
  <c r="K374" i="5"/>
  <c r="K376" i="5"/>
  <c r="H367" i="5"/>
  <c r="I367" i="5" s="1"/>
  <c r="K367" i="5" s="1"/>
  <c r="H366" i="5"/>
  <c r="H364" i="5"/>
  <c r="I364" i="5" s="1"/>
  <c r="K364" i="5" s="1"/>
  <c r="H363" i="5"/>
  <c r="I363" i="5" s="1"/>
  <c r="H361" i="5"/>
  <c r="I361" i="5" s="1"/>
  <c r="K361" i="5" s="1"/>
  <c r="H362" i="5"/>
  <c r="I362" i="5" s="1"/>
  <c r="K362" i="5" s="1"/>
  <c r="I366" i="5" l="1"/>
  <c r="K366" i="5" s="1"/>
  <c r="K363" i="5"/>
  <c r="H301" i="5"/>
  <c r="I301" i="5" s="1"/>
  <c r="H360" i="5" l="1"/>
  <c r="I360" i="5" s="1"/>
  <c r="I359" i="5"/>
  <c r="K359" i="5" s="1"/>
  <c r="I358" i="5"/>
  <c r="K358" i="5" s="1"/>
  <c r="I357" i="5"/>
  <c r="K357" i="5" s="1"/>
  <c r="I356" i="5"/>
  <c r="K356" i="5" s="1"/>
  <c r="I354" i="5"/>
  <c r="K354" i="5" s="1"/>
  <c r="H349" i="5"/>
  <c r="K360" i="5" l="1"/>
  <c r="I349" i="5"/>
  <c r="K349" i="5" s="1"/>
  <c r="H343" i="5"/>
  <c r="I343" i="5" s="1"/>
  <c r="K343" i="5" s="1"/>
  <c r="H342" i="5"/>
  <c r="I342" i="5" s="1"/>
  <c r="K342" i="5" s="1"/>
  <c r="H341" i="5"/>
  <c r="I341" i="5" s="1"/>
  <c r="K341" i="5" s="1"/>
  <c r="H340" i="5"/>
  <c r="I340" i="5" s="1"/>
  <c r="K340" i="5" s="1"/>
  <c r="H339" i="5"/>
  <c r="I339" i="5" s="1"/>
  <c r="K339" i="5" s="1"/>
  <c r="H338" i="5"/>
  <c r="H337" i="5"/>
  <c r="H335" i="5"/>
  <c r="I335" i="5" s="1"/>
  <c r="K335" i="5" s="1"/>
  <c r="I334" i="5"/>
  <c r="K334" i="5" s="1"/>
  <c r="H333" i="5"/>
  <c r="H332" i="5"/>
  <c r="I332" i="5" s="1"/>
  <c r="K332" i="5" s="1"/>
  <c r="H331" i="5"/>
  <c r="I331" i="5" s="1"/>
  <c r="K331" i="5" s="1"/>
  <c r="H330" i="5"/>
  <c r="I330" i="5" s="1"/>
  <c r="K330" i="5" s="1"/>
  <c r="H329" i="5"/>
  <c r="I329" i="5" s="1"/>
  <c r="K329" i="5" s="1"/>
  <c r="H328" i="5"/>
  <c r="I328" i="5" s="1"/>
  <c r="K328" i="5" s="1"/>
  <c r="H327" i="5"/>
  <c r="I327" i="5" s="1"/>
  <c r="H325" i="5"/>
  <c r="I325" i="5" s="1"/>
  <c r="K325" i="5" s="1"/>
  <c r="H324" i="5"/>
  <c r="I324" i="5" s="1"/>
  <c r="K324" i="5" s="1"/>
  <c r="H323" i="5"/>
  <c r="I323" i="5" s="1"/>
  <c r="I338" i="5" l="1"/>
  <c r="K338" i="5" s="1"/>
  <c r="I337" i="5"/>
  <c r="K337" i="5" s="1"/>
  <c r="I333" i="5"/>
  <c r="K333" i="5" s="1"/>
  <c r="K327" i="5"/>
  <c r="K323" i="5"/>
  <c r="H322" i="5"/>
  <c r="I322" i="5" s="1"/>
  <c r="K322" i="5" s="1"/>
  <c r="H321" i="5"/>
  <c r="I321" i="5" s="1"/>
  <c r="H320" i="5"/>
  <c r="I320" i="5" s="1"/>
  <c r="K320" i="5" s="1"/>
  <c r="H319" i="5"/>
  <c r="I319" i="5" s="1"/>
  <c r="K319" i="5" s="1"/>
  <c r="H318" i="5"/>
  <c r="I318" i="5" s="1"/>
  <c r="K318" i="5" s="1"/>
  <c r="H316" i="5"/>
  <c r="I316" i="5" s="1"/>
  <c r="K316" i="5" s="1"/>
  <c r="H315" i="5"/>
  <c r="I315" i="5" s="1"/>
  <c r="K315" i="5" s="1"/>
  <c r="H314" i="5"/>
  <c r="I314" i="5" s="1"/>
  <c r="K314" i="5" s="1"/>
  <c r="H313" i="5"/>
  <c r="I313" i="5" s="1"/>
  <c r="K313" i="5" s="1"/>
  <c r="H312" i="5"/>
  <c r="I312" i="5" s="1"/>
  <c r="K312" i="5" s="1"/>
  <c r="H311" i="5"/>
  <c r="I311" i="5" s="1"/>
  <c r="H309" i="5"/>
  <c r="I309" i="5" s="1"/>
  <c r="K309" i="5" s="1"/>
  <c r="H308" i="5"/>
  <c r="I308" i="5" s="1"/>
  <c r="K308" i="5" s="1"/>
  <c r="H307" i="5"/>
  <c r="I307" i="5" s="1"/>
  <c r="K307" i="5" s="1"/>
  <c r="H306" i="5"/>
  <c r="I306" i="5" s="1"/>
  <c r="K306" i="5" s="1"/>
  <c r="H305" i="5"/>
  <c r="I305" i="5" s="1"/>
  <c r="K305" i="5" s="1"/>
  <c r="H304" i="5"/>
  <c r="I304" i="5" s="1"/>
  <c r="K304" i="5" s="1"/>
  <c r="H303" i="5"/>
  <c r="I303" i="5" s="1"/>
  <c r="K303" i="5" s="1"/>
  <c r="H302" i="5"/>
  <c r="K321" i="5" l="1"/>
  <c r="K311" i="5"/>
  <c r="I302" i="5"/>
  <c r="K302" i="5" s="1"/>
  <c r="H300" i="5"/>
  <c r="I300" i="5" s="1"/>
  <c r="K300" i="5" s="1"/>
  <c r="H299" i="5"/>
  <c r="H296" i="5"/>
  <c r="I296" i="5" s="1"/>
  <c r="K296" i="5" s="1"/>
  <c r="H295" i="5"/>
  <c r="I295" i="5" s="1"/>
  <c r="K295" i="5" s="1"/>
  <c r="I292" i="5"/>
  <c r="K292" i="5" s="1"/>
  <c r="I291" i="5"/>
  <c r="K291" i="5" s="1"/>
  <c r="I290" i="5"/>
  <c r="K290" i="5" s="1"/>
  <c r="I289" i="5"/>
  <c r="K289" i="5" s="1"/>
  <c r="I288" i="5"/>
  <c r="K288" i="5" s="1"/>
  <c r="I287" i="5"/>
  <c r="K287" i="5" s="1"/>
  <c r="I286" i="5"/>
  <c r="K286" i="5" s="1"/>
  <c r="I285" i="5"/>
  <c r="K285" i="5" s="1"/>
  <c r="I282" i="5"/>
  <c r="K282" i="5" s="1"/>
  <c r="I281" i="5"/>
  <c r="K281" i="5" s="1"/>
  <c r="I280" i="5"/>
  <c r="K280" i="5" s="1"/>
  <c r="I279" i="5"/>
  <c r="K279" i="5" s="1"/>
  <c r="I278" i="5"/>
  <c r="K278" i="5" s="1"/>
  <c r="I277" i="5"/>
  <c r="K277" i="5" s="1"/>
  <c r="I276" i="5"/>
  <c r="K276" i="5" s="1"/>
  <c r="I275" i="5"/>
  <c r="K275" i="5" s="1"/>
  <c r="I274" i="5"/>
  <c r="K274" i="5" s="1"/>
  <c r="I273" i="5"/>
  <c r="K273" i="5" s="1"/>
  <c r="I272" i="5"/>
  <c r="K272" i="5" s="1"/>
  <c r="I271" i="5"/>
  <c r="K271" i="5" s="1"/>
  <c r="I270" i="5"/>
  <c r="K270" i="5" s="1"/>
  <c r="I269" i="5"/>
  <c r="K269" i="5" s="1"/>
  <c r="I268" i="5"/>
  <c r="K268" i="5" s="1"/>
  <c r="I299" i="5" l="1"/>
  <c r="K299" i="5" s="1"/>
  <c r="H267" i="5"/>
  <c r="I267" i="5" s="1"/>
  <c r="K267" i="5" s="1"/>
  <c r="H266" i="5"/>
  <c r="I266" i="5" s="1"/>
  <c r="K266" i="5" s="1"/>
  <c r="H265" i="5"/>
  <c r="I265" i="5" s="1"/>
  <c r="K265" i="5" s="1"/>
  <c r="H264" i="5"/>
  <c r="I264" i="5" s="1"/>
  <c r="K264" i="5" s="1"/>
  <c r="H263" i="5"/>
  <c r="I263" i="5" s="1"/>
  <c r="H262" i="5"/>
  <c r="I262" i="5" s="1"/>
  <c r="K263" i="5" l="1"/>
  <c r="K262" i="5"/>
  <c r="H261" i="5"/>
  <c r="I261" i="5" s="1"/>
  <c r="K261" i="5" s="1"/>
  <c r="H16" i="5"/>
  <c r="H260" i="5"/>
  <c r="I260" i="5" s="1"/>
  <c r="K260" i="5" s="1"/>
  <c r="H259" i="5"/>
  <c r="I259" i="5" s="1"/>
  <c r="K259" i="5" s="1"/>
  <c r="H258" i="5"/>
  <c r="I258" i="5" s="1"/>
  <c r="K258" i="5" l="1"/>
  <c r="I254" i="5"/>
  <c r="K254" i="5" s="1"/>
  <c r="I253" i="5"/>
  <c r="K253" i="5" s="1"/>
  <c r="I252" i="5"/>
  <c r="K252" i="5" s="1"/>
  <c r="I251" i="5"/>
  <c r="K251" i="5" s="1"/>
  <c r="I250" i="5"/>
  <c r="K250" i="5" s="1"/>
  <c r="I249" i="5"/>
  <c r="K249" i="5" s="1"/>
  <c r="I248" i="5"/>
  <c r="K248" i="5" s="1"/>
  <c r="I247" i="5"/>
  <c r="K247" i="5" s="1"/>
  <c r="I246" i="5"/>
  <c r="K246" i="5" s="1"/>
  <c r="H245" i="5" l="1"/>
  <c r="H244" i="5" l="1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 l="1"/>
  <c r="I231" i="5" s="1"/>
  <c r="K231" i="5" s="1"/>
  <c r="I232" i="5"/>
  <c r="K232" i="5" s="1"/>
  <c r="I233" i="5"/>
  <c r="K233" i="5" s="1"/>
  <c r="I234" i="5"/>
  <c r="K234" i="5" s="1"/>
  <c r="I235" i="5"/>
  <c r="K235" i="5" s="1"/>
  <c r="I236" i="5"/>
  <c r="K236" i="5" s="1"/>
  <c r="I237" i="5"/>
  <c r="K237" i="5" s="1"/>
  <c r="I238" i="5"/>
  <c r="K238" i="5" s="1"/>
  <c r="I239" i="5"/>
  <c r="K239" i="5" s="1"/>
  <c r="I240" i="5"/>
  <c r="K240" i="5" s="1"/>
  <c r="I241" i="5"/>
  <c r="K241" i="5" s="1"/>
  <c r="I242" i="5"/>
  <c r="K242" i="5" s="1"/>
  <c r="I243" i="5"/>
  <c r="K243" i="5" s="1"/>
  <c r="I244" i="5"/>
  <c r="K244" i="5" s="1"/>
  <c r="I245" i="5"/>
  <c r="K245" i="5" s="1"/>
  <c r="H229" i="5"/>
  <c r="I229" i="5" s="1"/>
  <c r="K229" i="5" s="1"/>
  <c r="H228" i="5" l="1"/>
  <c r="I228" i="5" s="1"/>
  <c r="H227" i="5"/>
  <c r="H225" i="5"/>
  <c r="K228" i="5" l="1"/>
  <c r="I227" i="5"/>
  <c r="K227" i="5" s="1"/>
  <c r="I225" i="5"/>
  <c r="K225" i="5" s="1"/>
  <c r="H224" i="5"/>
  <c r="I224" i="5" s="1"/>
  <c r="K224" i="5" s="1"/>
  <c r="H223" i="5"/>
  <c r="I223" i="5" s="1"/>
  <c r="I220" i="5"/>
  <c r="K220" i="5" s="1"/>
  <c r="K223" i="5" l="1"/>
  <c r="I219" i="5" l="1"/>
  <c r="K219" i="5" s="1"/>
  <c r="I218" i="5" l="1"/>
  <c r="K218" i="5" s="1"/>
  <c r="I217" i="5"/>
  <c r="K217" i="5" s="1"/>
  <c r="I216" i="5"/>
  <c r="K216" i="5" s="1"/>
  <c r="I215" i="5"/>
  <c r="K215" i="5" s="1"/>
  <c r="I214" i="5"/>
  <c r="K214" i="5" s="1"/>
  <c r="I213" i="5"/>
  <c r="K213" i="5" s="1"/>
  <c r="I212" i="5"/>
  <c r="K212" i="5" s="1"/>
  <c r="I211" i="5"/>
  <c r="K211" i="5" s="1"/>
  <c r="I210" i="5"/>
  <c r="K210" i="5" s="1"/>
  <c r="I209" i="5"/>
  <c r="K209" i="5" s="1"/>
  <c r="I208" i="5"/>
  <c r="K208" i="5" s="1"/>
  <c r="I207" i="5" l="1"/>
  <c r="K207" i="5" s="1"/>
  <c r="H204" i="5" l="1"/>
  <c r="I204" i="5" s="1"/>
  <c r="H203" i="5"/>
  <c r="I203" i="5" s="1"/>
  <c r="H202" i="5"/>
  <c r="I202" i="5" s="1"/>
  <c r="K202" i="5" s="1"/>
  <c r="H192" i="5"/>
  <c r="H201" i="5"/>
  <c r="I201" i="5" s="1"/>
  <c r="H198" i="5"/>
  <c r="I198" i="5" s="1"/>
  <c r="K198" i="5" s="1"/>
  <c r="H197" i="5"/>
  <c r="I197" i="5" s="1"/>
  <c r="K197" i="5" s="1"/>
  <c r="H196" i="5"/>
  <c r="I196" i="5" s="1"/>
  <c r="K196" i="5" s="1"/>
  <c r="H195" i="5"/>
  <c r="I195" i="5" s="1"/>
  <c r="K195" i="5" s="1"/>
  <c r="H194" i="5"/>
  <c r="H193" i="5"/>
  <c r="I193" i="5" s="1"/>
  <c r="K193" i="5" s="1"/>
  <c r="K204" i="5" l="1"/>
  <c r="K203" i="5"/>
  <c r="I192" i="5"/>
  <c r="K192" i="5" s="1"/>
  <c r="K201" i="5"/>
  <c r="I194" i="5"/>
  <c r="K194" i="5" s="1"/>
  <c r="H191" i="5"/>
  <c r="I191" i="5" s="1"/>
  <c r="H190" i="5"/>
  <c r="I190" i="5" s="1"/>
  <c r="H189" i="5"/>
  <c r="I189" i="5" s="1"/>
  <c r="K191" i="5" l="1"/>
  <c r="K190" i="5"/>
  <c r="K189" i="5"/>
  <c r="H188" i="5"/>
  <c r="I188" i="5" s="1"/>
  <c r="K188" i="5" s="1"/>
  <c r="H187" i="5"/>
  <c r="I187" i="5" s="1"/>
  <c r="H185" i="5"/>
  <c r="I185" i="5" s="1"/>
  <c r="K185" i="5" s="1"/>
  <c r="H184" i="5"/>
  <c r="I184" i="5" s="1"/>
  <c r="K184" i="5" s="1"/>
  <c r="H183" i="5"/>
  <c r="I183" i="5" s="1"/>
  <c r="K183" i="5" s="1"/>
  <c r="H43" i="5"/>
  <c r="I43" i="5" s="1"/>
  <c r="K43" i="5" s="1"/>
  <c r="H182" i="5"/>
  <c r="I182" i="5" s="1"/>
  <c r="K182" i="5" s="1"/>
  <c r="H181" i="5"/>
  <c r="I181" i="5" s="1"/>
  <c r="K181" i="5" s="1"/>
  <c r="H180" i="5"/>
  <c r="I180" i="5" s="1"/>
  <c r="K180" i="5" s="1"/>
  <c r="K187" i="5" l="1"/>
  <c r="H179" i="5"/>
  <c r="I179" i="5" s="1"/>
  <c r="K179" i="5" s="1"/>
  <c r="I178" i="5"/>
  <c r="K178" i="5" s="1"/>
  <c r="I177" i="5"/>
  <c r="K177" i="5" s="1"/>
  <c r="I176" i="5"/>
  <c r="K176" i="5" s="1"/>
  <c r="I175" i="5"/>
  <c r="K175" i="5" s="1"/>
  <c r="I174" i="5"/>
  <c r="K174" i="5" s="1"/>
  <c r="I173" i="5"/>
  <c r="K173" i="5" s="1"/>
  <c r="I172" i="5"/>
  <c r="K172" i="5" s="1"/>
  <c r="I171" i="5"/>
  <c r="K171" i="5" s="1"/>
  <c r="I170" i="5"/>
  <c r="K170" i="5" s="1"/>
  <c r="I169" i="5"/>
  <c r="K169" i="5" s="1"/>
  <c r="I168" i="5"/>
  <c r="K168" i="5" s="1"/>
  <c r="I167" i="5"/>
  <c r="K167" i="5" s="1"/>
  <c r="I166" i="5"/>
  <c r="K166" i="5" s="1"/>
  <c r="I165" i="5"/>
  <c r="K165" i="5" s="1"/>
  <c r="I164" i="5"/>
  <c r="K164" i="5" s="1"/>
  <c r="I163" i="5"/>
  <c r="K163" i="5" s="1"/>
  <c r="I162" i="5"/>
  <c r="K162" i="5" s="1"/>
  <c r="I161" i="5"/>
  <c r="K161" i="5" s="1"/>
  <c r="I160" i="5"/>
  <c r="K160" i="5" s="1"/>
  <c r="I159" i="5"/>
  <c r="K159" i="5" s="1"/>
  <c r="I158" i="5"/>
  <c r="K158" i="5" s="1"/>
  <c r="I155" i="5" l="1"/>
  <c r="K155" i="5" s="1"/>
  <c r="I153" i="5"/>
  <c r="K153" i="5" s="1"/>
  <c r="I147" i="5" l="1"/>
  <c r="K147" i="5" s="1"/>
  <c r="I148" i="5"/>
  <c r="K148" i="5" s="1"/>
  <c r="I149" i="5"/>
  <c r="K149" i="5" s="1"/>
  <c r="I150" i="5"/>
  <c r="K150" i="5" s="1"/>
  <c r="I151" i="5"/>
  <c r="K151" i="5" s="1"/>
  <c r="I152" i="5"/>
  <c r="K152" i="5" s="1"/>
  <c r="I146" i="5"/>
  <c r="K146" i="5" s="1"/>
  <c r="I143" i="5"/>
  <c r="K143" i="5" s="1"/>
  <c r="I142" i="5"/>
  <c r="K142" i="5" s="1"/>
  <c r="I141" i="5"/>
  <c r="K141" i="5" s="1"/>
  <c r="I140" i="5"/>
  <c r="K140" i="5" s="1"/>
  <c r="I139" i="5"/>
  <c r="K139" i="5" s="1"/>
  <c r="I138" i="5"/>
  <c r="K138" i="5" s="1"/>
  <c r="I137" i="5"/>
  <c r="K137" i="5" s="1"/>
  <c r="H135" i="5" l="1"/>
  <c r="I135" i="5" s="1"/>
  <c r="K135" i="5" s="1"/>
  <c r="H134" i="5"/>
  <c r="I134" i="5" s="1"/>
  <c r="K134" i="5" s="1"/>
  <c r="H133" i="5"/>
  <c r="I133" i="5" s="1"/>
  <c r="K133" i="5" s="1"/>
  <c r="H132" i="5"/>
  <c r="I132" i="5" s="1"/>
  <c r="K132" i="5" s="1"/>
  <c r="H131" i="5"/>
  <c r="I131" i="5" s="1"/>
  <c r="K131" i="5" s="1"/>
  <c r="H130" i="5"/>
  <c r="I130" i="5" s="1"/>
  <c r="K130" i="5" s="1"/>
  <c r="H128" i="5"/>
  <c r="I128" i="5" s="1"/>
  <c r="K128" i="5" s="1"/>
  <c r="H127" i="5"/>
  <c r="I127" i="5" s="1"/>
  <c r="K127" i="5" s="1"/>
  <c r="K129" i="5"/>
  <c r="H126" i="5"/>
  <c r="I126" i="5" s="1"/>
  <c r="K126" i="5" s="1"/>
  <c r="I125" i="5"/>
  <c r="K125" i="5" s="1"/>
  <c r="I124" i="5"/>
  <c r="K124" i="5" s="1"/>
  <c r="I123" i="5"/>
  <c r="K123" i="5" s="1"/>
  <c r="I122" i="5"/>
  <c r="K122" i="5" s="1"/>
  <c r="I121" i="5"/>
  <c r="K121" i="5" s="1"/>
  <c r="I120" i="5"/>
  <c r="K120" i="5" s="1"/>
  <c r="I119" i="5"/>
  <c r="K119" i="5" s="1"/>
  <c r="I118" i="5"/>
  <c r="K118" i="5" s="1"/>
  <c r="I117" i="5"/>
  <c r="K117" i="5" s="1"/>
  <c r="I116" i="5"/>
  <c r="K116" i="5" s="1"/>
  <c r="I115" i="5"/>
  <c r="K115" i="5" s="1"/>
  <c r="I114" i="5"/>
  <c r="K114" i="5" s="1"/>
  <c r="I113" i="5"/>
  <c r="K113" i="5" s="1"/>
  <c r="I112" i="5"/>
  <c r="K112" i="5" s="1"/>
  <c r="I111" i="5"/>
  <c r="K111" i="5" s="1"/>
  <c r="H109" i="5" l="1"/>
  <c r="H107" i="5"/>
  <c r="I109" i="5" l="1"/>
  <c r="K109" i="5" s="1"/>
  <c r="H103" i="5"/>
  <c r="H102" i="5"/>
  <c r="I102" i="5" s="1"/>
  <c r="K102" i="5" s="1"/>
  <c r="H100" i="5"/>
  <c r="I100" i="5" s="1"/>
  <c r="K100" i="5" s="1"/>
  <c r="H99" i="5"/>
  <c r="I103" i="5"/>
  <c r="K103" i="5" s="1"/>
  <c r="I104" i="5"/>
  <c r="K104" i="5" s="1"/>
  <c r="I105" i="5"/>
  <c r="K105" i="5" s="1"/>
  <c r="I106" i="5"/>
  <c r="K106" i="5" s="1"/>
  <c r="I107" i="5"/>
  <c r="K107" i="5" s="1"/>
  <c r="H98" i="5"/>
  <c r="H97" i="5"/>
  <c r="H101" i="5" l="1"/>
  <c r="H93" i="5"/>
  <c r="H94" i="5"/>
  <c r="H92" i="5"/>
  <c r="H91" i="5"/>
  <c r="H90" i="5"/>
  <c r="I89" i="5" l="1"/>
  <c r="K89" i="5" s="1"/>
  <c r="I90" i="5"/>
  <c r="K90" i="5" s="1"/>
  <c r="I91" i="5"/>
  <c r="K91" i="5" s="1"/>
  <c r="I92" i="5"/>
  <c r="K92" i="5" s="1"/>
  <c r="I93" i="5"/>
  <c r="K93" i="5" s="1"/>
  <c r="I94" i="5"/>
  <c r="K94" i="5" s="1"/>
  <c r="I101" i="5"/>
  <c r="K101" i="5" s="1"/>
  <c r="I95" i="5"/>
  <c r="K95" i="5" s="1"/>
  <c r="I96" i="5"/>
  <c r="I97" i="5"/>
  <c r="K97" i="5" s="1"/>
  <c r="I98" i="5"/>
  <c r="K98" i="5" s="1"/>
  <c r="I99" i="5"/>
  <c r="K99" i="5" s="1"/>
  <c r="H88" i="5"/>
  <c r="I88" i="5" s="1"/>
  <c r="K88" i="5" s="1"/>
  <c r="I87" i="5"/>
  <c r="K87" i="5" s="1"/>
  <c r="I77" i="5"/>
  <c r="K77" i="5" s="1"/>
  <c r="I78" i="5"/>
  <c r="K78" i="5" s="1"/>
  <c r="I79" i="5"/>
  <c r="K79" i="5" s="1"/>
  <c r="I80" i="5"/>
  <c r="K80" i="5" s="1"/>
  <c r="I81" i="5"/>
  <c r="K81" i="5" s="1"/>
  <c r="I82" i="5"/>
  <c r="K82" i="5" s="1"/>
  <c r="I83" i="5"/>
  <c r="K83" i="5" s="1"/>
  <c r="I84" i="5"/>
  <c r="K84" i="5" s="1"/>
  <c r="I85" i="5"/>
  <c r="K85" i="5" s="1"/>
  <c r="I86" i="5"/>
  <c r="K86" i="5" s="1"/>
  <c r="I74" i="5"/>
  <c r="K74" i="5" s="1"/>
  <c r="I75" i="5"/>
  <c r="K75" i="5" s="1"/>
  <c r="I76" i="5"/>
  <c r="K76" i="5" s="1"/>
  <c r="I73" i="5"/>
  <c r="K73" i="5" s="1"/>
  <c r="I72" i="5"/>
  <c r="K72" i="5" s="1"/>
  <c r="H70" i="5" l="1"/>
  <c r="I70" i="5" s="1"/>
  <c r="K70" i="5" s="1"/>
  <c r="H44" i="5" l="1"/>
  <c r="I44" i="5" s="1"/>
  <c r="K44" i="5" s="1"/>
  <c r="H62" i="5"/>
  <c r="I62" i="5" s="1"/>
  <c r="K62" i="5" s="1"/>
  <c r="H46" i="5"/>
  <c r="I46" i="5" s="1"/>
  <c r="K46" i="5" s="1"/>
  <c r="H47" i="5"/>
  <c r="I47" i="5" s="1"/>
  <c r="K47" i="5" s="1"/>
  <c r="I42" i="5"/>
  <c r="K42" i="5" s="1"/>
  <c r="I20" i="5"/>
  <c r="K20" i="5" s="1"/>
  <c r="I45" i="5"/>
  <c r="K45" i="5" s="1"/>
  <c r="I61" i="5"/>
  <c r="K61" i="5" s="1"/>
  <c r="I60" i="5"/>
  <c r="K60" i="5" s="1"/>
  <c r="I59" i="5"/>
  <c r="K59" i="5" s="1"/>
  <c r="I58" i="5"/>
  <c r="K58" i="5" s="1"/>
  <c r="I57" i="5"/>
  <c r="K57" i="5" s="1"/>
  <c r="I56" i="5"/>
  <c r="K56" i="5" s="1"/>
  <c r="I55" i="5"/>
  <c r="K55" i="5" s="1"/>
  <c r="I54" i="5"/>
  <c r="K54" i="5" s="1"/>
  <c r="I53" i="5"/>
  <c r="K53" i="5" s="1"/>
  <c r="I52" i="5"/>
  <c r="K52" i="5" s="1"/>
  <c r="I51" i="5"/>
  <c r="K51" i="5" s="1"/>
  <c r="I50" i="5"/>
  <c r="K50" i="5" s="1"/>
  <c r="I49" i="5"/>
  <c r="K49" i="5" s="1"/>
  <c r="I48" i="5"/>
  <c r="K48" i="5" s="1"/>
  <c r="I69" i="5"/>
  <c r="K69" i="5" s="1"/>
  <c r="I68" i="5"/>
  <c r="K68" i="5" s="1"/>
  <c r="I67" i="5"/>
  <c r="K67" i="5" s="1"/>
  <c r="I66" i="5"/>
  <c r="K66" i="5" s="1"/>
  <c r="I65" i="5"/>
  <c r="K65" i="5" s="1"/>
  <c r="I64" i="5"/>
  <c r="K64" i="5" s="1"/>
  <c r="I63" i="5"/>
  <c r="K63" i="5" s="1"/>
  <c r="K22" i="5" l="1"/>
  <c r="K23" i="5"/>
  <c r="H9" i="5"/>
  <c r="I9" i="5" s="1"/>
  <c r="K9" i="5" s="1"/>
  <c r="H8" i="5"/>
  <c r="I8" i="5" s="1"/>
  <c r="K8" i="5" s="1"/>
  <c r="H7" i="5"/>
  <c r="H6" i="5"/>
  <c r="I6" i="5" s="1"/>
  <c r="I37" i="5"/>
  <c r="K37" i="5" s="1"/>
  <c r="I38" i="5"/>
  <c r="K38" i="5" s="1"/>
  <c r="H12" i="5"/>
  <c r="I12" i="5" s="1"/>
  <c r="K12" i="5" s="1"/>
  <c r="H10" i="5"/>
  <c r="I10" i="5" s="1"/>
  <c r="K10" i="5" s="1"/>
  <c r="H19" i="5"/>
  <c r="I19" i="5" s="1"/>
  <c r="K19" i="5" s="1"/>
  <c r="H17" i="5"/>
  <c r="I17" i="5" s="1"/>
  <c r="K17" i="5" s="1"/>
  <c r="I16" i="5"/>
  <c r="K16" i="5" s="1"/>
  <c r="H14" i="5"/>
  <c r="I14" i="5" s="1"/>
  <c r="K14" i="5" s="1"/>
  <c r="H4" i="5"/>
  <c r="I4" i="5" s="1"/>
  <c r="K4" i="5" s="1"/>
  <c r="H41" i="5"/>
  <c r="I41" i="5" s="1"/>
  <c r="K41" i="5" s="1"/>
  <c r="H39" i="5"/>
  <c r="I39" i="5" s="1"/>
  <c r="K39" i="5" s="1"/>
  <c r="H5" i="5"/>
  <c r="I5" i="5" s="1"/>
  <c r="K5" i="5" s="1"/>
  <c r="K3" i="5"/>
  <c r="K2" i="5"/>
  <c r="H21" i="5"/>
  <c r="I21" i="5" s="1"/>
  <c r="K21" i="5" s="1"/>
  <c r="I7" i="5"/>
  <c r="K7" i="5" s="1"/>
  <c r="I33" i="5"/>
  <c r="K33" i="5" s="1"/>
  <c r="I34" i="5"/>
  <c r="K34" i="5" s="1"/>
  <c r="I35" i="5"/>
  <c r="K35" i="5" s="1"/>
  <c r="I36" i="5"/>
  <c r="K36" i="5" s="1"/>
  <c r="I40" i="5"/>
  <c r="K40" i="5" s="1"/>
  <c r="I15" i="5"/>
  <c r="K15" i="5" s="1"/>
  <c r="I24" i="5"/>
  <c r="K24" i="5" s="1"/>
  <c r="I25" i="5"/>
  <c r="K25" i="5" s="1"/>
  <c r="I26" i="5"/>
  <c r="K26" i="5" s="1"/>
  <c r="I27" i="5"/>
  <c r="K27" i="5" s="1"/>
  <c r="I28" i="5"/>
  <c r="K28" i="5" s="1"/>
  <c r="I29" i="5"/>
  <c r="K29" i="5" s="1"/>
  <c r="I30" i="5"/>
  <c r="K30" i="5" s="1"/>
  <c r="I31" i="5"/>
  <c r="K31" i="5" s="1"/>
  <c r="I32" i="5"/>
  <c r="K32" i="5" s="1"/>
  <c r="I13" i="5"/>
  <c r="K13" i="5" s="1"/>
  <c r="I11" i="5"/>
  <c r="K11" i="5" s="1"/>
  <c r="K6" i="5" l="1"/>
  <c r="I409" i="1"/>
  <c r="K409" i="1" s="1"/>
  <c r="I408" i="1"/>
  <c r="K408" i="1" s="1"/>
  <c r="I407" i="1"/>
  <c r="K407" i="1" s="1"/>
  <c r="I405" i="1"/>
  <c r="K405" i="1" s="1"/>
  <c r="I404" i="1"/>
  <c r="K404" i="1" s="1"/>
  <c r="I402" i="1"/>
  <c r="K402" i="1" s="1"/>
  <c r="H397" i="1"/>
  <c r="I397" i="1" s="1"/>
  <c r="I392" i="1"/>
  <c r="K392" i="1" s="1"/>
  <c r="I391" i="1"/>
  <c r="K391" i="1" s="1"/>
  <c r="I390" i="1"/>
  <c r="K390" i="1" s="1"/>
  <c r="I389" i="1"/>
  <c r="K389" i="1" s="1"/>
  <c r="I388" i="1"/>
  <c r="K388" i="1" s="1"/>
  <c r="I387" i="1"/>
  <c r="K387" i="1" s="1"/>
  <c r="I386" i="1"/>
  <c r="K386" i="1" s="1"/>
  <c r="I385" i="1"/>
  <c r="K385" i="1" s="1"/>
  <c r="I384" i="1"/>
  <c r="K384" i="1" s="1"/>
  <c r="I383" i="1"/>
  <c r="K383" i="1" s="1"/>
  <c r="I382" i="1"/>
  <c r="K382" i="1" s="1"/>
  <c r="I381" i="1"/>
  <c r="K381" i="1" s="1"/>
  <c r="H379" i="1"/>
  <c r="H378" i="1"/>
  <c r="I378" i="1" s="1"/>
  <c r="K378" i="1" s="1"/>
  <c r="H377" i="1"/>
  <c r="I377" i="1" s="1"/>
  <c r="K377" i="1" s="1"/>
  <c r="H376" i="1"/>
  <c r="I376" i="1" s="1"/>
  <c r="K376" i="1" s="1"/>
  <c r="H375" i="1"/>
  <c r="I375" i="1" s="1"/>
  <c r="K375" i="1" s="1"/>
  <c r="H374" i="1"/>
  <c r="I374" i="1" s="1"/>
  <c r="K374" i="1" s="1"/>
  <c r="H373" i="1"/>
  <c r="I373" i="1" s="1"/>
  <c r="K373" i="1" s="1"/>
  <c r="H371" i="1"/>
  <c r="I371" i="1" s="1"/>
  <c r="K371" i="1" s="1"/>
  <c r="H368" i="1"/>
  <c r="I368" i="1" s="1"/>
  <c r="K368" i="1" s="1"/>
  <c r="H367" i="1"/>
  <c r="I367" i="1" s="1"/>
  <c r="K367" i="1" s="1"/>
  <c r="I379" i="1"/>
  <c r="K379" i="1" s="1"/>
  <c r="H372" i="1"/>
  <c r="I372" i="1" s="1"/>
  <c r="K372" i="1" s="1"/>
  <c r="I360" i="1"/>
  <c r="K360" i="1" s="1"/>
  <c r="I361" i="1"/>
  <c r="K361" i="1" s="1"/>
  <c r="I366" i="1"/>
  <c r="K366" i="1" s="1"/>
  <c r="I365" i="1"/>
  <c r="K365" i="1" s="1"/>
  <c r="I364" i="1"/>
  <c r="K364" i="1" s="1"/>
  <c r="I363" i="1"/>
  <c r="K363" i="1" s="1"/>
  <c r="I362" i="1"/>
  <c r="K362" i="1" s="1"/>
  <c r="I359" i="1"/>
  <c r="K359" i="1" s="1"/>
  <c r="I358" i="1"/>
  <c r="K358" i="1" s="1"/>
  <c r="I357" i="1"/>
  <c r="K357" i="1" s="1"/>
  <c r="H356" i="1"/>
  <c r="I356" i="1" s="1"/>
  <c r="K356" i="1" s="1"/>
  <c r="H354" i="1"/>
  <c r="I354" i="1" s="1"/>
  <c r="K354" i="1" s="1"/>
  <c r="H353" i="1"/>
  <c r="I353" i="1" s="1"/>
  <c r="K353" i="1" s="1"/>
  <c r="H352" i="1"/>
  <c r="I352" i="1" s="1"/>
  <c r="K352" i="1" s="1"/>
  <c r="H351" i="1"/>
  <c r="H355" i="1"/>
  <c r="I355" i="1" s="1"/>
  <c r="K355" i="1" s="1"/>
  <c r="H350" i="1"/>
  <c r="I350" i="1" s="1"/>
  <c r="K350" i="1" s="1"/>
  <c r="H349" i="1"/>
  <c r="I349" i="1" s="1"/>
  <c r="K349" i="1" s="1"/>
  <c r="I351" i="1"/>
  <c r="K351" i="1" s="1"/>
  <c r="H348" i="1"/>
  <c r="I348" i="1" s="1"/>
  <c r="K348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1" i="1"/>
  <c r="K341" i="1" s="1"/>
  <c r="I340" i="1"/>
  <c r="K340" i="1" s="1"/>
  <c r="I339" i="1"/>
  <c r="K339" i="1" s="1"/>
  <c r="I338" i="1"/>
  <c r="K338" i="1" s="1"/>
  <c r="I337" i="1"/>
  <c r="K337" i="1" s="1"/>
  <c r="I336" i="1"/>
  <c r="K336" i="1" s="1"/>
  <c r="I335" i="1"/>
  <c r="K335" i="1" s="1"/>
  <c r="I334" i="1"/>
  <c r="K334" i="1" s="1"/>
  <c r="I333" i="1"/>
  <c r="K333" i="1" s="1"/>
  <c r="I332" i="1"/>
  <c r="K332" i="1" s="1"/>
  <c r="I331" i="1"/>
  <c r="K331" i="1" s="1"/>
  <c r="I330" i="1"/>
  <c r="K330" i="1" s="1"/>
  <c r="I329" i="1"/>
  <c r="K329" i="1" s="1"/>
  <c r="I328" i="1"/>
  <c r="K328" i="1" s="1"/>
  <c r="I327" i="1"/>
  <c r="K327" i="1" s="1"/>
  <c r="I324" i="1"/>
  <c r="K324" i="1" s="1"/>
  <c r="I323" i="1"/>
  <c r="K323" i="1" s="1"/>
  <c r="I322" i="1"/>
  <c r="K322" i="1" s="1"/>
  <c r="I321" i="1"/>
  <c r="K321" i="1" s="1"/>
  <c r="H237" i="1"/>
  <c r="I315" i="1"/>
  <c r="K315" i="1" s="1"/>
  <c r="I316" i="1"/>
  <c r="K316" i="1" s="1"/>
  <c r="I317" i="1"/>
  <c r="I318" i="1"/>
  <c r="K318" i="1" s="1"/>
  <c r="I319" i="1"/>
  <c r="K319" i="1" s="1"/>
  <c r="I314" i="1"/>
  <c r="K314" i="1" s="1"/>
  <c r="I313" i="1"/>
  <c r="K313" i="1" s="1"/>
  <c r="I307" i="1"/>
  <c r="I308" i="1"/>
  <c r="K308" i="1" s="1"/>
  <c r="I309" i="1"/>
  <c r="I310" i="1"/>
  <c r="K310" i="1" s="1"/>
  <c r="I311" i="1"/>
  <c r="K311" i="1" s="1"/>
  <c r="I312" i="1"/>
  <c r="K312" i="1" s="1"/>
  <c r="I306" i="1"/>
  <c r="K306" i="1" s="1"/>
  <c r="I305" i="1"/>
  <c r="H301" i="1"/>
  <c r="I304" i="1"/>
  <c r="K304" i="1" s="1"/>
  <c r="I303" i="1"/>
  <c r="K303" i="1" s="1"/>
  <c r="I302" i="1"/>
  <c r="I301" i="1"/>
  <c r="K301" i="1" s="1"/>
  <c r="I300" i="1"/>
  <c r="K300" i="1" s="1"/>
  <c r="I299" i="1"/>
  <c r="K299" i="1" s="1"/>
  <c r="I298" i="1"/>
  <c r="K298" i="1" s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I284" i="1"/>
  <c r="K284" i="1" s="1"/>
  <c r="I283" i="1"/>
  <c r="K283" i="1" s="1"/>
  <c r="I282" i="1"/>
  <c r="K282" i="1" s="1"/>
  <c r="I281" i="1"/>
  <c r="K281" i="1" s="1"/>
  <c r="I273" i="1"/>
  <c r="K273" i="1" s="1"/>
  <c r="I280" i="1"/>
  <c r="K280" i="1" s="1"/>
  <c r="I279" i="1"/>
  <c r="K279" i="1" s="1"/>
  <c r="I278" i="1"/>
  <c r="K278" i="1" s="1"/>
  <c r="I277" i="1"/>
  <c r="K277" i="1" s="1"/>
  <c r="I276" i="1"/>
  <c r="K276" i="1" s="1"/>
  <c r="I275" i="1"/>
  <c r="I274" i="1"/>
  <c r="K275" i="1"/>
  <c r="K274" i="1"/>
  <c r="I272" i="1"/>
  <c r="K272" i="1" s="1"/>
  <c r="I271" i="1"/>
  <c r="K271" i="1" s="1"/>
  <c r="H266" i="1"/>
  <c r="I266" i="1" s="1"/>
  <c r="K266" i="1" s="1"/>
  <c r="H265" i="1"/>
  <c r="I265" i="1" s="1"/>
  <c r="K265" i="1" s="1"/>
  <c r="I264" i="1"/>
  <c r="K264" i="1" s="1"/>
  <c r="I263" i="1"/>
  <c r="K263" i="1" s="1"/>
  <c r="H262" i="1"/>
  <c r="I262" i="1" s="1"/>
  <c r="K262" i="1" s="1"/>
  <c r="H261" i="1"/>
  <c r="I261" i="1" s="1"/>
  <c r="K261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44" i="1"/>
  <c r="K244" i="1" s="1"/>
  <c r="I242" i="1"/>
  <c r="K242" i="1" s="1"/>
  <c r="I243" i="1"/>
  <c r="K243" i="1" s="1"/>
  <c r="H241" i="1"/>
  <c r="I241" i="1" s="1"/>
  <c r="K241" i="1" s="1"/>
  <c r="H190" i="1"/>
  <c r="I190" i="1" s="1"/>
  <c r="K190" i="1" s="1"/>
  <c r="H175" i="1"/>
  <c r="I175" i="1" s="1"/>
  <c r="K175" i="1" s="1"/>
  <c r="H89" i="1"/>
  <c r="I89" i="1" s="1"/>
  <c r="K89" i="1" s="1"/>
  <c r="H26" i="1"/>
  <c r="I26" i="1" s="1"/>
  <c r="K26" i="1" s="1"/>
  <c r="H240" i="1"/>
  <c r="I240" i="1" s="1"/>
  <c r="K240" i="1" s="1"/>
  <c r="H239" i="1"/>
  <c r="I239" i="1" s="1"/>
  <c r="K239" i="1" s="1"/>
  <c r="H238" i="1"/>
  <c r="I238" i="1" s="1"/>
  <c r="K238" i="1" s="1"/>
  <c r="H236" i="1"/>
  <c r="I236" i="1" s="1"/>
  <c r="K236" i="1" s="1"/>
  <c r="H235" i="1"/>
  <c r="I235" i="1" s="1"/>
  <c r="K235" i="1" s="1"/>
  <c r="I234" i="1"/>
  <c r="K234" i="1" s="1"/>
  <c r="I232" i="1"/>
  <c r="K232" i="1" s="1"/>
  <c r="I230" i="1"/>
  <c r="K230" i="1" s="1"/>
  <c r="I229" i="1"/>
  <c r="K229" i="1" s="1"/>
  <c r="I225" i="1"/>
  <c r="K225" i="1" s="1"/>
  <c r="I226" i="1"/>
  <c r="K226" i="1" s="1"/>
  <c r="I227" i="1"/>
  <c r="K227" i="1" s="1"/>
  <c r="I228" i="1"/>
  <c r="K228" i="1" s="1"/>
  <c r="I224" i="1"/>
  <c r="K224" i="1" s="1"/>
  <c r="I223" i="1"/>
  <c r="K223" i="1" s="1"/>
  <c r="I222" i="1"/>
  <c r="K222" i="1" s="1"/>
  <c r="I221" i="1"/>
  <c r="K221" i="1" s="1"/>
  <c r="I220" i="1"/>
  <c r="K220" i="1" s="1"/>
  <c r="I219" i="1"/>
  <c r="K219" i="1" s="1"/>
  <c r="I218" i="1"/>
  <c r="K218" i="1" s="1"/>
  <c r="I217" i="1"/>
  <c r="K217" i="1" s="1"/>
  <c r="I216" i="1"/>
  <c r="K216" i="1" s="1"/>
  <c r="I215" i="1"/>
  <c r="K215" i="1" s="1"/>
  <c r="I214" i="1"/>
  <c r="K214" i="1" s="1"/>
  <c r="I213" i="1"/>
  <c r="K213" i="1" s="1"/>
  <c r="I209" i="1"/>
  <c r="K209" i="1" s="1"/>
  <c r="I210" i="1"/>
  <c r="K210" i="1" s="1"/>
  <c r="I211" i="1"/>
  <c r="K211" i="1" s="1"/>
  <c r="I212" i="1"/>
  <c r="K212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1" i="1"/>
  <c r="K191" i="1" s="1"/>
  <c r="I192" i="1"/>
  <c r="K192" i="1" s="1"/>
  <c r="I193" i="1"/>
  <c r="I194" i="1"/>
  <c r="K194" i="1" s="1"/>
  <c r="I195" i="1"/>
  <c r="K195" i="1" s="1"/>
  <c r="I196" i="1"/>
  <c r="I197" i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I205" i="1"/>
  <c r="K205" i="1" s="1"/>
  <c r="I206" i="1"/>
  <c r="K206" i="1" s="1"/>
  <c r="I207" i="1"/>
  <c r="K207" i="1" s="1"/>
  <c r="I208" i="1"/>
  <c r="K208" i="1" s="1"/>
  <c r="I157" i="1"/>
  <c r="K157" i="1" s="1"/>
  <c r="I158" i="1"/>
  <c r="K158" i="1" s="1"/>
  <c r="I159" i="1"/>
  <c r="K159" i="1" s="1"/>
  <c r="I160" i="1"/>
  <c r="K160" i="1" s="1"/>
  <c r="K161" i="1"/>
  <c r="I162" i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6" i="1"/>
  <c r="K176" i="1" s="1"/>
  <c r="I177" i="1"/>
  <c r="K177" i="1" s="1"/>
  <c r="I178" i="1"/>
  <c r="K178" i="1" s="1"/>
  <c r="I179" i="1"/>
  <c r="K179" i="1" s="1"/>
  <c r="I180" i="1"/>
  <c r="K180" i="1" s="1"/>
  <c r="K181" i="1"/>
  <c r="I182" i="1"/>
  <c r="K182" i="1" s="1"/>
  <c r="K183" i="1"/>
  <c r="I156" i="1"/>
  <c r="K156" i="1" s="1"/>
  <c r="H154" i="1"/>
  <c r="I154" i="1" s="1"/>
  <c r="K154" i="1" s="1"/>
  <c r="H153" i="1"/>
  <c r="I153" i="1" s="1"/>
  <c r="K153" i="1" s="1"/>
  <c r="I149" i="1"/>
  <c r="K149" i="1" s="1"/>
  <c r="I148" i="1"/>
  <c r="K148" i="1" s="1"/>
  <c r="I147" i="1"/>
  <c r="K147" i="1" s="1"/>
  <c r="I146" i="1"/>
  <c r="K146" i="1" s="1"/>
  <c r="I145" i="1"/>
  <c r="K145" i="1" s="1"/>
  <c r="I144" i="1"/>
  <c r="K144" i="1" s="1"/>
  <c r="I143" i="1"/>
  <c r="K143" i="1" s="1"/>
  <c r="I142" i="1"/>
  <c r="K142" i="1" s="1"/>
  <c r="I141" i="1"/>
  <c r="K141" i="1" s="1"/>
  <c r="I140" i="1"/>
  <c r="K140" i="1" s="1"/>
  <c r="I139" i="1"/>
  <c r="K139" i="1" s="1"/>
  <c r="I138" i="1"/>
  <c r="K138" i="1" s="1"/>
  <c r="I137" i="1"/>
  <c r="K137" i="1" s="1"/>
  <c r="I136" i="1"/>
  <c r="K136" i="1" s="1"/>
  <c r="I135" i="1"/>
  <c r="K135" i="1" s="1"/>
  <c r="I134" i="1"/>
  <c r="K134" i="1" s="1"/>
  <c r="I133" i="1"/>
  <c r="K133" i="1" s="1"/>
  <c r="I132" i="1"/>
  <c r="K132" i="1" s="1"/>
  <c r="I131" i="1"/>
  <c r="K131" i="1" s="1"/>
  <c r="I130" i="1"/>
  <c r="K130" i="1" s="1"/>
  <c r="I129" i="1"/>
  <c r="K129" i="1" s="1"/>
  <c r="I128" i="1"/>
  <c r="K128" i="1" s="1"/>
  <c r="I127" i="1"/>
  <c r="K127" i="1" s="1"/>
  <c r="I126" i="1"/>
  <c r="K126" i="1" s="1"/>
  <c r="I125" i="1"/>
  <c r="K125" i="1" s="1"/>
  <c r="I124" i="1"/>
  <c r="K124" i="1" s="1"/>
  <c r="I123" i="1"/>
  <c r="K123" i="1" s="1"/>
  <c r="I122" i="1"/>
  <c r="K122" i="1" s="1"/>
  <c r="I121" i="1"/>
  <c r="K121" i="1" s="1"/>
  <c r="I120" i="1"/>
  <c r="K120" i="1" s="1"/>
  <c r="I104" i="1"/>
  <c r="K104" i="1" s="1"/>
  <c r="I105" i="1"/>
  <c r="K105" i="1" s="1"/>
  <c r="I103" i="1"/>
  <c r="K103" i="1" s="1"/>
  <c r="I119" i="1"/>
  <c r="K119" i="1" s="1"/>
  <c r="I118" i="1"/>
  <c r="K118" i="1" s="1"/>
  <c r="I117" i="1"/>
  <c r="K117" i="1" s="1"/>
  <c r="H115" i="1"/>
  <c r="I115" i="1" s="1"/>
  <c r="K115" i="1" s="1"/>
  <c r="H114" i="1"/>
  <c r="I114" i="1" s="1"/>
  <c r="K114" i="1" s="1"/>
  <c r="I113" i="1"/>
  <c r="K113" i="1" s="1"/>
  <c r="I112" i="1"/>
  <c r="K112" i="1" s="1"/>
  <c r="I111" i="1"/>
  <c r="K111" i="1" s="1"/>
  <c r="H110" i="1"/>
  <c r="I110" i="1" s="1"/>
  <c r="K110" i="1" s="1"/>
  <c r="I276" i="3"/>
  <c r="K276" i="3" s="1"/>
  <c r="I275" i="3"/>
  <c r="K275" i="3" s="1"/>
  <c r="I273" i="3"/>
  <c r="K273" i="3" s="1"/>
  <c r="I269" i="3"/>
  <c r="K269" i="3" s="1"/>
  <c r="I268" i="3"/>
  <c r="K268" i="3" s="1"/>
  <c r="I267" i="3"/>
  <c r="K267" i="3" s="1"/>
  <c r="I266" i="3"/>
  <c r="K266" i="3" s="1"/>
  <c r="I265" i="3"/>
  <c r="K265" i="3" s="1"/>
  <c r="I264" i="3"/>
  <c r="K264" i="3" s="1"/>
  <c r="I263" i="3"/>
  <c r="K263" i="3" s="1"/>
  <c r="I262" i="3"/>
  <c r="K262" i="3" s="1"/>
  <c r="I261" i="3"/>
  <c r="K261" i="3" s="1"/>
  <c r="I260" i="3"/>
  <c r="K260" i="3" s="1"/>
  <c r="I259" i="3"/>
  <c r="K259" i="3" s="1"/>
  <c r="I258" i="3"/>
  <c r="K258" i="3" s="1"/>
  <c r="I257" i="3"/>
  <c r="K257" i="3" s="1"/>
  <c r="I256" i="3"/>
  <c r="K256" i="3" s="1"/>
  <c r="I255" i="3"/>
  <c r="K255" i="3" s="1"/>
  <c r="I254" i="3"/>
  <c r="K254" i="3" s="1"/>
  <c r="I253" i="3"/>
  <c r="K253" i="3" s="1"/>
  <c r="I252" i="3"/>
  <c r="K252" i="3" s="1"/>
  <c r="I251" i="3"/>
  <c r="K251" i="3" s="1"/>
  <c r="I250" i="3"/>
  <c r="K250" i="3" s="1"/>
  <c r="I249" i="3"/>
  <c r="K249" i="3" s="1"/>
  <c r="I248" i="3"/>
  <c r="K248" i="3" s="1"/>
  <c r="I247" i="3"/>
  <c r="K247" i="3" s="1"/>
  <c r="I246" i="3"/>
  <c r="K246" i="3" s="1"/>
  <c r="I245" i="3"/>
  <c r="K245" i="3" s="1"/>
  <c r="I244" i="3"/>
  <c r="K244" i="3" s="1"/>
  <c r="I243" i="3"/>
  <c r="K243" i="3" s="1"/>
  <c r="I242" i="3"/>
  <c r="K242" i="3" s="1"/>
  <c r="I241" i="3"/>
  <c r="K241" i="3" s="1"/>
  <c r="I240" i="3"/>
  <c r="K240" i="3" s="1"/>
  <c r="I239" i="3"/>
  <c r="K239" i="3" s="1"/>
  <c r="I238" i="3"/>
  <c r="K238" i="3" s="1"/>
  <c r="I237" i="3"/>
  <c r="K237" i="3" s="1"/>
  <c r="I236" i="3"/>
  <c r="K236" i="3" s="1"/>
  <c r="I235" i="3"/>
  <c r="K235" i="3" s="1"/>
  <c r="I234" i="3"/>
  <c r="K234" i="3" s="1"/>
  <c r="I233" i="3"/>
  <c r="K233" i="3" s="1"/>
  <c r="I232" i="3"/>
  <c r="K232" i="3" s="1"/>
  <c r="I231" i="3"/>
  <c r="K231" i="3" s="1"/>
  <c r="I230" i="3"/>
  <c r="K230" i="3" s="1"/>
  <c r="I229" i="3"/>
  <c r="K229" i="3" s="1"/>
  <c r="I228" i="3"/>
  <c r="K228" i="3" s="1"/>
  <c r="I227" i="3"/>
  <c r="K227" i="3" s="1"/>
  <c r="I226" i="3"/>
  <c r="K226" i="3" s="1"/>
  <c r="I225" i="3"/>
  <c r="K225" i="3" s="1"/>
  <c r="I224" i="3"/>
  <c r="K224" i="3" s="1"/>
  <c r="I223" i="3"/>
  <c r="K223" i="3" s="1"/>
  <c r="I222" i="3"/>
  <c r="K222" i="3" s="1"/>
  <c r="I221" i="3"/>
  <c r="K221" i="3" s="1"/>
  <c r="I220" i="3"/>
  <c r="K220" i="3" s="1"/>
  <c r="I219" i="3"/>
  <c r="K219" i="3" s="1"/>
  <c r="I218" i="3"/>
  <c r="K218" i="3" s="1"/>
  <c r="I217" i="3"/>
  <c r="K217" i="3" s="1"/>
  <c r="I216" i="3"/>
  <c r="K216" i="3" s="1"/>
  <c r="I215" i="3"/>
  <c r="K215" i="3" s="1"/>
  <c r="I214" i="3"/>
  <c r="K214" i="3" s="1"/>
  <c r="I213" i="3"/>
  <c r="K213" i="3" s="1"/>
  <c r="I212" i="3"/>
  <c r="K212" i="3" s="1"/>
  <c r="I211" i="3"/>
  <c r="K211" i="3" s="1"/>
  <c r="I210" i="3"/>
  <c r="K210" i="3" s="1"/>
  <c r="I209" i="3"/>
  <c r="K209" i="3" s="1"/>
  <c r="I208" i="3"/>
  <c r="K208" i="3" s="1"/>
  <c r="I207" i="3"/>
  <c r="K207" i="3" s="1"/>
  <c r="I206" i="3"/>
  <c r="K206" i="3" s="1"/>
  <c r="I205" i="3"/>
  <c r="K205" i="3" s="1"/>
  <c r="I204" i="3"/>
  <c r="K204" i="3" s="1"/>
  <c r="I203" i="3"/>
  <c r="K203" i="3" s="1"/>
  <c r="I202" i="3"/>
  <c r="K202" i="3" s="1"/>
  <c r="I201" i="3"/>
  <c r="K201" i="3" s="1"/>
  <c r="I200" i="3"/>
  <c r="K200" i="3" s="1"/>
  <c r="I199" i="3"/>
  <c r="K199" i="3" s="1"/>
  <c r="I198" i="3"/>
  <c r="K198" i="3" s="1"/>
  <c r="I197" i="3"/>
  <c r="K197" i="3" s="1"/>
  <c r="I196" i="3"/>
  <c r="K196" i="3" s="1"/>
  <c r="I195" i="3"/>
  <c r="K195" i="3" s="1"/>
  <c r="I194" i="3"/>
  <c r="K194" i="3" s="1"/>
  <c r="I193" i="3"/>
  <c r="K193" i="3" s="1"/>
  <c r="I192" i="3"/>
  <c r="K192" i="3" s="1"/>
  <c r="I191" i="3"/>
  <c r="K191" i="3" s="1"/>
  <c r="K190" i="3"/>
  <c r="I189" i="3"/>
  <c r="K189" i="3" s="1"/>
  <c r="I188" i="3"/>
  <c r="K188" i="3" s="1"/>
  <c r="I187" i="3"/>
  <c r="K187" i="3" s="1"/>
  <c r="I186" i="3"/>
  <c r="K186" i="3" s="1"/>
  <c r="I185" i="3"/>
  <c r="K185" i="3" s="1"/>
  <c r="I183" i="3"/>
  <c r="K183" i="3" s="1"/>
  <c r="I182" i="3"/>
  <c r="K182" i="3" s="1"/>
  <c r="I181" i="3"/>
  <c r="K181" i="3" s="1"/>
  <c r="I180" i="3"/>
  <c r="K180" i="3" s="1"/>
  <c r="I179" i="3"/>
  <c r="K179" i="3" s="1"/>
  <c r="K178" i="3"/>
  <c r="I177" i="3"/>
  <c r="K177" i="3" s="1"/>
  <c r="I176" i="3"/>
  <c r="K176" i="3" s="1"/>
  <c r="I175" i="3"/>
  <c r="K175" i="3" s="1"/>
  <c r="I174" i="3"/>
  <c r="K174" i="3" s="1"/>
  <c r="I173" i="3"/>
  <c r="K173" i="3" s="1"/>
  <c r="K172" i="3"/>
  <c r="I171" i="3"/>
  <c r="K171" i="3" s="1"/>
  <c r="I170" i="3"/>
  <c r="K170" i="3" s="1"/>
  <c r="I169" i="3"/>
  <c r="K169" i="3" s="1"/>
  <c r="I168" i="3"/>
  <c r="K168" i="3" s="1"/>
  <c r="I167" i="3"/>
  <c r="K167" i="3" s="1"/>
  <c r="I166" i="3"/>
  <c r="K166" i="3" s="1"/>
  <c r="I165" i="3"/>
  <c r="K165" i="3" s="1"/>
  <c r="I164" i="3"/>
  <c r="K164" i="3" s="1"/>
  <c r="I163" i="3"/>
  <c r="K163" i="3" s="1"/>
  <c r="I162" i="3"/>
  <c r="K162" i="3" s="1"/>
  <c r="I161" i="3"/>
  <c r="K161" i="3" s="1"/>
  <c r="I160" i="3"/>
  <c r="K160" i="3" s="1"/>
  <c r="I159" i="3"/>
  <c r="K159" i="3" s="1"/>
  <c r="I158" i="3"/>
  <c r="K158" i="3" s="1"/>
  <c r="I157" i="3"/>
  <c r="K157" i="3" s="1"/>
  <c r="H156" i="3"/>
  <c r="I156" i="3" s="1"/>
  <c r="I155" i="3"/>
  <c r="K155" i="3" s="1"/>
  <c r="I154" i="3"/>
  <c r="K154" i="3" s="1"/>
  <c r="I153" i="3"/>
  <c r="K153" i="3" s="1"/>
  <c r="I152" i="3"/>
  <c r="K152" i="3" s="1"/>
  <c r="I151" i="3"/>
  <c r="K151" i="3" s="1"/>
  <c r="I150" i="3"/>
  <c r="K150" i="3" s="1"/>
  <c r="I149" i="3"/>
  <c r="K149" i="3" s="1"/>
  <c r="I148" i="3"/>
  <c r="K148" i="3" s="1"/>
  <c r="I147" i="3"/>
  <c r="K147" i="3" s="1"/>
  <c r="I146" i="3"/>
  <c r="K146" i="3" s="1"/>
  <c r="I145" i="3"/>
  <c r="K145" i="3" s="1"/>
  <c r="I144" i="3"/>
  <c r="K144" i="3" s="1"/>
  <c r="I143" i="3"/>
  <c r="K143" i="3" s="1"/>
  <c r="I142" i="3"/>
  <c r="K142" i="3" s="1"/>
  <c r="I141" i="3"/>
  <c r="K141" i="3" s="1"/>
  <c r="I140" i="3"/>
  <c r="K140" i="3" s="1"/>
  <c r="I139" i="3"/>
  <c r="K139" i="3" s="1"/>
  <c r="I138" i="3"/>
  <c r="K138" i="3" s="1"/>
  <c r="I137" i="3"/>
  <c r="K137" i="3" s="1"/>
  <c r="I136" i="3"/>
  <c r="K136" i="3" s="1"/>
  <c r="I135" i="3"/>
  <c r="K135" i="3" s="1"/>
  <c r="I134" i="3"/>
  <c r="K134" i="3" s="1"/>
  <c r="I133" i="3"/>
  <c r="K133" i="3" s="1"/>
  <c r="I132" i="3"/>
  <c r="K132" i="3" s="1"/>
  <c r="I131" i="3"/>
  <c r="K131" i="3" s="1"/>
  <c r="I130" i="3"/>
  <c r="K130" i="3" s="1"/>
  <c r="I129" i="3"/>
  <c r="K129" i="3" s="1"/>
  <c r="I128" i="3"/>
  <c r="K128" i="3" s="1"/>
  <c r="I127" i="3"/>
  <c r="K127" i="3" s="1"/>
  <c r="I125" i="3"/>
  <c r="K125" i="3" s="1"/>
  <c r="I124" i="3"/>
  <c r="K124" i="3" s="1"/>
  <c r="I123" i="3"/>
  <c r="K123" i="3" s="1"/>
  <c r="I122" i="3"/>
  <c r="K122" i="3" s="1"/>
  <c r="I121" i="3"/>
  <c r="K121" i="3" s="1"/>
  <c r="I120" i="3"/>
  <c r="K120" i="3" s="1"/>
  <c r="I119" i="3"/>
  <c r="K119" i="3" s="1"/>
  <c r="I118" i="3"/>
  <c r="K118" i="3" s="1"/>
  <c r="I117" i="3"/>
  <c r="K117" i="3" s="1"/>
  <c r="I116" i="3"/>
  <c r="K116" i="3" s="1"/>
  <c r="I115" i="3"/>
  <c r="K115" i="3" s="1"/>
  <c r="K114" i="3"/>
  <c r="I113" i="3"/>
  <c r="K113" i="3" s="1"/>
  <c r="I112" i="3"/>
  <c r="K112" i="3" s="1"/>
  <c r="I111" i="3"/>
  <c r="K111" i="3" s="1"/>
  <c r="I109" i="3"/>
  <c r="K109" i="3" s="1"/>
  <c r="I108" i="3"/>
  <c r="K108" i="3" s="1"/>
  <c r="I107" i="3"/>
  <c r="K107" i="3" s="1"/>
  <c r="I106" i="3"/>
  <c r="K106" i="3" s="1"/>
  <c r="I105" i="3"/>
  <c r="K105" i="3" s="1"/>
  <c r="I104" i="3"/>
  <c r="K104" i="3" s="1"/>
  <c r="I103" i="3"/>
  <c r="K103" i="3" s="1"/>
  <c r="I102" i="3"/>
  <c r="K102" i="3" s="1"/>
  <c r="I101" i="3"/>
  <c r="K101" i="3" s="1"/>
  <c r="I100" i="3"/>
  <c r="K100" i="3" s="1"/>
  <c r="I99" i="3"/>
  <c r="K99" i="3" s="1"/>
  <c r="I98" i="3"/>
  <c r="K98" i="3" s="1"/>
  <c r="I97" i="3"/>
  <c r="K97" i="3" s="1"/>
  <c r="I96" i="3"/>
  <c r="K96" i="3" s="1"/>
  <c r="I95" i="3"/>
  <c r="K95" i="3" s="1"/>
  <c r="I94" i="3"/>
  <c r="K94" i="3" s="1"/>
  <c r="I93" i="3"/>
  <c r="K93" i="3" s="1"/>
  <c r="I92" i="3"/>
  <c r="K92" i="3" s="1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I85" i="3"/>
  <c r="K85" i="3" s="1"/>
  <c r="I84" i="3"/>
  <c r="K84" i="3" s="1"/>
  <c r="I83" i="3"/>
  <c r="K83" i="3" s="1"/>
  <c r="I82" i="3"/>
  <c r="K82" i="3" s="1"/>
  <c r="I81" i="3"/>
  <c r="K81" i="3" s="1"/>
  <c r="I80" i="3"/>
  <c r="K80" i="3" s="1"/>
  <c r="I79" i="3"/>
  <c r="K79" i="3" s="1"/>
  <c r="I78" i="3"/>
  <c r="K78" i="3" s="1"/>
  <c r="I77" i="3"/>
  <c r="K77" i="3" s="1"/>
  <c r="I76" i="3"/>
  <c r="K76" i="3" s="1"/>
  <c r="I75" i="3"/>
  <c r="K75" i="3" s="1"/>
  <c r="I74" i="3"/>
  <c r="K74" i="3" s="1"/>
  <c r="I73" i="3"/>
  <c r="K73" i="3" s="1"/>
  <c r="I72" i="3"/>
  <c r="K72" i="3" s="1"/>
  <c r="I71" i="3"/>
  <c r="K71" i="3" s="1"/>
  <c r="I70" i="3"/>
  <c r="K70" i="3" s="1"/>
  <c r="I69" i="3"/>
  <c r="K69" i="3" s="1"/>
  <c r="I68" i="3"/>
  <c r="K68" i="3" s="1"/>
  <c r="I67" i="3"/>
  <c r="K67" i="3" s="1"/>
  <c r="I66" i="3"/>
  <c r="K66" i="3" s="1"/>
  <c r="I65" i="3"/>
  <c r="K65" i="3" s="1"/>
  <c r="I64" i="3"/>
  <c r="K64" i="3" s="1"/>
  <c r="I63" i="3"/>
  <c r="K63" i="3" s="1"/>
  <c r="I62" i="3"/>
  <c r="K62" i="3" s="1"/>
  <c r="I61" i="3"/>
  <c r="K61" i="3" s="1"/>
  <c r="I60" i="3"/>
  <c r="K60" i="3" s="1"/>
  <c r="I59" i="3"/>
  <c r="K59" i="3" s="1"/>
  <c r="I58" i="3"/>
  <c r="K58" i="3" s="1"/>
  <c r="I57" i="3"/>
  <c r="K57" i="3" s="1"/>
  <c r="I56" i="3"/>
  <c r="K56" i="3" s="1"/>
  <c r="I55" i="3"/>
  <c r="K55" i="3" s="1"/>
  <c r="I54" i="3"/>
  <c r="K54" i="3" s="1"/>
  <c r="I53" i="3"/>
  <c r="K53" i="3" s="1"/>
  <c r="I52" i="3"/>
  <c r="K52" i="3" s="1"/>
  <c r="I51" i="3"/>
  <c r="K51" i="3" s="1"/>
  <c r="I50" i="3"/>
  <c r="K50" i="3" s="1"/>
  <c r="I49" i="3"/>
  <c r="K49" i="3" s="1"/>
  <c r="H48" i="3"/>
  <c r="I48" i="3" s="1"/>
  <c r="I45" i="3"/>
  <c r="K45" i="3" s="1"/>
  <c r="I44" i="3"/>
  <c r="K44" i="3" s="1"/>
  <c r="I43" i="3"/>
  <c r="K43" i="3" s="1"/>
  <c r="I42" i="3"/>
  <c r="K42" i="3" s="1"/>
  <c r="I41" i="3"/>
  <c r="K41" i="3" s="1"/>
  <c r="I40" i="3"/>
  <c r="K40" i="3" s="1"/>
  <c r="I39" i="3"/>
  <c r="K39" i="3" s="1"/>
  <c r="I38" i="3"/>
  <c r="K38" i="3" s="1"/>
  <c r="I37" i="3"/>
  <c r="K37" i="3" s="1"/>
  <c r="I36" i="3"/>
  <c r="K36" i="3" s="1"/>
  <c r="I35" i="3"/>
  <c r="K35" i="3" s="1"/>
  <c r="I34" i="3"/>
  <c r="K34" i="3" s="1"/>
  <c r="I33" i="3"/>
  <c r="K33" i="3" s="1"/>
  <c r="I32" i="3"/>
  <c r="K32" i="3" s="1"/>
  <c r="I31" i="3"/>
  <c r="K31" i="3" s="1"/>
  <c r="I30" i="3"/>
  <c r="K30" i="3" s="1"/>
  <c r="I29" i="3"/>
  <c r="K29" i="3" s="1"/>
  <c r="I28" i="3"/>
  <c r="K28" i="3" s="1"/>
  <c r="I27" i="3"/>
  <c r="K27" i="3" s="1"/>
  <c r="I26" i="3"/>
  <c r="K26" i="3" s="1"/>
  <c r="I25" i="3"/>
  <c r="K25" i="3" s="1"/>
  <c r="I24" i="3"/>
  <c r="K24" i="3" s="1"/>
  <c r="I23" i="3"/>
  <c r="K23" i="3" s="1"/>
  <c r="I22" i="3"/>
  <c r="K22" i="3" s="1"/>
  <c r="I21" i="3"/>
  <c r="K21" i="3" s="1"/>
  <c r="I20" i="3"/>
  <c r="K20" i="3" s="1"/>
  <c r="I19" i="3"/>
  <c r="K19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1" i="3"/>
  <c r="K11" i="3" s="1"/>
  <c r="I10" i="3"/>
  <c r="K10" i="3" s="1"/>
  <c r="I9" i="3"/>
  <c r="K9" i="3" s="1"/>
  <c r="I8" i="3"/>
  <c r="K8" i="3" s="1"/>
  <c r="I7" i="3"/>
  <c r="K7" i="3" s="1"/>
  <c r="I6" i="3"/>
  <c r="K6" i="3" s="1"/>
  <c r="I5" i="3"/>
  <c r="K5" i="3" s="1"/>
  <c r="I4" i="3"/>
  <c r="K4" i="3" s="1"/>
  <c r="I3" i="3"/>
  <c r="K3" i="3" s="1"/>
  <c r="I2" i="3"/>
  <c r="K2" i="3" s="1"/>
  <c r="H108" i="1"/>
  <c r="I108" i="1" s="1"/>
  <c r="K108" i="1" s="1"/>
  <c r="I25" i="1"/>
  <c r="K25" i="1" s="1"/>
  <c r="I24" i="1"/>
  <c r="K24" i="1" s="1"/>
  <c r="I23" i="1"/>
  <c r="K23" i="1" s="1"/>
  <c r="I33" i="1"/>
  <c r="K33" i="1" s="1"/>
  <c r="I34" i="1"/>
  <c r="K34" i="1" s="1"/>
  <c r="I36" i="1"/>
  <c r="K36" i="1" s="1"/>
  <c r="I27" i="1"/>
  <c r="K27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9" i="1"/>
  <c r="K49" i="1" s="1"/>
  <c r="I106" i="1"/>
  <c r="K106" i="1" s="1"/>
  <c r="I107" i="1"/>
  <c r="K107" i="1" s="1"/>
  <c r="I51" i="1"/>
  <c r="K51" i="1" s="1"/>
  <c r="I52" i="1"/>
  <c r="K52" i="1" s="1"/>
  <c r="I53" i="1"/>
  <c r="K53" i="1" s="1"/>
  <c r="I61" i="1"/>
  <c r="K61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K90" i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8" i="1"/>
  <c r="K8" i="1" s="1"/>
  <c r="I58" i="1"/>
  <c r="K58" i="1" s="1"/>
  <c r="I22" i="1"/>
  <c r="K22" i="1" s="1"/>
  <c r="I12" i="1"/>
  <c r="K12" i="1" s="1"/>
  <c r="I75" i="1"/>
  <c r="K75" i="1" s="1"/>
  <c r="I65" i="1"/>
  <c r="K65" i="1" s="1"/>
  <c r="I21" i="1"/>
  <c r="K21" i="1" s="1"/>
  <c r="I57" i="1"/>
  <c r="K57" i="1" s="1"/>
  <c r="I9" i="1"/>
  <c r="K9" i="1" s="1"/>
  <c r="I10" i="1"/>
  <c r="K10" i="1" s="1"/>
  <c r="I11" i="1"/>
  <c r="K11" i="1" s="1"/>
  <c r="I4" i="1"/>
  <c r="K4" i="1" s="1"/>
  <c r="I40" i="1"/>
  <c r="K40" i="1" s="1"/>
  <c r="K59" i="1"/>
  <c r="K60" i="1"/>
  <c r="K50" i="1"/>
  <c r="K2" i="1"/>
  <c r="K3" i="1"/>
  <c r="I17" i="1"/>
  <c r="K17" i="1" s="1"/>
  <c r="I18" i="1"/>
  <c r="K18" i="1" s="1"/>
  <c r="I19" i="1"/>
  <c r="K19" i="1" s="1"/>
  <c r="I20" i="1"/>
  <c r="K20" i="1" s="1"/>
  <c r="I77" i="1"/>
  <c r="K77" i="1" s="1"/>
  <c r="I78" i="1"/>
  <c r="K78" i="1" s="1"/>
  <c r="I79" i="1"/>
  <c r="K79" i="1" s="1"/>
  <c r="I80" i="1"/>
  <c r="K80" i="1" s="1"/>
  <c r="I81" i="1"/>
  <c r="K81" i="1" s="1"/>
  <c r="I38" i="1"/>
  <c r="K38" i="1" s="1"/>
  <c r="I39" i="1"/>
  <c r="K39" i="1" s="1"/>
  <c r="I62" i="1"/>
  <c r="K62" i="1" s="1"/>
  <c r="I63" i="1"/>
  <c r="K63" i="1" s="1"/>
  <c r="I64" i="1"/>
  <c r="K64" i="1" s="1"/>
  <c r="I35" i="1"/>
  <c r="K35" i="1" s="1"/>
  <c r="I28" i="1"/>
  <c r="K28" i="1" s="1"/>
  <c r="I29" i="1"/>
  <c r="K29" i="1" s="1"/>
  <c r="I30" i="1"/>
  <c r="K30" i="1" s="1"/>
  <c r="I31" i="1"/>
  <c r="K31" i="1" s="1"/>
  <c r="I32" i="1"/>
  <c r="K32" i="1" s="1"/>
  <c r="I5" i="1"/>
  <c r="K5" i="1" s="1"/>
  <c r="I13" i="1"/>
  <c r="K13" i="1" s="1"/>
  <c r="I14" i="1"/>
  <c r="K14" i="1" s="1"/>
  <c r="I15" i="1"/>
  <c r="K15" i="1" s="1"/>
  <c r="I16" i="1"/>
  <c r="K16" i="1" s="1"/>
  <c r="I54" i="1"/>
  <c r="K54" i="1" s="1"/>
  <c r="I55" i="1"/>
  <c r="K55" i="1" s="1"/>
  <c r="I48" i="1"/>
  <c r="K48" i="1" s="1"/>
  <c r="I56" i="1"/>
  <c r="K56" i="1" s="1"/>
  <c r="I6" i="1"/>
  <c r="K6" i="1" s="1"/>
  <c r="I7" i="1"/>
  <c r="K7" i="1" s="1"/>
  <c r="I76" i="1"/>
  <c r="K76" i="1" s="1"/>
  <c r="I37" i="1"/>
  <c r="K37" i="1" s="1"/>
  <c r="K397" i="1" l="1"/>
  <c r="I237" i="1"/>
  <c r="K237" i="1" s="1"/>
  <c r="K156" i="3"/>
  <c r="K4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</author>
  </authors>
  <commentList>
    <comment ref="E3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L o I ??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</author>
  </authors>
  <commentList>
    <comment ref="E6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07235464-D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Mary</author>
  </authors>
  <commentList>
    <comment ref="B5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Mary:</t>
        </r>
        <r>
          <rPr>
            <sz val="9"/>
            <color indexed="81"/>
            <rFont val="Tahoma"/>
            <family val="2"/>
          </rPr>
          <t xml:space="preserve">
FECHA REAL 26/6/2014
3</t>
        </r>
      </text>
    </comment>
    <comment ref="K12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Mary:</t>
        </r>
        <r>
          <rPr>
            <sz val="9"/>
            <color indexed="81"/>
            <rFont val="Tahoma"/>
            <family val="2"/>
          </rPr>
          <t xml:space="preserve">
en febrero 2015 veo que se me ha olvidado y almudena me dice en email 11/2/2015
María, lo  declaramos, intentaremos cambiarlo por una persona física, con un importe lo más parecido
Un saludo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Mary</author>
  </authors>
  <commentList>
    <comment ref="B6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Mary:</t>
        </r>
        <r>
          <rPr>
            <sz val="9"/>
            <color indexed="81"/>
            <rFont val="Tahoma"/>
            <family val="2"/>
          </rPr>
          <t xml:space="preserve">
26/6/2013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María</author>
    <author>Mary</author>
  </authors>
  <commentList>
    <comment ref="C2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María:</t>
        </r>
        <r>
          <rPr>
            <sz val="9"/>
            <color indexed="81"/>
            <rFont val="Tahoma"/>
            <family val="2"/>
          </rPr>
          <t xml:space="preserve">
AM-277</t>
        </r>
      </text>
    </comment>
    <comment ref="E13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María:</t>
        </r>
        <r>
          <rPr>
            <sz val="9"/>
            <color indexed="81"/>
            <rFont val="Tahoma"/>
            <family val="2"/>
          </rPr>
          <t xml:space="preserve">
 B39699780</t>
        </r>
      </text>
    </comment>
    <comment ref="E140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María:</t>
        </r>
        <r>
          <rPr>
            <sz val="9"/>
            <color indexed="81"/>
            <rFont val="Tahoma"/>
            <family val="2"/>
          </rPr>
          <t xml:space="preserve">
 B39699780</t>
        </r>
      </text>
    </comment>
    <comment ref="G152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María:</t>
        </r>
        <r>
          <rPr>
            <sz val="9"/>
            <color indexed="81"/>
            <rFont val="Tahoma"/>
            <family val="2"/>
          </rPr>
          <t xml:space="preserve">
este coche originariamente se compra a ge capital, luego se vende a angel rodriguez y luego se compra otra vez a angel rodriguez
</t>
        </r>
      </text>
    </comment>
    <comment ref="G159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María:</t>
        </r>
        <r>
          <rPr>
            <sz val="9"/>
            <color indexed="81"/>
            <rFont val="Tahoma"/>
            <family val="2"/>
          </rPr>
          <t xml:space="preserve">
este coche originariamente se compra a ge capital, luego se vende a angel rodriguez y luego se compra otra vez a angel rodriguez
</t>
        </r>
      </text>
    </comment>
    <comment ref="C250" authorId="1" shapeId="0" xr:uid="{00000000-0006-0000-0800-000006000000}">
      <text>
        <r>
          <rPr>
            <b/>
            <sz val="9"/>
            <color indexed="81"/>
            <rFont val="Tahoma"/>
            <family val="2"/>
          </rPr>
          <t>Mary:</t>
        </r>
        <r>
          <rPr>
            <sz val="9"/>
            <color indexed="81"/>
            <rFont val="Tahoma"/>
            <family val="2"/>
          </rPr>
          <t xml:space="preserve">
la reclamo 19/2/13 por email</t>
        </r>
      </text>
    </comment>
    <comment ref="E252" authorId="1" shapeId="0" xr:uid="{00000000-0006-0000-0800-000007000000}">
      <text>
        <r>
          <rPr>
            <b/>
            <sz val="9"/>
            <color indexed="81"/>
            <rFont val="Tahoma"/>
            <family val="2"/>
          </rPr>
          <t>Mary:</t>
        </r>
        <r>
          <rPr>
            <sz val="9"/>
            <color indexed="81"/>
            <rFont val="Tahoma"/>
            <family val="2"/>
          </rPr>
          <t xml:space="preserve">
insuricare slne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María</author>
  </authors>
  <commentList>
    <comment ref="D4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María:</t>
        </r>
        <r>
          <rPr>
            <sz val="9"/>
            <color indexed="81"/>
            <rFont val="Tahoma"/>
            <family val="2"/>
          </rPr>
          <t xml:space="preserve">
ANTES A NOMBRE DE 
Mª Antonia Hernandez Macias</t>
        </r>
      </text>
    </comment>
    <comment ref="E43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María:</t>
        </r>
        <r>
          <rPr>
            <sz val="9"/>
            <color indexed="81"/>
            <rFont val="Tahoma"/>
            <family val="2"/>
          </rPr>
          <t xml:space="preserve">
mandarselo a almudena
SE ANULA PASA A NW-008 SOLTEVEA RENOVABLES07487828-V</t>
        </r>
      </text>
    </comment>
    <comment ref="C45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María:</t>
        </r>
        <r>
          <rPr>
            <sz val="9"/>
            <color indexed="81"/>
            <rFont val="Tahoma"/>
            <family val="2"/>
          </rPr>
          <t xml:space="preserve">
AM-162</t>
        </r>
      </text>
    </comment>
    <comment ref="E93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María:</t>
        </r>
        <r>
          <rPr>
            <sz val="9"/>
            <color indexed="81"/>
            <rFont val="Tahoma"/>
            <family val="2"/>
          </rPr>
          <t xml:space="preserve">
EMAIL JAVI 12/4/2011pasaporte KT779201</t>
        </r>
      </text>
    </comment>
    <comment ref="E97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María:</t>
        </r>
        <r>
          <rPr>
            <sz val="9"/>
            <color indexed="81"/>
            <rFont val="Tahoma"/>
            <family val="2"/>
          </rPr>
          <t xml:space="preserve">
email 25-12 almudena le digo que el coche se vence a agustin arce pi
</t>
        </r>
      </text>
    </comment>
    <comment ref="C127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María:</t>
        </r>
        <r>
          <rPr>
            <sz val="9"/>
            <color indexed="81"/>
            <rFont val="Tahoma"/>
            <family val="2"/>
          </rPr>
          <t xml:space="preserve">
AM-186</t>
        </r>
      </text>
    </comment>
    <comment ref="C152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María:</t>
        </r>
        <r>
          <rPr>
            <sz val="9"/>
            <color indexed="81"/>
            <rFont val="Tahoma"/>
            <family val="2"/>
          </rPr>
          <t xml:space="preserve">
tambien AM-204</t>
        </r>
      </text>
    </comment>
    <comment ref="P152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María:</t>
        </r>
        <r>
          <rPr>
            <sz val="9"/>
            <color indexed="81"/>
            <rFont val="Tahoma"/>
            <family val="2"/>
          </rPr>
          <t xml:space="preserve">
pasado en segundo sin importe
</t>
        </r>
      </text>
    </comment>
    <comment ref="C198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María:</t>
        </r>
        <r>
          <rPr>
            <sz val="9"/>
            <color indexed="81"/>
            <rFont val="Tahoma"/>
            <family val="2"/>
          </rPr>
          <t xml:space="preserve">
tmbien am-202
</t>
        </r>
      </text>
    </comment>
    <comment ref="C242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María:</t>
        </r>
        <r>
          <rPr>
            <sz val="9"/>
            <color indexed="81"/>
            <rFont val="Tahoma"/>
            <family val="2"/>
          </rPr>
          <t xml:space="preserve">
am-241</t>
        </r>
      </text>
    </comment>
    <comment ref="E307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María:</t>
        </r>
        <r>
          <rPr>
            <sz val="9"/>
            <color indexed="81"/>
            <rFont val="Tahoma"/>
            <family val="2"/>
          </rPr>
          <t xml:space="preserve">
57044750-k
en cada factura pone un dni distinto
</t>
        </r>
      </text>
    </comment>
    <comment ref="C308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María:</t>
        </r>
        <r>
          <rPr>
            <sz val="9"/>
            <color indexed="81"/>
            <rFont val="Tahoma"/>
            <family val="2"/>
          </rPr>
          <t xml:space="preserve">
am-252</t>
        </r>
      </text>
    </comment>
    <comment ref="L310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María:</t>
        </r>
        <r>
          <rPr>
            <sz val="9"/>
            <color indexed="81"/>
            <rFont val="Tahoma"/>
            <family val="2"/>
          </rPr>
          <t xml:space="preserve">
25/12/11 esperando a que adan me lo de</t>
        </r>
      </text>
    </comment>
    <comment ref="L340" authorId="0" shapeId="0" xr:uid="{00000000-0006-0000-0900-00000E000000}">
      <text>
        <r>
          <rPr>
            <b/>
            <sz val="9"/>
            <color indexed="81"/>
            <rFont val="Tahoma"/>
            <family val="2"/>
          </rPr>
          <t>María:</t>
        </r>
        <r>
          <rPr>
            <sz val="9"/>
            <color indexed="81"/>
            <rFont val="Tahoma"/>
            <family val="2"/>
          </rPr>
          <t xml:space="preserve">
25/12/11
esperando a que llegue la factura de ge capital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</author>
  </authors>
  <commentList>
    <comment ref="H26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julio2010 adan me dice que la haga por la mital</t>
        </r>
      </text>
    </comment>
    <comment ref="G33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0391-DNX antigua matricula estaba mal, la rectifico a la buena que es 0390-DNX el 21-08-10</t>
        </r>
      </text>
    </comment>
    <comment ref="H8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maria:
julio2010 adan me dice que la haga por la mital</t>
        </r>
      </text>
    </comment>
    <comment ref="G119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7273-fjs??</t>
        </r>
      </text>
    </comment>
    <comment ref="H161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es con rebu, recitifado julio 2010
</t>
        </r>
      </text>
    </comment>
    <comment ref="H175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adan me dice en julio 2010 que haga la factura a la mitad</t>
        </r>
      </text>
    </comment>
    <comment ref="H181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maria:
es con rebu, recitifado julio 2010</t>
        </r>
      </text>
    </comment>
    <comment ref="H183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maria:
es con rebu, recitifado julio 2010</t>
        </r>
      </text>
    </comment>
    <comment ref="H190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adan me dice en julio 2010 que haga la factura a la mitad</t>
        </r>
      </text>
    </comment>
    <comment ref="D203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Taller Mecanico Hermanos Cabanillas, C.B.
se cambia
EXCAVACIONES LEAL, S.L.B-14068894</t>
        </r>
      </text>
    </comment>
    <comment ref="E203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1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15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la factura de juan mayo se anula nw-044</t>
        </r>
      </text>
    </comment>
    <comment ref="C318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AM-105</t>
        </r>
      </text>
    </comment>
    <comment ref="G345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comprado en 2009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</author>
    <author>Mary</author>
  </authors>
  <commentList>
    <comment ref="B7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17/6/9
</t>
        </r>
      </text>
    </comment>
    <comment ref="B73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17/6/9
</t>
        </r>
      </text>
    </comment>
    <comment ref="B74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17/6/9
</t>
        </r>
      </text>
    </comment>
    <comment ref="B101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1/06/2009
</t>
        </r>
      </text>
    </comment>
    <comment ref="B105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25/6/9</t>
        </r>
      </text>
    </comment>
    <comment ref="B106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25/6/9</t>
        </r>
      </text>
    </comment>
    <comment ref="B107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8/6/9</t>
        </r>
      </text>
    </comment>
    <comment ref="B108" authorId="0" shapeId="0" xr:uid="{00000000-0006-0000-0B00-000008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8/6/9</t>
        </r>
      </text>
    </comment>
    <comment ref="C123" authorId="0" shapeId="0" xr:uid="{00000000-0006-0000-0B00-000009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ANULARLA, ES DE AUTO</t>
        </r>
      </text>
    </comment>
    <comment ref="G123" authorId="0" shapeId="0" xr:uid="{00000000-0006-0000-0B00-00000A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ESTABA MAL PUESTA LA MATRICULA ADEMAS DE ES DE AUTO: 8706-DCP</t>
        </r>
      </text>
    </comment>
    <comment ref="C129" authorId="0" shapeId="0" xr:uid="{00000000-0006-0000-0B00-00000B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LA RECTIFICO 31/12/09 PORQUE ESTABA MAL EL IMPORTE
</t>
        </r>
      </text>
    </comment>
    <comment ref="C179" authorId="1" shapeId="0" xr:uid="{00000000-0006-0000-0B00-00000C000000}">
      <text>
        <r>
          <rPr>
            <b/>
            <sz val="8"/>
            <color indexed="81"/>
            <rFont val="Tahoma"/>
            <family val="2"/>
          </rPr>
          <t>Mary:</t>
        </r>
        <r>
          <rPr>
            <sz val="8"/>
            <color indexed="81"/>
            <rFont val="Tahoma"/>
            <family val="2"/>
          </rPr>
          <t xml:space="preserve">
LE HABIA PUEST NW078 Y ESTABA DUPLICAD
</t>
        </r>
      </text>
    </comment>
    <comment ref="C184" authorId="0" shapeId="0" xr:uid="{00000000-0006-0000-0B00-00000D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pasa a auto</t>
        </r>
      </text>
    </comment>
    <comment ref="D201" authorId="0" shapeId="0" xr:uid="{00000000-0006-0000-0B00-00000E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ANTES Jose Andres Pardo Hernandez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</author>
  </authors>
  <commentList>
    <comment ref="H3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julio2010 adan me dice que la haga por la mital</t>
        </r>
      </text>
    </comment>
    <comment ref="H4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maria:
julio2010 adan me dice que la haga por la mital</t>
        </r>
      </text>
    </comment>
    <comment ref="H9" authorId="0" shapeId="0" xr:uid="{00000000-0006-0000-0D00-000003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adan me dice en julio 2010 que haga la factura a la mitad</t>
        </r>
      </text>
    </comment>
    <comment ref="H10" authorId="0" shapeId="0" xr:uid="{00000000-0006-0000-0D00-000004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adan me dice en julio 2010 que haga la factura a la mitad</t>
        </r>
      </text>
    </comment>
    <comment ref="H11" authorId="0" shapeId="0" xr:uid="{00000000-0006-0000-0D00-000005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 xr:uid="{00000000-0006-0000-0D00-000006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es con rebu, recitifado julio 2010
</t>
        </r>
      </text>
    </comment>
    <comment ref="H16" authorId="0" shapeId="0" xr:uid="{00000000-0006-0000-0D00-000007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maria:
es con rebu, recitifado julio 2010</t>
        </r>
      </text>
    </comment>
    <comment ref="H17" authorId="0" shapeId="0" xr:uid="{00000000-0006-0000-0D00-000008000000}">
      <text>
        <r>
          <rPr>
            <b/>
            <sz val="9"/>
            <color indexed="81"/>
            <rFont val="Tahoma"/>
            <family val="2"/>
          </rPr>
          <t>maria:</t>
        </r>
        <r>
          <rPr>
            <sz val="9"/>
            <color indexed="81"/>
            <rFont val="Tahoma"/>
            <family val="2"/>
          </rPr>
          <t xml:space="preserve">
maria:
es con rebu, recitifado julio 2010</t>
        </r>
      </text>
    </comment>
  </commentList>
</comments>
</file>

<file path=xl/sharedStrings.xml><?xml version="1.0" encoding="utf-8"?>
<sst xmlns="http://schemas.openxmlformats.org/spreadsheetml/2006/main" count="25333" uniqueCount="7447">
  <si>
    <t>ALTA</t>
  </si>
  <si>
    <t>FECHA</t>
  </si>
  <si>
    <t>FACTURA</t>
  </si>
  <si>
    <t>PROVEEDOR-CLIENTE</t>
  </si>
  <si>
    <t>CIF-DNI</t>
  </si>
  <si>
    <t>MODELO</t>
  </si>
  <si>
    <t>MATRICULA</t>
  </si>
  <si>
    <t>BASE</t>
  </si>
  <si>
    <t>IVA</t>
  </si>
  <si>
    <t>TOTAL</t>
  </si>
  <si>
    <t>F.Pag-Cobro</t>
  </si>
  <si>
    <t>OBSERVACION</t>
  </si>
  <si>
    <t>COMPRA</t>
  </si>
  <si>
    <t>A79448965</t>
  </si>
  <si>
    <t>Mapfre Renting de Vehículos, S.A.</t>
  </si>
  <si>
    <t>REICOMSA, S.A.</t>
  </si>
  <si>
    <t>A78392149</t>
  </si>
  <si>
    <t>ARVAL SERVICE LEASE, S.A.</t>
  </si>
  <si>
    <t>A81573479</t>
  </si>
  <si>
    <t>COMERCIAL MERCEDES BENZ, S.A.</t>
  </si>
  <si>
    <t>A01003227</t>
  </si>
  <si>
    <t>REBU</t>
  </si>
  <si>
    <t>EXENTO-Retención</t>
  </si>
  <si>
    <t>LEASE PLAN SERVICIOS, S.A.</t>
  </si>
  <si>
    <t>A78007473</t>
  </si>
  <si>
    <t>GE CAPITAL LARGO PLAZO, S.L.</t>
  </si>
  <si>
    <t>B78633559</t>
  </si>
  <si>
    <t>MATRICULA-FACTORING</t>
  </si>
  <si>
    <t>Hassen Motor, .SL.</t>
  </si>
  <si>
    <t>B83781963</t>
  </si>
  <si>
    <t>ENVIO</t>
  </si>
  <si>
    <t>metalico</t>
  </si>
  <si>
    <t>opel corsa</t>
  </si>
  <si>
    <t>7277-dvg</t>
  </si>
  <si>
    <t>IVA 16%</t>
  </si>
  <si>
    <t>nissan primastar</t>
  </si>
  <si>
    <t>4743-drp</t>
  </si>
  <si>
    <t>ford transit connect</t>
  </si>
  <si>
    <t>4661-dsp</t>
  </si>
  <si>
    <t>citroen c3</t>
  </si>
  <si>
    <t>4071-fks</t>
  </si>
  <si>
    <t>5056-fks</t>
  </si>
  <si>
    <t>8727-dtp</t>
  </si>
  <si>
    <t>ABONO</t>
  </si>
  <si>
    <t>citroen c2</t>
  </si>
  <si>
    <t>4474-fhl(abono)</t>
  </si>
  <si>
    <t xml:space="preserve">4474-fhl </t>
  </si>
  <si>
    <t>peugeot 206</t>
  </si>
  <si>
    <t>5824-dty</t>
  </si>
  <si>
    <t>citroen berlingo</t>
  </si>
  <si>
    <t>8181-ddz</t>
  </si>
  <si>
    <t>volkswagen golf</t>
  </si>
  <si>
    <t>6971-ddl</t>
  </si>
  <si>
    <t>renault kangoo</t>
  </si>
  <si>
    <t>0655-fjf</t>
  </si>
  <si>
    <t>var00001</t>
  </si>
  <si>
    <t>citroen c15</t>
  </si>
  <si>
    <t>0764-dmc</t>
  </si>
  <si>
    <t>8193-ddz</t>
  </si>
  <si>
    <t>renault clio</t>
  </si>
  <si>
    <t>8162-ddz</t>
  </si>
  <si>
    <t>citroen jumper</t>
  </si>
  <si>
    <t>1079-dtg</t>
  </si>
  <si>
    <t>renault trafic furgon</t>
  </si>
  <si>
    <t>7125-dsr</t>
  </si>
  <si>
    <t>opel combo</t>
  </si>
  <si>
    <t>6697-dtd</t>
  </si>
  <si>
    <t>6497-fjs</t>
  </si>
  <si>
    <t>5618-dvd</t>
  </si>
  <si>
    <t>1229-dvs</t>
  </si>
  <si>
    <t>ford focus</t>
  </si>
  <si>
    <t>9999-djs</t>
  </si>
  <si>
    <t>citroen jumper furgon</t>
  </si>
  <si>
    <t>4619-dsp</t>
  </si>
  <si>
    <t>1849-dvj</t>
  </si>
  <si>
    <t>2608-dvy</t>
  </si>
  <si>
    <t>7434-flm</t>
  </si>
  <si>
    <t>4147-fks</t>
  </si>
  <si>
    <t>ford fiesta van</t>
  </si>
  <si>
    <t>2592-dwg</t>
  </si>
  <si>
    <t>3477-dwg</t>
  </si>
  <si>
    <t>citroen c5</t>
  </si>
  <si>
    <t>8643-bpv</t>
  </si>
  <si>
    <t>Forma Pago</t>
  </si>
  <si>
    <t>Banco</t>
  </si>
  <si>
    <t>Fecha Pago</t>
  </si>
  <si>
    <t>Fecha Real</t>
  </si>
  <si>
    <t>mercedes benz 300e</t>
  </si>
  <si>
    <t>mercedes benz 230e</t>
  </si>
  <si>
    <t>renault kangoo combi</t>
  </si>
  <si>
    <t>4802-bxz</t>
  </si>
  <si>
    <t>8211-dht</t>
  </si>
  <si>
    <t>1016-dpv</t>
  </si>
  <si>
    <t>us/6036582</t>
  </si>
  <si>
    <t>3cochesen1fra</t>
  </si>
  <si>
    <t>peugeot 207</t>
  </si>
  <si>
    <t>ford transit furgon</t>
  </si>
  <si>
    <t>6976-dgn</t>
  </si>
  <si>
    <t>2261-drm</t>
  </si>
  <si>
    <t>5604-dwf</t>
  </si>
  <si>
    <t>FVO109 178</t>
  </si>
  <si>
    <t>Majauto, S.A.</t>
  </si>
  <si>
    <t>A28591410</t>
  </si>
  <si>
    <t>5292-dts</t>
  </si>
  <si>
    <t>011ce/10</t>
  </si>
  <si>
    <t>Centromoviles Badajoz SLU</t>
  </si>
  <si>
    <t>B06355291</t>
  </si>
  <si>
    <t>mini one</t>
  </si>
  <si>
    <t>6657-frv</t>
  </si>
  <si>
    <t>AGRO GIL, S.A.</t>
  </si>
  <si>
    <t>A28715316</t>
  </si>
  <si>
    <t>seat ibiza</t>
  </si>
  <si>
    <t>hyundai getz</t>
  </si>
  <si>
    <t>2cochesen1fra</t>
  </si>
  <si>
    <t>40011847</t>
  </si>
  <si>
    <t>A60028776</t>
  </si>
  <si>
    <t>7136-fsw</t>
  </si>
  <si>
    <t>us/6036633</t>
  </si>
  <si>
    <t>fiat ducato</t>
  </si>
  <si>
    <t>7145-cyc</t>
  </si>
  <si>
    <t>us/6037084</t>
  </si>
  <si>
    <t>3518-dtd</t>
  </si>
  <si>
    <t>3638-fjt</t>
  </si>
  <si>
    <t>us/6036634</t>
  </si>
  <si>
    <t>7148-cyc</t>
  </si>
  <si>
    <t>5989-fjd</t>
  </si>
  <si>
    <t>venta</t>
  </si>
  <si>
    <t>NW-001</t>
  </si>
  <si>
    <t>NW-002</t>
  </si>
  <si>
    <t>NW-003</t>
  </si>
  <si>
    <t>NW-004</t>
  </si>
  <si>
    <t>NW-005</t>
  </si>
  <si>
    <t>NW-006</t>
  </si>
  <si>
    <t>NW-007</t>
  </si>
  <si>
    <t>NW-008</t>
  </si>
  <si>
    <t>NW-009</t>
  </si>
  <si>
    <t>NW-010</t>
  </si>
  <si>
    <t>NW-011</t>
  </si>
  <si>
    <t>NW-012</t>
  </si>
  <si>
    <t>NW-013</t>
  </si>
  <si>
    <t>NW-014</t>
  </si>
  <si>
    <t>NW-015</t>
  </si>
  <si>
    <t>NW-016</t>
  </si>
  <si>
    <t>NW-017</t>
  </si>
  <si>
    <t>NW-018</t>
  </si>
  <si>
    <t>NW-019</t>
  </si>
  <si>
    <t>NW-020</t>
  </si>
  <si>
    <t>NW-021</t>
  </si>
  <si>
    <t>NW-022</t>
  </si>
  <si>
    <t>NW-023</t>
  </si>
  <si>
    <t>NW-024</t>
  </si>
  <si>
    <t>NW-025</t>
  </si>
  <si>
    <t>NW-026</t>
  </si>
  <si>
    <t>NW-027</t>
  </si>
  <si>
    <t>NW-028</t>
  </si>
  <si>
    <t>NW-029</t>
  </si>
  <si>
    <t>NW-030</t>
  </si>
  <si>
    <t>NW-031</t>
  </si>
  <si>
    <t>NW-032</t>
  </si>
  <si>
    <t>NW-033</t>
  </si>
  <si>
    <t>NW-034</t>
  </si>
  <si>
    <t>NW-035</t>
  </si>
  <si>
    <t>NW-036</t>
  </si>
  <si>
    <t>NW-037</t>
  </si>
  <si>
    <t>NW-038</t>
  </si>
  <si>
    <t>NW-039</t>
  </si>
  <si>
    <t>NW-040</t>
  </si>
  <si>
    <t>NW-041</t>
  </si>
  <si>
    <t>NW-042</t>
  </si>
  <si>
    <t>NW-043</t>
  </si>
  <si>
    <t>NW-044</t>
  </si>
  <si>
    <t>NW-045</t>
  </si>
  <si>
    <t>NW-046</t>
  </si>
  <si>
    <t>NW-047</t>
  </si>
  <si>
    <t>NW-048</t>
  </si>
  <si>
    <t>NW-049</t>
  </si>
  <si>
    <t>NW-050</t>
  </si>
  <si>
    <t>NW-051</t>
  </si>
  <si>
    <t>Servigestión Núñez Martínez, S.L.</t>
  </si>
  <si>
    <t>B-85511087</t>
  </si>
  <si>
    <t>Servicios prestados mes enero 2010</t>
  </si>
  <si>
    <t>Otilia Iglesias Méndez</t>
  </si>
  <si>
    <t>78780401-L</t>
  </si>
  <si>
    <t>Ford Transit</t>
  </si>
  <si>
    <t xml:space="preserve">0079-FGV    </t>
  </si>
  <si>
    <t>Sicher ocio y diversión, S.L.</t>
  </si>
  <si>
    <t>B81137721</t>
  </si>
  <si>
    <t>Ford Transit Connect</t>
  </si>
  <si>
    <t>NW-003B</t>
  </si>
  <si>
    <t>Juan Antonio Merino Calle</t>
  </si>
  <si>
    <t>08688067-R</t>
  </si>
  <si>
    <t>Ford Tourneo</t>
  </si>
  <si>
    <t xml:space="preserve">8890-FHP    </t>
  </si>
  <si>
    <t>1092-DRR</t>
  </si>
  <si>
    <t>NW-004B</t>
  </si>
  <si>
    <t>Luis Gregorio asensio García</t>
  </si>
  <si>
    <t>17160342-L</t>
  </si>
  <si>
    <t>Fiat Doblo</t>
  </si>
  <si>
    <t xml:space="preserve">9345-DXJ      </t>
  </si>
  <si>
    <t>Imaginate la luna , S.L.</t>
  </si>
  <si>
    <t>B-84550813</t>
  </si>
  <si>
    <t>Renault Kangoo</t>
  </si>
  <si>
    <t xml:space="preserve">7390-DML </t>
  </si>
  <si>
    <t>NW-005B</t>
  </si>
  <si>
    <t>Touria Rahmaoui Ep El kati</t>
  </si>
  <si>
    <t>X3673439-V</t>
  </si>
  <si>
    <t>Ford Mondeo</t>
  </si>
  <si>
    <t xml:space="preserve">6995-DMS      </t>
  </si>
  <si>
    <t>Humberto Jorge Caetano Da Silva</t>
  </si>
  <si>
    <t>X-8611036-C</t>
  </si>
  <si>
    <t>Renault Clio</t>
  </si>
  <si>
    <t xml:space="preserve">8457-DKH       </t>
  </si>
  <si>
    <t>MIGUEL ANGEL REAL NUÑEZ</t>
  </si>
  <si>
    <t>04202229-Z</t>
  </si>
  <si>
    <t>Ford Focus</t>
  </si>
  <si>
    <t xml:space="preserve">7746-FFZ        </t>
  </si>
  <si>
    <t>JAVIER GONZALEZ DE ANDRES</t>
  </si>
  <si>
    <t>52080412-V</t>
  </si>
  <si>
    <t>Peugeot 206</t>
  </si>
  <si>
    <t xml:space="preserve">6241-DPV          </t>
  </si>
  <si>
    <t>FERNANDO SANZ CARREÑO</t>
  </si>
  <si>
    <t>01098832-F</t>
  </si>
  <si>
    <t xml:space="preserve">4843-DRH             </t>
  </si>
  <si>
    <t>SEVERINA RUIZ GONZALEZ</t>
  </si>
  <si>
    <t xml:space="preserve">1271-DCY               </t>
  </si>
  <si>
    <t>NEW TECHNOLOGY GLOBAL SYSTEMS, S.L.</t>
  </si>
  <si>
    <t xml:space="preserve">7114-DSR                   </t>
  </si>
  <si>
    <t xml:space="preserve">4675-DLR                       </t>
  </si>
  <si>
    <t>CENTROMOVILES BADAJOZ, S.L.U.</t>
  </si>
  <si>
    <t>B-06355291</t>
  </si>
  <si>
    <t>Ford Fiesta</t>
  </si>
  <si>
    <t>1506-DLC</t>
  </si>
  <si>
    <t>ACCION 7, S.L.</t>
  </si>
  <si>
    <t>B84920321</t>
  </si>
  <si>
    <t xml:space="preserve">Ford Transit Connect </t>
  </si>
  <si>
    <t>0077-FGV</t>
  </si>
  <si>
    <t>AGROPECUARIAS GONZALEZ ORDOÑEZ, S.L.</t>
  </si>
  <si>
    <t>B13486840</t>
  </si>
  <si>
    <t xml:space="preserve">9315-DPH      </t>
  </si>
  <si>
    <t>Citroen Berlingo</t>
  </si>
  <si>
    <t xml:space="preserve">6509-DNJ        </t>
  </si>
  <si>
    <t>IDOSA HOSTELERIA, S.L.</t>
  </si>
  <si>
    <t>B83155473</t>
  </si>
  <si>
    <t>0269-DSD</t>
  </si>
  <si>
    <t>Tadeusz Rokosz</t>
  </si>
  <si>
    <t>X1720411B</t>
  </si>
  <si>
    <t>Seat Ibiza</t>
  </si>
  <si>
    <t>8734-DSG</t>
  </si>
  <si>
    <t>MARIA REVILLA BARCENAS</t>
  </si>
  <si>
    <t>01225759-C</t>
  </si>
  <si>
    <t xml:space="preserve">8357-DYL    </t>
  </si>
  <si>
    <t>LEONARDO DAMIAN SANDOVAL</t>
  </si>
  <si>
    <t>X6992924G</t>
  </si>
  <si>
    <t xml:space="preserve">6743-DCS     </t>
  </si>
  <si>
    <t>TALLERES ALVAREZ AGUDO, S.L.</t>
  </si>
  <si>
    <t>B-06400931</t>
  </si>
  <si>
    <t>Citroen C3</t>
  </si>
  <si>
    <t xml:space="preserve">9012-DMZ      </t>
  </si>
  <si>
    <t>MANUEL  MURILLO BENITEZ</t>
  </si>
  <si>
    <t>08948532-Z</t>
  </si>
  <si>
    <t xml:space="preserve">1554-CZG      </t>
  </si>
  <si>
    <t>KRAAL TURISMO RURAL Y MEDIOAMBIENTE, S.L.</t>
  </si>
  <si>
    <t>B-80942471</t>
  </si>
  <si>
    <t xml:space="preserve">7130-DSR        </t>
  </si>
  <si>
    <t>GHEORGHE LUPU</t>
  </si>
  <si>
    <t>X-6592125-A</t>
  </si>
  <si>
    <t>Ford Courier</t>
  </si>
  <si>
    <t>ALFONSO MOSCOSO NAPURI</t>
  </si>
  <si>
    <t>X-9504308-M</t>
  </si>
  <si>
    <t>Renault Megane</t>
  </si>
  <si>
    <t xml:space="preserve">2052-FGT          </t>
  </si>
  <si>
    <t>JOSE MANUEL CARRILLO RIVERO</t>
  </si>
  <si>
    <t>53391746Y</t>
  </si>
  <si>
    <t xml:space="preserve">3425-DRV         </t>
  </si>
  <si>
    <t>Agrupacion de servicios Huelva, S.L.</t>
  </si>
  <si>
    <t>B-21299029</t>
  </si>
  <si>
    <t>Citroen Jumper</t>
  </si>
  <si>
    <t xml:space="preserve">1079-DTG            </t>
  </si>
  <si>
    <t>Banco Popular Español, S.A.</t>
  </si>
  <si>
    <t>A-28000727</t>
  </si>
  <si>
    <t xml:space="preserve">8727-DTP                 </t>
  </si>
  <si>
    <t xml:space="preserve">4661-DSP                 </t>
  </si>
  <si>
    <t>LUZYFER  ILUMINACION Y DISEÑO, S.L.</t>
  </si>
  <si>
    <t>B-85248037</t>
  </si>
  <si>
    <t>Fiat Ducato</t>
  </si>
  <si>
    <t xml:space="preserve">7148-CYC    </t>
  </si>
  <si>
    <t>ICONOLOGIA SERVICIOS Y LOGISTICA, S.L.</t>
  </si>
  <si>
    <t>B-70233432</t>
  </si>
  <si>
    <t xml:space="preserve">7977-DSL    </t>
  </si>
  <si>
    <t>JOSE DOMINGUEZ JARES</t>
  </si>
  <si>
    <t>76706058-T</t>
  </si>
  <si>
    <t>Renault clio</t>
  </si>
  <si>
    <t xml:space="preserve">8162-DDZ    </t>
  </si>
  <si>
    <t>COMERCIAL Y LOGISTICA SERRANO, S.A.</t>
  </si>
  <si>
    <t>A10194991</t>
  </si>
  <si>
    <t xml:space="preserve">2525-DLZ       </t>
  </si>
  <si>
    <t>JUAN MAYOR TORRES</t>
  </si>
  <si>
    <t>02846719-D</t>
  </si>
  <si>
    <t xml:space="preserve">8430-FJV        </t>
  </si>
  <si>
    <t>OSCAR DODERO CATALAN</t>
  </si>
  <si>
    <t>01177492-F</t>
  </si>
  <si>
    <t>Fiat Multipla</t>
  </si>
  <si>
    <t xml:space="preserve">3505-BVD           </t>
  </si>
  <si>
    <t>rebu</t>
  </si>
  <si>
    <t>ALFONSO BEPERET BUSTILLO</t>
  </si>
  <si>
    <t>18211432-D</t>
  </si>
  <si>
    <t xml:space="preserve">7125-DSR          </t>
  </si>
  <si>
    <t>ANGEL LOPEZ GARRIDO</t>
  </si>
  <si>
    <t>02504541-W</t>
  </si>
  <si>
    <t>Nissan Kubistar</t>
  </si>
  <si>
    <t xml:space="preserve">7411-DML           </t>
  </si>
  <si>
    <t>MARIA CARMEN ALVAREZ MORO</t>
  </si>
  <si>
    <t>05359241-B</t>
  </si>
  <si>
    <t>Peugeot 307</t>
  </si>
  <si>
    <t xml:space="preserve">6976-DGN             </t>
  </si>
  <si>
    <t>DAVID FERNANDEZ RABUZZI</t>
  </si>
  <si>
    <t>11808834-J</t>
  </si>
  <si>
    <t>Mini</t>
  </si>
  <si>
    <t xml:space="preserve">6657-FRV              </t>
  </si>
  <si>
    <t>MERELLO INGENIEROS, S.L.</t>
  </si>
  <si>
    <t>B-82850355</t>
  </si>
  <si>
    <t xml:space="preserve">4244-DGG             </t>
  </si>
  <si>
    <t>JUAN SIMON LAZARO ROLDAN</t>
  </si>
  <si>
    <t>44382383-L</t>
  </si>
  <si>
    <t xml:space="preserve">9162-DBS                </t>
  </si>
  <si>
    <t>Citroen C2</t>
  </si>
  <si>
    <t xml:space="preserve">4474-FHL                  </t>
  </si>
  <si>
    <t>MANUEL FRANCES VAZQUEZ</t>
  </si>
  <si>
    <t>00669310-X</t>
  </si>
  <si>
    <t xml:space="preserve">8035-DGV                    </t>
  </si>
  <si>
    <t>HAKAN FOOD ESPAÑA, S.L.</t>
  </si>
  <si>
    <t>B73586471</t>
  </si>
  <si>
    <t xml:space="preserve">4243-DGG                      </t>
  </si>
  <si>
    <t>RUSAN SERVICIO TECNICO, S.L.</t>
  </si>
  <si>
    <t>B-83540179</t>
  </si>
  <si>
    <t xml:space="preserve">Renault Clio </t>
  </si>
  <si>
    <t xml:space="preserve">9926-DRW                         </t>
  </si>
  <si>
    <t>JESUS ALBERTO MOLERO GARCIA</t>
  </si>
  <si>
    <t>04608083-X</t>
  </si>
  <si>
    <t xml:space="preserve">7703-FGX                          </t>
  </si>
  <si>
    <t>MANUEL JOSE PITA ROMERO GARCIA TREVIJANO</t>
  </si>
  <si>
    <t>05322379-H</t>
  </si>
  <si>
    <t xml:space="preserve">3518-DTD                              </t>
  </si>
  <si>
    <t>05022010</t>
  </si>
  <si>
    <t>ANDRYK MONYS</t>
  </si>
  <si>
    <t>X5585085-H</t>
  </si>
  <si>
    <t>PEUGEOT 206</t>
  </si>
  <si>
    <t>0971-DCR</t>
  </si>
  <si>
    <t>SEGUNDO</t>
  </si>
  <si>
    <t>NISSAN ALMERA</t>
  </si>
  <si>
    <t>7057-DNJ</t>
  </si>
  <si>
    <t>FORD MONDEO WAGON</t>
  </si>
  <si>
    <t>8035-DGV</t>
  </si>
  <si>
    <t>OPEL VECTRA</t>
  </si>
  <si>
    <t>0256-DDH</t>
  </si>
  <si>
    <t>CITROEN JUMPER</t>
  </si>
  <si>
    <t>4710-DFZ</t>
  </si>
  <si>
    <t>NISSAN PRIMASTAR COMBI</t>
  </si>
  <si>
    <t>1273-DCY</t>
  </si>
  <si>
    <t>2935-DHG</t>
  </si>
  <si>
    <t>CITROEN C15</t>
  </si>
  <si>
    <t>1786-DFN</t>
  </si>
  <si>
    <t>RENAULT LAGUNA</t>
  </si>
  <si>
    <t>8617-DHN</t>
  </si>
  <si>
    <t>1828-DHL</t>
  </si>
  <si>
    <t>4018-DGK</t>
  </si>
  <si>
    <t>FORD FT COMBI</t>
  </si>
  <si>
    <t>5232-FNL</t>
  </si>
  <si>
    <t>OPEL CORSA</t>
  </si>
  <si>
    <t>3929-DXL</t>
  </si>
  <si>
    <t>2335-DHS</t>
  </si>
  <si>
    <t>IVECO PEGASO DAILY CITY CAMION</t>
  </si>
  <si>
    <t>0783-DHT</t>
  </si>
  <si>
    <t>OPEL COMBO</t>
  </si>
  <si>
    <t>8256-FDS</t>
  </si>
  <si>
    <t>FORD FIESTA VAN</t>
  </si>
  <si>
    <t>4195-FKT</t>
  </si>
  <si>
    <t>RENAULT KANGOO</t>
  </si>
  <si>
    <t>5729-FBH</t>
  </si>
  <si>
    <t>NISSAN KUBISTAR</t>
  </si>
  <si>
    <t>0560-DHX</t>
  </si>
  <si>
    <t>SEAT IBIZA</t>
  </si>
  <si>
    <t>1330-GDV</t>
  </si>
  <si>
    <t>8043-GDT</t>
  </si>
  <si>
    <t>2026-CZD</t>
  </si>
  <si>
    <t>5401-DJL</t>
  </si>
  <si>
    <t>5661-DJL</t>
  </si>
  <si>
    <t>5408-DJL</t>
  </si>
  <si>
    <t>0873-DYK</t>
  </si>
  <si>
    <t>0959-DYK</t>
  </si>
  <si>
    <t>FORD FOCUS</t>
  </si>
  <si>
    <t>2954-DXL</t>
  </si>
  <si>
    <t>FORD FIESTA</t>
  </si>
  <si>
    <t>5626-FFS</t>
  </si>
  <si>
    <t>RENAULT TRAFIC</t>
  </si>
  <si>
    <t>9762-DLX</t>
  </si>
  <si>
    <t>NISSAN KUBISTAR FURGON</t>
  </si>
  <si>
    <t>9465-FMB</t>
  </si>
  <si>
    <t>6588-DWM</t>
  </si>
  <si>
    <t>0505-DJT</t>
  </si>
  <si>
    <t>RENAULT CLIO</t>
  </si>
  <si>
    <t>1528-DZB</t>
  </si>
  <si>
    <t>6653-DXF</t>
  </si>
  <si>
    <t>9440-DJM</t>
  </si>
  <si>
    <t>8215-DKC</t>
  </si>
  <si>
    <t>8457-DKH</t>
  </si>
  <si>
    <t>CITROEN BERLINGO</t>
  </si>
  <si>
    <t>0537-DJT</t>
  </si>
  <si>
    <t>VENTA</t>
  </si>
  <si>
    <t>Olesia Snurnitsyna</t>
  </si>
  <si>
    <t xml:space="preserve"> X-3616783-X </t>
  </si>
  <si>
    <t>Opel Vectra</t>
  </si>
  <si>
    <t xml:space="preserve">0256-DDH </t>
  </si>
  <si>
    <t>cheque 27/04/09</t>
  </si>
  <si>
    <t>Rubén Fernández Ruiz</t>
  </si>
  <si>
    <t>50118333-E</t>
  </si>
  <si>
    <t>Renault Laguna</t>
  </si>
  <si>
    <t>metalico  27/05/2009</t>
  </si>
  <si>
    <t>Accion 7, S.L.</t>
  </si>
  <si>
    <t>B-84920321</t>
  </si>
  <si>
    <t>Avelina San Miguel Gonzalez</t>
  </si>
  <si>
    <t>11721947-C</t>
  </si>
  <si>
    <t>Citroen C15</t>
  </si>
  <si>
    <t xml:space="preserve">5401-DJL    </t>
  </si>
  <si>
    <t>Diego González Lombardo</t>
  </si>
  <si>
    <t>47466115-A</t>
  </si>
  <si>
    <t xml:space="preserve">5232-FNL </t>
  </si>
  <si>
    <t>DEVOLUCION</t>
  </si>
  <si>
    <t>devol.tf.</t>
  </si>
  <si>
    <t>TERCERO</t>
  </si>
  <si>
    <t>Mitsubishi space wagon</t>
  </si>
  <si>
    <t>1541-BJP</t>
  </si>
  <si>
    <t>VAR00031</t>
  </si>
  <si>
    <t>PEUGEOT 206-restos</t>
  </si>
  <si>
    <t>FORD FT TOURNEO</t>
  </si>
  <si>
    <t>6389-DNS</t>
  </si>
  <si>
    <t>FORD TRANSIT CONNECT</t>
  </si>
  <si>
    <t>4685-DSP</t>
  </si>
  <si>
    <t>6509-DNJ</t>
  </si>
  <si>
    <t>6205-DNF</t>
  </si>
  <si>
    <t>9315-DPH</t>
  </si>
  <si>
    <t>5273-FFG</t>
  </si>
  <si>
    <t>AUDI A6</t>
  </si>
  <si>
    <t>6686-CKN</t>
  </si>
  <si>
    <t>0390-DNX</t>
  </si>
  <si>
    <t>FORD TRANSIT FT 260</t>
  </si>
  <si>
    <t>7050-DNC</t>
  </si>
  <si>
    <t>6221-DNF</t>
  </si>
  <si>
    <t>4281-DMD</t>
  </si>
  <si>
    <t>7611-DLK</t>
  </si>
  <si>
    <t>6383-DZN</t>
  </si>
  <si>
    <t>9181-FFK</t>
  </si>
  <si>
    <t>9186-FFK</t>
  </si>
  <si>
    <t>VOLKSWAGEN POLO BERLINA</t>
  </si>
  <si>
    <t>7587-FTZ</t>
  </si>
  <si>
    <t>2525-DLZ</t>
  </si>
  <si>
    <t>6135-DMW</t>
  </si>
  <si>
    <t>5742-DMM</t>
  </si>
  <si>
    <t>FORD MONDEO TREND</t>
  </si>
  <si>
    <t>6995-DMS</t>
  </si>
  <si>
    <t>3253-DMS</t>
  </si>
  <si>
    <t>7768-DMR</t>
  </si>
  <si>
    <t>9411-DKP</t>
  </si>
  <si>
    <t>2210-DGL</t>
  </si>
  <si>
    <t>9661-DKV</t>
  </si>
  <si>
    <t>2238-FDB</t>
  </si>
  <si>
    <t>7411-DML</t>
  </si>
  <si>
    <t>7390-DML</t>
  </si>
  <si>
    <t>7389-DML</t>
  </si>
  <si>
    <t>CITROEN C3</t>
  </si>
  <si>
    <t>9012-DMZ</t>
  </si>
  <si>
    <t>4206-DKL</t>
  </si>
  <si>
    <t>OPEL ASTRA</t>
  </si>
  <si>
    <t>3248-FFF</t>
  </si>
  <si>
    <t>0466-FCR</t>
  </si>
  <si>
    <t>6730-DMR</t>
  </si>
  <si>
    <t>1503-DZB</t>
  </si>
  <si>
    <t>1497-DZB</t>
  </si>
  <si>
    <t>4744-DLR</t>
  </si>
  <si>
    <t>4675-DLR</t>
  </si>
  <si>
    <t>4740-DLR</t>
  </si>
  <si>
    <t>4789-DMD</t>
  </si>
  <si>
    <t>2350-DMD</t>
  </si>
  <si>
    <t>2338-DMD</t>
  </si>
  <si>
    <t>0654-DMC</t>
  </si>
  <si>
    <t>PEUGEOT PARTNER II</t>
  </si>
  <si>
    <t>5446-FBJ</t>
  </si>
  <si>
    <t>9929-DJS</t>
  </si>
  <si>
    <t>9938-DJS</t>
  </si>
  <si>
    <t>4682-DKX</t>
  </si>
  <si>
    <t>0308-DJV</t>
  </si>
  <si>
    <t>7430-DLJ</t>
  </si>
  <si>
    <t>1552-DKW</t>
  </si>
  <si>
    <t>MERCEDES E350</t>
  </si>
  <si>
    <t>1484-FMK</t>
  </si>
  <si>
    <t>7493-DKP</t>
  </si>
  <si>
    <t>0588-FPD</t>
  </si>
  <si>
    <t>BMW SERIE 3 E46</t>
  </si>
  <si>
    <t>4546-DLP</t>
  </si>
  <si>
    <t>6528-DKN</t>
  </si>
  <si>
    <t>CITROEN BERLINGO FURGON</t>
  </si>
  <si>
    <t>7400-DTY</t>
  </si>
  <si>
    <t>4487-DKL</t>
  </si>
  <si>
    <t>2733-DXL</t>
  </si>
  <si>
    <t>PEUGEOT BOXER FURGON</t>
  </si>
  <si>
    <t>9448-DZF</t>
  </si>
  <si>
    <t>MERCEDES CLK230 K CABRIO</t>
  </si>
  <si>
    <t>2946-BGS</t>
  </si>
  <si>
    <t>XERIF IMPORT SL</t>
  </si>
  <si>
    <t>B-17594581</t>
  </si>
  <si>
    <t>CITROEN C-15</t>
  </si>
  <si>
    <t xml:space="preserve">4018-DGK    </t>
  </si>
  <si>
    <t>TORIBIO GONZALEZ RODRIGUEZ</t>
  </si>
  <si>
    <t>76204983-A</t>
  </si>
  <si>
    <t>Citroen C-15</t>
  </si>
  <si>
    <t xml:space="preserve">5661-DJL    </t>
  </si>
  <si>
    <t>XIUQUIN ZHANG X2522468N</t>
  </si>
  <si>
    <t>ZHUOSONG DONG X5384935Z</t>
  </si>
  <si>
    <t>Opel Combo</t>
  </si>
  <si>
    <t xml:space="preserve">8256-FDS    </t>
  </si>
  <si>
    <t>NATALIA CHAVENTE RISCO</t>
  </si>
  <si>
    <t>70251903-J</t>
  </si>
  <si>
    <t>Audi A3</t>
  </si>
  <si>
    <t xml:space="preserve">7646-FKC    </t>
  </si>
  <si>
    <t>Jose Andres Pardo Hernandez</t>
  </si>
  <si>
    <t>80086312-J</t>
  </si>
  <si>
    <t>Nissan Almera</t>
  </si>
  <si>
    <t xml:space="preserve">7057-DNJ       </t>
  </si>
  <si>
    <t>Obras y Servicios Velilla, S.L.</t>
  </si>
  <si>
    <t>B-42165035</t>
  </si>
  <si>
    <t xml:space="preserve">2210-DGL     </t>
  </si>
  <si>
    <t>CARLOS ALEJANDRO VERNET MARTINEZ</t>
  </si>
  <si>
    <t>53816342-E</t>
  </si>
  <si>
    <t xml:space="preserve">9465-FMB    </t>
  </si>
  <si>
    <t>OLI CALOR, SL</t>
  </si>
  <si>
    <t>B79411872</t>
  </si>
  <si>
    <t xml:space="preserve">7400-DTY  </t>
  </si>
  <si>
    <t>VACIA</t>
  </si>
  <si>
    <t>MARIA GEMA GARCIA MARTIN</t>
  </si>
  <si>
    <t>02891325-H</t>
  </si>
  <si>
    <t xml:space="preserve">1828-DHL    </t>
  </si>
  <si>
    <t xml:space="preserve">NW-027: se anula </t>
  </si>
  <si>
    <t>FLORIAN MARIAN MIC</t>
  </si>
  <si>
    <t>X8708439H</t>
  </si>
  <si>
    <t xml:space="preserve">8706-DCP    </t>
  </si>
  <si>
    <t>Juan Cortes Cortes</t>
  </si>
  <si>
    <t>26248799A</t>
  </si>
  <si>
    <t xml:space="preserve">Nissan Primastar  </t>
  </si>
  <si>
    <t xml:space="preserve">1273-DCY   </t>
  </si>
  <si>
    <t>NW-029: SE ANULA</t>
  </si>
  <si>
    <t>Alejandro García García</t>
  </si>
  <si>
    <t>71021612-G</t>
  </si>
  <si>
    <t>Peugeot 309</t>
  </si>
  <si>
    <t xml:space="preserve">LU-6991-M      </t>
  </si>
  <si>
    <t>NW-030:SE ANULA ESTA REPETIDA</t>
  </si>
  <si>
    <t xml:space="preserve">B-42165035 </t>
  </si>
  <si>
    <t xml:space="preserve">2210-DGL   </t>
  </si>
  <si>
    <t xml:space="preserve">Andriy Shvetsov </t>
  </si>
  <si>
    <t xml:space="preserve">X-3681207-B </t>
  </si>
  <si>
    <t>Iveco 35 S</t>
  </si>
  <si>
    <t xml:space="preserve">9661-DKV   </t>
  </si>
  <si>
    <t xml:space="preserve">Grigore Selegan </t>
  </si>
  <si>
    <t xml:space="preserve">X-3742657-M </t>
  </si>
  <si>
    <t xml:space="preserve">1503-DZB   </t>
  </si>
  <si>
    <t>Montaje de Optica e Instalaciones, S. L.</t>
  </si>
  <si>
    <t xml:space="preserve">B-81810921 </t>
  </si>
  <si>
    <t xml:space="preserve">1330-GDV      </t>
  </si>
  <si>
    <t>Javier Vicente Nogales</t>
  </si>
  <si>
    <t>51405627-Y</t>
  </si>
  <si>
    <t>Opel Corsa</t>
  </si>
  <si>
    <t xml:space="preserve">0873-DYK        </t>
  </si>
  <si>
    <t>EXTERMIN TECNICOS EN CONTROL DE PLAGAS SL</t>
  </si>
  <si>
    <t>B-45418720</t>
  </si>
  <si>
    <t xml:space="preserve">2338-DMD          </t>
  </si>
  <si>
    <t>CRISERVIA, S.L.</t>
  </si>
  <si>
    <t>B85309433</t>
  </si>
  <si>
    <t xml:space="preserve">5626-FFS        </t>
  </si>
  <si>
    <t>Orihuela Costa Cars, S.L.</t>
  </si>
  <si>
    <t>B-54323233</t>
  </si>
  <si>
    <t xml:space="preserve">4682-DKX        </t>
  </si>
  <si>
    <t>Carlos Alejandro Vernet Martínez</t>
  </si>
  <si>
    <t xml:space="preserve">9465-FMB           </t>
  </si>
  <si>
    <t>SERVIFESA, S.L.</t>
  </si>
  <si>
    <t>B85590651</t>
  </si>
  <si>
    <t xml:space="preserve">6528-DKN           </t>
  </si>
  <si>
    <t>PACIFICO LOPEZ CALDERON</t>
  </si>
  <si>
    <t>X5877641Z</t>
  </si>
  <si>
    <t xml:space="preserve">0654-DMC        </t>
  </si>
  <si>
    <t>ALEJANDRO ARRIBAS JIMENEZ</t>
  </si>
  <si>
    <t>06507856-Y</t>
  </si>
  <si>
    <t xml:space="preserve">9938-DJS           </t>
  </si>
  <si>
    <t>ANA ESCAMILLA GUARDIOLA</t>
  </si>
  <si>
    <t>50949421-M</t>
  </si>
  <si>
    <t xml:space="preserve">CITROEN C3   </t>
  </si>
  <si>
    <t xml:space="preserve">4487-DKL           </t>
  </si>
  <si>
    <t>ANGEL MORA GIL APARICIO</t>
  </si>
  <si>
    <t>72462485-L</t>
  </si>
  <si>
    <t xml:space="preserve">BMW 320 D </t>
  </si>
  <si>
    <t xml:space="preserve">4546-DLP            </t>
  </si>
  <si>
    <t>ALVARO BIANCANI MAYOR</t>
  </si>
  <si>
    <t>05356300-Z</t>
  </si>
  <si>
    <t xml:space="preserve">1552-DKW           </t>
  </si>
  <si>
    <t>CORPUS SANO, S.L.</t>
  </si>
  <si>
    <t>B-85582021</t>
  </si>
  <si>
    <t xml:space="preserve">2350-DMD             </t>
  </si>
  <si>
    <t>MANUEL CORONADO VELLARINO</t>
  </si>
  <si>
    <t>80089213-Q</t>
  </si>
  <si>
    <t xml:space="preserve">7493-DKP       </t>
  </si>
  <si>
    <t>REPARACION DE ELECTRODOMESTICOS PLIEGO, S.L.</t>
  </si>
  <si>
    <t>B-81343824</t>
  </si>
  <si>
    <t xml:space="preserve">6730-DNR         </t>
  </si>
  <si>
    <t>BENJAMIN SOTODOSOS GARCIA</t>
  </si>
  <si>
    <t>03049783-Y</t>
  </si>
  <si>
    <t xml:space="preserve">0505-DJT            </t>
  </si>
  <si>
    <t>VIRGINIA GOMEZ DEL ALAMO</t>
  </si>
  <si>
    <t>01931237-L</t>
  </si>
  <si>
    <t xml:space="preserve">0959-DYK             </t>
  </si>
  <si>
    <t>Miguel Angel Garcia Anguis</t>
  </si>
  <si>
    <t>51989038-E</t>
  </si>
  <si>
    <t>FIAT SCUDO</t>
  </si>
  <si>
    <t xml:space="preserve">9891-DFR               </t>
  </si>
  <si>
    <t>Araceli Echevarría Echevarría</t>
  </si>
  <si>
    <t>50098763-W</t>
  </si>
  <si>
    <t>PEUGEOT BOXER</t>
  </si>
  <si>
    <t xml:space="preserve"> 9448-DZF                    </t>
  </si>
  <si>
    <t>NW-052</t>
  </si>
  <si>
    <t>Casaverde y Olivarte, S.L.</t>
  </si>
  <si>
    <t>B10391571</t>
  </si>
  <si>
    <t>NW-053</t>
  </si>
  <si>
    <t xml:space="preserve">Talleres Corrales e Hijos, S.L.  </t>
  </si>
  <si>
    <t>B-79820296</t>
  </si>
  <si>
    <t xml:space="preserve">2261-CPL    </t>
  </si>
  <si>
    <t>NW-054</t>
  </si>
  <si>
    <t>NW-055</t>
  </si>
  <si>
    <t>Pedro Hernandez Jimenez</t>
  </si>
  <si>
    <t>51894889-N</t>
  </si>
  <si>
    <t xml:space="preserve">2238-FDB    </t>
  </si>
  <si>
    <t>NW-056</t>
  </si>
  <si>
    <t>OUSMANE SOW</t>
  </si>
  <si>
    <t>X-4222139-Y</t>
  </si>
  <si>
    <t xml:space="preserve">8215-DKC    </t>
  </si>
  <si>
    <t>NW-057</t>
  </si>
  <si>
    <t>Emiliano Casillas Ayuso</t>
  </si>
  <si>
    <t>06536412-L</t>
  </si>
  <si>
    <t xml:space="preserve">5408-DJL     </t>
  </si>
  <si>
    <t>NW-058</t>
  </si>
  <si>
    <t>Julian Martín e Hijos, S.L.</t>
  </si>
  <si>
    <t>B-45413549</t>
  </si>
  <si>
    <t xml:space="preserve">2026-CZD     </t>
  </si>
  <si>
    <t>VENTA TELEFONIA</t>
  </si>
  <si>
    <t>09-001</t>
  </si>
  <si>
    <t>Grupo Opal Telecomunicaciones, S.L.</t>
  </si>
  <si>
    <t>B84154343</t>
  </si>
  <si>
    <t>NW00010</t>
  </si>
  <si>
    <t>ANDRIY MORYS</t>
  </si>
  <si>
    <t>09-002</t>
  </si>
  <si>
    <t>09-003</t>
  </si>
  <si>
    <t>09-004</t>
  </si>
  <si>
    <t>NW-059</t>
  </si>
  <si>
    <t>Jose Manuel Fernandez Campos</t>
  </si>
  <si>
    <t>08031420-G</t>
  </si>
  <si>
    <t>Peugeot Partnet</t>
  </si>
  <si>
    <t xml:space="preserve">5446-FBJ     </t>
  </si>
  <si>
    <t>CUARTO</t>
  </si>
  <si>
    <t>NW-060</t>
  </si>
  <si>
    <t>PAWEL WOJCIECH MACIEJEWSKI</t>
  </si>
  <si>
    <t>X6019524X</t>
  </si>
  <si>
    <t xml:space="preserve">4888-DTH </t>
  </si>
  <si>
    <t>NW-061</t>
  </si>
  <si>
    <t>MANUEL GOMEZ  DURAN</t>
  </si>
  <si>
    <t>08673549-L</t>
  </si>
  <si>
    <t>FT Tourneo 210 S Connect</t>
  </si>
  <si>
    <t>NW-062</t>
  </si>
  <si>
    <t>GRUPO OPAL TELECOMUNICACIONES, S.L.</t>
  </si>
  <si>
    <t>Mercedes E350</t>
  </si>
  <si>
    <t xml:space="preserve">1484-FMK    </t>
  </si>
  <si>
    <t>tf. 28/05/2009</t>
  </si>
  <si>
    <t>NW-063</t>
  </si>
  <si>
    <t xml:space="preserve">ALFONSO MOSCOSO NAPURI </t>
  </si>
  <si>
    <t>X9504308-H</t>
  </si>
  <si>
    <t xml:space="preserve">PEUGEOT 206          </t>
  </si>
  <si>
    <t xml:space="preserve">4744-DLR    </t>
  </si>
  <si>
    <t>NW-064</t>
  </si>
  <si>
    <t>DAN CONSTANTIN CIULEI</t>
  </si>
  <si>
    <t>X6541298-Y</t>
  </si>
  <si>
    <t xml:space="preserve">4291-DJY     </t>
  </si>
  <si>
    <t>NW-065</t>
  </si>
  <si>
    <t>PLAY MUSIC MADRID CB</t>
  </si>
  <si>
    <t>E-85781318</t>
  </si>
  <si>
    <t xml:space="preserve">5279-FBH      </t>
  </si>
  <si>
    <t>NW-066</t>
  </si>
  <si>
    <t>ALBERTO SANCHEZ ZAMARRO</t>
  </si>
  <si>
    <t>53385699-P</t>
  </si>
  <si>
    <t>AUDI A3</t>
  </si>
  <si>
    <t xml:space="preserve">9763- FDP      </t>
  </si>
  <si>
    <t>NW-067</t>
  </si>
  <si>
    <t>MUGUREL IOVA</t>
  </si>
  <si>
    <t>X6210823H</t>
  </si>
  <si>
    <t xml:space="preserve">0308-DJV        </t>
  </si>
  <si>
    <t>NW-068</t>
  </si>
  <si>
    <t>PEDRO AGUDO RODRIGUEZ</t>
  </si>
  <si>
    <t>02833997-Y</t>
  </si>
  <si>
    <t xml:space="preserve">1882-DCD       </t>
  </si>
  <si>
    <t>NW-069</t>
  </si>
  <si>
    <t>ANGEL ALVAREZ LEIVA</t>
  </si>
  <si>
    <t>51394048-L</t>
  </si>
  <si>
    <t>MERCEDES CLK</t>
  </si>
  <si>
    <t xml:space="preserve">2946-BGS        </t>
  </si>
  <si>
    <t>NW-070</t>
  </si>
  <si>
    <t>BLANCA PALOMA HERRERA DEL CAMPO</t>
  </si>
  <si>
    <t>05319923-T</t>
  </si>
  <si>
    <t>VOLKSWAGEN POLO</t>
  </si>
  <si>
    <t xml:space="preserve">7587-FTZ         </t>
  </si>
  <si>
    <t>NW-071</t>
  </si>
  <si>
    <t>CONSTRUCCIONES MARCOS ANTONIO RODRIGUEZ SL</t>
  </si>
  <si>
    <t>B-38664058</t>
  </si>
  <si>
    <t>IVECO</t>
  </si>
  <si>
    <t xml:space="preserve">4206-DKL           </t>
  </si>
  <si>
    <t>NW-072</t>
  </si>
  <si>
    <t>JOSE RODRIGUEZ MARTIN</t>
  </si>
  <si>
    <t>70982711-L</t>
  </si>
  <si>
    <t xml:space="preserve">6221-DNF    </t>
  </si>
  <si>
    <t>NW-074</t>
  </si>
  <si>
    <t>Jesús Javier Bengoechea</t>
  </si>
  <si>
    <t>16553015-F</t>
  </si>
  <si>
    <t>NW-075</t>
  </si>
  <si>
    <t>INSTALACIONES ELECTRICAS VALDELUZ, S.L.</t>
  </si>
  <si>
    <t>B-82281064</t>
  </si>
  <si>
    <t>NW-076</t>
  </si>
  <si>
    <t>Play Music Madrid CB</t>
  </si>
  <si>
    <t>E85781318</t>
  </si>
  <si>
    <t>NW-077</t>
  </si>
  <si>
    <t>ANIBAL FRANCISCO MUÑOZ CARPINTERO</t>
  </si>
  <si>
    <t>52369958-Q</t>
  </si>
  <si>
    <t xml:space="preserve">6205-DNF    </t>
  </si>
  <si>
    <t>NW-078</t>
  </si>
  <si>
    <t>Citroen C-2</t>
  </si>
  <si>
    <t xml:space="preserve">6088-DSZ     </t>
  </si>
  <si>
    <t>NW-083</t>
  </si>
  <si>
    <t>RAUL TORRES GARCIA</t>
  </si>
  <si>
    <t>02274491-K</t>
  </si>
  <si>
    <t xml:space="preserve">3387-GDT     </t>
  </si>
  <si>
    <t>NW-079</t>
  </si>
  <si>
    <t>ANGEL FERNANDEZ SALAS</t>
  </si>
  <si>
    <t>25968456-F</t>
  </si>
  <si>
    <t>Opel Astra</t>
  </si>
  <si>
    <t xml:space="preserve">3248-FFF    </t>
  </si>
  <si>
    <t>NW-080</t>
  </si>
  <si>
    <t>ADRAIN SORIN SAVIA</t>
  </si>
  <si>
    <t>X-6105726-P</t>
  </si>
  <si>
    <t xml:space="preserve">7050-DNR        </t>
  </si>
  <si>
    <t>NW-081</t>
  </si>
  <si>
    <t>PSS DULON SPAIN PORTUGAL, S.L.</t>
  </si>
  <si>
    <t>B57491425</t>
  </si>
  <si>
    <t xml:space="preserve">3251-DRM     </t>
  </si>
  <si>
    <t>NW-082</t>
  </si>
  <si>
    <t>Iryna Hnyda</t>
  </si>
  <si>
    <t>X-4077445-M</t>
  </si>
  <si>
    <t xml:space="preserve">7768-DMR       </t>
  </si>
  <si>
    <t>NW-083: se anula</t>
  </si>
  <si>
    <t>FRANCISCO VICIOSO RODRIGUEZ</t>
  </si>
  <si>
    <t>53778540-D</t>
  </si>
  <si>
    <t>Peugeot Partner</t>
  </si>
  <si>
    <t xml:space="preserve">9746-DDJ        </t>
  </si>
  <si>
    <t>NW-084</t>
  </si>
  <si>
    <t>ACTIVA CONSULT. SERVIC. Y REDES, S.L.U.</t>
  </si>
  <si>
    <t>B-83547257</t>
  </si>
  <si>
    <t>NW-085</t>
  </si>
  <si>
    <t>JOSE ANTONIO PALOMO MARTIN</t>
  </si>
  <si>
    <t>06540836-G</t>
  </si>
  <si>
    <t>Audi A6</t>
  </si>
  <si>
    <t xml:space="preserve">6686-CKN    </t>
  </si>
  <si>
    <t>tf. 27/08/2009</t>
  </si>
  <si>
    <t>NW-086</t>
  </si>
  <si>
    <t>JULIA GRANDA VIÑUELAS</t>
  </si>
  <si>
    <t>05316567-W</t>
  </si>
  <si>
    <t>Mitsubishi Space</t>
  </si>
  <si>
    <t xml:space="preserve">1541-BJP    </t>
  </si>
  <si>
    <t>NW-087</t>
  </si>
  <si>
    <t>DANIEL VILLANUEVA VACAS</t>
  </si>
  <si>
    <t>09045098-A</t>
  </si>
  <si>
    <t xml:space="preserve">3253-DMS     </t>
  </si>
  <si>
    <t>NW-088</t>
  </si>
  <si>
    <t>BARBEAU PIERRE YVES ADRIEN</t>
  </si>
  <si>
    <t>NW-089</t>
  </si>
  <si>
    <t>YESICA SABRINA PRIETO GARCIA</t>
  </si>
  <si>
    <t>53616576-B</t>
  </si>
  <si>
    <t>Alfa 147</t>
  </si>
  <si>
    <t xml:space="preserve">3516-CYC    </t>
  </si>
  <si>
    <t>NW-090</t>
  </si>
  <si>
    <t>Import Cars Manacor, S.L.</t>
  </si>
  <si>
    <t>B-57629511</t>
  </si>
  <si>
    <t xml:space="preserve">2335-DHS    </t>
  </si>
  <si>
    <t>NW-091</t>
  </si>
  <si>
    <t>EZB 4621727830. GRATY. SILLY.</t>
  </si>
  <si>
    <t xml:space="preserve">9181-FFK      </t>
  </si>
  <si>
    <t>NW-092</t>
  </si>
  <si>
    <t>ALEJANDRO MORENO LOPEZ</t>
  </si>
  <si>
    <t>09538387-B</t>
  </si>
  <si>
    <t xml:space="preserve">3005-BPS      </t>
  </si>
  <si>
    <t>NW-093</t>
  </si>
  <si>
    <t xml:space="preserve">5742-DMM      </t>
  </si>
  <si>
    <t>NW-094</t>
  </si>
  <si>
    <t>LUIS MANUEL RODRIGUEZ DORADO</t>
  </si>
  <si>
    <t>08031222-J</t>
  </si>
  <si>
    <t xml:space="preserve">2935-DHG    </t>
  </si>
  <si>
    <t>NW-095</t>
  </si>
  <si>
    <t>DAVID CRIADO ALVAREZ</t>
  </si>
  <si>
    <t>50186436-E</t>
  </si>
  <si>
    <t>Skoda Fabia</t>
  </si>
  <si>
    <t xml:space="preserve">7026-FCG    </t>
  </si>
  <si>
    <t>NW-096</t>
  </si>
  <si>
    <t>ELENA MARINERO HOLGADO</t>
  </si>
  <si>
    <t>05329996-E</t>
  </si>
  <si>
    <t xml:space="preserve">0971-DCR      </t>
  </si>
  <si>
    <t>NW-097</t>
  </si>
  <si>
    <t>JOSE MARIA MUÑOZ HERNANDEZ</t>
  </si>
  <si>
    <t>11764757-G</t>
  </si>
  <si>
    <t>Nissan Navara</t>
  </si>
  <si>
    <t xml:space="preserve">5003-DSY      </t>
  </si>
  <si>
    <t>tf. 26/11/2009</t>
  </si>
  <si>
    <t>NW-098</t>
  </si>
  <si>
    <t>JOSE LUIS ORTEGA CASADO</t>
  </si>
  <si>
    <t>12937162-F</t>
  </si>
  <si>
    <t xml:space="preserve">5273-FFG       </t>
  </si>
  <si>
    <t>NW-099</t>
  </si>
  <si>
    <t>GRANJA OCINA, S.A.</t>
  </si>
  <si>
    <t>A-09037144</t>
  </si>
  <si>
    <t xml:space="preserve">1786-DFN         </t>
  </si>
  <si>
    <t>NW-100:CAMBIA CLIENTE</t>
  </si>
  <si>
    <t>Vicenta Borrega Rabazo</t>
  </si>
  <si>
    <t>07041266-T</t>
  </si>
  <si>
    <t xml:space="preserve">0819-CGD         </t>
  </si>
  <si>
    <t>NW-101</t>
  </si>
  <si>
    <t xml:space="preserve">3929-DXL        </t>
  </si>
  <si>
    <t>NW-102</t>
  </si>
  <si>
    <t>JULIAN MORAL CORTES</t>
  </si>
  <si>
    <t>07490177-C</t>
  </si>
  <si>
    <t>Nissan X-Trail</t>
  </si>
  <si>
    <t xml:space="preserve">4114-DSJ       </t>
  </si>
  <si>
    <t>Tf.15/12/2009</t>
  </si>
  <si>
    <t>NW-103</t>
  </si>
  <si>
    <t>Maria Josefa Paulina Yague Anton</t>
  </si>
  <si>
    <t>7287216-M</t>
  </si>
  <si>
    <t xml:space="preserve">6135-DMV   </t>
  </si>
  <si>
    <t>NW-104</t>
  </si>
  <si>
    <t>Accion 7 Instaladores, S.L.</t>
  </si>
  <si>
    <t>9734-DHM</t>
  </si>
  <si>
    <t>NW-105</t>
  </si>
  <si>
    <t>CARLOS TORAÑO CEPEDA</t>
  </si>
  <si>
    <t>10576271C</t>
  </si>
  <si>
    <t>NW-106</t>
  </si>
  <si>
    <t>NO VALE</t>
  </si>
  <si>
    <t>NW-107</t>
  </si>
  <si>
    <t xml:space="preserve">GERARDO ANDRES GONZALEZ RODRIGUEZ </t>
  </si>
  <si>
    <t>531577372W</t>
  </si>
  <si>
    <t>Citroen Belingo</t>
  </si>
  <si>
    <t xml:space="preserve"> 0537-DJT</t>
  </si>
  <si>
    <t>NW06112009</t>
  </si>
  <si>
    <t>CRISTIAN COBO CLARIN</t>
  </si>
  <si>
    <t>X6343472-A</t>
  </si>
  <si>
    <t>4074-DJY</t>
  </si>
  <si>
    <t>NW06102009</t>
  </si>
  <si>
    <t>ELISABETH PALENCIK CORNEJO</t>
  </si>
  <si>
    <t>53392693-X</t>
  </si>
  <si>
    <t>NW06102009N</t>
  </si>
  <si>
    <t>NW06102009J</t>
  </si>
  <si>
    <t>NW26112009</t>
  </si>
  <si>
    <t>MOHAMED AHDIDAN</t>
  </si>
  <si>
    <t>X1396101-R</t>
  </si>
  <si>
    <t>NW13102009</t>
  </si>
  <si>
    <t>MALICK KOUNDVZ</t>
  </si>
  <si>
    <t>X5613234-S</t>
  </si>
  <si>
    <t>8430-FJV</t>
  </si>
  <si>
    <t>6505-FBM</t>
  </si>
  <si>
    <t>PEUGEOT 407 SW</t>
  </si>
  <si>
    <t>3393-FGC</t>
  </si>
  <si>
    <t>6249-DPV</t>
  </si>
  <si>
    <t>6241-DPV</t>
  </si>
  <si>
    <t>VAR00063</t>
  </si>
  <si>
    <t>7130-DSR</t>
  </si>
  <si>
    <t>VAR00064</t>
  </si>
  <si>
    <t>7122-DSR</t>
  </si>
  <si>
    <t>VAR00062</t>
  </si>
  <si>
    <t>7114-DSR</t>
  </si>
  <si>
    <t>6743-DCS</t>
  </si>
  <si>
    <t>9162-DBS</t>
  </si>
  <si>
    <t>9989-DJS</t>
  </si>
  <si>
    <t>6048-DSM</t>
  </si>
  <si>
    <t>1271-DCY</t>
  </si>
  <si>
    <t>3247-DRM</t>
  </si>
  <si>
    <t>VAR00051</t>
  </si>
  <si>
    <t>Renault C.Societe</t>
  </si>
  <si>
    <t>2740-CXW</t>
  </si>
  <si>
    <t>7746-FFZ</t>
  </si>
  <si>
    <t>0735-DRD</t>
  </si>
  <si>
    <t>4843-DRH</t>
  </si>
  <si>
    <t>1554-CZG</t>
  </si>
  <si>
    <t>NISSAN NOTE VISIA</t>
  </si>
  <si>
    <t>3041-FGK</t>
  </si>
  <si>
    <t>VOLKSWAGEN CADDY</t>
  </si>
  <si>
    <t>2178-FPL</t>
  </si>
  <si>
    <t>3126-DZX</t>
  </si>
  <si>
    <t>3425-DRV</t>
  </si>
  <si>
    <t>1770-DPD</t>
  </si>
  <si>
    <t>9926-DRW</t>
  </si>
  <si>
    <t>RENAULT MEGANE</t>
  </si>
  <si>
    <t>2052-FGT</t>
  </si>
  <si>
    <t>PEUGEOT PARTNER</t>
  </si>
  <si>
    <t>4808-DPP</t>
  </si>
  <si>
    <t>0079-FGV</t>
  </si>
  <si>
    <t>8890-FHP</t>
  </si>
  <si>
    <t>1547-DSG</t>
  </si>
  <si>
    <t>PEUGEOT 307</t>
  </si>
  <si>
    <t>7283-FHK</t>
  </si>
  <si>
    <t>CITROEN BELINGO</t>
  </si>
  <si>
    <t>7977-DSL</t>
  </si>
  <si>
    <t>PEUGEOT 206 COMERCIAL</t>
  </si>
  <si>
    <t>4422-DWG</t>
  </si>
  <si>
    <t>8357-DYL</t>
  </si>
  <si>
    <t>Seat Ibiza comercial</t>
  </si>
  <si>
    <t>4866-FBN</t>
  </si>
  <si>
    <t>033.87862</t>
  </si>
  <si>
    <t>FIAT DOBLO IND.</t>
  </si>
  <si>
    <t>1921-CYL</t>
  </si>
  <si>
    <t>US/6035910</t>
  </si>
  <si>
    <t>US/6035844</t>
  </si>
  <si>
    <t>3012-FLD</t>
  </si>
  <si>
    <t>US/6036141</t>
  </si>
  <si>
    <t>FORD TRANSIT</t>
  </si>
  <si>
    <t>COMPRA TELEFONIA</t>
  </si>
  <si>
    <t>RECARGAS MOVILES ON-LINE, S.L.</t>
  </si>
  <si>
    <t>B36487932</t>
  </si>
  <si>
    <t>RECARGAS 10, S.L.</t>
  </si>
  <si>
    <t>B27399344</t>
  </si>
  <si>
    <t>SAIKO -TELEFONIA, S.L.</t>
  </si>
  <si>
    <t>B85707099</t>
  </si>
  <si>
    <t>FRANCISCO JAVIER LEON PEREZ</t>
  </si>
  <si>
    <t>53537545-P</t>
  </si>
  <si>
    <t>JUAN SERRANO ESTOR</t>
  </si>
  <si>
    <t>51876097-B</t>
  </si>
  <si>
    <t>09-005</t>
  </si>
  <si>
    <t>09-006</t>
  </si>
  <si>
    <t>09-007</t>
  </si>
  <si>
    <t>PARTICULAR</t>
  </si>
  <si>
    <t>SILVIA MARTINEZ GONZALEZ</t>
  </si>
  <si>
    <t>20204725F</t>
  </si>
  <si>
    <t>NW-108</t>
  </si>
  <si>
    <t>GATA Y MARTIN, S.L.</t>
  </si>
  <si>
    <t>B85049567</t>
  </si>
  <si>
    <t>METALICO 18/01/2010</t>
  </si>
  <si>
    <t>particular</t>
  </si>
  <si>
    <t>JOSE MARIA MATILLA REYES</t>
  </si>
  <si>
    <t>11809574-V</t>
  </si>
  <si>
    <t>16022010</t>
  </si>
  <si>
    <t>petyo nikolov bangurov</t>
  </si>
  <si>
    <t>X6374860-L</t>
  </si>
  <si>
    <t>Tf. Recibida avila 8/3/2010</t>
  </si>
  <si>
    <t>tf. Recibida avila 5/3/2010</t>
  </si>
  <si>
    <t>01626101-R</t>
  </si>
  <si>
    <t>B83457473</t>
  </si>
  <si>
    <t>PRIMERO</t>
  </si>
  <si>
    <t>9810-drr</t>
  </si>
  <si>
    <t>9566-fgt</t>
  </si>
  <si>
    <t>us/6038243</t>
  </si>
  <si>
    <t>renault master</t>
  </si>
  <si>
    <t>8056-dfl</t>
  </si>
  <si>
    <t>us/6037742</t>
  </si>
  <si>
    <t>peugeot 307 sw</t>
  </si>
  <si>
    <t>6786-dgs</t>
  </si>
  <si>
    <t>us/6037816</t>
  </si>
  <si>
    <t>5405-dgj</t>
  </si>
  <si>
    <t>a0254(recibo falta fra)</t>
  </si>
  <si>
    <t>LIDERCAR DOS MIL, S.A.</t>
  </si>
  <si>
    <t>A78360765</t>
  </si>
  <si>
    <t>fiat doblo</t>
  </si>
  <si>
    <t>7500-dwk</t>
  </si>
  <si>
    <t>efectivo 24/5</t>
  </si>
  <si>
    <t>volkswagen passat</t>
  </si>
  <si>
    <t>2546-dvh</t>
  </si>
  <si>
    <t>fiat punto</t>
  </si>
  <si>
    <t>4566-dlr</t>
  </si>
  <si>
    <t>9590-dmy</t>
  </si>
  <si>
    <t>VER SI REBU</t>
  </si>
  <si>
    <t>11E109910000074125</t>
  </si>
  <si>
    <t>FINANZIA AUTORENTING, S.A.(BBVA)</t>
  </si>
  <si>
    <t>9648-fvw</t>
  </si>
  <si>
    <t>VOG10002201</t>
  </si>
  <si>
    <t>SEAT MOTOR ESPAÑA, S.A.</t>
  </si>
  <si>
    <t>A08924599</t>
  </si>
  <si>
    <t>seat exeo</t>
  </si>
  <si>
    <t>9052-gng</t>
  </si>
  <si>
    <t>tf.</t>
  </si>
  <si>
    <t>400..18854</t>
  </si>
  <si>
    <t xml:space="preserve">fiat doblo </t>
  </si>
  <si>
    <t>VO0000505</t>
  </si>
  <si>
    <t>A28906881</t>
  </si>
  <si>
    <t>4240-dgg</t>
  </si>
  <si>
    <t>VO0000514</t>
  </si>
  <si>
    <t>VO0000516</t>
  </si>
  <si>
    <t xml:space="preserve">7703-fgx                          </t>
  </si>
  <si>
    <t>VO0000515</t>
  </si>
  <si>
    <t>4247-dgg</t>
  </si>
  <si>
    <t>VO0000513</t>
  </si>
  <si>
    <t>7712-FGX</t>
  </si>
  <si>
    <t>VO0000501</t>
  </si>
  <si>
    <t>4248-DGG</t>
  </si>
  <si>
    <t>VO0000502</t>
  </si>
  <si>
    <t>VO0000504</t>
  </si>
  <si>
    <t>6310-dxz</t>
  </si>
  <si>
    <t>peugeot 307</t>
  </si>
  <si>
    <t>6325-dyb</t>
  </si>
  <si>
    <t>ford transit</t>
  </si>
  <si>
    <t>1704-dvn</t>
  </si>
  <si>
    <t>2674-dyh</t>
  </si>
  <si>
    <t>1708-djb</t>
  </si>
  <si>
    <t>5240-djk</t>
  </si>
  <si>
    <t>8629-dyl</t>
  </si>
  <si>
    <t>8973-dgs</t>
  </si>
  <si>
    <t>renaulk kangoo</t>
  </si>
  <si>
    <t>4292-dyw</t>
  </si>
  <si>
    <t>peugeot 209</t>
  </si>
  <si>
    <t>5781-fpb</t>
  </si>
  <si>
    <t>8421-dyy</t>
  </si>
  <si>
    <t>6615-dwl</t>
  </si>
  <si>
    <t>8913-dwn</t>
  </si>
  <si>
    <t>9305-dwn</t>
  </si>
  <si>
    <t>7658-dwk</t>
  </si>
  <si>
    <t>8325-dgs</t>
  </si>
  <si>
    <t>6174-dwl</t>
  </si>
  <si>
    <t>citroen c4</t>
  </si>
  <si>
    <t>1493-dyj</t>
  </si>
  <si>
    <t>7484-dvw</t>
  </si>
  <si>
    <t>2704-dvy</t>
  </si>
  <si>
    <t>4217-fmr</t>
  </si>
  <si>
    <t>seat altea</t>
  </si>
  <si>
    <t>2895-dvk</t>
  </si>
  <si>
    <t>7528-dwx</t>
  </si>
  <si>
    <t>7529-dwx</t>
  </si>
  <si>
    <t>4650-fkl</t>
  </si>
  <si>
    <t>006/10</t>
  </si>
  <si>
    <t>MANUEL GOMEZ DURÁN</t>
  </si>
  <si>
    <t>JULIA LINARES TORRES</t>
  </si>
  <si>
    <t>78499936Q</t>
  </si>
  <si>
    <t>renault megane</t>
  </si>
  <si>
    <t>smart</t>
  </si>
  <si>
    <t>7781-BPX</t>
  </si>
  <si>
    <t>X95054308-H</t>
  </si>
  <si>
    <t>52012318-A</t>
  </si>
  <si>
    <t>hyundai santa fe</t>
  </si>
  <si>
    <t>2745-BGR</t>
  </si>
  <si>
    <t>EULACIA MAYE EKO</t>
  </si>
  <si>
    <t>08673549L</t>
  </si>
  <si>
    <t>9566-FGT</t>
  </si>
  <si>
    <t>EXCLUSIVAS JAEN, S.A.</t>
  </si>
  <si>
    <t>A23217730</t>
  </si>
  <si>
    <t>3012-fld</t>
  </si>
  <si>
    <t>ALFREDO SACEDO MINAS</t>
  </si>
  <si>
    <t>70078076-C</t>
  </si>
  <si>
    <t>bmw</t>
  </si>
  <si>
    <t>8486-ffk</t>
  </si>
  <si>
    <t>NW-073</t>
  </si>
  <si>
    <t>NW-100</t>
  </si>
  <si>
    <t>Cerysan consulting, S.L.N.E</t>
  </si>
  <si>
    <t>B84837343</t>
  </si>
  <si>
    <t>CRISTIAN MARIAN MANEA</t>
  </si>
  <si>
    <t>X-6692749-W</t>
  </si>
  <si>
    <t xml:space="preserve">8193-DDZ                       </t>
  </si>
  <si>
    <t xml:space="preserve">8211-dht                             </t>
  </si>
  <si>
    <t>DAVOD SOTOS BLANCO</t>
  </si>
  <si>
    <t>52377698-M</t>
  </si>
  <si>
    <t>Volkswagen Caddy</t>
  </si>
  <si>
    <t xml:space="preserve">2178-FPL                     </t>
  </si>
  <si>
    <t>AUTOMOVILES HERMANOS TORRES, S.A.</t>
  </si>
  <si>
    <t xml:space="preserve">5056-FKS                </t>
  </si>
  <si>
    <t>A-28906881</t>
  </si>
  <si>
    <t>7434-FLM</t>
  </si>
  <si>
    <t>MARIA DEL PILAR FERNANDEZ DIAZ</t>
  </si>
  <si>
    <t>52875552-R</t>
  </si>
  <si>
    <t>Opel Zafira</t>
  </si>
  <si>
    <t xml:space="preserve">8327-CDM     </t>
  </si>
  <si>
    <t>PAWEL TOMASZ</t>
  </si>
  <si>
    <t>X3375778-E</t>
  </si>
  <si>
    <t>CRISTINA USANO LORENTE</t>
  </si>
  <si>
    <t>04611739-D</t>
  </si>
  <si>
    <t xml:space="preserve">0735-DRD        </t>
  </si>
  <si>
    <t>CREAPRESS SERVICIOS INTEGRALES, S.L.</t>
  </si>
  <si>
    <t>B-84564459</t>
  </si>
  <si>
    <t xml:space="preserve">3247-DRM           </t>
  </si>
  <si>
    <t>Ready Express Courier, S.L.</t>
  </si>
  <si>
    <t>B81647232</t>
  </si>
  <si>
    <t xml:space="preserve">7136-FSW          </t>
  </si>
  <si>
    <t>Caja de Ahorros y Pensiones de Barcelona</t>
  </si>
  <si>
    <t>G58899998</t>
  </si>
  <si>
    <t>Seat Exeo</t>
  </si>
  <si>
    <t>9052-GNG</t>
  </si>
  <si>
    <t>Confort Climat, C.B.</t>
  </si>
  <si>
    <t>E45609732</t>
  </si>
  <si>
    <t>8325-DGS</t>
  </si>
  <si>
    <t>JOSE MANUEL SEPULVEDA PERENGUEZ</t>
  </si>
  <si>
    <t>X-3702522-M</t>
  </si>
  <si>
    <t xml:space="preserve">5604-DWF     </t>
  </si>
  <si>
    <t>ROSA ELENA SARANSIG CAMPO</t>
  </si>
  <si>
    <t>X2411846C</t>
  </si>
  <si>
    <t xml:space="preserve">7712-FGX          </t>
  </si>
  <si>
    <t>AGRO-RIZOS, S.A.</t>
  </si>
  <si>
    <t>A-44023562</t>
  </si>
  <si>
    <t xml:space="preserve">2592-DWG        </t>
  </si>
  <si>
    <t xml:space="preserve">Pawel Antoni Kisielow </t>
  </si>
  <si>
    <t>X7978228B</t>
  </si>
  <si>
    <t>7484-DVW</t>
  </si>
  <si>
    <t>6497-FJS</t>
  </si>
  <si>
    <t>Mª ANGELES TRENADO MORENO</t>
  </si>
  <si>
    <t>52964882E</t>
  </si>
  <si>
    <t>3638-FJT</t>
  </si>
  <si>
    <t>Laurentiu Stan</t>
  </si>
  <si>
    <t>X8374000-E</t>
  </si>
  <si>
    <t>3477-DWG</t>
  </si>
  <si>
    <t>RICARDO ANDRE DA SILVA MENDES</t>
  </si>
  <si>
    <t>X09590235-V</t>
  </si>
  <si>
    <t>Seat Altea</t>
  </si>
  <si>
    <t>2895-DVK</t>
  </si>
  <si>
    <t>OVERA  IMPORT  2007, S.L.</t>
  </si>
  <si>
    <t>B04632337</t>
  </si>
  <si>
    <t>5618-DVD</t>
  </si>
  <si>
    <t>VLADIMIR ZOZHEY</t>
  </si>
  <si>
    <t>X3683860L</t>
  </si>
  <si>
    <t>4619-DSP</t>
  </si>
  <si>
    <t>ALINA LOREDANA SODRANCA</t>
  </si>
  <si>
    <t>Y0795254C</t>
  </si>
  <si>
    <t>CARLOS AMORES MARIN</t>
  </si>
  <si>
    <t>53416212T</t>
  </si>
  <si>
    <t>4247-DGG</t>
  </si>
  <si>
    <t>RICHARD KOCH</t>
  </si>
  <si>
    <t>X2570375X</t>
  </si>
  <si>
    <t>4147-FKS</t>
  </si>
  <si>
    <t>CRISTIAN FRANCISCO MARCOS BLANCO</t>
  </si>
  <si>
    <t>51142597G</t>
  </si>
  <si>
    <t>Hyundai Getz</t>
  </si>
  <si>
    <t xml:space="preserve">4566-DLR  </t>
  </si>
  <si>
    <t>LUIS ALBERTO SANZ MARTINEZ y FRANCISCO SANZ CASARRUBIOS</t>
  </si>
  <si>
    <t>71124144W-03052426G</t>
  </si>
  <si>
    <t>0655-FJF</t>
  </si>
  <si>
    <t>JOSE MIGUEL CUMBA ARELLANO</t>
  </si>
  <si>
    <t>X5402408F</t>
  </si>
  <si>
    <t>Renault Master</t>
  </si>
  <si>
    <t xml:space="preserve">4386-CLK </t>
  </si>
  <si>
    <t xml:space="preserve">LUIS MORALEDA ANGULO    </t>
  </si>
  <si>
    <t>02241248-J</t>
  </si>
  <si>
    <t xml:space="preserve">9648-FVW </t>
  </si>
  <si>
    <t>JAVIER RODRIGUEZ FERNANDEZ</t>
  </si>
  <si>
    <t>44389854-S</t>
  </si>
  <si>
    <t xml:space="preserve">4866-FBN </t>
  </si>
  <si>
    <t>GRUPO ADESTAJO CONSULTORES, S.L.</t>
  </si>
  <si>
    <t>B85294353</t>
  </si>
  <si>
    <t>5824-DTY</t>
  </si>
  <si>
    <t>VICTOR MARTINEZ MARTINEZ</t>
  </si>
  <si>
    <t>33509901M</t>
  </si>
  <si>
    <t>0764-DMC</t>
  </si>
  <si>
    <t>ENRIQUE ALMEIDA COSTA</t>
  </si>
  <si>
    <t>50751494Q</t>
  </si>
  <si>
    <t>6697-DTD</t>
  </si>
  <si>
    <t>JUAN ANDRES DIEZ DE ULZURRUN</t>
  </si>
  <si>
    <t>24403057B</t>
  </si>
  <si>
    <t xml:space="preserve">7528-DWX </t>
  </si>
  <si>
    <t>LORELAI UTA BURCEA</t>
  </si>
  <si>
    <t>X9567815E</t>
  </si>
  <si>
    <t>Smart Fortwo Coupe</t>
  </si>
  <si>
    <t>2359-DYV</t>
  </si>
  <si>
    <t>MANUEL GOMEZ DURAN</t>
  </si>
  <si>
    <t>DAVID VELASCO MODREGO</t>
  </si>
  <si>
    <t>20255355Z</t>
  </si>
  <si>
    <t>Ford focus</t>
  </si>
  <si>
    <t>9999-DJS</t>
  </si>
  <si>
    <t>SAUL PARGA SANCHEZ</t>
  </si>
  <si>
    <t>50218799R</t>
  </si>
  <si>
    <t>2712-CPD</t>
  </si>
  <si>
    <t>ANA BELEN APARICIO ROMERO</t>
  </si>
  <si>
    <t>52379487T</t>
  </si>
  <si>
    <t>JAVIER GUSTAVO GONZALEZ DE LEON</t>
  </si>
  <si>
    <t xml:space="preserve">51419484V </t>
  </si>
  <si>
    <t>1229-DVS</t>
  </si>
  <si>
    <t>Rosa María Rivero Morera</t>
  </si>
  <si>
    <t>50815106-X</t>
  </si>
  <si>
    <t>Smart</t>
  </si>
  <si>
    <t xml:space="preserve">7781-BPX         </t>
  </si>
  <si>
    <t>SANDRA ESTEBANEZ MORENO</t>
  </si>
  <si>
    <t>12417179-P</t>
  </si>
  <si>
    <t>Fiat Punto</t>
  </si>
  <si>
    <t xml:space="preserve">9590-DMY     </t>
  </si>
  <si>
    <t>DANIEL RODRIGUEZ LOPEZ</t>
  </si>
  <si>
    <t>20432041-Z</t>
  </si>
  <si>
    <t>2674-DYH</t>
  </si>
  <si>
    <t>SINBARRERAS, S.L.</t>
  </si>
  <si>
    <t>B83455857</t>
  </si>
  <si>
    <t>8056-DFL</t>
  </si>
  <si>
    <t>Tecnoferro 24h Asistencia Técnica, S.L.</t>
  </si>
  <si>
    <t xml:space="preserve">B64980022  </t>
  </si>
  <si>
    <t>5780-FPB</t>
  </si>
  <si>
    <t>TRADIVEL SERVICIOS INTEGRALES, S.L.</t>
  </si>
  <si>
    <t>B83114025</t>
  </si>
  <si>
    <t>2608-DVY</t>
  </si>
  <si>
    <t>ALEXIS RUANO MARTINEZ</t>
  </si>
  <si>
    <t>47465475-F</t>
  </si>
  <si>
    <t xml:space="preserve">9186-FFK     </t>
  </si>
  <si>
    <t>FLORIN DINU MAROSAN</t>
  </si>
  <si>
    <t>X-9371782-H</t>
  </si>
  <si>
    <t>BMW 325</t>
  </si>
  <si>
    <t xml:space="preserve">8739-BGY        </t>
  </si>
  <si>
    <t>53268441G</t>
  </si>
  <si>
    <t xml:space="preserve">1016-DPV  </t>
  </si>
  <si>
    <t>CARLOS ALCALDE DIAZ</t>
  </si>
  <si>
    <t>5367031-G</t>
  </si>
  <si>
    <t xml:space="preserve">6310-DXZ </t>
  </si>
  <si>
    <t xml:space="preserve">4240-DGG  </t>
  </si>
  <si>
    <t>PASCUAL LOPEZ PEREZ</t>
  </si>
  <si>
    <t>51584467K</t>
  </si>
  <si>
    <t>5292-DTS</t>
  </si>
  <si>
    <t>QUICK GARDEN, S.L.</t>
  </si>
  <si>
    <t>B85623916</t>
  </si>
  <si>
    <t>8181-DDZ</t>
  </si>
  <si>
    <t>MIGUEL ANGEL GONZALEZ QUESADA</t>
  </si>
  <si>
    <t>51465347H</t>
  </si>
  <si>
    <t>5405-DGJ</t>
  </si>
  <si>
    <t>ISMAEL SALAZAR CUELLAR</t>
  </si>
  <si>
    <t>50100487R</t>
  </si>
  <si>
    <t>VALENTIN AIBAR FERNANDEZ</t>
  </si>
  <si>
    <t>26468235L</t>
  </si>
  <si>
    <t>6174-DWL</t>
  </si>
  <si>
    <t>3007-dzk</t>
  </si>
  <si>
    <t>6007-dzr</t>
  </si>
  <si>
    <t>5780-fpb</t>
  </si>
  <si>
    <t>6048-dzl</t>
  </si>
  <si>
    <t>7805-fbg</t>
  </si>
  <si>
    <t>9918-fbd</t>
  </si>
  <si>
    <t>6400-dzz</t>
  </si>
  <si>
    <t>6378-dzz</t>
  </si>
  <si>
    <t>volkswagen golf plus</t>
  </si>
  <si>
    <t>6192-dzn</t>
  </si>
  <si>
    <t>6116-fbm</t>
  </si>
  <si>
    <t>6434-dvj</t>
  </si>
  <si>
    <t>7218-dkt</t>
  </si>
  <si>
    <t>3789-dzd</t>
  </si>
  <si>
    <t>renaullt trafic</t>
  </si>
  <si>
    <t>8320-dzp</t>
  </si>
  <si>
    <t>5636-dzs</t>
  </si>
  <si>
    <t>ANATRONIC, S.A.</t>
  </si>
  <si>
    <t>A28777126</t>
  </si>
  <si>
    <t>alfa romeo gt</t>
  </si>
  <si>
    <t>1490-dgy</t>
  </si>
  <si>
    <t>f10075</t>
  </si>
  <si>
    <t>DIECISEIS NOVENOS PRODUCCION AUDIOVISUAL, S.L.</t>
  </si>
  <si>
    <t>B83404434</t>
  </si>
  <si>
    <t>porsche cayenne</t>
  </si>
  <si>
    <t>8231-cyk</t>
  </si>
  <si>
    <t>MAURICIO MARTINEZ TENORIO</t>
  </si>
  <si>
    <t>X6797026-Z</t>
  </si>
  <si>
    <t>2194-dzn</t>
  </si>
  <si>
    <t>gvu.2010z102521</t>
  </si>
  <si>
    <t>SANTANDER CONSUMER IBER-RENT,S.L.</t>
  </si>
  <si>
    <t>B84677244</t>
  </si>
  <si>
    <t>5986-fbm</t>
  </si>
  <si>
    <t>RAUL FERNANDEZ LOBATON</t>
  </si>
  <si>
    <t>75884111-G</t>
  </si>
  <si>
    <t>0263-czc</t>
  </si>
  <si>
    <t>us/6038657</t>
  </si>
  <si>
    <t>2359-dyv</t>
  </si>
  <si>
    <t>ROSALIA POMARES GARCIA</t>
  </si>
  <si>
    <t>74143834-E</t>
  </si>
  <si>
    <t>AUTOCASION VILLARES</t>
  </si>
  <si>
    <t>B37494721</t>
  </si>
  <si>
    <t>renault</t>
  </si>
  <si>
    <t>peugeot</t>
  </si>
  <si>
    <t>4808-dpp</t>
  </si>
  <si>
    <t>JUAN UBEDA BUÑON</t>
  </si>
  <si>
    <t>06212334-B</t>
  </si>
  <si>
    <t>peugeot 3607</t>
  </si>
  <si>
    <t>JIN WEIGUANG</t>
  </si>
  <si>
    <t>X6651437K</t>
  </si>
  <si>
    <t>hmidou icayoua</t>
  </si>
  <si>
    <t>X2732025-Q</t>
  </si>
  <si>
    <t>Juan Andres Martinez Sanchez</t>
  </si>
  <si>
    <t>45802318-h</t>
  </si>
  <si>
    <t>4201-gkt</t>
  </si>
  <si>
    <t>VENTAS PRIMER TRIMESTRE: SE HA RECTIFICADO EL IMPORTE</t>
  </si>
  <si>
    <t>VENTAS SEGUNDO TRIMESTRE: SE HA RECTIFICADO EL IMPORTE</t>
  </si>
  <si>
    <t>VENTAS SEGUNDO TRIMESTRE: TE LO HABIA PASADO CON IVA Y SON CON REBU</t>
  </si>
  <si>
    <t>8320-DZP</t>
  </si>
  <si>
    <t>0359-fbs</t>
  </si>
  <si>
    <t>IVA 18%</t>
  </si>
  <si>
    <t>4847-fyl</t>
  </si>
  <si>
    <t>7010-fbk</t>
  </si>
  <si>
    <t>opel corsa van</t>
  </si>
  <si>
    <t>6707-fbk</t>
  </si>
  <si>
    <t>1725-dwr</t>
  </si>
  <si>
    <t>5747-fbh</t>
  </si>
  <si>
    <t>0606-fbz</t>
  </si>
  <si>
    <t>volkswagen polo</t>
  </si>
  <si>
    <t>3659-flf</t>
  </si>
  <si>
    <t>8706-fbx</t>
  </si>
  <si>
    <t>6606-fbv</t>
  </si>
  <si>
    <t>0338-dts</t>
  </si>
  <si>
    <t>3249-fcg</t>
  </si>
  <si>
    <t>3322-fcg</t>
  </si>
  <si>
    <t>9683-fch</t>
  </si>
  <si>
    <t>7238-fcg</t>
  </si>
  <si>
    <t>5819-fdf</t>
  </si>
  <si>
    <t>0962-fcz</t>
  </si>
  <si>
    <t>renault trafic</t>
  </si>
  <si>
    <t>4096-fnx</t>
  </si>
  <si>
    <t>7004-fpz</t>
  </si>
  <si>
    <t>CESAR FERNANDEZ PEREZ</t>
  </si>
  <si>
    <t>52998907-F</t>
  </si>
  <si>
    <t>MANUEL MUÑOZ BOZA</t>
  </si>
  <si>
    <t>PINOUTA S.L.</t>
  </si>
  <si>
    <t>B64266907</t>
  </si>
  <si>
    <t>JOSE MARTIN RUIZ</t>
  </si>
  <si>
    <t>33501300Y(J)</t>
  </si>
  <si>
    <t>BOLBALNC, S.L.</t>
  </si>
  <si>
    <t>B83106492</t>
  </si>
  <si>
    <t>6505-fbm</t>
  </si>
  <si>
    <t>renault kangoo(comprado año pasado)</t>
  </si>
  <si>
    <t>80018974-L</t>
  </si>
  <si>
    <t>MARIA DOLORES HERNANDEZ GAÑAN</t>
  </si>
  <si>
    <t>tf javier urbano</t>
  </si>
  <si>
    <t>popular</t>
  </si>
  <si>
    <t>07048372E</t>
  </si>
  <si>
    <t>SUSANA MARTINEZ GALAN</t>
  </si>
  <si>
    <t>02889577H</t>
  </si>
  <si>
    <t>ISABEL LORENZO GONZALEZ ORNAECHEA</t>
  </si>
  <si>
    <t>00389154V</t>
  </si>
  <si>
    <t>HYUNDAY</t>
  </si>
  <si>
    <t>SUSANA ARCE PI</t>
  </si>
  <si>
    <t>48362317X</t>
  </si>
  <si>
    <t>ALBERTO RICO SANCHEZ</t>
  </si>
  <si>
    <t>80156337A</t>
  </si>
  <si>
    <t>al 16%</t>
  </si>
  <si>
    <t>0193-fcn</t>
  </si>
  <si>
    <t>2047-fdr</t>
  </si>
  <si>
    <t>us/6039881</t>
  </si>
  <si>
    <t>9177-dry</t>
  </si>
  <si>
    <t>us/6039882</t>
  </si>
  <si>
    <t>renault laguna</t>
  </si>
  <si>
    <t>6895-dsv</t>
  </si>
  <si>
    <t>JOSE ANDRES PARDO HERNANDEZ</t>
  </si>
  <si>
    <t>2182010d</t>
  </si>
  <si>
    <t>DOMINGO ABELLON MERINO</t>
  </si>
  <si>
    <t>48403026-D</t>
  </si>
  <si>
    <t>OSCAR ARCOS MIGUEL</t>
  </si>
  <si>
    <t>33506722-T</t>
  </si>
  <si>
    <t>Volkswagen golf plus</t>
  </si>
  <si>
    <t>VENTURA GOMEZ MARQUEZ DE PRADO</t>
  </si>
  <si>
    <t>09171309-S</t>
  </si>
  <si>
    <t>ANA BELEN TORRES MARTIN</t>
  </si>
  <si>
    <t>03885741-Y</t>
  </si>
  <si>
    <t>7877-fdv</t>
  </si>
  <si>
    <t>1254-ffc</t>
  </si>
  <si>
    <t>audi a6</t>
  </si>
  <si>
    <t>ford fiesta</t>
  </si>
  <si>
    <t>5430-dks</t>
  </si>
  <si>
    <t>0871-fpd</t>
  </si>
  <si>
    <t>0861-fpd</t>
  </si>
  <si>
    <t>4410-fnl</t>
  </si>
  <si>
    <t>4416-fnl</t>
  </si>
  <si>
    <t>5776-fdf</t>
  </si>
  <si>
    <t>0617-fdf</t>
  </si>
  <si>
    <t>7840-fdj</t>
  </si>
  <si>
    <t>0402-dxf</t>
  </si>
  <si>
    <t>7795-fdj</t>
  </si>
  <si>
    <t>3276-dzw</t>
  </si>
  <si>
    <t>AM-100</t>
  </si>
  <si>
    <t>AM-101</t>
  </si>
  <si>
    <t>AM-102</t>
  </si>
  <si>
    <t>AM-103</t>
  </si>
  <si>
    <t>AM-104</t>
  </si>
  <si>
    <t>AM-106</t>
  </si>
  <si>
    <t>AM-107</t>
  </si>
  <si>
    <t>AM-108</t>
  </si>
  <si>
    <t>AM-109</t>
  </si>
  <si>
    <t>AM-110</t>
  </si>
  <si>
    <t>AM-111</t>
  </si>
  <si>
    <t>richard saguiped esperanzate</t>
  </si>
  <si>
    <t>51485423-s</t>
  </si>
  <si>
    <t>raquel chouciño martin</t>
  </si>
  <si>
    <t>07222196-n</t>
  </si>
  <si>
    <t>7199-dxf</t>
  </si>
  <si>
    <t>Taller Mecanico Hermanos Cabanillas, C.B.</t>
  </si>
  <si>
    <t>E14680193</t>
  </si>
  <si>
    <t>Raquel Huray Fernandez</t>
  </si>
  <si>
    <t>07530565-c</t>
  </si>
  <si>
    <t>Daniel Clemente Ferrer</t>
  </si>
  <si>
    <t>78713591-r</t>
  </si>
  <si>
    <t>8078-dyy</t>
  </si>
  <si>
    <t>Emilio Jose Alonso</t>
  </si>
  <si>
    <t>71509071-r</t>
  </si>
  <si>
    <t>Juan Carlos Maya Torrejon</t>
  </si>
  <si>
    <t>7037945-r</t>
  </si>
  <si>
    <t>NW-109</t>
  </si>
  <si>
    <t>NW-110</t>
  </si>
  <si>
    <t>NW-111</t>
  </si>
  <si>
    <t>NW-112</t>
  </si>
  <si>
    <t>NW-113</t>
  </si>
  <si>
    <t>NW-114</t>
  </si>
  <si>
    <t>NW-115</t>
  </si>
  <si>
    <t>NW-116</t>
  </si>
  <si>
    <t>NW-117</t>
  </si>
  <si>
    <t>NW-118</t>
  </si>
  <si>
    <t>NW-119</t>
  </si>
  <si>
    <t>NW-120</t>
  </si>
  <si>
    <t>NW-121</t>
  </si>
  <si>
    <t>NW-122</t>
  </si>
  <si>
    <t>NW-123</t>
  </si>
  <si>
    <t>NW-124</t>
  </si>
  <si>
    <t>AUTOCASION VILLARES, S.L.</t>
  </si>
  <si>
    <t xml:space="preserve">Seat Ibiza  </t>
  </si>
  <si>
    <t xml:space="preserve">M-9073-VK </t>
  </si>
  <si>
    <t>B06400931</t>
  </si>
  <si>
    <t xml:space="preserve">4071-FKS       </t>
  </si>
  <si>
    <t>JOAQUIN BUIZA CARRERA</t>
  </si>
  <si>
    <t>51669228-G</t>
  </si>
  <si>
    <t>Fiat Brava</t>
  </si>
  <si>
    <t xml:space="preserve">M-7272-ZJ         </t>
  </si>
  <si>
    <t>MARIA CARMEN GALLEGO RAMOS</t>
  </si>
  <si>
    <t>00659762-F</t>
  </si>
  <si>
    <t>Alfa Romeo Gt</t>
  </si>
  <si>
    <t xml:space="preserve">1490-DGY        </t>
  </si>
  <si>
    <t>7218-DKT</t>
  </si>
  <si>
    <t>Luis Miguel Martínez Arroyo</t>
  </si>
  <si>
    <t>02280158F</t>
  </si>
  <si>
    <t>ANGEL GUIJARRO FERNANDEZ</t>
  </si>
  <si>
    <t>06199666-Q</t>
  </si>
  <si>
    <t>Nissan Primastar</t>
  </si>
  <si>
    <t xml:space="preserve">4743-DRP       </t>
  </si>
  <si>
    <t>CARLOS CARRTERO PLASENCIA</t>
  </si>
  <si>
    <t>29193187-T</t>
  </si>
  <si>
    <t xml:space="preserve">8231-CYK         </t>
  </si>
  <si>
    <t>Montaje de Aparatos Elevadores Mecovadillo, S.L.</t>
  </si>
  <si>
    <t>B-82012584</t>
  </si>
  <si>
    <t xml:space="preserve">Volkswagen Caddy  </t>
  </si>
  <si>
    <t xml:space="preserve">7238-FCG        </t>
  </si>
  <si>
    <t>Ricardo García Alba</t>
  </si>
  <si>
    <t>09453625-G</t>
  </si>
  <si>
    <t>Javier Rodrigo Alonso</t>
  </si>
  <si>
    <t>46957582-T</t>
  </si>
  <si>
    <t xml:space="preserve">9177-DRY           </t>
  </si>
  <si>
    <t>Jose Manuel Cambra García</t>
  </si>
  <si>
    <t>52956200-B</t>
  </si>
  <si>
    <t xml:space="preserve">5989-FJD        </t>
  </si>
  <si>
    <t xml:space="preserve">5636-DZS       </t>
  </si>
  <si>
    <t>AVERIA COBRADA</t>
  </si>
  <si>
    <t>BBVA Finanzia Autorenting</t>
  </si>
  <si>
    <t>FACTURACION 4847FYL</t>
  </si>
  <si>
    <t>TALLERES PRIZAN</t>
  </si>
  <si>
    <t>A28225621</t>
  </si>
  <si>
    <t>7650-dxh</t>
  </si>
  <si>
    <t>9322-dyp</t>
  </si>
  <si>
    <t>en9/10/032 (2coches en misma fra)</t>
  </si>
  <si>
    <t>FELIX VAQUERIZO ROMERO</t>
  </si>
  <si>
    <t>02860121</t>
  </si>
  <si>
    <t>Seat Cordoba</t>
  </si>
  <si>
    <t>8635-chs</t>
  </si>
  <si>
    <t>ARACELI RODRIGUEZ PANADERO</t>
  </si>
  <si>
    <t>01371921V</t>
  </si>
  <si>
    <t>Ford fiesta</t>
  </si>
  <si>
    <t>5561-ffp</t>
  </si>
  <si>
    <t>mercedes clase e 280 cdi</t>
  </si>
  <si>
    <t>1171-ffn</t>
  </si>
  <si>
    <t>7767-frc</t>
  </si>
  <si>
    <t>4927-frk</t>
  </si>
  <si>
    <t>4863-frk</t>
  </si>
  <si>
    <t>bmw serie 3 e90 330i</t>
  </si>
  <si>
    <t>6075-dnj</t>
  </si>
  <si>
    <t>7891-ffz</t>
  </si>
  <si>
    <t>7868-fcr</t>
  </si>
  <si>
    <t>4994-ffy</t>
  </si>
  <si>
    <t>3939-fgh</t>
  </si>
  <si>
    <t>us/6040129</t>
  </si>
  <si>
    <t>2 vehiculos en misma fra</t>
  </si>
  <si>
    <t>3033-fdf</t>
  </si>
  <si>
    <t>6604-fdr</t>
  </si>
  <si>
    <t>us/6039464</t>
  </si>
  <si>
    <t>us/6040238</t>
  </si>
  <si>
    <t>audi a4 avant</t>
  </si>
  <si>
    <t>3514-fjj</t>
  </si>
  <si>
    <t>us/6040595</t>
  </si>
  <si>
    <t>renault megane scenic</t>
  </si>
  <si>
    <t>8175-dzf</t>
  </si>
  <si>
    <t>nw-124</t>
  </si>
  <si>
    <t>nw-125</t>
  </si>
  <si>
    <t>nw-126</t>
  </si>
  <si>
    <t>nw-127</t>
  </si>
  <si>
    <t>nw-128</t>
  </si>
  <si>
    <t>nw-129</t>
  </si>
  <si>
    <t>averia peritada 4847fyl</t>
  </si>
  <si>
    <t>80086312-j</t>
  </si>
  <si>
    <t>3126-dzx</t>
  </si>
  <si>
    <t>AM-112</t>
  </si>
  <si>
    <t>AM-113</t>
  </si>
  <si>
    <t>AM-114</t>
  </si>
  <si>
    <t>AM-115</t>
  </si>
  <si>
    <t>AM-116</t>
  </si>
  <si>
    <t>AM-117</t>
  </si>
  <si>
    <t>AM-118</t>
  </si>
  <si>
    <t>AM-119</t>
  </si>
  <si>
    <t>AM-120</t>
  </si>
  <si>
    <t>JOSE MARIA FOLACHE SANCHEZ ROBLES</t>
  </si>
  <si>
    <t>77183016-F</t>
  </si>
  <si>
    <t>ALAGIC BURNIC HANIS</t>
  </si>
  <si>
    <t>071361330</t>
  </si>
  <si>
    <t>FRUTOS SECOS KOKE´S</t>
  </si>
  <si>
    <t>B06256036</t>
  </si>
  <si>
    <t>AUTOMOVILES J.M. CAMINO, S.L.</t>
  </si>
  <si>
    <t>B83199877</t>
  </si>
  <si>
    <t>peugeot 206 xad</t>
  </si>
  <si>
    <t>CRISTINA TAMODO PISONERO</t>
  </si>
  <si>
    <t>51066636-N</t>
  </si>
  <si>
    <t>instalaciones hontanaya</t>
  </si>
  <si>
    <t>b45267804</t>
  </si>
  <si>
    <t>blanca georgiana postocache</t>
  </si>
  <si>
    <t>x8220756-g</t>
  </si>
  <si>
    <t>tekpam ingenieria, s.l.</t>
  </si>
  <si>
    <t>b82626300</t>
  </si>
  <si>
    <t>smart fortwo mhd</t>
  </si>
  <si>
    <t>IVA AL 16</t>
  </si>
  <si>
    <t>8651-fgk</t>
  </si>
  <si>
    <t>9400-fdz</t>
  </si>
  <si>
    <t>mercedes clase cls 219</t>
  </si>
  <si>
    <t>8121-dkz</t>
  </si>
  <si>
    <t>1061-fdm</t>
  </si>
  <si>
    <t>4015-fgf</t>
  </si>
  <si>
    <t>citroen combo</t>
  </si>
  <si>
    <t>4257-dyw</t>
  </si>
  <si>
    <t>nissan interstar</t>
  </si>
  <si>
    <t>1226-fgg</t>
  </si>
  <si>
    <t>renault partner</t>
  </si>
  <si>
    <t>1236-fgg</t>
  </si>
  <si>
    <t>opel vivaro</t>
  </si>
  <si>
    <t>0744-fhx</t>
  </si>
  <si>
    <t>AM-121</t>
  </si>
  <si>
    <t>AM-122</t>
  </si>
  <si>
    <t>AM-123</t>
  </si>
  <si>
    <t>AM-124</t>
  </si>
  <si>
    <t>AM-125</t>
  </si>
  <si>
    <t>AM-126</t>
  </si>
  <si>
    <t>AM-127</t>
  </si>
  <si>
    <t>AM-128</t>
  </si>
  <si>
    <t>AM-129</t>
  </si>
  <si>
    <t>AM-130</t>
  </si>
  <si>
    <t>AM-131</t>
  </si>
  <si>
    <t>AM-132</t>
  </si>
  <si>
    <t>AM-133</t>
  </si>
  <si>
    <t>MARTIN GRESGORIO BURGUEÑO CAMBRA</t>
  </si>
  <si>
    <t>53195285-B</t>
  </si>
  <si>
    <t>javier urcelay lopez</t>
  </si>
  <si>
    <t>05294002-t</t>
  </si>
  <si>
    <t>mercedes 300e</t>
  </si>
  <si>
    <t>m-1237-sx</t>
  </si>
  <si>
    <t>monica hagiu</t>
  </si>
  <si>
    <t>x8913596-s</t>
  </si>
  <si>
    <t>juan mayor pastor</t>
  </si>
  <si>
    <t>49018083-t</t>
  </si>
  <si>
    <t xml:space="preserve">M-0841-YS         </t>
  </si>
  <si>
    <t>m-7726-nd</t>
  </si>
  <si>
    <t>instalaciones oral design madrid, s.l.,</t>
  </si>
  <si>
    <t>B83826453</t>
  </si>
  <si>
    <t>oscar toroncoso silva</t>
  </si>
  <si>
    <t>77002084-q</t>
  </si>
  <si>
    <t>natividad canton gonzalez</t>
  </si>
  <si>
    <t>06216435-h</t>
  </si>
  <si>
    <t>0297-fwv</t>
  </si>
  <si>
    <t>asesores mare nostrum, sl.</t>
  </si>
  <si>
    <t>B53959136</t>
  </si>
  <si>
    <t>renault traffic</t>
  </si>
  <si>
    <t>modesta pavon de la cruz</t>
  </si>
  <si>
    <t>75420537-H</t>
  </si>
  <si>
    <t>carolina deldedo sbrado</t>
  </si>
  <si>
    <t>50464241-x</t>
  </si>
  <si>
    <t>marina garcia rueda</t>
  </si>
  <si>
    <t>50852301-z</t>
  </si>
  <si>
    <t>3041-fgk</t>
  </si>
  <si>
    <t>nissan note(compra2009)</t>
  </si>
  <si>
    <t>7799-bgx</t>
  </si>
  <si>
    <t>7881-fcr</t>
  </si>
  <si>
    <t>2853-fhd</t>
  </si>
  <si>
    <t>peugeot 107</t>
  </si>
  <si>
    <t>0076-fhn</t>
  </si>
  <si>
    <t>8688-fhf</t>
  </si>
  <si>
    <t>7608-fhk</t>
  </si>
  <si>
    <t>2823-fhd</t>
  </si>
  <si>
    <t>5661-fhr</t>
  </si>
  <si>
    <t>reanult trafic</t>
  </si>
  <si>
    <t>1871-fhj</t>
  </si>
  <si>
    <t>7454-fhk</t>
  </si>
  <si>
    <t>us/6041420</t>
  </si>
  <si>
    <t>1262-dzy</t>
  </si>
  <si>
    <t>audi q7</t>
  </si>
  <si>
    <t>8160-ffg</t>
  </si>
  <si>
    <t>AM-134</t>
  </si>
  <si>
    <t>AM-135</t>
  </si>
  <si>
    <t>AM-136</t>
  </si>
  <si>
    <t>AM-137</t>
  </si>
  <si>
    <t>AM-138</t>
  </si>
  <si>
    <t>AM-139</t>
  </si>
  <si>
    <t>patricia fernandez vera</t>
  </si>
  <si>
    <t>47456327J</t>
  </si>
  <si>
    <t>milagros garcia fernandez</t>
  </si>
  <si>
    <t>00815820x</t>
  </si>
  <si>
    <t>nw-130</t>
  </si>
  <si>
    <t>nw-131</t>
  </si>
  <si>
    <t>nw-132</t>
  </si>
  <si>
    <t>nw-133</t>
  </si>
  <si>
    <t>nw-134</t>
  </si>
  <si>
    <t>nw-135</t>
  </si>
  <si>
    <t>libre</t>
  </si>
  <si>
    <t>fernando aparicio varas</t>
  </si>
  <si>
    <t>09304166E</t>
  </si>
  <si>
    <t>jabopi, s.l.</t>
  </si>
  <si>
    <t>b85074813</t>
  </si>
  <si>
    <t>5602-dxn</t>
  </si>
  <si>
    <t>us/6039465</t>
  </si>
  <si>
    <t>us/6041612</t>
  </si>
  <si>
    <t>1324-dzy</t>
  </si>
  <si>
    <t>9830-dmk</t>
  </si>
  <si>
    <t>1491-drr</t>
  </si>
  <si>
    <t>am-119</t>
  </si>
  <si>
    <t>luis pampanas rojo</t>
  </si>
  <si>
    <t>50047493-e</t>
  </si>
  <si>
    <t>mercedes</t>
  </si>
  <si>
    <t>peugeot partner</t>
  </si>
  <si>
    <t>2883-fgs</t>
  </si>
  <si>
    <t>EXENTO</t>
  </si>
  <si>
    <t>volkswagen caddy</t>
  </si>
  <si>
    <t>1525-dsw</t>
  </si>
  <si>
    <t>ford ft 300m</t>
  </si>
  <si>
    <t>4798-fhw</t>
  </si>
  <si>
    <t>mercedes 320d</t>
  </si>
  <si>
    <t>9757-dsv</t>
  </si>
  <si>
    <t>bmw 530xi</t>
  </si>
  <si>
    <t>6025-dnj</t>
  </si>
  <si>
    <t>6500-fjy</t>
  </si>
  <si>
    <t>4650-dsp</t>
  </si>
  <si>
    <t>toyota corolla verso</t>
  </si>
  <si>
    <t>7227-fjs</t>
  </si>
  <si>
    <t>2745-fvg</t>
  </si>
  <si>
    <t>2702-fvg</t>
  </si>
  <si>
    <t>2791-fvg</t>
  </si>
  <si>
    <t>8795-fjc</t>
  </si>
  <si>
    <t>ford ft 230l</t>
  </si>
  <si>
    <t>4284-fjl</t>
  </si>
  <si>
    <t>mini cooper</t>
  </si>
  <si>
    <t>0468-fjv</t>
  </si>
  <si>
    <t>4817-fjk</t>
  </si>
  <si>
    <t>mercedes vito</t>
  </si>
  <si>
    <t>4803-fjh</t>
  </si>
  <si>
    <t>6380-fjy</t>
  </si>
  <si>
    <t>AM-140</t>
  </si>
  <si>
    <t>AM-141</t>
  </si>
  <si>
    <t>AM-142</t>
  </si>
  <si>
    <t>AM-143</t>
  </si>
  <si>
    <t>AM-144</t>
  </si>
  <si>
    <t>AM-145</t>
  </si>
  <si>
    <t>AM-146</t>
  </si>
  <si>
    <t>AM-147</t>
  </si>
  <si>
    <t>AM-148</t>
  </si>
  <si>
    <t>AM-149</t>
  </si>
  <si>
    <t>AM-150</t>
  </si>
  <si>
    <t>AM-151</t>
  </si>
  <si>
    <t>AM-152</t>
  </si>
  <si>
    <t>ACCION 7 Instaladores, S.L.</t>
  </si>
  <si>
    <t>nissan interestar</t>
  </si>
  <si>
    <t>compra mapfre 02/11/2010</t>
  </si>
  <si>
    <t>compra mapfre 04/10/2010</t>
  </si>
  <si>
    <t>Raul Obispo Moratinos</t>
  </si>
  <si>
    <t>00694295-V</t>
  </si>
  <si>
    <t>compra mapfre 17/12/2010</t>
  </si>
  <si>
    <t>Pentaluz, S.L.</t>
  </si>
  <si>
    <t>B80221252</t>
  </si>
  <si>
    <t>Antonio Sanchez Clavero</t>
  </si>
  <si>
    <t>50953092-L</t>
  </si>
  <si>
    <t>compra mapfre 09/09/2010</t>
  </si>
  <si>
    <t>Sagar Electricidad, S.L.</t>
  </si>
  <si>
    <t>B05123849</t>
  </si>
  <si>
    <t>Ricardo Julio Garcia Sepulveda</t>
  </si>
  <si>
    <t>X8596161-A</t>
  </si>
  <si>
    <t>compra mapfre 06/10/2010</t>
  </si>
  <si>
    <t>compra mapfre 03/12/2010</t>
  </si>
  <si>
    <t>Noemi Cabrera Pereira</t>
  </si>
  <si>
    <t>53041369-B</t>
  </si>
  <si>
    <t>7500-dwx</t>
  </si>
  <si>
    <t>compra lidercar dos mil 24/05/2010</t>
  </si>
  <si>
    <t>Maria Begoña Serrano Fossas</t>
  </si>
  <si>
    <t>50453243-Y</t>
  </si>
  <si>
    <t>seat cordoba</t>
  </si>
  <si>
    <t>compra 25/10/2010 felix vaquerizo</t>
  </si>
  <si>
    <t>Royal Wagen, S.L.</t>
  </si>
  <si>
    <t>B83803809</t>
  </si>
  <si>
    <t>AM2-001</t>
  </si>
  <si>
    <t>AM2-002</t>
  </si>
  <si>
    <t>AM2-003</t>
  </si>
  <si>
    <t>AM2-004</t>
  </si>
  <si>
    <t>compra mapfre 30/06/2010</t>
  </si>
  <si>
    <t>RENTING LA TORRE, SL.</t>
  </si>
  <si>
    <t>B43641141</t>
  </si>
  <si>
    <t>Alejandra y Marta, s.l.</t>
  </si>
  <si>
    <t>B84502368</t>
  </si>
  <si>
    <t>compra mapfre 27/12/2010</t>
  </si>
  <si>
    <t>014Media, S.L.</t>
  </si>
  <si>
    <t>B80682495</t>
  </si>
  <si>
    <t>nissan kubistar</t>
  </si>
  <si>
    <t>Mihaela Damian</t>
  </si>
  <si>
    <t>X7717597-Q</t>
  </si>
  <si>
    <t>Jesus Corral Calvo</t>
  </si>
  <si>
    <t>33234868-Y</t>
  </si>
  <si>
    <t>compra a accion 7 28/10/2010</t>
  </si>
  <si>
    <t>Francisco Jesus Cacho Becerra</t>
  </si>
  <si>
    <t>07254488-N</t>
  </si>
  <si>
    <t>compra a ge capital 11/08/2010</t>
  </si>
  <si>
    <t>Enrique Almeida Costa</t>
  </si>
  <si>
    <t>50751494-Q</t>
  </si>
  <si>
    <t>compra a mapfre 04/10/2010</t>
  </si>
  <si>
    <t>peugeot 407</t>
  </si>
  <si>
    <t>0706-ffd</t>
  </si>
  <si>
    <t>2103-fgk</t>
  </si>
  <si>
    <t>3302-dtd</t>
  </si>
  <si>
    <t>8426-fjv</t>
  </si>
  <si>
    <t>8413-fjv</t>
  </si>
  <si>
    <t>3859-fkg</t>
  </si>
  <si>
    <t>4247-fyk</t>
  </si>
  <si>
    <t>1851-fgc</t>
  </si>
  <si>
    <t>3299-fjn</t>
  </si>
  <si>
    <t>0151-fjx</t>
  </si>
  <si>
    <t>8355-fkg</t>
  </si>
  <si>
    <t>7781-fkc</t>
  </si>
  <si>
    <t>3730-fjv</t>
  </si>
  <si>
    <t>ford ft 200</t>
  </si>
  <si>
    <t>5013-fsx</t>
  </si>
  <si>
    <t>ford ft kombi</t>
  </si>
  <si>
    <t>4525-fjw</t>
  </si>
  <si>
    <t>3902-fyk</t>
  </si>
  <si>
    <t>5918-fyr</t>
  </si>
  <si>
    <t>nissan navara</t>
  </si>
  <si>
    <t>6316-fyh</t>
  </si>
  <si>
    <t>9674-fcn</t>
  </si>
  <si>
    <t>2701-fkv</t>
  </si>
  <si>
    <t>2472-fkv</t>
  </si>
  <si>
    <t>compra a finanzia autorenting 11/10/2010</t>
  </si>
  <si>
    <t>1633-bzn</t>
  </si>
  <si>
    <t>AM-159</t>
  </si>
  <si>
    <t>Ademar Alufar Hidalgo</t>
  </si>
  <si>
    <t>X8143839-E</t>
  </si>
  <si>
    <t>compra a mapfre 02/11/2010</t>
  </si>
  <si>
    <t>AM-167</t>
  </si>
  <si>
    <t>Mª Jose Royo Navarro</t>
  </si>
  <si>
    <t>29091977-J</t>
  </si>
  <si>
    <t>toyota avensis</t>
  </si>
  <si>
    <t>9732-dsv</t>
  </si>
  <si>
    <t>AM-166</t>
  </si>
  <si>
    <t>Hostel Stock S.L.</t>
  </si>
  <si>
    <t>B82902289</t>
  </si>
  <si>
    <t>compra a mapfre 27/1/2011</t>
  </si>
  <si>
    <t>AM-164</t>
  </si>
  <si>
    <t>David Rodriguez Guijo</t>
  </si>
  <si>
    <t>48883751-B</t>
  </si>
  <si>
    <t>AM-160</t>
  </si>
  <si>
    <t>compra a mapfre 20/07/2010</t>
  </si>
  <si>
    <t>compra a sicher 25/1/11</t>
  </si>
  <si>
    <t>BANCO SABADELL, S.A.</t>
  </si>
  <si>
    <t>A08000143</t>
  </si>
  <si>
    <t>ford transit ft</t>
  </si>
  <si>
    <t>compra a mapfre 14/1/2011</t>
  </si>
  <si>
    <t>2777-dky</t>
  </si>
  <si>
    <t>opel astra</t>
  </si>
  <si>
    <t>4449-DSY</t>
  </si>
  <si>
    <t>toyota Avensis</t>
  </si>
  <si>
    <t>9732-DSV</t>
  </si>
  <si>
    <t>compra a mapfre 14/01/2011</t>
  </si>
  <si>
    <t>0891-FJF</t>
  </si>
  <si>
    <t>7947-FJF</t>
  </si>
  <si>
    <t xml:space="preserve">toyota corolla  </t>
  </si>
  <si>
    <t>6377-FJJ</t>
  </si>
  <si>
    <t>6268-FGV</t>
  </si>
  <si>
    <t>2652-fgz</t>
  </si>
  <si>
    <t>renault clio societ</t>
  </si>
  <si>
    <t>0630-flg</t>
  </si>
  <si>
    <t>8458-fvt</t>
  </si>
  <si>
    <t>lexus rx 300</t>
  </si>
  <si>
    <t>6900-dlh</t>
  </si>
  <si>
    <t>vokswagen transporter</t>
  </si>
  <si>
    <t>6103-frg</t>
  </si>
  <si>
    <t>citroen c1</t>
  </si>
  <si>
    <t>8728-flr</t>
  </si>
  <si>
    <t>1288-fjy</t>
  </si>
  <si>
    <t>7439-flj</t>
  </si>
  <si>
    <t>0546-flg</t>
  </si>
  <si>
    <t>am-179</t>
  </si>
  <si>
    <t>Manuel Nelson Carrasco matos</t>
  </si>
  <si>
    <t>80057165-f</t>
  </si>
  <si>
    <t>compra a mapfre 08/03/2011</t>
  </si>
  <si>
    <t>am-180</t>
  </si>
  <si>
    <t>Concepcion Estevez Martin</t>
  </si>
  <si>
    <t>00491697-A</t>
  </si>
  <si>
    <t>7573-byw</t>
  </si>
  <si>
    <t>am-157</t>
  </si>
  <si>
    <t>Manuel Gómez Gómez</t>
  </si>
  <si>
    <t>33250617-T</t>
  </si>
  <si>
    <t>am-169</t>
  </si>
  <si>
    <t>Jesus Ruiz Carrasco</t>
  </si>
  <si>
    <t>6571193-r</t>
  </si>
  <si>
    <t>comprado a mapfre 14/02/2011</t>
  </si>
  <si>
    <t>am-161</t>
  </si>
  <si>
    <t>comprado a mapfre 14/01/2011</t>
  </si>
  <si>
    <t>am-162</t>
  </si>
  <si>
    <t>Ramiro Romero Fresneda</t>
  </si>
  <si>
    <t>04612679-Y</t>
  </si>
  <si>
    <t>comprado a mapfre 21/10/2010</t>
  </si>
  <si>
    <t>am-170</t>
  </si>
  <si>
    <t>Aurica Mihailescu</t>
  </si>
  <si>
    <t>comprado a mapfre 27/01/2011</t>
  </si>
  <si>
    <t>AM-172</t>
  </si>
  <si>
    <t>Jose Manuel Campaña Torrado</t>
  </si>
  <si>
    <t>76968431-N</t>
  </si>
  <si>
    <t>comprado a mapfre 24/03/2010</t>
  </si>
  <si>
    <t>x3444127-s</t>
  </si>
  <si>
    <t>comprado a finanzia autorenting 19/07/2010</t>
  </si>
  <si>
    <t>comprado a favaras tech 2/12/2010</t>
  </si>
  <si>
    <t>fecha real 2/12/2010</t>
  </si>
  <si>
    <t>c01-12-2010</t>
  </si>
  <si>
    <t>Favaras Tech, S.L.</t>
  </si>
  <si>
    <t>9304166E</t>
  </si>
  <si>
    <t>comprado a carlos huertas 1/1/2011</t>
  </si>
  <si>
    <t>CARLOS HUERTAS SANCHEZ</t>
  </si>
  <si>
    <t>47308814E</t>
  </si>
  <si>
    <t>Soltevea Renovables, s.l.</t>
  </si>
  <si>
    <t>B85906204</t>
  </si>
  <si>
    <t>Continox 2000, s.l.</t>
  </si>
  <si>
    <t>B82118100</t>
  </si>
  <si>
    <t>compra a mapfre 27/01/2011</t>
  </si>
  <si>
    <t>Sanchez Perez Maria Beatriz, slne</t>
  </si>
  <si>
    <t>B70173604</t>
  </si>
  <si>
    <t>compra a ge capital 18/11/2010</t>
  </si>
  <si>
    <t>compra a mapfre 06/07/2010</t>
  </si>
  <si>
    <t>Roberto Carlos Arias Hinojosa</t>
  </si>
  <si>
    <t>Honorio Manzanares Gurruchaga</t>
  </si>
  <si>
    <t>01918980-k</t>
  </si>
  <si>
    <t>comprado a ge capital 01/10/2010</t>
  </si>
  <si>
    <t>Instalaciones y sistemas electricos calahorra la rioja,s.l.</t>
  </si>
  <si>
    <t>B26425751</t>
  </si>
  <si>
    <t>4817-FJK</t>
  </si>
  <si>
    <t>ford ft combi</t>
  </si>
  <si>
    <t>comprado a mapfre 16/09/2010</t>
  </si>
  <si>
    <t>AM-178</t>
  </si>
  <si>
    <t>5602-dxw</t>
  </si>
  <si>
    <t>comprado a ge capital 02/07/2010</t>
  </si>
  <si>
    <t>am-182</t>
  </si>
  <si>
    <t>Moises Castillo Sierra</t>
  </si>
  <si>
    <t>73065778-e</t>
  </si>
  <si>
    <t>5067-dmy</t>
  </si>
  <si>
    <t>compra</t>
  </si>
  <si>
    <t>am-183</t>
  </si>
  <si>
    <t>Albax, S.L.</t>
  </si>
  <si>
    <t>comprado a mapfre 08/07/2010</t>
  </si>
  <si>
    <t>MANUEL GÓMEZ LEON</t>
  </si>
  <si>
    <t>08968313-S</t>
  </si>
  <si>
    <t>compra a manuel gomez 17/2/11</t>
  </si>
  <si>
    <t>B28796886</t>
  </si>
  <si>
    <t>0449-frr</t>
  </si>
  <si>
    <t>0278-dpt</t>
  </si>
  <si>
    <t>6831-bxg</t>
  </si>
  <si>
    <t>renault vel satis</t>
  </si>
  <si>
    <t>6357-fmf</t>
  </si>
  <si>
    <t>9243-fmh</t>
  </si>
  <si>
    <t>4913-fmr</t>
  </si>
  <si>
    <t>nissan atleon</t>
  </si>
  <si>
    <t>5522-fnd</t>
  </si>
  <si>
    <t>0515-gcl</t>
  </si>
  <si>
    <t>4855-fmr</t>
  </si>
  <si>
    <t>0731-flg</t>
  </si>
  <si>
    <t>6805-fmf</t>
  </si>
  <si>
    <t>9116-fml</t>
  </si>
  <si>
    <t>volkswagen transporter</t>
  </si>
  <si>
    <t>1624-fmk</t>
  </si>
  <si>
    <t>AM-184</t>
  </si>
  <si>
    <t>Automóviles Sanvic</t>
  </si>
  <si>
    <t>E33983529</t>
  </si>
  <si>
    <t>comprado a mapfre 23/03/2011</t>
  </si>
  <si>
    <t>Carlos Alfredo Rojas Paucar</t>
  </si>
  <si>
    <t>48229748-J</t>
  </si>
  <si>
    <t>AM-185</t>
  </si>
  <si>
    <t>Juan Jose Rodriguez Solis</t>
  </si>
  <si>
    <t>04844761-H</t>
  </si>
  <si>
    <t>AM-188</t>
  </si>
  <si>
    <t>Francisco Piedras Ruiz de los Paños01181509-E</t>
  </si>
  <si>
    <t>comprado a mauricio martinez 26/06/2010</t>
  </si>
  <si>
    <t>B85857696</t>
  </si>
  <si>
    <t>comprado a mapfre 17/12/2010</t>
  </si>
  <si>
    <t>AM-190</t>
  </si>
  <si>
    <t>comprado a mapfre 02/11/2010</t>
  </si>
  <si>
    <t>Maestre Distribuciones, S.L.</t>
  </si>
  <si>
    <t>B85899276</t>
  </si>
  <si>
    <t>0962-FCZ</t>
  </si>
  <si>
    <t>comprado a mapfre 10/08/2010</t>
  </si>
  <si>
    <t>Cleito Alves Da Silva</t>
  </si>
  <si>
    <t>X8859759-K</t>
  </si>
  <si>
    <t>comprado a mapfre 18/11/2010</t>
  </si>
  <si>
    <t>vendido 2011</t>
  </si>
  <si>
    <t>comprado a mapfre 18/3/2011</t>
  </si>
  <si>
    <t>Premier Desarrollo y Consultoria, S.L.</t>
  </si>
  <si>
    <t>B84731355</t>
  </si>
  <si>
    <t>3845-fjx</t>
  </si>
  <si>
    <t>comprado a raul balado 19/1/2011</t>
  </si>
  <si>
    <t>5781-fnc</t>
  </si>
  <si>
    <t>4078-fms</t>
  </si>
  <si>
    <t>4644-fnb</t>
  </si>
  <si>
    <t>3748-fnn</t>
  </si>
  <si>
    <t>3756-fnn</t>
  </si>
  <si>
    <t>3761-fnn</t>
  </si>
  <si>
    <t>ford ft 260</t>
  </si>
  <si>
    <t>5694-fnv</t>
  </si>
  <si>
    <t>ANGEL FRANCISCO CANTELAR DOMINGO</t>
  </si>
  <si>
    <t>669046-E</t>
  </si>
  <si>
    <t>bmw 320d</t>
  </si>
  <si>
    <t>7483-cjh</t>
  </si>
  <si>
    <t>Raul Balado Martin</t>
  </si>
  <si>
    <t>52378772-k</t>
  </si>
  <si>
    <t>peugeot 1007</t>
  </si>
  <si>
    <t>Irene Blaya Carcelen</t>
  </si>
  <si>
    <t>01933239-c</t>
  </si>
  <si>
    <t>Dariusz Andrzej petryk</t>
  </si>
  <si>
    <t>x5913038-z</t>
  </si>
  <si>
    <t>comprado a mapfre 11/04/2011</t>
  </si>
  <si>
    <t>Cornel Pamfilie</t>
  </si>
  <si>
    <t>X5933890M</t>
  </si>
  <si>
    <t>Franch Instaladores y aplicaciones, S.L.</t>
  </si>
  <si>
    <t>Belarmino Roman Pelaez</t>
  </si>
  <si>
    <t>02848374-p</t>
  </si>
  <si>
    <t>0077-fgv</t>
  </si>
  <si>
    <t>comprado a accion 7 28/10/2010</t>
  </si>
  <si>
    <t>Aismacom, S.L.</t>
  </si>
  <si>
    <t>B85765592</t>
  </si>
  <si>
    <t>comprado a mapfre 02/05/2011</t>
  </si>
  <si>
    <t>FIAT punto</t>
  </si>
  <si>
    <t>11-060132</t>
  </si>
  <si>
    <t>7561-dfn</t>
  </si>
  <si>
    <t>Comercial Mercedes Benz, S.A.</t>
  </si>
  <si>
    <t>9041-dlt</t>
  </si>
  <si>
    <t>us/6045477</t>
  </si>
  <si>
    <t>GE Capital Largo Plazo, S.L.</t>
  </si>
  <si>
    <t>5406-dlv</t>
  </si>
  <si>
    <t>Raul Fernandez Lobaton</t>
  </si>
  <si>
    <t>75884111-g</t>
  </si>
  <si>
    <t>Mauricio Martinez Tenorio</t>
  </si>
  <si>
    <t>X6797020-Z</t>
  </si>
  <si>
    <t>4482-dnp</t>
  </si>
  <si>
    <t>3395-fkh</t>
  </si>
  <si>
    <t>peugeot bipper</t>
  </si>
  <si>
    <t>1165-gfk</t>
  </si>
  <si>
    <t>renault c. societ</t>
  </si>
  <si>
    <t>2212-fpl</t>
  </si>
  <si>
    <t>8209-fpg</t>
  </si>
  <si>
    <t>ford ft 220</t>
  </si>
  <si>
    <t>6134-gbw</t>
  </si>
  <si>
    <t>0215-fpy</t>
  </si>
  <si>
    <t>ford galaxy</t>
  </si>
  <si>
    <t>3654-ftd</t>
  </si>
  <si>
    <t>4645-frg</t>
  </si>
  <si>
    <t>3517-fst</t>
  </si>
  <si>
    <t>ford ft 260s</t>
  </si>
  <si>
    <t>3609-fpp</t>
  </si>
  <si>
    <t>8107-fpg</t>
  </si>
  <si>
    <t>5617-fdf</t>
  </si>
  <si>
    <t>renault combi</t>
  </si>
  <si>
    <t>4447-fmr</t>
  </si>
  <si>
    <t>mercedes c 220</t>
  </si>
  <si>
    <t>4248-fpt</t>
  </si>
  <si>
    <t>5477-gdr</t>
  </si>
  <si>
    <t>ford ft 330m</t>
  </si>
  <si>
    <t>0315-fpp</t>
  </si>
  <si>
    <t>5222-fpb</t>
  </si>
  <si>
    <t>audi a3</t>
  </si>
  <si>
    <t>3925-gcf</t>
  </si>
  <si>
    <t>3402-fnm</t>
  </si>
  <si>
    <t>toyota yaris</t>
  </si>
  <si>
    <t>2305-gdn</t>
  </si>
  <si>
    <t>AM-197</t>
  </si>
  <si>
    <t>4422-dwg</t>
  </si>
  <si>
    <t>compra a ARVAL SERVICE LEASE 17/11/2009</t>
  </si>
  <si>
    <t>compra a GE CAPITAL LARGO PLAZO 9/9/2010</t>
  </si>
  <si>
    <t>AM-203</t>
  </si>
  <si>
    <t>LUIS SEAN ROCHE PEREZ</t>
  </si>
  <si>
    <t>76264210-M</t>
  </si>
  <si>
    <t>audi a4</t>
  </si>
  <si>
    <t>am-206</t>
  </si>
  <si>
    <t>ALEJANDRO NIETO MURIEL</t>
  </si>
  <si>
    <t>30463431-T</t>
  </si>
  <si>
    <t>am-209</t>
  </si>
  <si>
    <t>AGUSTIN ARCE PI</t>
  </si>
  <si>
    <t>53622096-B</t>
  </si>
  <si>
    <t>AM-209</t>
  </si>
  <si>
    <t>Antes a nombre de otra persona</t>
  </si>
  <si>
    <t>am-210</t>
  </si>
  <si>
    <t xml:space="preserve">toyota </t>
  </si>
  <si>
    <t>am-211</t>
  </si>
  <si>
    <t>Tamara Ferrero Mateos</t>
  </si>
  <si>
    <t>71431371-h</t>
  </si>
  <si>
    <t>comprado a bbva financia 12/04/2011</t>
  </si>
  <si>
    <t>am-212</t>
  </si>
  <si>
    <t>Fernando Revilo Sanchez</t>
  </si>
  <si>
    <t>03442997-w</t>
  </si>
  <si>
    <t>mercedes c220</t>
  </si>
  <si>
    <t>comprado a mapfre 15/06/2011</t>
  </si>
  <si>
    <t>am-213</t>
  </si>
  <si>
    <t>Mª Yolanda Vaquero Jimenez</t>
  </si>
  <si>
    <t>50308721-q</t>
  </si>
  <si>
    <t>comprado a comercial mercedes 14/04/2011</t>
  </si>
  <si>
    <t>am-215</t>
  </si>
  <si>
    <t>Dimas Luján Mendoza</t>
  </si>
  <si>
    <t>54065758-a</t>
  </si>
  <si>
    <t>7273-fjs</t>
  </si>
  <si>
    <t>comprado a lease plan 07/05/2010(la matricula esta mal en 2010, no es 7272-fjs sino 7273-fjs)</t>
  </si>
  <si>
    <t>am-216</t>
  </si>
  <si>
    <t>Manuel Gomez Leon</t>
  </si>
  <si>
    <t>comprado a mapfre 02/02/2011</t>
  </si>
  <si>
    <t>Jose Antonio Santa maria</t>
  </si>
  <si>
    <t>76368067-v</t>
  </si>
  <si>
    <t>Viso 14, S.L.</t>
  </si>
  <si>
    <t>B81763757</t>
  </si>
  <si>
    <t>am-219</t>
  </si>
  <si>
    <t>Ana María Serrano Royo</t>
  </si>
  <si>
    <t>comprado a Instalaciones y sistemas electricos calahorra la rioja el 31/03/2011</t>
  </si>
  <si>
    <t>21359466-x</t>
  </si>
  <si>
    <t>am-220</t>
  </si>
  <si>
    <t>08968313-s</t>
  </si>
  <si>
    <t>Rafael Gutierrez Sanchez</t>
  </si>
  <si>
    <t>51465261-R</t>
  </si>
  <si>
    <t>am-221</t>
  </si>
  <si>
    <t>Joaquin Colera Ortega</t>
  </si>
  <si>
    <t>05376831-y</t>
  </si>
  <si>
    <t>comprado a mapfre 08/03/2011</t>
  </si>
  <si>
    <t>am-222</t>
  </si>
  <si>
    <t>Anasta Siya Khomyn</t>
  </si>
  <si>
    <t>41298161-d</t>
  </si>
  <si>
    <t>comprado a mapfre 28/03/2011</t>
  </si>
  <si>
    <t>am-250</t>
  </si>
  <si>
    <t>Emilio Galan Rey</t>
  </si>
  <si>
    <t>46908751-k</t>
  </si>
  <si>
    <t>mercedes cls 350</t>
  </si>
  <si>
    <t>comprado a mapfre 08/11/2010</t>
  </si>
  <si>
    <t>ford connect</t>
  </si>
  <si>
    <t>comprado a mapfre 30/05/2011</t>
  </si>
  <si>
    <t>David Garcia Carballo</t>
  </si>
  <si>
    <t>01189132-d</t>
  </si>
  <si>
    <t>nw-033</t>
  </si>
  <si>
    <t>0377-fdg</t>
  </si>
  <si>
    <t>nw-037</t>
  </si>
  <si>
    <t>nw-038</t>
  </si>
  <si>
    <t>nw-039</t>
  </si>
  <si>
    <t>bmw 330i</t>
  </si>
  <si>
    <t>compra a mapfre 21/10/2010</t>
  </si>
  <si>
    <t>a/3101218</t>
  </si>
  <si>
    <t>comprado a hostel stock 12/05/2011</t>
  </si>
  <si>
    <t>nw-040</t>
  </si>
  <si>
    <t>A28000727</t>
  </si>
  <si>
    <t>comprado a mapfre 05/07/2011</t>
  </si>
  <si>
    <t>nw-041</t>
  </si>
  <si>
    <t>Soluciones Come Sano, S.L.</t>
  </si>
  <si>
    <t>B85250488</t>
  </si>
  <si>
    <t>nw-042</t>
  </si>
  <si>
    <t>comprado a bbva financia 10/06/2011</t>
  </si>
  <si>
    <t>comprado a Diego Rey 12/5/2011</t>
  </si>
  <si>
    <t>Diego Rey Huertos</t>
  </si>
  <si>
    <t>51858038-f</t>
  </si>
  <si>
    <t>TERCERA</t>
  </si>
  <si>
    <t>AM-192</t>
  </si>
  <si>
    <t>Mustapha Lahfaovi</t>
  </si>
  <si>
    <t>X4257162-T</t>
  </si>
  <si>
    <t>peugeot expert</t>
  </si>
  <si>
    <t>AV-5069-H</t>
  </si>
  <si>
    <t>am-195</t>
  </si>
  <si>
    <t>Laura diez Ruiz</t>
  </si>
  <si>
    <t>52476807-f</t>
  </si>
  <si>
    <t>M-6117-WV</t>
  </si>
  <si>
    <t>AM-201</t>
  </si>
  <si>
    <t>Serveal Automocion</t>
  </si>
  <si>
    <t>B53406534</t>
  </si>
  <si>
    <t>comprado a mapfre 06/05/2011</t>
  </si>
  <si>
    <t>6269-flz</t>
  </si>
  <si>
    <t>9827-fph</t>
  </si>
  <si>
    <t>honda cr-v</t>
  </si>
  <si>
    <t>0665-fsb</t>
  </si>
  <si>
    <t>3781-frn</t>
  </si>
  <si>
    <t>8430-fsc</t>
  </si>
  <si>
    <t>lexus is 220d</t>
  </si>
  <si>
    <t>8140-flb</t>
  </si>
  <si>
    <t>nissan x-trail</t>
  </si>
  <si>
    <t>5971-ggt</t>
  </si>
  <si>
    <t>us/6045958</t>
  </si>
  <si>
    <t>4734-dyr</t>
  </si>
  <si>
    <t>us/6046684</t>
  </si>
  <si>
    <t>5950-dmz</t>
  </si>
  <si>
    <t>us/6046631</t>
  </si>
  <si>
    <t>5671-dys</t>
  </si>
  <si>
    <t>us/6046167</t>
  </si>
  <si>
    <t>4901-dyr</t>
  </si>
  <si>
    <t>A/127</t>
  </si>
  <si>
    <t>5852-cdy</t>
  </si>
  <si>
    <t>ALD Automotive, S.A.</t>
  </si>
  <si>
    <t>A80292667</t>
  </si>
  <si>
    <t>4673-ftg</t>
  </si>
  <si>
    <t>06571193-R</t>
  </si>
  <si>
    <t>comprado 11/3/2011 jesus ruiz</t>
  </si>
  <si>
    <t>Concepción Blanco Espinosa</t>
  </si>
  <si>
    <t>05227289X</t>
  </si>
  <si>
    <t>comprado 28/3/2011 concepcion blanco</t>
  </si>
  <si>
    <t>am-224</t>
  </si>
  <si>
    <t>Jose Mª Sanchez e hijos, S.L.</t>
  </si>
  <si>
    <t>b83162834</t>
  </si>
  <si>
    <t>citroen jumpy</t>
  </si>
  <si>
    <t>comprado a mapfre 31/03/2011</t>
  </si>
  <si>
    <t>am-225</t>
  </si>
  <si>
    <t>Tomás Blanco Arteaga</t>
  </si>
  <si>
    <t>11821604-H</t>
  </si>
  <si>
    <t>07433034-d</t>
  </si>
  <si>
    <t>Adrian Cuesta Correas</t>
  </si>
  <si>
    <t>AM-226</t>
  </si>
  <si>
    <t>AM-227</t>
  </si>
  <si>
    <t>Monica Adriana Priceputu</t>
  </si>
  <si>
    <t>X-4683019-N</t>
  </si>
  <si>
    <t>8643-bpu</t>
  </si>
  <si>
    <t>am-231</t>
  </si>
  <si>
    <t>Jesus Barrio Inclan</t>
  </si>
  <si>
    <t>04848757-n</t>
  </si>
  <si>
    <t>compradoa a mapfre 14/02/2011</t>
  </si>
  <si>
    <t>am-233</t>
  </si>
  <si>
    <t>Demetrio martinez Benitez</t>
  </si>
  <si>
    <t>X5573541-C</t>
  </si>
  <si>
    <t>am-235</t>
  </si>
  <si>
    <t>Jose Maria Abelardo Madroñero</t>
  </si>
  <si>
    <t>X3912028-G</t>
  </si>
  <si>
    <t>comprado a mapfre28/03/2011</t>
  </si>
  <si>
    <t>am-242</t>
  </si>
  <si>
    <t>76333367-R</t>
  </si>
  <si>
    <t>mercedes slk</t>
  </si>
  <si>
    <t>8595-dpc</t>
  </si>
  <si>
    <t>comprado a comercial mercedes 11/02/2010</t>
  </si>
  <si>
    <t>B65496069</t>
  </si>
  <si>
    <t>am-240</t>
  </si>
  <si>
    <t>Ana María Marquez Grayales</t>
  </si>
  <si>
    <t>05303794-v</t>
  </si>
  <si>
    <t>comprado a mapfre 12/09/2011</t>
  </si>
  <si>
    <t>am-244</t>
  </si>
  <si>
    <t>Alfonso Cruzado Perez</t>
  </si>
  <si>
    <t>50683953-A</t>
  </si>
  <si>
    <t>am-232</t>
  </si>
  <si>
    <t>Jose Luis Gomez Eguiluz</t>
  </si>
  <si>
    <t>51910066-d</t>
  </si>
  <si>
    <t>comprado a mapfre 02/09/2011</t>
  </si>
  <si>
    <t>am-243</t>
  </si>
  <si>
    <t>Javier Cantelan Domingo</t>
  </si>
  <si>
    <t>51640064-G</t>
  </si>
  <si>
    <t>nw-043</t>
  </si>
  <si>
    <t>nw-044</t>
  </si>
  <si>
    <t>nw-045</t>
  </si>
  <si>
    <t>nw-046</t>
  </si>
  <si>
    <t>nw-047</t>
  </si>
  <si>
    <t>nw-048</t>
  </si>
  <si>
    <t>nw-049</t>
  </si>
  <si>
    <t>nw-050</t>
  </si>
  <si>
    <t>nw-051</t>
  </si>
  <si>
    <t>nw-052</t>
  </si>
  <si>
    <t>comprado a mapfre 19/07/2011</t>
  </si>
  <si>
    <t>Autorecambio Vivasa, S.L.</t>
  </si>
  <si>
    <t>B78018736</t>
  </si>
  <si>
    <t>comprado a mapfre 12/07/2011</t>
  </si>
  <si>
    <t>Aitor Mendia Pousa</t>
  </si>
  <si>
    <t>30581340-B</t>
  </si>
  <si>
    <t>Ascensores Valverde, S.A.</t>
  </si>
  <si>
    <t>A82337023</t>
  </si>
  <si>
    <t>Jose Antonio Santa Maria Rama</t>
  </si>
  <si>
    <t>Construcciones y Promociones Esviclar, S.L.U.</t>
  </si>
  <si>
    <t>Javier Vicente Fernandez de Diego</t>
  </si>
  <si>
    <t>02252563-n</t>
  </si>
  <si>
    <t>comprado a ge capital 17/08/2011</t>
  </si>
  <si>
    <t>D66025517</t>
  </si>
  <si>
    <t>M-7750-WL</t>
  </si>
  <si>
    <t>us/6047216</t>
  </si>
  <si>
    <t>7155-dnc</t>
  </si>
  <si>
    <t>us/6047214</t>
  </si>
  <si>
    <t>renault megnane</t>
  </si>
  <si>
    <t>9487-fkl</t>
  </si>
  <si>
    <t>us/6047285</t>
  </si>
  <si>
    <t>peugeot boxer</t>
  </si>
  <si>
    <t>7564-dlj</t>
  </si>
  <si>
    <t>us/6045631</t>
  </si>
  <si>
    <t>5802-fmv</t>
  </si>
  <si>
    <t>6877-fmm</t>
  </si>
  <si>
    <t>us/6046977</t>
  </si>
  <si>
    <t>chrysler voyager</t>
  </si>
  <si>
    <t>9938-fts</t>
  </si>
  <si>
    <t>4673-fsy</t>
  </si>
  <si>
    <t>citroen saxo</t>
  </si>
  <si>
    <t>M-5213-XF</t>
  </si>
  <si>
    <t>Auto Recambios Vivasa, S.L.</t>
  </si>
  <si>
    <t>D66025462</t>
  </si>
  <si>
    <t>Ivan Vergas Frias</t>
  </si>
  <si>
    <t>09018922-R</t>
  </si>
  <si>
    <t>Z-3537-BH</t>
  </si>
  <si>
    <t>2985-BVJ</t>
  </si>
  <si>
    <t>AM-249</t>
  </si>
  <si>
    <t>Joaquin Garcia Valades</t>
  </si>
  <si>
    <t>33985152-F</t>
  </si>
  <si>
    <t>toyota rav 4</t>
  </si>
  <si>
    <t>2862-FGN</t>
  </si>
  <si>
    <t>AM-247</t>
  </si>
  <si>
    <t>Elena victoria Montoya Moyano</t>
  </si>
  <si>
    <t>2284-fnk</t>
  </si>
  <si>
    <t>AM-248</t>
  </si>
  <si>
    <t>Juan Alberto Pipaon Zambrano</t>
  </si>
  <si>
    <t>45817318-f</t>
  </si>
  <si>
    <t>comprado a mapfre 06/06/2011</t>
  </si>
  <si>
    <t>AM-246</t>
  </si>
  <si>
    <t>AM-245</t>
  </si>
  <si>
    <t>Flavia Cristina Gomez de la Vega</t>
  </si>
  <si>
    <t>508495535-p</t>
  </si>
  <si>
    <t>comprado a ge capital 29/06/2011</t>
  </si>
  <si>
    <t>Mario Blazquez Ramos</t>
  </si>
  <si>
    <t>46841806-Y</t>
  </si>
  <si>
    <t>AM-233</t>
  </si>
  <si>
    <t>Ricardo Garcia Sepulveda</t>
  </si>
  <si>
    <t>0871-FPD</t>
  </si>
  <si>
    <t>AM-232</t>
  </si>
  <si>
    <t>Santiago de la cruz manso</t>
  </si>
  <si>
    <t>02286842-k</t>
  </si>
  <si>
    <t>compradoa a Sicher ocio y diversión, S.L.29/09/2011</t>
  </si>
  <si>
    <t>Laura Montero Canave</t>
  </si>
  <si>
    <t>46879126-c</t>
  </si>
  <si>
    <t>3322-FCG</t>
  </si>
  <si>
    <t>comprado a mapfre 29/07/2010</t>
  </si>
  <si>
    <t>am-234</t>
  </si>
  <si>
    <t>Flavinia Catering Company, S.L.</t>
  </si>
  <si>
    <t>B86110616</t>
  </si>
  <si>
    <t>am-236</t>
  </si>
  <si>
    <t>Ana Maria Serrano royo</t>
  </si>
  <si>
    <t>21359466-X</t>
  </si>
  <si>
    <t>Alexi Nacemento Dunan</t>
  </si>
  <si>
    <t>47044750-k</t>
  </si>
  <si>
    <t>comprado a mapfre 25/04/2011</t>
  </si>
  <si>
    <t>am-237</t>
  </si>
  <si>
    <t>Feliciana Vellarino Miranda</t>
  </si>
  <si>
    <t>77783038-m</t>
  </si>
  <si>
    <t>skoda fabia</t>
  </si>
  <si>
    <t>3778-fwj</t>
  </si>
  <si>
    <t>3717-fwj</t>
  </si>
  <si>
    <t>2609-fwm</t>
  </si>
  <si>
    <t>2639-fwm</t>
  </si>
  <si>
    <t>8711-fvx</t>
  </si>
  <si>
    <t>8331-fsf</t>
  </si>
  <si>
    <t>6939-fth</t>
  </si>
  <si>
    <t>0291-fwt</t>
  </si>
  <si>
    <t>7973-ggw</t>
  </si>
  <si>
    <t>0312-fvd</t>
  </si>
  <si>
    <t>8413-fsc</t>
  </si>
  <si>
    <t>7284-fvf</t>
  </si>
  <si>
    <t>7291-fvf</t>
  </si>
  <si>
    <t>2448-fvr</t>
  </si>
  <si>
    <t>89--11</t>
  </si>
  <si>
    <t>Vehiculos Euromovil 99, S.L.</t>
  </si>
  <si>
    <t>B48983357</t>
  </si>
  <si>
    <t>suzuki anibal</t>
  </si>
  <si>
    <t>0571-dkw</t>
  </si>
  <si>
    <t>8--11</t>
  </si>
  <si>
    <t>1721-fss</t>
  </si>
  <si>
    <t>Manuel Lopez Gweyar</t>
  </si>
  <si>
    <t>01147954-r</t>
  </si>
  <si>
    <t>mercedes c-220</t>
  </si>
  <si>
    <t>0599-cyy</t>
  </si>
  <si>
    <t>us/6048490</t>
  </si>
  <si>
    <t>2754-fvh</t>
  </si>
  <si>
    <t>us/6048465</t>
  </si>
  <si>
    <t>2895-fsc</t>
  </si>
  <si>
    <t>us/6048347</t>
  </si>
  <si>
    <t>3990-fwc</t>
  </si>
  <si>
    <t>us/6048348</t>
  </si>
  <si>
    <t>3416-fvm</t>
  </si>
  <si>
    <t>us/6048355</t>
  </si>
  <si>
    <t>ford mondeo</t>
  </si>
  <si>
    <t>5962-fwd</t>
  </si>
  <si>
    <t>us/6047349</t>
  </si>
  <si>
    <t>4118-fnl</t>
  </si>
  <si>
    <t>us/6047720</t>
  </si>
  <si>
    <t>volvo s40</t>
  </si>
  <si>
    <t>4413-ggg</t>
  </si>
  <si>
    <t>us/6047812</t>
  </si>
  <si>
    <t>1888-dzn</t>
  </si>
  <si>
    <t>Pedro Diaz Diaz</t>
  </si>
  <si>
    <t>07497890-m</t>
  </si>
  <si>
    <t>fiat scudo</t>
  </si>
  <si>
    <t>m-2615-wx</t>
  </si>
  <si>
    <t>Victor Padilla Nieto</t>
  </si>
  <si>
    <t>05270931-k</t>
  </si>
  <si>
    <t>renault scenic</t>
  </si>
  <si>
    <t>4592-dzr</t>
  </si>
  <si>
    <t>am-254</t>
  </si>
  <si>
    <t>Vasyl Vitriak</t>
  </si>
  <si>
    <t>Y-0734867-P</t>
  </si>
  <si>
    <t>comprado a mapfre 16/09/2011</t>
  </si>
  <si>
    <t>am-263</t>
  </si>
  <si>
    <t>Paula Molina Melgarejo</t>
  </si>
  <si>
    <t>44967784-R</t>
  </si>
  <si>
    <t>comprado a ge capital 22/06/2011</t>
  </si>
  <si>
    <t>am-255</t>
  </si>
  <si>
    <t>09018922-r</t>
  </si>
  <si>
    <t>comprado a cristian francisco 20/9/2011</t>
  </si>
  <si>
    <t>am-249</t>
  </si>
  <si>
    <t>Mauricio Piñeros Piñeros</t>
  </si>
  <si>
    <t>y-0587021-y</t>
  </si>
  <si>
    <t>comprado a ge capital 12/09/2011</t>
  </si>
  <si>
    <t>tf. Recibida 25/11/2011</t>
  </si>
  <si>
    <t>am-241</t>
  </si>
  <si>
    <t>Cristina Parreño Orduña</t>
  </si>
  <si>
    <t>11844623-z</t>
  </si>
  <si>
    <t>comprado a ge capital 02/11/2011</t>
  </si>
  <si>
    <t>efectivo 25/11/2011</t>
  </si>
  <si>
    <t>am-238</t>
  </si>
  <si>
    <t>x-1720411-b</t>
  </si>
  <si>
    <t>comprado a mapfre 21/10/2011</t>
  </si>
  <si>
    <t>am2-245</t>
  </si>
  <si>
    <t>Feliciano del Amo Serrano</t>
  </si>
  <si>
    <t>04055431-w</t>
  </si>
  <si>
    <t>am-253</t>
  </si>
  <si>
    <t>Erja Adrian</t>
  </si>
  <si>
    <t>X2298447-B</t>
  </si>
  <si>
    <t>7697-fwm</t>
  </si>
  <si>
    <t>6089-FTS</t>
  </si>
  <si>
    <t>7697-FWM</t>
  </si>
  <si>
    <t>comprado a ge capital 25/10/2011</t>
  </si>
  <si>
    <t>am-251</t>
  </si>
  <si>
    <t>Tradivel servicios Integrales</t>
  </si>
  <si>
    <t>comprado a mapfre 17/11/2011</t>
  </si>
  <si>
    <t>am-259</t>
  </si>
  <si>
    <t>Antonio Rayo Molinero</t>
  </si>
  <si>
    <t>09012599-a</t>
  </si>
  <si>
    <t>am-256</t>
  </si>
  <si>
    <t>Jose Manuel Carrillo Rivero</t>
  </si>
  <si>
    <t>53391746-y</t>
  </si>
  <si>
    <t>am-239</t>
  </si>
  <si>
    <t>Leticia maria Castresona Fernandez de Anaoz</t>
  </si>
  <si>
    <t>70078146-k</t>
  </si>
  <si>
    <t>comprado a mapfre 13/09/2010</t>
  </si>
  <si>
    <t>am2-241</t>
  </si>
  <si>
    <t>comprado a mapfre 07/10/2011</t>
  </si>
  <si>
    <t>am2-243</t>
  </si>
  <si>
    <t>Auxibio Cabrero Varela</t>
  </si>
  <si>
    <t>00384510-L</t>
  </si>
  <si>
    <t>comprado a ge capital 16/08/2011</t>
  </si>
  <si>
    <t>am2-244</t>
  </si>
  <si>
    <t>AndaRosa tv</t>
  </si>
  <si>
    <t>B85628972</t>
  </si>
  <si>
    <t xml:space="preserve">comprado a ge capital 12/09/2011 </t>
  </si>
  <si>
    <t>AM2-248</t>
  </si>
  <si>
    <t>AM2-247</t>
  </si>
  <si>
    <t>Roberto Gutierrez Rel</t>
  </si>
  <si>
    <t>46920253-t</t>
  </si>
  <si>
    <t>comprado a ivan vergas 28/09/2011</t>
  </si>
  <si>
    <t>AM2-246</t>
  </si>
  <si>
    <t>Irene Roldan Lopez</t>
  </si>
  <si>
    <t>09030134-n</t>
  </si>
  <si>
    <t>comprado a accion 7 30/05/2011</t>
  </si>
  <si>
    <t>AM2-242</t>
  </si>
  <si>
    <t>comprado a ge capital 21/07/2011</t>
  </si>
  <si>
    <t>am-258</t>
  </si>
  <si>
    <t>Dan Florentin</t>
  </si>
  <si>
    <t>NW2-010</t>
  </si>
  <si>
    <t>Angel Garbajosa Contreras</t>
  </si>
  <si>
    <t>comprado a ge capital 01/12/2010</t>
  </si>
  <si>
    <t>ingreso efectivo</t>
  </si>
  <si>
    <t>AM-156</t>
  </si>
  <si>
    <t>CARLOS ONOFRE PRADILLO MIGUEL</t>
  </si>
  <si>
    <t>52508543-A</t>
  </si>
  <si>
    <t>pinouta, sl</t>
  </si>
  <si>
    <t>b84266907</t>
  </si>
  <si>
    <t>comprado  a mapfre 30/05/2011</t>
  </si>
  <si>
    <t>NW-055b</t>
  </si>
  <si>
    <t>nw-056</t>
  </si>
  <si>
    <t>audi</t>
  </si>
  <si>
    <t>8265-bzs</t>
  </si>
  <si>
    <t>comprado a mapfre 21/06/2011</t>
  </si>
  <si>
    <t>comprado  a mapfre 15/06/2011</t>
  </si>
  <si>
    <t>nw-063</t>
  </si>
  <si>
    <t>Juan Fernandez Cuenca</t>
  </si>
  <si>
    <t>79234345-n</t>
  </si>
  <si>
    <t>comprado  a ge capital 13/09/2011</t>
  </si>
  <si>
    <t>nw-064</t>
  </si>
  <si>
    <t>Virginia salguero Romero</t>
  </si>
  <si>
    <t>02908780-q</t>
  </si>
  <si>
    <t>nw-065</t>
  </si>
  <si>
    <t>Modulcarpa, S.L.</t>
  </si>
  <si>
    <t>comprado  a mapfre 28/03/2011</t>
  </si>
  <si>
    <t>Rolando Delgado Gongora</t>
  </si>
  <si>
    <t>50363031-T</t>
  </si>
  <si>
    <t>50363031-t</t>
  </si>
  <si>
    <t>9334-bpv</t>
  </si>
  <si>
    <t>comprado  a renting la torre 30/08/2011</t>
  </si>
  <si>
    <t>nw-069</t>
  </si>
  <si>
    <t>comprado a mapfre 25/06/2010</t>
  </si>
  <si>
    <t>nw-070</t>
  </si>
  <si>
    <t>raul del moral sanchez</t>
  </si>
  <si>
    <t>47044312-c</t>
  </si>
  <si>
    <t>comprado a mapfre 20/11/2011</t>
  </si>
  <si>
    <t>nw-071</t>
  </si>
  <si>
    <t>alicia sanchez camino</t>
  </si>
  <si>
    <t>51877249-j</t>
  </si>
  <si>
    <t>3205-fbw</t>
  </si>
  <si>
    <t>nw-072</t>
  </si>
  <si>
    <t>comprado  a mapfre 20/11/2011</t>
  </si>
  <si>
    <t>coriander juliet stone</t>
  </si>
  <si>
    <t>x4822152-h</t>
  </si>
  <si>
    <t>comprado a mapfre 09/08/2011</t>
  </si>
  <si>
    <t>comprado  a mapfre 19/07/2011</t>
  </si>
  <si>
    <t>cheque</t>
  </si>
  <si>
    <t>Ignacio Diaz Mandarin</t>
  </si>
  <si>
    <t>33504928-T</t>
  </si>
  <si>
    <t xml:space="preserve">ford mondeo </t>
  </si>
  <si>
    <t>comprado a ignacio diaz 29/7/2011</t>
  </si>
  <si>
    <t>comprado a rafael gutierrez 28/6/2011</t>
  </si>
  <si>
    <t>rafael gutierrez sanchez</t>
  </si>
  <si>
    <t>comprado a mª sol noya 20/9/2011</t>
  </si>
  <si>
    <t>Mª Sol Noya Gandara</t>
  </si>
  <si>
    <t xml:space="preserve">VALUC 2710, S.L.    </t>
  </si>
  <si>
    <t>nw-074</t>
  </si>
  <si>
    <t>B-86070182</t>
  </si>
  <si>
    <t>B-85655249</t>
  </si>
  <si>
    <t>50683953-a</t>
  </si>
  <si>
    <t>comprado a alfonso cruzado el 8/9/2011</t>
  </si>
  <si>
    <t>comprado a flavia cristina el 1/9/2011</t>
  </si>
  <si>
    <t>50849535-p</t>
  </si>
  <si>
    <t>A/172</t>
  </si>
  <si>
    <t>Ibericar Ocasión Centro, S.A.</t>
  </si>
  <si>
    <t>opel vectra</t>
  </si>
  <si>
    <t>2074-byy</t>
  </si>
  <si>
    <t>A84663772</t>
  </si>
  <si>
    <t>nissan almera</t>
  </si>
  <si>
    <t>1730-cgz</t>
  </si>
  <si>
    <t>volkswage golf</t>
  </si>
  <si>
    <t>M-0903-PV</t>
  </si>
  <si>
    <t>44967784-r</t>
  </si>
  <si>
    <t>0228-FTG</t>
  </si>
  <si>
    <t>nissan primera</t>
  </si>
  <si>
    <t>7256-fxh</t>
  </si>
  <si>
    <t>7887-fxs</t>
  </si>
  <si>
    <t>us/6048269</t>
  </si>
  <si>
    <t>us/6048491</t>
  </si>
  <si>
    <t>2880-fwj</t>
  </si>
  <si>
    <t>3238-fwg</t>
  </si>
  <si>
    <t>us/6048919</t>
  </si>
  <si>
    <t>us/6048916</t>
  </si>
  <si>
    <t>3110-fdf</t>
  </si>
  <si>
    <t>us/6048918</t>
  </si>
  <si>
    <t>0758-fwx</t>
  </si>
  <si>
    <t>us/6048270</t>
  </si>
  <si>
    <t>M-2080-TK</t>
  </si>
  <si>
    <t>02817353-z</t>
  </si>
  <si>
    <t>50308997-q</t>
  </si>
  <si>
    <t>X-874416-Z</t>
  </si>
  <si>
    <t>AM-264</t>
  </si>
  <si>
    <t>3321-fdf</t>
  </si>
  <si>
    <t>comprado a ge capital 29/11/11</t>
  </si>
  <si>
    <t>am-269</t>
  </si>
  <si>
    <t>Salvador Espino soria</t>
  </si>
  <si>
    <t>75114345-w</t>
  </si>
  <si>
    <t>comprado a ge capital 26/10/2011</t>
  </si>
  <si>
    <t>am-267</t>
  </si>
  <si>
    <t>Jose Luis San Millan</t>
  </si>
  <si>
    <t>12749294-a</t>
  </si>
  <si>
    <t>comprado a ald automotive 07/09/2011</t>
  </si>
  <si>
    <t>am-268</t>
  </si>
  <si>
    <t>Alex Richard Mendoza Galvez</t>
  </si>
  <si>
    <t>X7422916-B</t>
  </si>
  <si>
    <t>comprado a Ibericar Ocasión Centro 7/12/11</t>
  </si>
  <si>
    <t>am-266</t>
  </si>
  <si>
    <t>Georgina Minguez Saiz</t>
  </si>
  <si>
    <t>50799816-s</t>
  </si>
  <si>
    <t xml:space="preserve">ford fiesta   </t>
  </si>
  <si>
    <t>am-271</t>
  </si>
  <si>
    <t>comprado a ge capital 21/11/2011</t>
  </si>
  <si>
    <t>4164-fwy</t>
  </si>
  <si>
    <t>Francisco Cobos Marquina</t>
  </si>
  <si>
    <t>11829785-b</t>
  </si>
  <si>
    <t xml:space="preserve">fiat punto </t>
  </si>
  <si>
    <t>m-7855-tu</t>
  </si>
  <si>
    <t>53391746-Y</t>
  </si>
  <si>
    <t>3425-drv</t>
  </si>
  <si>
    <t>us/6048595</t>
  </si>
  <si>
    <t>7157-fhp</t>
  </si>
  <si>
    <t>us/6049292</t>
  </si>
  <si>
    <t>5545-fth</t>
  </si>
  <si>
    <t>us/6049291</t>
  </si>
  <si>
    <t>7043-fnk</t>
  </si>
  <si>
    <t>us/6049193</t>
  </si>
  <si>
    <t>6941-fbw</t>
  </si>
  <si>
    <t>us/6049290</t>
  </si>
  <si>
    <t>5376-fnk</t>
  </si>
  <si>
    <t>us/6049288</t>
  </si>
  <si>
    <t>5483-fnk</t>
  </si>
  <si>
    <t>us/6049289</t>
  </si>
  <si>
    <t>reanult clio</t>
  </si>
  <si>
    <t>5530-fnk</t>
  </si>
  <si>
    <t>comprado a ge 21/11/11</t>
  </si>
  <si>
    <t>vendido 2012</t>
  </si>
  <si>
    <t>am-274</t>
  </si>
  <si>
    <t>Modou Wagne serigne</t>
  </si>
  <si>
    <t>y-0217918-f</t>
  </si>
  <si>
    <t>comprado a ge 26/10/11</t>
  </si>
  <si>
    <t>3173-FGH</t>
  </si>
  <si>
    <t>5968-FBN</t>
  </si>
  <si>
    <t>1250-FHX</t>
  </si>
  <si>
    <t>9126-FXD</t>
  </si>
  <si>
    <t>9116-FXD</t>
  </si>
  <si>
    <t>7924-FWT</t>
  </si>
  <si>
    <t>AM-272</t>
  </si>
  <si>
    <t>Blanca Maria Adrian</t>
  </si>
  <si>
    <t>X2298435-E</t>
  </si>
  <si>
    <t>reanult megane</t>
  </si>
  <si>
    <t>comprado a ge 13/12/11</t>
  </si>
  <si>
    <t>AM-273</t>
  </si>
  <si>
    <t>Charles Ysaac Da Silva</t>
  </si>
  <si>
    <t>X7681934-A</t>
  </si>
  <si>
    <t>comprado a ge 16/9/11</t>
  </si>
  <si>
    <t>nw-073</t>
  </si>
  <si>
    <t>nw-076</t>
  </si>
  <si>
    <t>idosa hosteleria, s.l.</t>
  </si>
  <si>
    <t>comprado a mapfre 03/12/2010</t>
  </si>
  <si>
    <t>nw-077</t>
  </si>
  <si>
    <t>Antonio Flores Garcia</t>
  </si>
  <si>
    <t>52475509-C</t>
  </si>
  <si>
    <t>X8619922-M</t>
  </si>
  <si>
    <t>TF.RECIBIDA 22/03/2011</t>
  </si>
  <si>
    <t>TF.RECIBIDA 23/03/2011-3000€</t>
  </si>
  <si>
    <t>TF. RECIbida 07/04/2011</t>
  </si>
  <si>
    <t>500 € TF.RECIBIDA 15/04/2011</t>
  </si>
  <si>
    <t>TF.RECIBIDA 18/05/2011</t>
  </si>
  <si>
    <t>TF.RECIBIDA 27/05/2011</t>
  </si>
  <si>
    <t>TF. RECIBIDA 30/05/2011</t>
  </si>
  <si>
    <t>efectivo 29/11/2010</t>
  </si>
  <si>
    <t>efectivo 11/03/2011</t>
  </si>
  <si>
    <t>efectivo 21/03/2011</t>
  </si>
  <si>
    <t>cheque 15/06 3000€</t>
  </si>
  <si>
    <t>CHEQUE 15/9/2011</t>
  </si>
  <si>
    <t>EFECTIVO 15/06/2011</t>
  </si>
  <si>
    <t>EFECTIVO 24/06/2011</t>
  </si>
  <si>
    <t>efectivo 24/06/11 3000€</t>
  </si>
  <si>
    <t>efectivo 12/7/11</t>
  </si>
  <si>
    <t>efectivo 18/7/11</t>
  </si>
  <si>
    <t>efectivo 19/7/2011</t>
  </si>
  <si>
    <t>efectivo 19/7/11</t>
  </si>
  <si>
    <t>efectivo 2/8/11</t>
  </si>
  <si>
    <t>efectivo 29/8/11</t>
  </si>
  <si>
    <t>efectivo 5/9/11</t>
  </si>
  <si>
    <t>efectivo 16/9/11</t>
  </si>
  <si>
    <t>tf.recibida 5/9/11</t>
  </si>
  <si>
    <t>TF.varias 1000 €</t>
  </si>
  <si>
    <t>efectivo 03/01/2011</t>
  </si>
  <si>
    <t>tf.15/6/2011</t>
  </si>
  <si>
    <t>tf  21/06/2011(500€) resto efectivo</t>
  </si>
  <si>
    <t>tf.04/7/2011 bankia</t>
  </si>
  <si>
    <t>tf.8/7/2011 bankia</t>
  </si>
  <si>
    <t>tf.16/9/11 bankia</t>
  </si>
  <si>
    <t>tf.20/9/11 bankia</t>
  </si>
  <si>
    <t>efectivo 18/11/2011</t>
  </si>
  <si>
    <t>efectivo 17/11/11 sabadell</t>
  </si>
  <si>
    <t>efectivo 24/8/11 sabadel</t>
  </si>
  <si>
    <t>efectivo 20/8/11 sabadell</t>
  </si>
  <si>
    <t>efectivo 25/10/11 sabadell</t>
  </si>
  <si>
    <t>efectivo 28/10/11 sabadell</t>
  </si>
  <si>
    <t>efectivo 02/11/2011 sabadell</t>
  </si>
  <si>
    <t>efectivo 09/01/2012 sabadell</t>
  </si>
  <si>
    <t>cheque 3/11/12</t>
  </si>
  <si>
    <t>efectivo 04/11/2011 sabadell</t>
  </si>
  <si>
    <t>efectivo 16/11/11 sabadel</t>
  </si>
  <si>
    <t>efectividad 21/11/11 sabadell</t>
  </si>
  <si>
    <t>efectivo 23/11/11 sabadel</t>
  </si>
  <si>
    <t>efectivo 25/11/11 sabadel</t>
  </si>
  <si>
    <t>tf. 05/12/2011</t>
  </si>
  <si>
    <t>efectivo 12/12/11 sabadell</t>
  </si>
  <si>
    <t>efectivo 10/8/11</t>
  </si>
  <si>
    <t>tf.recibida 5/9/11-7600€efectivo 26/9/2011popular</t>
  </si>
  <si>
    <t>efectivo 29/9/2011 popular</t>
  </si>
  <si>
    <t>efectivo 29/9/11 popular</t>
  </si>
  <si>
    <t>efectivo  27/10/11 popular</t>
  </si>
  <si>
    <t>cheque 2500 16/5/11 resto efectivo</t>
  </si>
  <si>
    <t>reserva 20/7/11 1000€ tf. Bankia. Resto TF. 28/7/11 banco popular</t>
  </si>
  <si>
    <t>tf. 24/11/11 popular</t>
  </si>
  <si>
    <t>tf. 9/9/11 popular</t>
  </si>
  <si>
    <t>efectivo 27/12/10 popular</t>
  </si>
  <si>
    <t>Maria Sol Noya Gandana</t>
  </si>
  <si>
    <t>tf. 2/9/11 popular</t>
  </si>
  <si>
    <t>efectivo 11/01/2011 c.avila</t>
  </si>
  <si>
    <t>efectivo 13/12/2010 c.avila</t>
  </si>
  <si>
    <t>efectivo 14/01/2011 c.avila</t>
  </si>
  <si>
    <t>efectivo 20/01/2011 c.avila</t>
  </si>
  <si>
    <t>efectivo 26/01/2011 c.avila</t>
  </si>
  <si>
    <t>efectivo 01/02/2011 c.avila</t>
  </si>
  <si>
    <t>cheque 03/02/2011 c.avila</t>
  </si>
  <si>
    <t>efectivo 09/02/2011 c.avila</t>
  </si>
  <si>
    <t>cheque 28/02/2011 c.avila</t>
  </si>
  <si>
    <t>cheque 25/02/2011 c.avila</t>
  </si>
  <si>
    <t>tf</t>
  </si>
  <si>
    <t>efectivo 24/03/2011 c.avila</t>
  </si>
  <si>
    <t>efectivo 07/02/2011 c.avila</t>
  </si>
  <si>
    <t>efectivo 14/03/2011 c.avila+</t>
  </si>
  <si>
    <t>efectivo 28/03/2011 c.avila</t>
  </si>
  <si>
    <t>cheque 24/02/2011 c.avila</t>
  </si>
  <si>
    <t>efectivo 08/03/2011 c.avila</t>
  </si>
  <si>
    <t>cheque 04/04/2011 c.avila</t>
  </si>
  <si>
    <t>efectivo 26/04/2011 c.avila</t>
  </si>
  <si>
    <t>cheque 19/04/2011 c.avila</t>
  </si>
  <si>
    <t>efectivo 06/06/2011 c.avila</t>
  </si>
  <si>
    <t>efectivo 07/06/2011 c.avila</t>
  </si>
  <si>
    <t>cheque 06/06/2011 c.avila</t>
  </si>
  <si>
    <t>efectivo 02/06/2011 c.avila</t>
  </si>
  <si>
    <t>efectivo 08/11/2011 bankia</t>
  </si>
  <si>
    <t>metalico1</t>
  </si>
  <si>
    <t>Y-1376801-W</t>
  </si>
  <si>
    <t>RENAULT MASTER</t>
  </si>
  <si>
    <t>9243-FMH</t>
  </si>
  <si>
    <t>FA096V02012000022</t>
  </si>
  <si>
    <t>PARCOURS IBERIA, S.A.U.</t>
  </si>
  <si>
    <t>A84798404</t>
  </si>
  <si>
    <t>NISSAN NAVARA</t>
  </si>
  <si>
    <t>4257-FNM</t>
  </si>
  <si>
    <t>TOYOTA AURIS</t>
  </si>
  <si>
    <t>0799-FYC</t>
  </si>
  <si>
    <t>0776-FYC</t>
  </si>
  <si>
    <t>CITROEN JUMPY</t>
  </si>
  <si>
    <t>8686-FYH</t>
  </si>
  <si>
    <t>CITROEN JUMPY COMBI</t>
  </si>
  <si>
    <t>3626-FXB</t>
  </si>
  <si>
    <t>FORD FT 230L</t>
  </si>
  <si>
    <t>1020-FYC</t>
  </si>
  <si>
    <t>CITROEN C2 COMERCIAL</t>
  </si>
  <si>
    <t>7764-FYR</t>
  </si>
  <si>
    <t>0788-FYC</t>
  </si>
  <si>
    <t>0844-FYC</t>
  </si>
  <si>
    <t>5196-FYL</t>
  </si>
  <si>
    <t>4696-FZF</t>
  </si>
  <si>
    <t>1832-FXR</t>
  </si>
  <si>
    <t>1209-GKC</t>
  </si>
  <si>
    <t>OPEL ASTRA SW</t>
  </si>
  <si>
    <t>8065-FZG</t>
  </si>
  <si>
    <t>2764-GBF</t>
  </si>
  <si>
    <t>3908-FSX</t>
  </si>
  <si>
    <t>1154-GKC</t>
  </si>
  <si>
    <t>7845-FZX</t>
  </si>
  <si>
    <t>VOLVO XC90</t>
  </si>
  <si>
    <t>8252-DZH</t>
  </si>
  <si>
    <t xml:space="preserve">7596-FZV </t>
  </si>
  <si>
    <t>ANGEL GARBAJOSA CONTRERAS</t>
  </si>
  <si>
    <t>02817353-Z</t>
  </si>
  <si>
    <t>FORD MONDEO</t>
  </si>
  <si>
    <t>comprado 03/03/2011 a Angel Garbajosa(contabilizado en 2012)</t>
  </si>
  <si>
    <t>us/6049674</t>
  </si>
  <si>
    <t>us/6050051</t>
  </si>
  <si>
    <t>4396-FZC</t>
  </si>
  <si>
    <t>US/6050050</t>
  </si>
  <si>
    <t>FIAT GRANDE PUNTO</t>
  </si>
  <si>
    <t>7480-FXT</t>
  </si>
  <si>
    <t>US/6050049</t>
  </si>
  <si>
    <t>7469-FXT</t>
  </si>
  <si>
    <t>US/6050052</t>
  </si>
  <si>
    <t>0297-GHZ</t>
  </si>
  <si>
    <t>US/6049931</t>
  </si>
  <si>
    <t>8766-FWS</t>
  </si>
  <si>
    <t>US/6049434</t>
  </si>
  <si>
    <t>US/6049675</t>
  </si>
  <si>
    <t>US/6049651</t>
  </si>
  <si>
    <t>1960-CXR</t>
  </si>
  <si>
    <t>0885-FWL</t>
  </si>
  <si>
    <t>FALTA FRA.</t>
  </si>
  <si>
    <t>3044-FVM</t>
  </si>
  <si>
    <t>4285-FYY</t>
  </si>
  <si>
    <t>3390-FVM</t>
  </si>
  <si>
    <t>1692-FXR</t>
  </si>
  <si>
    <t>CITROEN C4</t>
  </si>
  <si>
    <t>7714-FVX</t>
  </si>
  <si>
    <t>3527-FYR</t>
  </si>
  <si>
    <t>9812-FWR</t>
  </si>
  <si>
    <t>0682-FYJ</t>
  </si>
  <si>
    <t>1177-FXL</t>
  </si>
  <si>
    <t>0581-DVL</t>
  </si>
  <si>
    <t>5921-FKJ</t>
  </si>
  <si>
    <t>COMPRADO A IBERICAR 01/12/2011</t>
  </si>
  <si>
    <t>CONSTANTIN MITHOI</t>
  </si>
  <si>
    <t>Y-0023518-A</t>
  </si>
  <si>
    <t>2074-BYY</t>
  </si>
  <si>
    <t>COMPRADO A Auto Recambios Vivasa 23/8/2011</t>
  </si>
  <si>
    <t>312012-1</t>
  </si>
  <si>
    <t>MANI ABDEL HAFID</t>
  </si>
  <si>
    <t>X-6357070-P</t>
  </si>
  <si>
    <t>COMPRADO A MAPFRE 17/11/2011</t>
  </si>
  <si>
    <t>ISABEL TOME CACERES</t>
  </si>
  <si>
    <t>00851297-K</t>
  </si>
  <si>
    <t>6939-FTH</t>
  </si>
  <si>
    <t>TF. 3/1/12 BANKIA 0572</t>
  </si>
  <si>
    <t>AM-304</t>
  </si>
  <si>
    <t>ALEXI NACEMENTO DURAN</t>
  </si>
  <si>
    <t>5776-FDF</t>
  </si>
  <si>
    <t>COMPRADO A MAPFRE 16/09/2010</t>
  </si>
  <si>
    <t>SAAB 9</t>
  </si>
  <si>
    <t>6225-CVV</t>
  </si>
  <si>
    <t>A/136</t>
  </si>
  <si>
    <t>VENDIDO 2012</t>
  </si>
  <si>
    <t>COMPRADO A GE CAPITAL 02/12/2011</t>
  </si>
  <si>
    <t>AM-275</t>
  </si>
  <si>
    <t>AUIXBIO CABRERO VARELA</t>
  </si>
  <si>
    <t>5545-FTH</t>
  </si>
  <si>
    <t>COMPRADO A GE CAPITAL 03/01/2012</t>
  </si>
  <si>
    <t>COMPRADO A GE CAPITAL 21/11/2011</t>
  </si>
  <si>
    <t>ERNESTO ALVAREZ DE LA CRUZ</t>
  </si>
  <si>
    <t>10073106-A</t>
  </si>
  <si>
    <t>VOLKSWAGEN GOLF</t>
  </si>
  <si>
    <t>3238-FWG</t>
  </si>
  <si>
    <t>AM-278</t>
  </si>
  <si>
    <t>ADRIANA CALBAL CHRISTOVFO</t>
  </si>
  <si>
    <t>COMPRADO A AUTo Recambios Vivasa 29/08/2011</t>
  </si>
  <si>
    <t>AM-279</t>
  </si>
  <si>
    <t>JUAN CARLOS MARTIN LOPEZ</t>
  </si>
  <si>
    <t>53447749-G</t>
  </si>
  <si>
    <t>COMPRADO A GE CAPITAL  03/01/2012</t>
  </si>
  <si>
    <t>AM-280</t>
  </si>
  <si>
    <t>AM-281</t>
  </si>
  <si>
    <t>COMPRADO A GE CAPITAL 09/01/2012</t>
  </si>
  <si>
    <t>8244-DPL</t>
  </si>
  <si>
    <t>AM-282</t>
  </si>
  <si>
    <t>BIANCA MARIA ADRIAN</t>
  </si>
  <si>
    <t>X-2298435-E</t>
  </si>
  <si>
    <t>COMPRADO A GE CAPITAL 15/1/2012</t>
  </si>
  <si>
    <t>AM-283</t>
  </si>
  <si>
    <t>COMPRADO A GE CAPITAL 16/12/2011</t>
  </si>
  <si>
    <t>AM-284</t>
  </si>
  <si>
    <t>ZORYANA NIKOLCHAK</t>
  </si>
  <si>
    <t>X-5699788-C</t>
  </si>
  <si>
    <t>SKODA FABIA</t>
  </si>
  <si>
    <t>2639-FWM</t>
  </si>
  <si>
    <t>COMPRADO A MAPFRE 20/11/2011</t>
  </si>
  <si>
    <t>COMPRADO A MAFPFRE 26/12/2011</t>
  </si>
  <si>
    <t>AM-285</t>
  </si>
  <si>
    <t>ALEJANDRA Y MARTA, S.L.</t>
  </si>
  <si>
    <t>4164-FWY</t>
  </si>
  <si>
    <t>COMPRADO A GE CAPITAL 18/01/2012</t>
  </si>
  <si>
    <t>AM-287</t>
  </si>
  <si>
    <t>AM-288</t>
  </si>
  <si>
    <t>RAUL DEL MORAL SANCHEZ</t>
  </si>
  <si>
    <t>47044312-C</t>
  </si>
  <si>
    <t>AM-290</t>
  </si>
  <si>
    <t>ULTIMAS TECNICAS MARTINEZ, S.L.</t>
  </si>
  <si>
    <t>B86034899</t>
  </si>
  <si>
    <t>5962-FWD</t>
  </si>
  <si>
    <t>COMPRADO A GE CAPITAL 26/10/2011</t>
  </si>
  <si>
    <t>AM-292</t>
  </si>
  <si>
    <t>AMPARO AVISON MANBRILLA</t>
  </si>
  <si>
    <t>50705995-B</t>
  </si>
  <si>
    <t>2609-FWM</t>
  </si>
  <si>
    <t>METALICO 12/1/12</t>
  </si>
  <si>
    <t>AM-294</t>
  </si>
  <si>
    <t>JUAN MARIANO BALLESTEROS LORENZO</t>
  </si>
  <si>
    <t>70409367-L</t>
  </si>
  <si>
    <t>COMPRADO A GE CAPITAL 20/12/2011</t>
  </si>
  <si>
    <t>AM-295</t>
  </si>
  <si>
    <t>BOHDAN TSIMERMAN</t>
  </si>
  <si>
    <t>X-6540951-G</t>
  </si>
  <si>
    <t>3609-FPP</t>
  </si>
  <si>
    <t>COMPRADOA RENTING LA TORRE 16/12/2011</t>
  </si>
  <si>
    <t>COMPRADO A GE CAPITAL 03/10/2011</t>
  </si>
  <si>
    <t>AM-296</t>
  </si>
  <si>
    <t>VOLVO S-40</t>
  </si>
  <si>
    <t>4413-GGG</t>
  </si>
  <si>
    <t>COMRADO A GE CAPITAL 07/11/2011</t>
  </si>
  <si>
    <t>AM-297</t>
  </si>
  <si>
    <t>ALBERTO ERNESTO GONZALEZ GARCIA</t>
  </si>
  <si>
    <t>08034582-S</t>
  </si>
  <si>
    <t>7157-FHP</t>
  </si>
  <si>
    <t>AM-298</t>
  </si>
  <si>
    <t>AM-299</t>
  </si>
  <si>
    <t>ANA MARIA SERRANO ROYO</t>
  </si>
  <si>
    <t>AM-300</t>
  </si>
  <si>
    <t>COMPRADO A GE CAPITAL 29/01/2012</t>
  </si>
  <si>
    <t>AM-301</t>
  </si>
  <si>
    <t>COMPRADO  A PEDRO DIAZ 24/11/2011</t>
  </si>
  <si>
    <t>AM-303</t>
  </si>
  <si>
    <t>JULIO ADOLFO NIETO SERRANO</t>
  </si>
  <si>
    <t>07562891-P</t>
  </si>
  <si>
    <t>M-2615-WX</t>
  </si>
  <si>
    <t>METALICO 19/1/12</t>
  </si>
  <si>
    <t>COMPRADO A SICHER 16/01/2012</t>
  </si>
  <si>
    <t>AM-305</t>
  </si>
  <si>
    <t>VOLODYMIR NIKOLCHEK</t>
  </si>
  <si>
    <t>X-4346436-B</t>
  </si>
  <si>
    <t>COMPRADO A MAPFRE 14/02/2011</t>
  </si>
  <si>
    <t>AM-306</t>
  </si>
  <si>
    <t>ALBERTO GALLEGO GOMEZ</t>
  </si>
  <si>
    <t>52343022-J</t>
  </si>
  <si>
    <t>8355-FKG</t>
  </si>
  <si>
    <t>COMPRADO A GE CAPITAL 25/01/2012</t>
  </si>
  <si>
    <t>AM-307</t>
  </si>
  <si>
    <t>COMPRADO A GE CAPITAL 29/11/2011</t>
  </si>
  <si>
    <t>AM-308</t>
  </si>
  <si>
    <t>47496718-Q</t>
  </si>
  <si>
    <t>SEAT CORDOBA</t>
  </si>
  <si>
    <t>6941-FBW</t>
  </si>
  <si>
    <t>AM-309</t>
  </si>
  <si>
    <t>SANDRA PARRILLA HERNANDEZ</t>
  </si>
  <si>
    <t>47523433-M</t>
  </si>
  <si>
    <t>8711-FVX</t>
  </si>
  <si>
    <t>COMPRADO A MAPFRE 04/01/2011</t>
  </si>
  <si>
    <t>AM-311</t>
  </si>
  <si>
    <t>OMAR BENSAID</t>
  </si>
  <si>
    <t>X-9538295-B</t>
  </si>
  <si>
    <t>2883-FGS</t>
  </si>
  <si>
    <t>COMPRADO A MAPFRE 19/01/2012</t>
  </si>
  <si>
    <t>AM-315</t>
  </si>
  <si>
    <t>CARLA RODRIGUEZ CABALLERO</t>
  </si>
  <si>
    <t>02662306-X</t>
  </si>
  <si>
    <t>COMPRADO A MAPFRE 09/02/12</t>
  </si>
  <si>
    <t>AM-314</t>
  </si>
  <si>
    <t>CRISTINA MOLINA FERNANDEZ</t>
  </si>
  <si>
    <t>02213034-C</t>
  </si>
  <si>
    <t>AM-316</t>
  </si>
  <si>
    <t>ANGEL RODRIGUEZ DIAZ CANO</t>
  </si>
  <si>
    <t>COMPRADO A MAPFRE 14/02/2012</t>
  </si>
  <si>
    <t>AM-317</t>
  </si>
  <si>
    <t>COMPRADO A GE CAPITAL 09/02/2012</t>
  </si>
  <si>
    <t>AM-318</t>
  </si>
  <si>
    <t>MARGARITA NOLASCO ROCHE</t>
  </si>
  <si>
    <t>03084327-G</t>
  </si>
  <si>
    <t>P-5470-H</t>
  </si>
  <si>
    <t>COMPRADO A MANUEL LOPEZ 27/10/2011</t>
  </si>
  <si>
    <t>AM-319</t>
  </si>
  <si>
    <t>CRISTIAN GONZALEZ SUAREZ</t>
  </si>
  <si>
    <t>53672484-Y</t>
  </si>
  <si>
    <t>MERCEDES C 220</t>
  </si>
  <si>
    <t>0599-CYY</t>
  </si>
  <si>
    <t>COMPRADO A GE CAPITAL 12/07/2011</t>
  </si>
  <si>
    <t>AM-337</t>
  </si>
  <si>
    <t>CARLA GORBAN GOLDBER</t>
  </si>
  <si>
    <t>50565850-M</t>
  </si>
  <si>
    <t>4734-DYR</t>
  </si>
  <si>
    <t>COMRADO A GE CAPITAL 06/10/2011</t>
  </si>
  <si>
    <t>AM-338</t>
  </si>
  <si>
    <t>CRISTOBAL MOYA PONCE</t>
  </si>
  <si>
    <t>71357420-W</t>
  </si>
  <si>
    <t>1909-FPP</t>
  </si>
  <si>
    <t>COMPRADO  A GE CAPITAL 17/1/12</t>
  </si>
  <si>
    <t>AM-339</t>
  </si>
  <si>
    <t>COMPRADO A MAPFRE 21/10/2011</t>
  </si>
  <si>
    <t>AM-340</t>
  </si>
  <si>
    <t>JOSE ANTONIO VELERDA ROLLANO</t>
  </si>
  <si>
    <t>76073175-P</t>
  </si>
  <si>
    <t>COMPRADO A MAPFRE 12/07/2011</t>
  </si>
  <si>
    <t>COMPRADO A MAPFRE 09/01/2012</t>
  </si>
  <si>
    <t>RICARDO MINGO FERNADEZ</t>
  </si>
  <si>
    <t>53418287-M</t>
  </si>
  <si>
    <t>COMPRADO A MAPFRE 19/07/2011</t>
  </si>
  <si>
    <t>ALBERTO EMBID MUELAS</t>
  </si>
  <si>
    <t>03112182-Y</t>
  </si>
  <si>
    <t>1785-CPG</t>
  </si>
  <si>
    <t>COMPRADO A BBVA 12/07/2011</t>
  </si>
  <si>
    <t>ALEJANDRO G. YAÑEZ LEON</t>
  </si>
  <si>
    <t>50634373-B</t>
  </si>
  <si>
    <t>COMPRADO A MAPFRE 13/08/2011</t>
  </si>
  <si>
    <t>FRANCISCO JAVIER PANERO SANZ</t>
  </si>
  <si>
    <t>71118185-T</t>
  </si>
  <si>
    <t>COMPRADO A GE 02/12/2011</t>
  </si>
  <si>
    <t>2 coches en misma fra</t>
  </si>
  <si>
    <t>COMPRADO A MAPFRE 18/01/2012</t>
  </si>
  <si>
    <t>primero</t>
  </si>
  <si>
    <t>comrpado a mapfre 25/04/2011</t>
  </si>
  <si>
    <t xml:space="preserve">Banco Bilbao Vizcaya Argentaria, S.A. DYNAMIS TECNOLOGIA Y COMUNICACIÓN, S.L. </t>
  </si>
  <si>
    <t xml:space="preserve"> A-48265169</t>
  </si>
  <si>
    <t>A-48265169</t>
  </si>
  <si>
    <t>US/6051589</t>
  </si>
  <si>
    <t>US/6051223</t>
  </si>
  <si>
    <t>US/6050283</t>
  </si>
  <si>
    <t>US/6050163</t>
  </si>
  <si>
    <t>US/6050767</t>
  </si>
  <si>
    <t>US/6050379</t>
  </si>
  <si>
    <t>US/6050540</t>
  </si>
  <si>
    <t>US/6050479</t>
  </si>
  <si>
    <t>US/6048917</t>
  </si>
  <si>
    <t>US/6050309</t>
  </si>
  <si>
    <t>US/6049433</t>
  </si>
  <si>
    <t>US/6049535</t>
  </si>
  <si>
    <t>US/6049194</t>
  </si>
  <si>
    <t>US/6051117</t>
  </si>
  <si>
    <t>US/6051601</t>
  </si>
  <si>
    <t>PORSCHE CAYENNE</t>
  </si>
  <si>
    <t>9605-GBF</t>
  </si>
  <si>
    <t>US/6051703</t>
  </si>
  <si>
    <t>5908-FKJ</t>
  </si>
  <si>
    <t>US/6041733</t>
  </si>
  <si>
    <t>1763-FZZ</t>
  </si>
  <si>
    <t>US/6051116</t>
  </si>
  <si>
    <t>US/6051458</t>
  </si>
  <si>
    <t>US/6051457</t>
  </si>
  <si>
    <t>MOTOR MECHA, S.A.</t>
  </si>
  <si>
    <t>A28704559</t>
  </si>
  <si>
    <t>FURGON CDI LARGO</t>
  </si>
  <si>
    <t>7295-CYY</t>
  </si>
  <si>
    <t>metalico 15/3/12</t>
  </si>
  <si>
    <t>seat leon tdi</t>
  </si>
  <si>
    <t>2636-FDT</t>
  </si>
  <si>
    <t>FIAT STILO</t>
  </si>
  <si>
    <t>7291-BXX</t>
  </si>
  <si>
    <t>NISSAN  NAVARA</t>
  </si>
  <si>
    <t>7786-FYY</t>
  </si>
  <si>
    <t>FRANCISCO MARTINEZ  ALCALA</t>
  </si>
  <si>
    <t>52345812-C</t>
  </si>
  <si>
    <t>5483-FNK</t>
  </si>
  <si>
    <t>RICARDO GARCIA SEPULVEDA</t>
  </si>
  <si>
    <t>7881-FCR</t>
  </si>
  <si>
    <t>FA096VO20120000030</t>
  </si>
  <si>
    <t>9097-GBC</t>
  </si>
  <si>
    <t>tf. Recibida sabadel 17/3/12</t>
  </si>
  <si>
    <t>tf.Recibida bankia 29/2/12</t>
  </si>
  <si>
    <t>COMPRADO A JOSE LUIS SAN MILLAN 1/1/12</t>
  </si>
  <si>
    <t>JOSE LUIS SAN MILLAN</t>
  </si>
  <si>
    <t>12749294-A</t>
  </si>
  <si>
    <t>EMILIO RAFAEL GALAN AMOR</t>
  </si>
  <si>
    <t>76347673-R</t>
  </si>
  <si>
    <t>COMPRADO A EMILIO RAFAEL GALAN 1/1/12</t>
  </si>
  <si>
    <t>3870-FZY</t>
  </si>
  <si>
    <t>1572-FZZ</t>
  </si>
  <si>
    <t>9873-FXR</t>
  </si>
  <si>
    <t>AUXIBIO CABRERO VARELA</t>
  </si>
  <si>
    <t>RENAULT SCENIC</t>
  </si>
  <si>
    <t>0450-DBD</t>
  </si>
  <si>
    <t>metalico 6/6/12</t>
  </si>
  <si>
    <t>IVAN RODRIGUEZ SOUSA</t>
  </si>
  <si>
    <t>53621661-J</t>
  </si>
  <si>
    <t>KYMCO XCITING</t>
  </si>
  <si>
    <t>3833-FYH</t>
  </si>
  <si>
    <t>metalico 29/5/12</t>
  </si>
  <si>
    <t>BOLBLANC SL</t>
  </si>
  <si>
    <t>metalcio 31/5/12</t>
  </si>
  <si>
    <t>MARIAN IONUT MICU</t>
  </si>
  <si>
    <t>X06742022-D</t>
  </si>
  <si>
    <t xml:space="preserve">COMPRADO A ANGEL RODRIGUEZ 26/04/2012 </t>
  </si>
  <si>
    <t>2507-FVW</t>
  </si>
  <si>
    <t>3382-GCP</t>
  </si>
  <si>
    <t>SILVIA COBOS OTERO</t>
  </si>
  <si>
    <t>46836630-M</t>
  </si>
  <si>
    <t>2645-CGK</t>
  </si>
  <si>
    <t>metalico 27/4/12</t>
  </si>
  <si>
    <t>hugo alcides cardoso</t>
  </si>
  <si>
    <t>X8522000-V</t>
  </si>
  <si>
    <t>9118-FJH</t>
  </si>
  <si>
    <t>metalico 30/4/12</t>
  </si>
  <si>
    <t>711188185-T</t>
  </si>
  <si>
    <t>HYUNDAI H1</t>
  </si>
  <si>
    <t>0817-FFK</t>
  </si>
  <si>
    <t>metalico 2/3/12</t>
  </si>
  <si>
    <t>M-6710-VC</t>
  </si>
  <si>
    <t>metalico 22/11/12</t>
  </si>
  <si>
    <t>AM-13312</t>
  </si>
  <si>
    <t>ANGEL JAVIER BOADO MOSQUERA</t>
  </si>
  <si>
    <t>34887988-R</t>
  </si>
  <si>
    <t>JOSE DAMIAN VILLATORO ORTEGA</t>
  </si>
  <si>
    <t>51973481-J</t>
  </si>
  <si>
    <t>MINI COOPER</t>
  </si>
  <si>
    <t>0468-FJV</t>
  </si>
  <si>
    <t>COMPRADO A MAPFRE 27/01/2011</t>
  </si>
  <si>
    <t>COMPRADO A MAPFRE 25/04/2011</t>
  </si>
  <si>
    <t>2011AM-205</t>
  </si>
  <si>
    <t>2011NW-212</t>
  </si>
  <si>
    <t>ALUMINIOS REAL DA POUSA, S.L.</t>
  </si>
  <si>
    <t>B32190969</t>
  </si>
  <si>
    <t>4913-FMR</t>
  </si>
  <si>
    <t>AM-276</t>
  </si>
  <si>
    <t xml:space="preserve">SELECT CARS EUROPA, S.L. </t>
  </si>
  <si>
    <t>B45717238</t>
  </si>
  <si>
    <t>0515-GCL</t>
  </si>
  <si>
    <t>ingreso en banco 8/8/11(1600)+10/8/11(7900 euros)</t>
  </si>
  <si>
    <t>COMPRADO A MAPFRE 06/05/2011</t>
  </si>
  <si>
    <t>MERCEDES VITO</t>
  </si>
  <si>
    <t>COMPRADO A MOTOR MECHA 15/03/2012</t>
  </si>
  <si>
    <t>AM-289</t>
  </si>
  <si>
    <t>HUGO CARDOZO CABRAL</t>
  </si>
  <si>
    <t>COMPRADO A MAPFRE 19/10/2010</t>
  </si>
  <si>
    <t>AM-310</t>
  </si>
  <si>
    <t>M RACIN SL</t>
  </si>
  <si>
    <t>B86029774</t>
  </si>
  <si>
    <t>3939-FGH</t>
  </si>
  <si>
    <t>AM-320</t>
  </si>
  <si>
    <t>47044750-K</t>
  </si>
  <si>
    <t>AM-321</t>
  </si>
  <si>
    <t>AM-322</t>
  </si>
  <si>
    <t>COMPRADO A IBERICAR 01/01/2012</t>
  </si>
  <si>
    <t>AM-323</t>
  </si>
  <si>
    <t>JESSICA Mª ALONSO NOLASCO</t>
  </si>
  <si>
    <t>03126212-Y</t>
  </si>
  <si>
    <t>am-324</t>
  </si>
  <si>
    <t>PABLO MIELGO CARRIZO</t>
  </si>
  <si>
    <t>11836708-B</t>
  </si>
  <si>
    <t>AM-325</t>
  </si>
  <si>
    <t>FRANCISCO JOSE MATEOS MARTINEZ</t>
  </si>
  <si>
    <t>48433198-M</t>
  </si>
  <si>
    <t>AM-326</t>
  </si>
  <si>
    <t>CARMEN GARCIA SANCHEZ</t>
  </si>
  <si>
    <t>70413507-L</t>
  </si>
  <si>
    <t>AM-327</t>
  </si>
  <si>
    <t>RENAULT  CLIO</t>
  </si>
  <si>
    <t>AM-329</t>
  </si>
  <si>
    <t>FLORIN ANA</t>
  </si>
  <si>
    <t>X6537274-F</t>
  </si>
  <si>
    <t>COMPRADO A RICARDO GARCIA  05/03/2012</t>
  </si>
  <si>
    <t>AM-332</t>
  </si>
  <si>
    <t>CRISTINA GONZALEZ TENA</t>
  </si>
  <si>
    <t>53263900-V</t>
  </si>
  <si>
    <t>AM-333</t>
  </si>
  <si>
    <t>2459-FPS</t>
  </si>
  <si>
    <t>COMPRADO A GE CAPITAL</t>
  </si>
  <si>
    <t>AM-334</t>
  </si>
  <si>
    <t>COMPRADO A JOSE MANUEL CARRILLO 01/12/2011</t>
  </si>
  <si>
    <t>AM-336</t>
  </si>
  <si>
    <t>X8886421-A</t>
  </si>
  <si>
    <t>RADU EMANUEL</t>
  </si>
  <si>
    <t>COMPRADO A MAPFRE 02/03/2012</t>
  </si>
  <si>
    <t>AM-401</t>
  </si>
  <si>
    <t>EDUARDO ANGEL MUÑOZ LORENZO</t>
  </si>
  <si>
    <t>01175289-N</t>
  </si>
  <si>
    <t>COMPRADO A GE CAPITAL 31/08/2011</t>
  </si>
  <si>
    <t>AM-402</t>
  </si>
  <si>
    <t>FRANCISCO JAVIER CHAMORRO CHICHARRO</t>
  </si>
  <si>
    <t>03862125-B</t>
  </si>
  <si>
    <t>AM-403</t>
  </si>
  <si>
    <t>PIOTR DRAB</t>
  </si>
  <si>
    <t>X3717449-M</t>
  </si>
  <si>
    <t>MYKOLA YAKUBYAK</t>
  </si>
  <si>
    <t>X3733779-M</t>
  </si>
  <si>
    <t>COMPRADO A MAPFRE 17/12/2010</t>
  </si>
  <si>
    <t>AM-405</t>
  </si>
  <si>
    <t>JOSE CARLOS FERNANDEZ MARTIN</t>
  </si>
  <si>
    <t>02236981-R</t>
  </si>
  <si>
    <t>COMPRADO A GE CAPITAL 27/02/2012</t>
  </si>
  <si>
    <t>AM-406</t>
  </si>
  <si>
    <t>AM-407</t>
  </si>
  <si>
    <t>TRADIVEL SERVICIOS INTEGRALES</t>
  </si>
  <si>
    <t>AM-408</t>
  </si>
  <si>
    <t>MIGUEL MOLINA GARCIA</t>
  </si>
  <si>
    <t>00269305-K</t>
  </si>
  <si>
    <t>COMPRADO A GE CAPITAL 06/03/2012</t>
  </si>
  <si>
    <t>AM-409</t>
  </si>
  <si>
    <t>JOSE MANUEL MARTINEZ SANCHEZ</t>
  </si>
  <si>
    <t>29750510-X</t>
  </si>
  <si>
    <t>COMPRADO A MAPFRE 06/03/2012</t>
  </si>
  <si>
    <t>AM-410</t>
  </si>
  <si>
    <t>RENAUL SCENIC</t>
  </si>
  <si>
    <t>50438457-D</t>
  </si>
  <si>
    <t>4592-DZR</t>
  </si>
  <si>
    <t>COMPRADO A Victor Padilla Nieto 24/11/2011</t>
  </si>
  <si>
    <t>ARLETE CLEIRE FERREIRA</t>
  </si>
  <si>
    <t>Y0271921-Y</t>
  </si>
  <si>
    <t>6923-CWK</t>
  </si>
  <si>
    <t>AM-413</t>
  </si>
  <si>
    <t>AM-416</t>
  </si>
  <si>
    <t>MILOUD HAMADA</t>
  </si>
  <si>
    <t>X3189819-H</t>
  </si>
  <si>
    <t>COMPRADO A PARCOURS IBERIA  28/02/2012</t>
  </si>
  <si>
    <t>AM-418</t>
  </si>
  <si>
    <t>AM-417</t>
  </si>
  <si>
    <t>LINDA VALENCIA BORITICA</t>
  </si>
  <si>
    <t>54301685-L</t>
  </si>
  <si>
    <t xml:space="preserve"> 8834-FKN</t>
  </si>
  <si>
    <t>AM-419</t>
  </si>
  <si>
    <t>DANIEL ARTEAGA LOPEZ</t>
  </si>
  <si>
    <t>03931209-A</t>
  </si>
  <si>
    <t>COMPRADO A GE CAPITAL 21/9/11(CONTABILIZADO 2012)</t>
  </si>
  <si>
    <t>BMW 535i</t>
  </si>
  <si>
    <t>NA-7984-BB</t>
  </si>
  <si>
    <t>14306745-D</t>
  </si>
  <si>
    <t>GUSTAVO SIERRA TEJEDOR</t>
  </si>
  <si>
    <t>CITROEN C-4</t>
  </si>
  <si>
    <t>8735-GBN</t>
  </si>
  <si>
    <t>AM-421</t>
  </si>
  <si>
    <t>COMPRADO A BBVA FinanziA 05/09/2011</t>
  </si>
  <si>
    <t>AM-422</t>
  </si>
  <si>
    <t>FEDERICO AGUTI</t>
  </si>
  <si>
    <t>Y1730430-Q</t>
  </si>
  <si>
    <t>COMPRADO A Francisco Cobos Marquina  20/12/2011</t>
  </si>
  <si>
    <t>AM-423</t>
  </si>
  <si>
    <t>Mª JESUS LOPEZ GAMO</t>
  </si>
  <si>
    <t>70070566-P</t>
  </si>
  <si>
    <t>COMPRADO A MAPFRE 09/04/2012</t>
  </si>
  <si>
    <t>AM-425</t>
  </si>
  <si>
    <t>RAFAEL SAN JUAN FUERTES</t>
  </si>
  <si>
    <t>03099299-A</t>
  </si>
  <si>
    <t>COMPRADO A GE CAPITAL 10/04/2012</t>
  </si>
  <si>
    <t>AM-426</t>
  </si>
  <si>
    <t>RAMIRO ALFREDO POMBO VERDES</t>
  </si>
  <si>
    <t>793197100-R</t>
  </si>
  <si>
    <t>AM-427</t>
  </si>
  <si>
    <t>TIGLIS DANUT</t>
  </si>
  <si>
    <t>X8937633-V</t>
  </si>
  <si>
    <t>FORD CONNECT</t>
  </si>
  <si>
    <t>7687-FJV</t>
  </si>
  <si>
    <t>COMPRADO A MAPFRE 30/03/2012</t>
  </si>
  <si>
    <t>AM-428</t>
  </si>
  <si>
    <t>SARA MARUGAN ALONSO</t>
  </si>
  <si>
    <t>47499630-F</t>
  </si>
  <si>
    <t>COMPRADO A IVAN RODRIGUEZ 29/05/2012</t>
  </si>
  <si>
    <t>AM-429</t>
  </si>
  <si>
    <t>ALBERTO ZMORK ESCUDERO</t>
  </si>
  <si>
    <t>52996300-E</t>
  </si>
  <si>
    <t>PEDIR A JAVI</t>
  </si>
  <si>
    <t>AM-430</t>
  </si>
  <si>
    <t>JUAN FRANCISCO DORADO GOMEZ</t>
  </si>
  <si>
    <t>70350961-X</t>
  </si>
  <si>
    <t>FIAT BARCHETA</t>
  </si>
  <si>
    <t>8332-DTD</t>
  </si>
  <si>
    <t>COMPRADO A hugo alcides cardoso 30/04/2012</t>
  </si>
  <si>
    <t>PEDRO TEJADA GALAN</t>
  </si>
  <si>
    <t>09202765-M</t>
  </si>
  <si>
    <t>COMPRADO A GE CAPITAL 21/03/2012</t>
  </si>
  <si>
    <t>AM-431</t>
  </si>
  <si>
    <t>VICENTA MORA HIGUERAS</t>
  </si>
  <si>
    <t>75100711-F</t>
  </si>
  <si>
    <t>AM-404</t>
  </si>
  <si>
    <t>COMPRADO A MAPFRE 10/08/2010</t>
  </si>
  <si>
    <t>AM-293</t>
  </si>
  <si>
    <t>AZOR SERVICIOS INTEGRALES, S.L.</t>
  </si>
  <si>
    <t>B83228635</t>
  </si>
  <si>
    <t>AM-436</t>
  </si>
  <si>
    <t>SOLUCIONES TECNICAS DE PAVIMENTOS, S.L.</t>
  </si>
  <si>
    <t>B74315870</t>
  </si>
  <si>
    <t>AM-335</t>
  </si>
  <si>
    <t>PROYECTOS DEL GAS ESPAÑA, S.L.</t>
  </si>
  <si>
    <t>B86294790</t>
  </si>
  <si>
    <t>COMPRADO A MAPFRE 14/01/2011</t>
  </si>
  <si>
    <t>AM-424</t>
  </si>
  <si>
    <t xml:space="preserve">REPRODIS EQUIPOS DE IMPRESIÓN, S.L. </t>
  </si>
  <si>
    <t>B85850402</t>
  </si>
  <si>
    <t>AM-433</t>
  </si>
  <si>
    <t>B83540179</t>
  </si>
  <si>
    <t>PREMIER DESARROLLO Y CONSULTORIA, SL</t>
  </si>
  <si>
    <t>COMPRADO A AUXIBIO CABRERO 06/06/2012</t>
  </si>
  <si>
    <t>AUTO OSWALDO, S.L.</t>
  </si>
  <si>
    <t>B11710357</t>
  </si>
  <si>
    <t>COMPRADO A Manuel Nelson Carrasco 21/10/2011</t>
  </si>
  <si>
    <t>JORGE NAVACERRADA PODEROSO</t>
  </si>
  <si>
    <t>52088064-X</t>
  </si>
  <si>
    <t>MUSEO DEL TAROT, SL</t>
  </si>
  <si>
    <t>B84711290</t>
  </si>
  <si>
    <t>COMPRADO A GE CAPITAL 10/12/2011</t>
  </si>
  <si>
    <t>3838-FXS</t>
  </si>
  <si>
    <t>9161-FLV</t>
  </si>
  <si>
    <t>2159-GBZ</t>
  </si>
  <si>
    <t>4061-gfz</t>
  </si>
  <si>
    <t>8102-gdh</t>
  </si>
  <si>
    <t>PEUGEOT 407</t>
  </si>
  <si>
    <t>0303-FZT</t>
  </si>
  <si>
    <t>8355-GHY</t>
  </si>
  <si>
    <t>8305-GBK</t>
  </si>
  <si>
    <t>1402-GHY</t>
  </si>
  <si>
    <t>am-411</t>
  </si>
  <si>
    <t>am-414</t>
  </si>
  <si>
    <t>GRUMA MOTOR, SL.</t>
  </si>
  <si>
    <t>B92803790</t>
  </si>
  <si>
    <t>AM-437</t>
  </si>
  <si>
    <t>FRANCISCO JAVIER LANAQUERA APARICIO</t>
  </si>
  <si>
    <t>50055819-E</t>
  </si>
  <si>
    <t>COMPRADO A MAPFRE 13/06/2012</t>
  </si>
  <si>
    <t>COMPRADO A PARCOURS IBERIA  15/02/2012</t>
  </si>
  <si>
    <t>PONS MAXENCE (REVERS AUTO) CIUDADANO FRANCES SIN IVA</t>
  </si>
  <si>
    <t>AM-439(SIN IVA-FRANCES)</t>
  </si>
  <si>
    <t>COMPRADO A MAPFRE 21/05/2012</t>
  </si>
  <si>
    <t>AM-432</t>
  </si>
  <si>
    <t>SILVIA CORREA CASTELO</t>
  </si>
  <si>
    <t>50183274-B</t>
  </si>
  <si>
    <t>US/6051621</t>
  </si>
  <si>
    <t>comprado a ge capital 02/04/2012</t>
  </si>
  <si>
    <t>COMPRADO A GE 16/2/2012</t>
  </si>
  <si>
    <t>US--6050852</t>
  </si>
  <si>
    <t>comprado a ge 28/02/2012</t>
  </si>
  <si>
    <t>FALTA FACTURA COMPRA: LO RECLAMA ADAN</t>
  </si>
  <si>
    <t>OJO SE PUEDEN ABONAR AL 50%</t>
  </si>
  <si>
    <t>ALEXI NACEMENTO AM 320</t>
  </si>
  <si>
    <t>RAUL DEL MORAL AM334</t>
  </si>
  <si>
    <t>SE DECLARA?</t>
  </si>
  <si>
    <t>SI</t>
  </si>
  <si>
    <t xml:space="preserve">NO </t>
  </si>
  <si>
    <t xml:space="preserve">SI </t>
  </si>
  <si>
    <t>DORIN MATEI</t>
  </si>
  <si>
    <t>X09705890-M</t>
  </si>
  <si>
    <t>5008-FVN</t>
  </si>
  <si>
    <t>FA096VO20120000146</t>
  </si>
  <si>
    <t>B84798404</t>
  </si>
  <si>
    <t>NISSAN PRIMASTAR</t>
  </si>
  <si>
    <t>3213-GMP</t>
  </si>
  <si>
    <t>FA096VO20120000147</t>
  </si>
  <si>
    <t>9162-GTB</t>
  </si>
  <si>
    <t>MILAGROS DE BLAS RIVERO</t>
  </si>
  <si>
    <t>05388772-X</t>
  </si>
  <si>
    <t xml:space="preserve">CITROEN C2  </t>
  </si>
  <si>
    <t>7287-DXC</t>
  </si>
  <si>
    <t>B010/1477</t>
  </si>
  <si>
    <t>3065-FSJ</t>
  </si>
  <si>
    <t>ALMUDENA FERNANDEZ GARCIA</t>
  </si>
  <si>
    <t>01188179E</t>
  </si>
  <si>
    <t>CITROEN XSARA</t>
  </si>
  <si>
    <t>8060-CXT</t>
  </si>
  <si>
    <t>IVAN RODRIGO SANDOVAL RUIZ</t>
  </si>
  <si>
    <t>X4119334B</t>
  </si>
  <si>
    <t>VOLKSWAGEN PASSAT</t>
  </si>
  <si>
    <t>comprado a ivan rodrigo 5/9/11</t>
  </si>
  <si>
    <t>1796-GGD</t>
  </si>
  <si>
    <t>9520-GGL</t>
  </si>
  <si>
    <t>1801-GGD</t>
  </si>
  <si>
    <t>COMPRADO A JUAN ANTONIO CORTES 17/2/12</t>
  </si>
  <si>
    <t>VENDIDO  2012</t>
  </si>
  <si>
    <t>Juan Antonio Cortes Fernandez</t>
  </si>
  <si>
    <t>38848630-C</t>
  </si>
  <si>
    <t>comprado a jose ignacio inchaurrondo 28/2/12</t>
  </si>
  <si>
    <t>Jose Ignacio Inchaurrondo Moreno</t>
  </si>
  <si>
    <t>72660057K</t>
  </si>
  <si>
    <t>COMPRADO A GE 25/06/2012</t>
  </si>
  <si>
    <t>AM-444</t>
  </si>
  <si>
    <t>47044312C</t>
  </si>
  <si>
    <t>AM-442</t>
  </si>
  <si>
    <t>ROCIO CHAMORRO CHICHARRO</t>
  </si>
  <si>
    <t>03893807-E</t>
  </si>
  <si>
    <t>COMPRADO  A SILVIA COBOS 27/4/12</t>
  </si>
  <si>
    <t>AM-440</t>
  </si>
  <si>
    <t>OLEKSANDR GONCHARUK</t>
  </si>
  <si>
    <t>X9792010-J(S)</t>
  </si>
  <si>
    <t>COMPRADO A MAPFRE 21/3/12</t>
  </si>
  <si>
    <t>AM-443</t>
  </si>
  <si>
    <t>DANIEL BALTARETV</t>
  </si>
  <si>
    <t>X6724271-Z</t>
  </si>
  <si>
    <t>3110-FDF</t>
  </si>
  <si>
    <t>COMPRADO A GE 21/11/2011</t>
  </si>
  <si>
    <t>AM-445</t>
  </si>
  <si>
    <t>CLEMPRO, S.L.</t>
  </si>
  <si>
    <t>B60898913</t>
  </si>
  <si>
    <t>COMPRADO A GE 2/4/2012</t>
  </si>
  <si>
    <t>AM-446</t>
  </si>
  <si>
    <t>MARIA CRESPO GUTIERREZ</t>
  </si>
  <si>
    <t>03916341-Q</t>
  </si>
  <si>
    <t>7291-FVF</t>
  </si>
  <si>
    <t>COMPRADOA A MAPFRE 21/10/11</t>
  </si>
  <si>
    <t>AM-447</t>
  </si>
  <si>
    <t>COMPRADO A MAPFRE 16/6/12</t>
  </si>
  <si>
    <t>AM-449</t>
  </si>
  <si>
    <t>RABU VASILE TELEPTEAN</t>
  </si>
  <si>
    <t>X8705644-Y</t>
  </si>
  <si>
    <t>COMPRADO A GE 25/6/2012</t>
  </si>
  <si>
    <t>AM-448</t>
  </si>
  <si>
    <t>AROA AGUADO VALVERDE</t>
  </si>
  <si>
    <t>02300153-S</t>
  </si>
  <si>
    <t>COMPRADO A GE 27/6/2012</t>
  </si>
  <si>
    <t>AM-450</t>
  </si>
  <si>
    <t>ALEKSANDAR KOLEV STOYAMOV</t>
  </si>
  <si>
    <t>X03402045-T</t>
  </si>
  <si>
    <t>7887-FXS</t>
  </si>
  <si>
    <t>COMPRADO  A MAPFRE 17/12/12</t>
  </si>
  <si>
    <t>AM-451</t>
  </si>
  <si>
    <t>COMPRADO A FRANCISCO J. PANERO 2/3/2012</t>
  </si>
  <si>
    <t>AM-452</t>
  </si>
  <si>
    <t>COMPRADO A ALMUDENA FERNANDEZ 2/8/2012,</t>
  </si>
  <si>
    <t>AM-453</t>
  </si>
  <si>
    <t>PEDRO GOMEZ SANCHEZ</t>
  </si>
  <si>
    <t>76231622-P</t>
  </si>
  <si>
    <t>COMPRADO A MAPFRE 16/8/2012</t>
  </si>
  <si>
    <t>AM-456</t>
  </si>
  <si>
    <t>KRP CLEANING BUILDINGS, S.L.</t>
  </si>
  <si>
    <t>B85630077</t>
  </si>
  <si>
    <t>COMPRADO A BOLBLANC 31/5/2012</t>
  </si>
  <si>
    <t>1404-GHY</t>
  </si>
  <si>
    <t>AM-434</t>
  </si>
  <si>
    <t>9903-FTS</t>
  </si>
  <si>
    <t>AM-438</t>
  </si>
  <si>
    <t>PEDRO MIGUEL RIBEIRO DE FALLA</t>
  </si>
  <si>
    <t>X1930432X</t>
  </si>
  <si>
    <t>COMPRADO A GE 21/3/2012</t>
  </si>
  <si>
    <t>COMPRADO A MAPFRE 16/09/2011</t>
  </si>
  <si>
    <t>AM-441</t>
  </si>
  <si>
    <t>TOMA RAMONA</t>
  </si>
  <si>
    <t>X8503809-L</t>
  </si>
  <si>
    <t>COMPRADO A GE 19/6/2012</t>
  </si>
  <si>
    <t>COMPRADO A MAPFRE 17/12/2011</t>
  </si>
  <si>
    <t>AM-412</t>
  </si>
  <si>
    <t>ABDELHAKIM GHABI</t>
  </si>
  <si>
    <t>X7085141Z</t>
  </si>
  <si>
    <t>ALD AUTOMOTIVE, S.A.</t>
  </si>
  <si>
    <t>COMPRADO A ALD 7/2/12</t>
  </si>
  <si>
    <t>US/6052771</t>
  </si>
  <si>
    <t>Comprado a Vehiculos Euromovil 24/10/2011</t>
  </si>
  <si>
    <t>AM-459</t>
  </si>
  <si>
    <t>LIPOCZI BALAZS GYOZO</t>
  </si>
  <si>
    <t>AM-455</t>
  </si>
  <si>
    <t>DORA OUVIAÑA DIAZ</t>
  </si>
  <si>
    <t>COMPRADO A GE 29/5/12</t>
  </si>
  <si>
    <t>1---2012</t>
  </si>
  <si>
    <t>COMTEAM COMUNICACIÓN SL</t>
  </si>
  <si>
    <t>B81578569</t>
  </si>
  <si>
    <t>JAGUAR STYPE</t>
  </si>
  <si>
    <t>1076-CTL</t>
  </si>
  <si>
    <t>BA2915617:PASAPORTE hungria</t>
  </si>
  <si>
    <t>NO ENVIAR A NOMBRE ADAN</t>
  </si>
  <si>
    <t>COMPRADO A IBERICAR 22/5/12</t>
  </si>
  <si>
    <t>76572637W</t>
  </si>
  <si>
    <t>VOLKWAGEN POLO</t>
  </si>
  <si>
    <t>NO</t>
  </si>
  <si>
    <t>tf.recibida bankia 4/2/12</t>
  </si>
  <si>
    <t>TF.recibida GUSTAVO ALFREDO ROSIO 22/2/12 bankia</t>
  </si>
  <si>
    <t>cheque sabadell 18/1/12</t>
  </si>
  <si>
    <t>cheque sabadell 29/3/12</t>
  </si>
  <si>
    <t>cheque sabadell 3/5/12</t>
  </si>
  <si>
    <t>cheque sabadell 2/7/12</t>
  </si>
  <si>
    <t>cheque 19/7/12 sabadell</t>
  </si>
  <si>
    <t>tf.recibida sabadell 15/5/12</t>
  </si>
  <si>
    <t>fiat ulysse</t>
  </si>
  <si>
    <t>9323-DZH</t>
  </si>
  <si>
    <t>metálico</t>
  </si>
  <si>
    <t>bmw x3 man</t>
  </si>
  <si>
    <t>6649-FHJ</t>
  </si>
  <si>
    <t>tf. Sabadel 29/11/12</t>
  </si>
  <si>
    <t>COMERCIAL MERCEDES-BENZ, SA</t>
  </si>
  <si>
    <t>US/6053570</t>
  </si>
  <si>
    <t>OPEL ZAFIRA</t>
  </si>
  <si>
    <t>6643-GFT</t>
  </si>
  <si>
    <t>TF</t>
  </si>
  <si>
    <t>US/6052796</t>
  </si>
  <si>
    <t>US/6052795</t>
  </si>
  <si>
    <t>US/6053541</t>
  </si>
  <si>
    <t>7236-FZZ</t>
  </si>
  <si>
    <t>ALVARO PIRIZ FERNANDEZ</t>
  </si>
  <si>
    <t>51128892-F</t>
  </si>
  <si>
    <t>RENAULT MEGANE SCENIC</t>
  </si>
  <si>
    <t>7652-DDB</t>
  </si>
  <si>
    <t>city car sur, S.A.</t>
  </si>
  <si>
    <t>A79985495</t>
  </si>
  <si>
    <t>M-3860-XZ</t>
  </si>
  <si>
    <t>MERCEDES A 150 Elegance</t>
  </si>
  <si>
    <t>9705-GGB</t>
  </si>
  <si>
    <t>9601-CSX</t>
  </si>
  <si>
    <t>tf. Sabadel 31/12/12</t>
  </si>
  <si>
    <t>BMW X5</t>
  </si>
  <si>
    <t>7041-BPD</t>
  </si>
  <si>
    <t>7269-FMD</t>
  </si>
  <si>
    <t>FA096V02012000278</t>
  </si>
  <si>
    <t>FIAT SEICENTO VAN</t>
  </si>
  <si>
    <t>5160-GGR</t>
  </si>
  <si>
    <t>metalico 23/10 en cuenta parcours</t>
  </si>
  <si>
    <t>FA096V020120000338</t>
  </si>
  <si>
    <t>0684-GPC</t>
  </si>
  <si>
    <t>metalico26/12 en cuenta parcours</t>
  </si>
  <si>
    <t>FA097V020120000025</t>
  </si>
  <si>
    <t>SEAT EXEO ST DIESEL</t>
  </si>
  <si>
    <t>0772-GXH</t>
  </si>
  <si>
    <t>MERCEDES A 150 Classic</t>
  </si>
  <si>
    <t>0509-GGB</t>
  </si>
  <si>
    <t>1845-GDY</t>
  </si>
  <si>
    <t>VOLVO XC 2.5 T</t>
  </si>
  <si>
    <t>8875-DDT</t>
  </si>
  <si>
    <t>metalico 21/11/12 en cuenta city car</t>
  </si>
  <si>
    <t>GABRIEL RUIZ NOGALES</t>
  </si>
  <si>
    <t>02658117-F</t>
  </si>
  <si>
    <t>5882-BXD</t>
  </si>
  <si>
    <t>metalico 12/12/12 en cuenta parcours</t>
  </si>
  <si>
    <t>7305-GYX</t>
  </si>
  <si>
    <t>2---2012</t>
  </si>
  <si>
    <t>MARGALEJO MURO, FERNANDO 000624133F SLNE</t>
  </si>
  <si>
    <t>FIAT LOUNGE</t>
  </si>
  <si>
    <t>2173-GLT</t>
  </si>
  <si>
    <t>metalico 6/11/12</t>
  </si>
  <si>
    <t>6471-GHL</t>
  </si>
  <si>
    <t>6464-GHL</t>
  </si>
  <si>
    <t>8390-GHM</t>
  </si>
  <si>
    <t xml:space="preserve">SEAT LEON  </t>
  </si>
  <si>
    <t>2829-GNP</t>
  </si>
  <si>
    <t>TF 29/5/12</t>
  </si>
  <si>
    <t>TF 13/6/12</t>
  </si>
  <si>
    <t>TF 16/6/12</t>
  </si>
  <si>
    <t>TF 25/6/12</t>
  </si>
  <si>
    <t>TF 27/6/12</t>
  </si>
  <si>
    <t>TF 14/8/12</t>
  </si>
  <si>
    <t>TF 15/8/12</t>
  </si>
  <si>
    <t>TF 17/8/12</t>
  </si>
  <si>
    <t>TF 28/8/12</t>
  </si>
  <si>
    <t>TF 1/8/12</t>
  </si>
  <si>
    <t>TF 2/11/12</t>
  </si>
  <si>
    <t>7266-FVB</t>
  </si>
  <si>
    <t>TF 6/11/12</t>
  </si>
  <si>
    <t>TF 9/10/12</t>
  </si>
  <si>
    <t>TF 31/12/12</t>
  </si>
  <si>
    <t>AM-345</t>
  </si>
  <si>
    <t>26468235-L</t>
  </si>
  <si>
    <t>COMPRADO A MAPFRE 16/8/12</t>
  </si>
  <si>
    <t>AM-343</t>
  </si>
  <si>
    <t>JESUS YAÑEZ JUAN</t>
  </si>
  <si>
    <t>05391928-S</t>
  </si>
  <si>
    <t>COMPRADO A GE 17/8/12</t>
  </si>
  <si>
    <t>AM-344</t>
  </si>
  <si>
    <t>MIGUEL CAMPILLOS ORTEGA</t>
  </si>
  <si>
    <t>30800448-K</t>
  </si>
  <si>
    <t>COMPRADO A GE 11/4/2012</t>
  </si>
  <si>
    <t>AM-346</t>
  </si>
  <si>
    <t>MARIA DEL MAR CORDOBA SANCHA</t>
  </si>
  <si>
    <t>50422655-P</t>
  </si>
  <si>
    <t>am-347</t>
  </si>
  <si>
    <t>COMPRADO A MAPFRE 28/8/12</t>
  </si>
  <si>
    <t>AM-348</t>
  </si>
  <si>
    <t>RICARDO PLAZA RANZ</t>
  </si>
  <si>
    <t>52995041-M</t>
  </si>
  <si>
    <t>COMPRADO A GABRIEL RUIZ 25/10/12</t>
  </si>
  <si>
    <t>AM-349</t>
  </si>
  <si>
    <t>JESUS MERINO DOMINGUEZ</t>
  </si>
  <si>
    <t>05393075-N</t>
  </si>
  <si>
    <t>COMPRADO A PARCOURS 19/10/12</t>
  </si>
  <si>
    <t>am-352</t>
  </si>
  <si>
    <t>Comercial Colleges Tres</t>
  </si>
  <si>
    <t>B86447679</t>
  </si>
  <si>
    <t>COMPRADO A IBERICAR 21/11/12</t>
  </si>
  <si>
    <t>cliente ingresa cta. Sabadell 20/11/12</t>
  </si>
  <si>
    <t>am-350</t>
  </si>
  <si>
    <t>LEONOR DE LA TORRE D ELA FUENTE</t>
  </si>
  <si>
    <t>36956738-Q</t>
  </si>
  <si>
    <t>tf.recibida sabadel 20/11 ivan rodriguez</t>
  </si>
  <si>
    <t>COMPRADO A ALVARO PIRIZ 24/9/12</t>
  </si>
  <si>
    <t>AM-353</t>
  </si>
  <si>
    <t>DIEGO FERNANDO TORRES TUPIZA</t>
  </si>
  <si>
    <t>11900547-L</t>
  </si>
  <si>
    <t>am-354</t>
  </si>
  <si>
    <t>JESSICA CARMONA PEREZ</t>
  </si>
  <si>
    <t>44767964-M</t>
  </si>
  <si>
    <t>COMPRADO A MAPFRE 21/5/12</t>
  </si>
  <si>
    <t>TF bankia 12/12/12</t>
  </si>
  <si>
    <t>AM-355</t>
  </si>
  <si>
    <t>DAEC-FRANCH SL</t>
  </si>
  <si>
    <t>B12706933</t>
  </si>
  <si>
    <t>comprado a parcours 12/12/12</t>
  </si>
  <si>
    <t>tf. Bankia 18/12/12 de pascual franch franch</t>
  </si>
  <si>
    <t>am-358</t>
  </si>
  <si>
    <t>Comprado a  comercial mercedes 29/11/12</t>
  </si>
  <si>
    <t>TF. Sabadel 2/1/13</t>
  </si>
  <si>
    <t>comprado a dorin matei 25/4/12</t>
  </si>
  <si>
    <t>AM-357</t>
  </si>
  <si>
    <t>AM-356</t>
  </si>
  <si>
    <t>comprado a motor mecha 25/9/12</t>
  </si>
  <si>
    <t>AM-359</t>
  </si>
  <si>
    <t>LUISA MORILLAS GOMEZ</t>
  </si>
  <si>
    <t>01806087-N</t>
  </si>
  <si>
    <t xml:space="preserve">metalico </t>
  </si>
  <si>
    <t>comprado a milagros de blas 30/7/12</t>
  </si>
  <si>
    <t>AM-420</t>
  </si>
  <si>
    <t>OVIDIU ADRIAN CENTEA</t>
  </si>
  <si>
    <t>X-02166182-L</t>
  </si>
  <si>
    <t>0315-FPP</t>
  </si>
  <si>
    <t xml:space="preserve">JAGUAR </t>
  </si>
  <si>
    <t>M-2995-MF</t>
  </si>
  <si>
    <t xml:space="preserve">MIGUEL ANGEL </t>
  </si>
  <si>
    <t>01187905-R</t>
  </si>
  <si>
    <t>comprado a city car 1/10/12</t>
  </si>
  <si>
    <t>tf.recibida sabadel 9/10/12</t>
  </si>
  <si>
    <t>nw-021</t>
  </si>
  <si>
    <t>tf. Sabadell 9/10/12</t>
  </si>
  <si>
    <t>comprado a rusan 21/8/12</t>
  </si>
  <si>
    <t>ingreso en sabadel 4/1/12</t>
  </si>
  <si>
    <t>ingreso sabadel 5/1/12</t>
  </si>
  <si>
    <t>ingreso sabadel 9/1/12</t>
  </si>
  <si>
    <t>ingreso sabadel 16/1/12</t>
  </si>
  <si>
    <t>ingreso sabadel 17/1/12</t>
  </si>
  <si>
    <t>METALICO 15/1/12 (ingresado en sabadel 17/1/12</t>
  </si>
  <si>
    <t>ingreso en sabadel 4/1/12 (tambien 20/1/2012)</t>
  </si>
  <si>
    <t>ingreso sabadel 27/2/12</t>
  </si>
  <si>
    <t>tf. A sabadel 15/3/12</t>
  </si>
  <si>
    <t>ingreso sabadel 27/3/12</t>
  </si>
  <si>
    <t>ingreso sabadel 9/4/12</t>
  </si>
  <si>
    <t>tf.a sabadel 10/4/12</t>
  </si>
  <si>
    <t>tf.a sabadel 13/4/12</t>
  </si>
  <si>
    <t>ingreso sabadel 7/5/12</t>
  </si>
  <si>
    <t>ingreso sabadel 24/5/12</t>
  </si>
  <si>
    <t>tf. A sabadel 8/6/12</t>
  </si>
  <si>
    <t>ingreso sabadel 15/6/12</t>
  </si>
  <si>
    <t>tf. A sabadel 18/6/12</t>
  </si>
  <si>
    <t>tf. A sabadel 21/6/12</t>
  </si>
  <si>
    <t>tf. 500e a sabadel 27/6/12</t>
  </si>
  <si>
    <t>ingreso en sabadel 4/1/12 (tambien 28/6/2012)</t>
  </si>
  <si>
    <t>ingreso sabadel 28/6/12</t>
  </si>
  <si>
    <t>tf. sabadel 4/7/12 y 06/08/2012</t>
  </si>
  <si>
    <t>ingreso sabadel 4/7/12</t>
  </si>
  <si>
    <t>ingreso sabadel 3/9/12</t>
  </si>
  <si>
    <t>ingreso sabadel 13/9/12</t>
  </si>
  <si>
    <t>ingreso sabadel 7/11/12</t>
  </si>
  <si>
    <t>ingreso sabadel 14/11/12</t>
  </si>
  <si>
    <t>am-454</t>
  </si>
  <si>
    <t>OUTLET CARS MADRID SL</t>
  </si>
  <si>
    <t>B85628147</t>
  </si>
  <si>
    <t>ingresado sabadel 14/11/12</t>
  </si>
  <si>
    <t>comprado a renting la torre 1/1/12</t>
  </si>
  <si>
    <t>ingreso sabadel 20/1/12</t>
  </si>
  <si>
    <t>ingreso en sabadell 20/1/13</t>
  </si>
  <si>
    <t>ingresa 300 euros bankia 16/1/12 resto efectivo</t>
  </si>
  <si>
    <t xml:space="preserve">metalcio   </t>
  </si>
  <si>
    <t>B84094580</t>
  </si>
  <si>
    <t>IVA 21%</t>
  </si>
  <si>
    <t>OLVIDADO AÑO 2012</t>
  </si>
  <si>
    <t>EXPOAUTO 06, S.L.</t>
  </si>
  <si>
    <t>B45728748</t>
  </si>
  <si>
    <t>AM-341</t>
  </si>
  <si>
    <t>informe</t>
  </si>
  <si>
    <t>vendido 2012-declarado 2013</t>
  </si>
  <si>
    <t>comprado a parcours 20/07/2012</t>
  </si>
  <si>
    <t>comprado a mapfre 21/03/2012</t>
  </si>
  <si>
    <t>AM-457</t>
  </si>
  <si>
    <t>JUAN MANUEL LAHOZ MARTIN</t>
  </si>
  <si>
    <t>74717575-M</t>
  </si>
  <si>
    <t>comprado a ge capital 27/06/2012</t>
  </si>
  <si>
    <t>AM-342</t>
  </si>
  <si>
    <t>AM-458</t>
  </si>
  <si>
    <t>OLVIDADO AÑO 2012-se hace complementaria</t>
  </si>
  <si>
    <t>ROBERTO DIAZ NARANJO</t>
  </si>
  <si>
    <t>50208727-A</t>
  </si>
  <si>
    <t>SSANGYOWG REXTON</t>
  </si>
  <si>
    <t>9253-DMZ</t>
  </si>
  <si>
    <t>SE ENTREGA COMO PARTE DE PAGO DEL VEHÍCULO 7041-BPD</t>
  </si>
  <si>
    <t>ingresado en bankia 16/1/2013 Jose Enriqeu Sierra Ferrer 3.300 euros</t>
  </si>
  <si>
    <t>ingresado en bankia 22/2/13 Adrian Ciurotaru X99894667 4000 euros</t>
  </si>
  <si>
    <t>6537-FKN</t>
  </si>
  <si>
    <t>ingresado en bankia 25/3/13 Alvaro Ocejo Rodriguez 71466912R 6400 euros</t>
  </si>
  <si>
    <t>7425-FJW</t>
  </si>
  <si>
    <t>transferencia desde bankia 25/3/13 a comercial mercedes benz 25/3/13</t>
  </si>
  <si>
    <t>COMERCIAL MERCEDES-BENZ, S.A.</t>
  </si>
  <si>
    <t>MERCEDES ML270 CDI</t>
  </si>
  <si>
    <t>4547-BJD</t>
  </si>
  <si>
    <t>RAMIRO SANCHEZ SANCHEZ</t>
  </si>
  <si>
    <t>70783671-K</t>
  </si>
  <si>
    <t>0149-CCT</t>
  </si>
  <si>
    <t>JUAN CARLOS TORRES GOMEZ</t>
  </si>
  <si>
    <t>40524407-V</t>
  </si>
  <si>
    <t>LAND ROVER</t>
  </si>
  <si>
    <t>9723-DRY</t>
  </si>
  <si>
    <t>se entrega como forma de pago de la caravana 0228-FTG valorada en 18.000 euros</t>
  </si>
  <si>
    <t>5309-GBD</t>
  </si>
  <si>
    <t>vendido 2013</t>
  </si>
  <si>
    <t>ford transit (autoaravana)</t>
  </si>
  <si>
    <t>PORSCHE</t>
  </si>
  <si>
    <t>se entrega como forma de pago vehiculos 9723-dry y 5309-gbd</t>
  </si>
  <si>
    <t>comprado a Paula Molina Melgarejo el 1/12/2011</t>
  </si>
  <si>
    <t>MARIA TERESA VALLEJO PECO</t>
  </si>
  <si>
    <t>276718-M</t>
  </si>
  <si>
    <t>comprado a maria teresa vallejo 2/8/2011</t>
  </si>
  <si>
    <t>sin fra</t>
  </si>
  <si>
    <t>comprado a mapfre 27/2/12</t>
  </si>
  <si>
    <t>5946-GKL</t>
  </si>
  <si>
    <t>transferencia</t>
  </si>
  <si>
    <t>AM-361</t>
  </si>
  <si>
    <t>VENDIDO 2013</t>
  </si>
  <si>
    <t>comprado a city car sur 01/10/2012</t>
  </si>
  <si>
    <t>AM-371</t>
  </si>
  <si>
    <t>FEDERICO MORENO RIGOLOT</t>
  </si>
  <si>
    <t>52991147-K</t>
  </si>
  <si>
    <t>comprado a ald automotive 06/11/2012</t>
  </si>
  <si>
    <t>comprado a parcours 19/10/2012</t>
  </si>
  <si>
    <t>AM-369</t>
  </si>
  <si>
    <t>TOTEMCARS SL</t>
  </si>
  <si>
    <t>B85864890</t>
  </si>
  <si>
    <t>AM-366</t>
  </si>
  <si>
    <t>FRANKLIN DECENK MENDEZ</t>
  </si>
  <si>
    <t>Y2287840-K</t>
  </si>
  <si>
    <t>7877-FDV</t>
  </si>
  <si>
    <t>comprado a auxibio cabrero 27/12/2012</t>
  </si>
  <si>
    <t>05258441-C</t>
  </si>
  <si>
    <t>JOSE ENRIQEU SIERRA FERRER</t>
  </si>
  <si>
    <t>AM-363</t>
  </si>
  <si>
    <t>comprado a mapfre 16/08/2012</t>
  </si>
  <si>
    <t>x9989466-z</t>
  </si>
  <si>
    <t>ADRIAN CIUBOTARU</t>
  </si>
  <si>
    <t>AM-370</t>
  </si>
  <si>
    <t>AM-364</t>
  </si>
  <si>
    <t>ANDREW RICHARD DAWSON</t>
  </si>
  <si>
    <t>X09736566-E</t>
  </si>
  <si>
    <t>comprado a mapfre 31/12/2012</t>
  </si>
  <si>
    <t>comprado a city car sur 17/12/2012</t>
  </si>
  <si>
    <t>AM-367</t>
  </si>
  <si>
    <t>GASPAR ANIBAL CABRERA JARA</t>
  </si>
  <si>
    <t>X8690605-D</t>
  </si>
  <si>
    <t>AM-365</t>
  </si>
  <si>
    <t>NOE MARQUEZ GARCIA</t>
  </si>
  <si>
    <t>53440392-F</t>
  </si>
  <si>
    <t>0828-GLX</t>
  </si>
  <si>
    <t>ingresado en cta bankia 17/1/13 por noe marquez garcia 2800 euros</t>
  </si>
  <si>
    <t>comprado a MARGALEJO MURO, FERNANDO 000624133F SLNE 7/11/2012</t>
  </si>
  <si>
    <t>AM-362</t>
  </si>
  <si>
    <t>INDRE KMITAITE</t>
  </si>
  <si>
    <t>Y1809241-Y</t>
  </si>
  <si>
    <t>comprado a parcours 26/12/2012</t>
  </si>
  <si>
    <t>AM-368</t>
  </si>
  <si>
    <t>GONZALO BOTELLA PAVON</t>
  </si>
  <si>
    <t>48463139-T</t>
  </si>
  <si>
    <t>AM-360</t>
  </si>
  <si>
    <t>COBRADOS 5000 EUROS CON VEHICULO ENTREGADO 9253-DMZ Y EL RESTO EN EFECTIVO</t>
  </si>
  <si>
    <t>Y2036437-P</t>
  </si>
  <si>
    <t>ROMEO LUCI IONITA</t>
  </si>
  <si>
    <t>AM-373</t>
  </si>
  <si>
    <t>AM-374</t>
  </si>
  <si>
    <t>ROSA MARIA MIRANDA BLAZQUEZ</t>
  </si>
  <si>
    <t>52960617-N</t>
  </si>
  <si>
    <t>4618-GJC</t>
  </si>
  <si>
    <t>comprado a mapfre 25/05/2012</t>
  </si>
  <si>
    <t>AM-377</t>
  </si>
  <si>
    <t>AM-375</t>
  </si>
  <si>
    <t>AM-372</t>
  </si>
  <si>
    <t>ALVARO OCEJO RODRIGUEZ</t>
  </si>
  <si>
    <t>AM-376</t>
  </si>
  <si>
    <t>VICENTE CHECA CORTES</t>
  </si>
  <si>
    <t>01919572-S</t>
  </si>
  <si>
    <t>comprado a ramiro sanchez el 12/3/2013</t>
  </si>
  <si>
    <t>ANDAROSA TV SL</t>
  </si>
  <si>
    <t xml:space="preserve">transferencia a sabadel   </t>
  </si>
  <si>
    <t>US/6055265</t>
  </si>
  <si>
    <t>8704-GHR</t>
  </si>
  <si>
    <t>IBERICAR OCASIÓN CENTRO SA</t>
  </si>
  <si>
    <t>0511-FNP</t>
  </si>
  <si>
    <t>OPEL VIVARO</t>
  </si>
  <si>
    <t>US/6055118</t>
  </si>
  <si>
    <t>SEAT ALTEA</t>
  </si>
  <si>
    <t>0906-DNL</t>
  </si>
  <si>
    <t>pago en efectivo</t>
  </si>
  <si>
    <t>AM-380</t>
  </si>
  <si>
    <t>JESUS MARIA MARTINEZ MAGAÑA</t>
  </si>
  <si>
    <t>00403338-X</t>
  </si>
  <si>
    <t>3284-FFB</t>
  </si>
  <si>
    <t>AM-378</t>
  </si>
  <si>
    <t>MARIANO GARCIA ARANCE</t>
  </si>
  <si>
    <t>comprado a ge capital 01/02/2013</t>
  </si>
  <si>
    <t>comprado a ibericar 09/4/2013</t>
  </si>
  <si>
    <t>AM-383</t>
  </si>
  <si>
    <t>DAVID BLANCO RAMOS</t>
  </si>
  <si>
    <t>52861462-X</t>
  </si>
  <si>
    <t>AM-386</t>
  </si>
  <si>
    <t>SILIU MARIAN CHITIC</t>
  </si>
  <si>
    <t>Y1819182-B</t>
  </si>
  <si>
    <t>VOLKSWAGEN JETTA</t>
  </si>
  <si>
    <t>4620-GJN</t>
  </si>
  <si>
    <t>AM-384</t>
  </si>
  <si>
    <t>JOSE MARIA MIRANDA GARCIA</t>
  </si>
  <si>
    <t>47039055-F</t>
  </si>
  <si>
    <t>comprado a comecial mercedes benz 27/3/2013</t>
  </si>
  <si>
    <t>AM-385</t>
  </si>
  <si>
    <t>SAID EL YOUSFI</t>
  </si>
  <si>
    <t>X4236785-R</t>
  </si>
  <si>
    <t>M-0227-YG</t>
  </si>
  <si>
    <t>comprado a ge capital 16/08/2012</t>
  </si>
  <si>
    <t>TURBO INTERNACIONAL SL</t>
  </si>
  <si>
    <t>B84654722</t>
  </si>
  <si>
    <t>JUAN CARLOS MONTOYA LLERENA</t>
  </si>
  <si>
    <t>80050588-P</t>
  </si>
  <si>
    <t>comprado a roberto diaz 04/1/2013</t>
  </si>
  <si>
    <t>AM-381</t>
  </si>
  <si>
    <t>LUIS VERA ROMAN</t>
  </si>
  <si>
    <t>X8798675-W</t>
  </si>
  <si>
    <t>comprado a comercial mercedes 20/03/2013</t>
  </si>
  <si>
    <t>ingresa en cuenta popular luis vera roman 14/5/13 3000 euros</t>
  </si>
  <si>
    <t>ingresa silviu marian chitic en sabadel 28/5/2013 5000 euros</t>
  </si>
  <si>
    <t>cheque ingresado en sabadel 13/5/2013 5400 euros</t>
  </si>
  <si>
    <t>ingresa jose maria miranda garcia 5000 euros en cuenta popular 20/5/13</t>
  </si>
  <si>
    <t>transfiere a cuenta sabadel jesus maria martinez 19/4/2013  3500 euros</t>
  </si>
  <si>
    <t>LAND ROVER FREELANDER</t>
  </si>
  <si>
    <t>1986-DNL</t>
  </si>
  <si>
    <t>transfiere a cuenta sabadell manue muñoz rivera 4500 euros</t>
  </si>
  <si>
    <t>Distribuciones Logisticas Taluan S.L.</t>
  </si>
  <si>
    <t>B74171950</t>
  </si>
  <si>
    <t>71466912-R</t>
  </si>
  <si>
    <t>SAAB 9-5 TID LINEAR</t>
  </si>
  <si>
    <t>MERCEDES CLS 320</t>
  </si>
  <si>
    <t>9773-DXS</t>
  </si>
  <si>
    <t>9567-FCP</t>
  </si>
  <si>
    <t>ANGEL GRACIA RIOL</t>
  </si>
  <si>
    <t>MINI ONE</t>
  </si>
  <si>
    <t>6299-DYB</t>
  </si>
  <si>
    <t>VOLKSWAGEN TOUAREG</t>
  </si>
  <si>
    <t>7724-FYM</t>
  </si>
  <si>
    <t>7020-FXT</t>
  </si>
  <si>
    <t>3132-DJN</t>
  </si>
  <si>
    <t>metalico 19/6/2013</t>
  </si>
  <si>
    <t>SMART FORTWO</t>
  </si>
  <si>
    <t>comprado a ge capital 11/1/13</t>
  </si>
  <si>
    <t>US/6055045</t>
  </si>
  <si>
    <t>comprado a mapfre 14/02/13</t>
  </si>
  <si>
    <t>AM-387</t>
  </si>
  <si>
    <t>MANUEL MUÑOZ RIVERA</t>
  </si>
  <si>
    <t>33983363-N</t>
  </si>
  <si>
    <t>comprado a ibericar 9/5/13</t>
  </si>
  <si>
    <t>AM-391</t>
  </si>
  <si>
    <t>PROMOCIONES PROGECAR SL</t>
  </si>
  <si>
    <t>B83396291</t>
  </si>
  <si>
    <t>9496-GKS</t>
  </si>
  <si>
    <t>comprado a mapfre 8/5/13</t>
  </si>
  <si>
    <t>am-390</t>
  </si>
  <si>
    <t xml:space="preserve">GEORGE IONITA </t>
  </si>
  <si>
    <t>X6688707-P</t>
  </si>
  <si>
    <t>17202019C</t>
  </si>
  <si>
    <t>comprado a mapfre 08/09/2010</t>
  </si>
  <si>
    <t>MARIANE GARCIA BRONCE</t>
  </si>
  <si>
    <t>comprado a mariane garcia 12/4/2013</t>
  </si>
  <si>
    <t>NESTOR PALLADARES HERNANDEZ</t>
  </si>
  <si>
    <t>32761106-K</t>
  </si>
  <si>
    <t>comprado a nestor palladares 3/11/2012</t>
  </si>
  <si>
    <t>comprado a manuel muñoz 17/5/2013</t>
  </si>
  <si>
    <t>comprado a mapfre 02/11/2012</t>
  </si>
  <si>
    <t>AM-388</t>
  </si>
  <si>
    <t>ANDRES BRAULI VILCHEZ NAVARRO</t>
  </si>
  <si>
    <t>23254388-P</t>
  </si>
  <si>
    <t>CARLOS CASADO BARCELO</t>
  </si>
  <si>
    <t>comprado a juan carlos torres 21/3/13</t>
  </si>
  <si>
    <t>73086868-k</t>
  </si>
  <si>
    <t>ingreso en sabadel 13/6/2013 3300 euros ingresa george ionita</t>
  </si>
  <si>
    <t>AL 50 %</t>
  </si>
  <si>
    <t>X6700935-T</t>
  </si>
  <si>
    <t>ALEXI NACEMENTO DURAN(NO)- PEDRO LUIS GUZMAN FERNANDEZ</t>
  </si>
  <si>
    <t>MIRIAM FONT CARRERAS</t>
  </si>
  <si>
    <t>39373698-K</t>
  </si>
  <si>
    <t>8732-BSX</t>
  </si>
  <si>
    <t>se entrega como forma de pago vehiculo 0193-GHH</t>
  </si>
  <si>
    <t>RAUL VILLATORO VALLEJO</t>
  </si>
  <si>
    <t>53022707-W</t>
  </si>
  <si>
    <t>CITROEN C8</t>
  </si>
  <si>
    <t>0193-GHH</t>
  </si>
  <si>
    <t>se entrega como forma de pago el coche 7724-FYM</t>
  </si>
  <si>
    <t>comprado a comercial mercedes 21/06/2013</t>
  </si>
  <si>
    <t>AGUSTIN ELIZALDE  CENTENO</t>
  </si>
  <si>
    <t>51648334-V</t>
  </si>
  <si>
    <t>4473-CKX</t>
  </si>
  <si>
    <t>FA096VO20130000112</t>
  </si>
  <si>
    <t>PARCOURS IBERIA, SAU</t>
  </si>
  <si>
    <t>8019-GKY</t>
  </si>
  <si>
    <t>FA096VO20130000113</t>
  </si>
  <si>
    <t>PEUGEOT 207 SW</t>
  </si>
  <si>
    <t>9390-GZF</t>
  </si>
  <si>
    <t>FA096VO20120000337</t>
  </si>
  <si>
    <t>MARIA HERRANZ AYUSO</t>
  </si>
  <si>
    <t>03081985-P</t>
  </si>
  <si>
    <t>5750-CNN</t>
  </si>
  <si>
    <t>transferencia 10/7/2013 sabadel</t>
  </si>
  <si>
    <t>AM-393</t>
  </si>
  <si>
    <t>AM-223</t>
  </si>
  <si>
    <t>STEFANIA BUTOIANU</t>
  </si>
  <si>
    <t>X6224545-D</t>
  </si>
  <si>
    <t>am-201</t>
  </si>
  <si>
    <t>YULI JIN</t>
  </si>
  <si>
    <t>X5169901-F</t>
  </si>
  <si>
    <t>3541-GMR</t>
  </si>
  <si>
    <t>AM-392</t>
  </si>
  <si>
    <t>JUAN PEDRO MERLOS LOPEZ</t>
  </si>
  <si>
    <t>29062660-K</t>
  </si>
  <si>
    <t>SEAT EXEO</t>
  </si>
  <si>
    <t>8041-HBX</t>
  </si>
  <si>
    <t>AM-400</t>
  </si>
  <si>
    <t>JORDI COMALLONGA BACARDIT</t>
  </si>
  <si>
    <t>39356511-S</t>
  </si>
  <si>
    <t>comprado a raul villatoro 2/7/13</t>
  </si>
  <si>
    <t>se recoge como parte de pago renault 8732-bsx por valor de 2400 euros</t>
  </si>
  <si>
    <t>am-398</t>
  </si>
  <si>
    <t>TRIBECA TRANS SERVICES SL</t>
  </si>
  <si>
    <t>B86162336</t>
  </si>
  <si>
    <t>comprado a andarosa 5/6/2013</t>
  </si>
  <si>
    <t>am-399</t>
  </si>
  <si>
    <t>VERONICA ORTEGA RESA</t>
  </si>
  <si>
    <t>46834890-J</t>
  </si>
  <si>
    <t>comprado a comercial mercedes 19/6/13</t>
  </si>
  <si>
    <t>am-397</t>
  </si>
  <si>
    <t>am-395</t>
  </si>
  <si>
    <t>MOHAMED MATRAZ</t>
  </si>
  <si>
    <t>X3482291-E</t>
  </si>
  <si>
    <t>comprado a ibericar 31/5/2013</t>
  </si>
  <si>
    <t>vehiculo averiado.</t>
  </si>
  <si>
    <t>am-396</t>
  </si>
  <si>
    <t>am-394</t>
  </si>
  <si>
    <t>PADUAL AUTOMOVILES</t>
  </si>
  <si>
    <t>B90047267</t>
  </si>
  <si>
    <t>comprado a ibericar 31/5/13</t>
  </si>
  <si>
    <t>TALA EXPRES, S.L.</t>
  </si>
  <si>
    <t>B45355757</t>
  </si>
  <si>
    <t>AM-302</t>
  </si>
  <si>
    <t>4441-GLK</t>
  </si>
  <si>
    <t>VISADO</t>
  </si>
  <si>
    <t>ingresa en bankia david blanco ramos 13/5/13 3000euros</t>
  </si>
  <si>
    <t>ingresa en bankia pablo duro alonso 18/7/2013 12000 euros</t>
  </si>
  <si>
    <t>Pliego Soluciones Climaticas S.L.</t>
  </si>
  <si>
    <t>B81343824</t>
  </si>
  <si>
    <t>comprado a miriam font 17/8/13</t>
  </si>
  <si>
    <t>transferencia a bankia 20/9/2013</t>
  </si>
  <si>
    <t>si</t>
  </si>
  <si>
    <t>FA096VO20130000195</t>
  </si>
  <si>
    <t>NISSAN PATHFINDER</t>
  </si>
  <si>
    <t>6844-GDY</t>
  </si>
  <si>
    <t>ingresan cheque 26/7/2013 10.500 euros cta. Sabadel</t>
  </si>
  <si>
    <t>ingreso en cta. 8/7/2013 efectuado por juan pedro merlos lopez de 8500 euros. Cuenta popular.</t>
  </si>
  <si>
    <t>se coge como forma de pago 5750-CNN por valor de 4000 euros. Ingreso en efectivo 22/7/2013 cuenta de sabadel 6299-dyb 1500 euros</t>
  </si>
  <si>
    <t>pagado parte con vehiculo 0193-ghh. Ingreso en efectivo efectuado por rauul villatoro vallejo en cta popular de 8500 euros (2/7/2013)</t>
  </si>
  <si>
    <t>CRISTINA MARTIN CORONEL</t>
  </si>
  <si>
    <t>52346413-T</t>
  </si>
  <si>
    <t>FIAT STYLO</t>
  </si>
  <si>
    <t>5690-DPL</t>
  </si>
  <si>
    <t>comprado a mapfre 29/8/2013</t>
  </si>
  <si>
    <t>comprado a mapfre 1/8/2013</t>
  </si>
  <si>
    <t>comprado a ge capital 17/1/2013</t>
  </si>
  <si>
    <t>VA/00078</t>
  </si>
  <si>
    <t>VOLKSWAGEN TRANSPORTER</t>
  </si>
  <si>
    <t>8606-BRY</t>
  </si>
  <si>
    <t xml:space="preserve">efectivo  </t>
  </si>
  <si>
    <t>JOSE LUIS MARTINEZ OLIVARES</t>
  </si>
  <si>
    <t>04582558-S</t>
  </si>
  <si>
    <t>comprado a parcours 10/7/2013</t>
  </si>
  <si>
    <t>PEDRO CANO LLERGO</t>
  </si>
  <si>
    <t>80156595-P</t>
  </si>
  <si>
    <t>comprado a cristina martin 3/8/2013</t>
  </si>
  <si>
    <t>FALTA FACTURA</t>
  </si>
  <si>
    <t>comprado a parcours 8/7/2013</t>
  </si>
  <si>
    <t xml:space="preserve">LEONCIO GONZALEZ GONZALEZ </t>
  </si>
  <si>
    <t>transferencia a sabadel 09/1/2013 Jaume Cases Marco 6.300 euros-TF 8/1/13 200 € SEÑAL</t>
  </si>
  <si>
    <t>transferencias 17/1/2013 2700-2900 euros sabadel</t>
  </si>
  <si>
    <t>transferencia 15/2/13 sabadel 500 euros-cheque 25/2/2013 8500 euros sabadel</t>
  </si>
  <si>
    <t>cheque 22/2/2013 sabadel 1500 €- 500 € efectivo</t>
  </si>
  <si>
    <t>tf sabadel 27/2/13 6000€</t>
  </si>
  <si>
    <t>dos ingresos  en efectivo 2750 euros ingresado en sabadel 1/4/2013</t>
  </si>
  <si>
    <t>transferencia sabadel 16/4/2013</t>
  </si>
  <si>
    <t xml:space="preserve">tf sabadel 8/5/2013 6100 euros </t>
  </si>
  <si>
    <t>ingresa mariano garcia arance en sabadel 18/4/13 2400 euros-resto efectivo?</t>
  </si>
  <si>
    <t>tf sabadel 4/6/13 5000 euros</t>
  </si>
  <si>
    <t xml:space="preserve">cheque 19/6/13 sabadel </t>
  </si>
  <si>
    <t>ingreso en sabadel mohamed matraz 2900 e (23/7/13)-300 (25/7/13)</t>
  </si>
  <si>
    <t>DAVID THOMAS MIDLEY</t>
  </si>
  <si>
    <t>X7288804-W</t>
  </si>
  <si>
    <t>M-6704-SB</t>
  </si>
  <si>
    <t>CRISTINA GUTIERREZ GARRIDO</t>
  </si>
  <si>
    <t>52506337-M</t>
  </si>
  <si>
    <t xml:space="preserve">AUDI A3 </t>
  </si>
  <si>
    <t>8053-BYR</t>
  </si>
  <si>
    <t>vo/metl13 34</t>
  </si>
  <si>
    <t>C. DE SALAMANCA, S.A.</t>
  </si>
  <si>
    <t>A28021780</t>
  </si>
  <si>
    <t>AUTI TT</t>
  </si>
  <si>
    <t>9467-FYJ</t>
  </si>
  <si>
    <t>MERCEDES C200 K AVANT AUT</t>
  </si>
  <si>
    <t>0335-GHH</t>
  </si>
  <si>
    <t>0353-GRB</t>
  </si>
  <si>
    <t>FA096VO20130000254</t>
  </si>
  <si>
    <t>NISSAN INTERSTAR</t>
  </si>
  <si>
    <t>7456-GPJ</t>
  </si>
  <si>
    <t>FA096VO20130000252</t>
  </si>
  <si>
    <t>FA096VO20130000253</t>
  </si>
  <si>
    <t>9020-GPG</t>
  </si>
  <si>
    <t>9017-GPG</t>
  </si>
  <si>
    <t>FR3074</t>
  </si>
  <si>
    <t>INDUEDSA, S.L.</t>
  </si>
  <si>
    <t>B83415281</t>
  </si>
  <si>
    <t>VOLVO S80</t>
  </si>
  <si>
    <t>2869-FWM</t>
  </si>
  <si>
    <t>JESUS MIGUEL PEREZ PENA</t>
  </si>
  <si>
    <t>51681917-C</t>
  </si>
  <si>
    <t>comprado a agustin elizalde 26/7/2013</t>
  </si>
  <si>
    <t>am-304</t>
  </si>
  <si>
    <t>comprado a talaexpres 23/9/13</t>
  </si>
  <si>
    <t>se recibe como forma de pago de la caravana 0228-FTG valorada en 18.000 euros</t>
  </si>
  <si>
    <t>ROBERTO VALVERDE SABIN</t>
  </si>
  <si>
    <t>76994128-H</t>
  </si>
  <si>
    <t>am-307</t>
  </si>
  <si>
    <t>78639877-w</t>
  </si>
  <si>
    <t>comprado a motor mecha 7/6/13</t>
  </si>
  <si>
    <t>SERVICIO DE CLIMATIZACION MADRID, S.L.</t>
  </si>
  <si>
    <t>B85843571</t>
  </si>
  <si>
    <t>comprado a mapfre 5/11/13</t>
  </si>
  <si>
    <t>JAVIER ORJALES SERANTES</t>
  </si>
  <si>
    <t>32687279-R</t>
  </si>
  <si>
    <t>comprado a c. de salamanca 24/11/2013</t>
  </si>
  <si>
    <t>AM-312</t>
  </si>
  <si>
    <t>X3947157-N</t>
  </si>
  <si>
    <t>se recibe como forma de pago del 6299-dyb</t>
  </si>
  <si>
    <t>comprado a maria herranz 18/7/13</t>
  </si>
  <si>
    <t>FRANCISCO LOSADA ALMANCHA</t>
  </si>
  <si>
    <t>51096384-K</t>
  </si>
  <si>
    <t>ALFA ROMEO</t>
  </si>
  <si>
    <t>3270-DBD</t>
  </si>
  <si>
    <t>JAVIER ORJALE SERANTEL</t>
  </si>
  <si>
    <t>comprado a francisco losada 27/11/13</t>
  </si>
  <si>
    <t>AM-313</t>
  </si>
  <si>
    <t>MUSEVA, S.L.</t>
  </si>
  <si>
    <t>B47638242</t>
  </si>
  <si>
    <t>SEAT TOLEDO</t>
  </si>
  <si>
    <t>2734-GHH</t>
  </si>
  <si>
    <t>comprado a ge capital 19/7/13</t>
  </si>
  <si>
    <t>RICARDO PASTOR IGLESIAS</t>
  </si>
  <si>
    <t>50706506-Q</t>
  </si>
  <si>
    <t>comprado a cristina gutierrez 22/11/13</t>
  </si>
  <si>
    <t>DIEGO DOMINGO CONTRERAS</t>
  </si>
  <si>
    <t>74687094-E</t>
  </si>
  <si>
    <t>2870-DRP</t>
  </si>
  <si>
    <t>1478-GJK</t>
  </si>
  <si>
    <t>6867-GVJ</t>
  </si>
  <si>
    <t>7908-GPT</t>
  </si>
  <si>
    <t>7822-GPY</t>
  </si>
  <si>
    <t>X7288804-N</t>
  </si>
  <si>
    <t>comprado a mapfre 16/10/13</t>
  </si>
  <si>
    <t>david thomas midley</t>
  </si>
  <si>
    <t>am-318</t>
  </si>
  <si>
    <t>ISMAEL MONSALVE SANCHEZ</t>
  </si>
  <si>
    <t>12309945-T</t>
  </si>
  <si>
    <t>SEAT PANDA</t>
  </si>
  <si>
    <t>comprado a ge capital</t>
  </si>
  <si>
    <t>ingresa en efectivo en popular 5000 e 4/10/2013</t>
  </si>
  <si>
    <t>transferencia recibida de auixbio cabrero 21/10/2013 bankia</t>
  </si>
  <si>
    <t>transferencia recibida 15/10/2013 14000 e sabadel</t>
  </si>
  <si>
    <t>DIEGO GATTI PISANI</t>
  </si>
  <si>
    <t>transferencia recibida 20/11/13 4750 e sabadel</t>
  </si>
  <si>
    <t>cheque 21/11/2013 sabadel por 11000 e</t>
  </si>
  <si>
    <t>transferencia ingresa en bankia 300 euros  16/10/2013, ingresa en popular 21/10/2013 6613euros</t>
  </si>
  <si>
    <t>Ing. efect. por ORLANDO SERGIO GUTIERREZ popular 20/11/2013</t>
  </si>
  <si>
    <t>comprado a angel gracia 15/6/13</t>
  </si>
  <si>
    <t>SANTIAGO ROLDAN GOMEZ</t>
  </si>
  <si>
    <t>00512109-Z</t>
  </si>
  <si>
    <t>comprado a santiago roldan 28/11/2013</t>
  </si>
  <si>
    <t>us/6056685</t>
  </si>
  <si>
    <t>VENTURE PROJECT MANAGEMENT, S.L.</t>
  </si>
  <si>
    <t>B86771177</t>
  </si>
  <si>
    <t>comprado a parcours 30/9/2013</t>
  </si>
  <si>
    <t>am-319</t>
  </si>
  <si>
    <t>GREGORIO TORRES VALENTIN</t>
  </si>
  <si>
    <t>03431898-E</t>
  </si>
  <si>
    <t>comprado a induedsa 4/12/13</t>
  </si>
  <si>
    <t>FT1131987</t>
  </si>
  <si>
    <t>MOTOR LAS MUSAS, S.L.</t>
  </si>
  <si>
    <t>B81583445</t>
  </si>
  <si>
    <t>CITROEN SAXO</t>
  </si>
  <si>
    <t>M-5746-TZ</t>
  </si>
  <si>
    <t>NO  ENVIAR A NOMBRE DE ADAN</t>
  </si>
  <si>
    <t>VENDIDO ME DICE ADAN EN ENERO 2014 QUE SE VENDIO HACE SIGLOS</t>
  </si>
  <si>
    <t>ingreso fernando pedraza en popular 29/11/13</t>
  </si>
  <si>
    <t>ingreso en popular 20/6/2013 7000 euros carlos casado barcelo, 11/7/13 tf a popular 600 €</t>
  </si>
  <si>
    <t>ingresa en popular 30/8/13 6700 euros</t>
  </si>
  <si>
    <t>ingresa en popular 12/9/13 3200 €</t>
  </si>
  <si>
    <t>se coge como pago vehiculo matricula 8606BRY valorado en 1.500 euros, tf 6000 euros en popular 23/9/13</t>
  </si>
  <si>
    <t>tf popular 17/9/13 6200 €</t>
  </si>
  <si>
    <t>tf bankia 13/12/13 11360€</t>
  </si>
  <si>
    <t>tf de hermanos torres valentin a bankia 27/12/13</t>
  </si>
  <si>
    <t>tf 16/12/13 a sabadel 300 €-señal y 18/12/2013 olga duce escudero 4500 €</t>
  </si>
  <si>
    <t xml:space="preserve">tf sabadel monstserrat monsalve 23/12/13 </t>
  </si>
  <si>
    <t xml:space="preserve">tf sabadel 8/1/13 </t>
  </si>
  <si>
    <t>METALICO</t>
  </si>
  <si>
    <t>ADAM DUDA (CRISOCOLA)</t>
  </si>
  <si>
    <t>X1612585-D</t>
  </si>
  <si>
    <t>HYUNDAI SANTA FE</t>
  </si>
  <si>
    <t>3222-GSH</t>
  </si>
  <si>
    <t>US--6056589</t>
  </si>
  <si>
    <t>US-6056627</t>
  </si>
  <si>
    <t>VO/METL14 2</t>
  </si>
  <si>
    <t>LAND ROVER DISCOVERY</t>
  </si>
  <si>
    <t>5761-DXZ</t>
  </si>
  <si>
    <t>FA096VO20140000026</t>
  </si>
  <si>
    <t>PARCOURS IBERIA SAU</t>
  </si>
  <si>
    <t>FIAT DUCATO</t>
  </si>
  <si>
    <t>3810-GTD</t>
  </si>
  <si>
    <t>08974430-Z</t>
  </si>
  <si>
    <t>PEUGEOT 807</t>
  </si>
  <si>
    <t>4045-CHJ</t>
  </si>
  <si>
    <t>JESUS ANTONIO CABALLERO FERNANDEZ</t>
  </si>
  <si>
    <t>FRANCISCO SEGOVIA AGUADO</t>
  </si>
  <si>
    <t>50794137-V</t>
  </si>
  <si>
    <t>KIA CARNIVAL</t>
  </si>
  <si>
    <t>9351-CCM</t>
  </si>
  <si>
    <t>LAHCEN EL MAKHTOUM</t>
  </si>
  <si>
    <t>X2081128-L</t>
  </si>
  <si>
    <t>VENDIDO 2014</t>
  </si>
  <si>
    <t>comprado a FRANCISCO SEGOVIA AGUADO 7/1/2014</t>
  </si>
  <si>
    <t>comprado a JESUS ANTONIO CABALLERO FERNANDEZ 4/2/2014</t>
  </si>
  <si>
    <t>AM-328</t>
  </si>
  <si>
    <t>ALEX PAUL CABRERA SUAREZ</t>
  </si>
  <si>
    <t>X6148039-R</t>
  </si>
  <si>
    <t>comprado a DAVID THOMAS MIDLEY el 19/12/2013</t>
  </si>
  <si>
    <t>ALBERTO PRADO FUENTE</t>
  </si>
  <si>
    <t>09799246-G</t>
  </si>
  <si>
    <t>comprado a PARCOURS el 17/12/2013</t>
  </si>
  <si>
    <t>AM-331</t>
  </si>
  <si>
    <t>DAVID BILHAN ALVAREZ FERNANDEZ</t>
  </si>
  <si>
    <t>70064103-P</t>
  </si>
  <si>
    <t>comprado a MAPFRE el 16/10/2013</t>
  </si>
  <si>
    <t>comprado a COMERCIAL MERCEDES-BENZ el 31/10/2013</t>
  </si>
  <si>
    <t>MANUEL AGARCIA TREJO</t>
  </si>
  <si>
    <t>76228625-R</t>
  </si>
  <si>
    <t>comprado a MOTOR LAS MUSAS el 20/12/2013</t>
  </si>
  <si>
    <t>ANGELICA MARIA TOBAR JIMENO</t>
  </si>
  <si>
    <t>06608768-V</t>
  </si>
  <si>
    <t>comprado a GE Capital el 19/07/2013</t>
  </si>
  <si>
    <t>AM-324</t>
  </si>
  <si>
    <t>JOSE MIGUEL BALLESTA AMIGO</t>
  </si>
  <si>
    <t>51927891-D</t>
  </si>
  <si>
    <t>INSTALACIONES ISIDRO HIGUERO E HIJOS, S.L.</t>
  </si>
  <si>
    <t>B09511759</t>
  </si>
  <si>
    <t>TALLER DE CHAPA Y PINTURA ANAN SL</t>
  </si>
  <si>
    <t>comprado a ADAM DUDA el 1/1/2014</t>
  </si>
  <si>
    <t>B83940635</t>
  </si>
  <si>
    <t>PRIMER TRIMESTRE</t>
  </si>
  <si>
    <t>OSCAR ARRUBA CAMACHO</t>
  </si>
  <si>
    <t>02632349E</t>
  </si>
  <si>
    <t>SUBARU LEGACY</t>
  </si>
  <si>
    <t>8301-GDJ</t>
  </si>
  <si>
    <t>MARIA SOL NOYA GANDANA</t>
  </si>
  <si>
    <t>76333367R</t>
  </si>
  <si>
    <t>MERCEDES SLK</t>
  </si>
  <si>
    <t>8595-DPC</t>
  </si>
  <si>
    <t>ERNESTO RAYO FORNIELES</t>
  </si>
  <si>
    <t>24274295A</t>
  </si>
  <si>
    <t>MERCEDES S-520</t>
  </si>
  <si>
    <t>4085-GFX</t>
  </si>
  <si>
    <t xml:space="preserve">ingreso en cta efectivo 11300 </t>
  </si>
  <si>
    <t>Tf recibida bankia 5/2/14 de David Higuero Escolar</t>
  </si>
  <si>
    <t>5119</t>
  </si>
  <si>
    <t>CITYCAR SUR, S.A.</t>
  </si>
  <si>
    <t>comprado a city car sur 23/1/2014</t>
  </si>
  <si>
    <t>22--14</t>
  </si>
  <si>
    <t>OTZ,S.L.</t>
  </si>
  <si>
    <t>B86054798</t>
  </si>
  <si>
    <t>VOLVO C70</t>
  </si>
  <si>
    <t>1170-GDV</t>
  </si>
  <si>
    <t>OLEGARIO BARREÑA TORRES</t>
  </si>
  <si>
    <t>08952933-E</t>
  </si>
  <si>
    <t>9165-GTV</t>
  </si>
  <si>
    <t>ANTONIO  ESCOBAR MENDOZA</t>
  </si>
  <si>
    <t>Y-1192602-C</t>
  </si>
  <si>
    <t>CITROEN C1</t>
  </si>
  <si>
    <t>5001-DSW</t>
  </si>
  <si>
    <t>JOSE RAMON CAMPOS POMPEDRO</t>
  </si>
  <si>
    <t>50697628-Q</t>
  </si>
  <si>
    <t>2512-DNJ</t>
  </si>
  <si>
    <t>VV014 21</t>
  </si>
  <si>
    <t>DACIA LOGAN</t>
  </si>
  <si>
    <t>0798-GMB</t>
  </si>
  <si>
    <t>FA096VO20140000151</t>
  </si>
  <si>
    <t>5065-GMS</t>
  </si>
  <si>
    <t>FA096VO20140000165</t>
  </si>
  <si>
    <t>9160-GTB</t>
  </si>
  <si>
    <t>TFH1214 210</t>
  </si>
  <si>
    <t>AUDI RETAIL MADRID, S.A.</t>
  </si>
  <si>
    <t>A78055076</t>
  </si>
  <si>
    <t>AUDI A8</t>
  </si>
  <si>
    <t>3988-FKZ</t>
  </si>
  <si>
    <t>5396</t>
  </si>
  <si>
    <t xml:space="preserve">CITROEN PICASSO </t>
  </si>
  <si>
    <t>3348-FRJ</t>
  </si>
  <si>
    <t>VANESSA ACOSTA FLORES</t>
  </si>
  <si>
    <t>Y-0556429-G</t>
  </si>
  <si>
    <t>5616-CHK</t>
  </si>
  <si>
    <t>FA096VO20140000152</t>
  </si>
  <si>
    <t>9014-GPG</t>
  </si>
  <si>
    <t>12026467</t>
  </si>
  <si>
    <t>TOYOTA AVENSIS</t>
  </si>
  <si>
    <t>0950-FFH</t>
  </si>
  <si>
    <t>VOEM1114 21</t>
  </si>
  <si>
    <t>VOLKSWAGEN MADRID, S.A.</t>
  </si>
  <si>
    <t>A80483878</t>
  </si>
  <si>
    <t>BMW 330DA</t>
  </si>
  <si>
    <t>2479-CWK</t>
  </si>
  <si>
    <t>CITROEN C5</t>
  </si>
  <si>
    <t>JUAN PABLO AVEIGA VELEZ</t>
  </si>
  <si>
    <t>02751110-B</t>
  </si>
  <si>
    <t>comprado a olegario barreña 28/2/2014</t>
  </si>
  <si>
    <t>PEDRO JOSE GARCIA TORRES</t>
  </si>
  <si>
    <t>30545666-X</t>
  </si>
  <si>
    <t>comprado a parcours 17/12/2013</t>
  </si>
  <si>
    <t>ECUANIC TRANSPORTES, S.L.</t>
  </si>
  <si>
    <t>B99349424</t>
  </si>
  <si>
    <t>comprado a parcours 29/1/2014</t>
  </si>
  <si>
    <t>am-336</t>
  </si>
  <si>
    <t>ANNA KOLESNYK</t>
  </si>
  <si>
    <t>X4143984-M</t>
  </si>
  <si>
    <t>comprado a antonio escobar 02/04/2014</t>
  </si>
  <si>
    <t>EXCAVACIONES IBARDEGUI, S.L.</t>
  </si>
  <si>
    <t>B95393450</t>
  </si>
  <si>
    <t>comprado a c. de salamanca 22/1/2014</t>
  </si>
  <si>
    <t>JOSE LUIS PEREZ FERNANDEZ</t>
  </si>
  <si>
    <t>33303572-D</t>
  </si>
  <si>
    <t>ANGEL GONZALEZ HERVAS</t>
  </si>
  <si>
    <t>02898759-T</t>
  </si>
  <si>
    <t>comprado a oscar arruba 29/1/2014</t>
  </si>
  <si>
    <t>am-342</t>
  </si>
  <si>
    <t>MARIA LIDIA ABRIL SANCHEZ</t>
  </si>
  <si>
    <t>80062574-B</t>
  </si>
  <si>
    <t>comprado a maria sol noya 26/2/2014</t>
  </si>
  <si>
    <t>am-341</t>
  </si>
  <si>
    <t>ESMERALDA PEREZ CAMPO</t>
  </si>
  <si>
    <t>53138494-F</t>
  </si>
  <si>
    <t>comprado a volkswagen madrid 23/4/2014</t>
  </si>
  <si>
    <t>am-339</t>
  </si>
  <si>
    <t>MOHAMED JAOVAD BARHOUN</t>
  </si>
  <si>
    <t>X6503034-Z</t>
  </si>
  <si>
    <t>comprado a jose ramon campos 24/3/2014</t>
  </si>
  <si>
    <t>TF 29/1/14 popular</t>
  </si>
  <si>
    <t>TF 26/2/14 popular</t>
  </si>
  <si>
    <t>TF 24/3/14 bankia</t>
  </si>
  <si>
    <t>TF 7/4/14 sabadel</t>
  </si>
  <si>
    <t>TF 12/5/14 sabadel</t>
  </si>
  <si>
    <t>TF 29/5/14 sabadel</t>
  </si>
  <si>
    <t>TF 4/6/14 sabadel</t>
  </si>
  <si>
    <t>TF 6000 5/6/14 popular</t>
  </si>
  <si>
    <t>TF 9/6/14 popular</t>
  </si>
  <si>
    <t>TF 11/6/14 sabadel</t>
  </si>
  <si>
    <t>TF 18/6/14 popular</t>
  </si>
  <si>
    <t>SEGUNDO TRIMESTRE</t>
  </si>
  <si>
    <t>comprado a parcours 5/6/14</t>
  </si>
  <si>
    <t>tf recibida popular 11500 4/6/14</t>
  </si>
  <si>
    <t>ingreso en cta efectivo 16/4/2014</t>
  </si>
  <si>
    <t>VOEM1114 75</t>
  </si>
  <si>
    <t>KIA CEED</t>
  </si>
  <si>
    <t>5914-GBX</t>
  </si>
  <si>
    <t>VOEM1214 92</t>
  </si>
  <si>
    <t>1923-CDH</t>
  </si>
  <si>
    <t>VOM1114 258</t>
  </si>
  <si>
    <t>2794-GLW</t>
  </si>
  <si>
    <t>VOEH1214 110</t>
  </si>
  <si>
    <t>8591-CBM</t>
  </si>
  <si>
    <t>voeh1214 111</t>
  </si>
  <si>
    <t>AUDI A4</t>
  </si>
  <si>
    <t>8453-DBY</t>
  </si>
  <si>
    <t>voeh1214 109</t>
  </si>
  <si>
    <t>NISSAN PRIMERA</t>
  </si>
  <si>
    <t>OU-0260-U</t>
  </si>
  <si>
    <t xml:space="preserve">VOH0614 85 </t>
  </si>
  <si>
    <t>LANCIA FREELANDER</t>
  </si>
  <si>
    <t>8624-CDS</t>
  </si>
  <si>
    <t>FA096VO20140000213</t>
  </si>
  <si>
    <t>2737-GWG</t>
  </si>
  <si>
    <t>4145-GTZ</t>
  </si>
  <si>
    <t>vv014 34</t>
  </si>
  <si>
    <t>LIDERDAI, S.A.</t>
  </si>
  <si>
    <t>A83134007</t>
  </si>
  <si>
    <t>PEUGEOT 607</t>
  </si>
  <si>
    <t>7437-DDZ</t>
  </si>
  <si>
    <t>tf sabadel 07/07/2014  7300 € (con gastos tf vehiculo)</t>
  </si>
  <si>
    <t>7545-FZB</t>
  </si>
  <si>
    <t xml:space="preserve">TF SABADEL  1/7/2014 LUXMIL MOTOR </t>
  </si>
  <si>
    <t>TF popular 18/7/2014 10900 euros</t>
  </si>
  <si>
    <t>TF SABADEL 23/7/2014 10200 EUROS</t>
  </si>
  <si>
    <t>TF sabadel 25/7/2014 2000 euros</t>
  </si>
  <si>
    <t>VICTOR HUGO AYALA LEGUIZAMON</t>
  </si>
  <si>
    <t>03184009-G</t>
  </si>
  <si>
    <t>COMPRADO A AUDI RETAIL 8/7/2014</t>
  </si>
  <si>
    <t>AM-354</t>
  </si>
  <si>
    <t>JOSE HERNANDEZ BRAVO</t>
  </si>
  <si>
    <t>46938347-Q</t>
  </si>
  <si>
    <t>COMPRADO A CITYCAR SUR 9/6/2014</t>
  </si>
  <si>
    <t>AM-351</t>
  </si>
  <si>
    <t>MIGUEL RUBIO HERRERO</t>
  </si>
  <si>
    <t>53466446-W</t>
  </si>
  <si>
    <t>MERCEDES C200</t>
  </si>
  <si>
    <t>comprado a COMERCIAL MERCEDES-BENZ el 1/7/2014</t>
  </si>
  <si>
    <t>AM-350</t>
  </si>
  <si>
    <t>GERMAN DEL FUEYO ALVAREZ</t>
  </si>
  <si>
    <t>10877356-N</t>
  </si>
  <si>
    <t>COMPRADO A PARCOURS 21/8/2014</t>
  </si>
  <si>
    <t>AM-352</t>
  </si>
  <si>
    <t>X-6537274-F</t>
  </si>
  <si>
    <t>COMPRADO A VOLKswagen madrid 25/7/2014</t>
  </si>
  <si>
    <t>COMPRADO A VOLSKWAGEN MADRID 28/7/2014</t>
  </si>
  <si>
    <t>AM-347</t>
  </si>
  <si>
    <t>GANADOS EL CERCADO, S.L.</t>
  </si>
  <si>
    <t>B10378099</t>
  </si>
  <si>
    <t>MIHAI BEJENARIU</t>
  </si>
  <si>
    <t>X8966387-K</t>
  </si>
  <si>
    <t>COMPRADO A PARCOURS 5/6/2014</t>
  </si>
  <si>
    <t>EDEBIRI SYLVESTER IDEMUDIA</t>
  </si>
  <si>
    <t>X6894798-L</t>
  </si>
  <si>
    <t>556</t>
  </si>
  <si>
    <t>GECOCEN INVERSIONES, S.L.</t>
  </si>
  <si>
    <t>B82899071</t>
  </si>
  <si>
    <t>COMPRADO A AUDI RETAIL 17/6/2014</t>
  </si>
  <si>
    <t>FRANCISCO JAVIER SANCHEZ RODRIGUEZ</t>
  </si>
  <si>
    <t>51395016-K</t>
  </si>
  <si>
    <t>COMPRADO A PARCOURS 18/6/2014</t>
  </si>
  <si>
    <t>ALEJANDRO GOMEZ ESTEBAN</t>
  </si>
  <si>
    <t>04843260-N</t>
  </si>
  <si>
    <t>COMPRADO A COMERCIAL MERCEDES 29/5/2014</t>
  </si>
  <si>
    <t>ingreso en efectivo cta bankia 22/4/2014</t>
  </si>
  <si>
    <t>TF BANKIA 20/2/14 4800 EUROS RESTO EFECTIVO</t>
  </si>
  <si>
    <t>TERCER TRIMESTRE</t>
  </si>
  <si>
    <t>VOEM1114 117</t>
  </si>
  <si>
    <t>5041-CKW</t>
  </si>
  <si>
    <t>VOEM0314 136</t>
  </si>
  <si>
    <t>2872-FTD</t>
  </si>
  <si>
    <t>VOEM1114 122</t>
  </si>
  <si>
    <t>1586-FSY</t>
  </si>
  <si>
    <t>FEDERICO ORENO RIGOLOT</t>
  </si>
  <si>
    <t>3035-BBY</t>
  </si>
  <si>
    <t>CUARTO TRIMESTRE</t>
  </si>
  <si>
    <t>1672-HGS</t>
  </si>
  <si>
    <t>ALEJANDRO BLANCO BLAZQUEZ</t>
  </si>
  <si>
    <t>50552812-P</t>
  </si>
  <si>
    <t>COMPRADO A LIDERCAR 31/5/2014</t>
  </si>
  <si>
    <t xml:space="preserve"> 9513-HJX</t>
  </si>
  <si>
    <t>AM-358</t>
  </si>
  <si>
    <t>TALLERES ESCOLANO, S.L.</t>
  </si>
  <si>
    <t>B50183631</t>
  </si>
  <si>
    <t>VICENTE DOMINGUEZ NIEVES</t>
  </si>
  <si>
    <t>07042421-M</t>
  </si>
  <si>
    <t>COMPRADO A VOLKSWAGEN 25/7/2014</t>
  </si>
  <si>
    <t>GORKA MAZON YOZIFEK</t>
  </si>
  <si>
    <t>78936087-H</t>
  </si>
  <si>
    <t>COMPRADO A PARCOURS 27/8/2014</t>
  </si>
  <si>
    <t>COMPRADO A AUDI REATIL 8/7/2014</t>
  </si>
  <si>
    <t>9237-GZS</t>
  </si>
  <si>
    <t>FA097VO20140000047</t>
  </si>
  <si>
    <t>FA097VO20140000049</t>
  </si>
  <si>
    <t>FA097VO20140000048</t>
  </si>
  <si>
    <t>COMPRADO A PARCOURS 158/9/2014</t>
  </si>
  <si>
    <t>12026725</t>
  </si>
  <si>
    <t>comprado a vicente dominguez 5/9/2014</t>
  </si>
  <si>
    <t>FA096V02014000340</t>
  </si>
  <si>
    <t xml:space="preserve">PEUGEOT 407  </t>
  </si>
  <si>
    <t>2941-GVZ</t>
  </si>
  <si>
    <t>FA096V02014000339</t>
  </si>
  <si>
    <t>7652-GNY</t>
  </si>
  <si>
    <t>FA096V020140000341</t>
  </si>
  <si>
    <t>2600-GVX</t>
  </si>
  <si>
    <t>2014100092</t>
  </si>
  <si>
    <t>MAPFRE RENTING DE VEHICULOS, S.A.</t>
  </si>
  <si>
    <t>TOYOTA YARIS</t>
  </si>
  <si>
    <t>3537-GPL</t>
  </si>
  <si>
    <t>2014100093</t>
  </si>
  <si>
    <t>3535-GPL</t>
  </si>
  <si>
    <t>2014100094</t>
  </si>
  <si>
    <t>3529-GPL</t>
  </si>
  <si>
    <t>A-14-0131</t>
  </si>
  <si>
    <t>VAMANCIA, S.L.U.</t>
  </si>
  <si>
    <t>B86978533</t>
  </si>
  <si>
    <t xml:space="preserve">AUDI A6 </t>
  </si>
  <si>
    <t>9802-BBM</t>
  </si>
  <si>
    <t>FA096V020140000275</t>
  </si>
  <si>
    <t>CHEVROLET CAPTIVA</t>
  </si>
  <si>
    <t>1717-GXL</t>
  </si>
  <si>
    <t>FA096V020140000276</t>
  </si>
  <si>
    <t>PEUGEOT BIPPER</t>
  </si>
  <si>
    <t>1029-HFW</t>
  </si>
  <si>
    <t>FA096V020140000277</t>
  </si>
  <si>
    <t>1032-HFW</t>
  </si>
  <si>
    <t>OLIVER MOZO MANSILLA</t>
  </si>
  <si>
    <t>05671794-V</t>
  </si>
  <si>
    <t>M-5364-NY</t>
  </si>
  <si>
    <t>VOEM1114 157</t>
  </si>
  <si>
    <t>RENAULT ESPACE</t>
  </si>
  <si>
    <t>0831-CHY</t>
  </si>
  <si>
    <t>VOEM1114 158</t>
  </si>
  <si>
    <t>M-4590-ZM</t>
  </si>
  <si>
    <t>VOEM0114 52</t>
  </si>
  <si>
    <t>3875-DXT</t>
  </si>
  <si>
    <t>VOEH1214 180</t>
  </si>
  <si>
    <t>9379-FHH</t>
  </si>
  <si>
    <t>voh1214 391</t>
  </si>
  <si>
    <t>PEUGEOT 308</t>
  </si>
  <si>
    <t>4889-GJB</t>
  </si>
  <si>
    <t>OSCAR MARTINEZ HUERGA</t>
  </si>
  <si>
    <t>09331376-T</t>
  </si>
  <si>
    <t>BMW Z3</t>
  </si>
  <si>
    <t>M-5788-WG</t>
  </si>
  <si>
    <t>FA096VO20140000320</t>
  </si>
  <si>
    <t>1034-HFW</t>
  </si>
  <si>
    <t>FA096VO20140000319</t>
  </si>
  <si>
    <t>1033-HFW</t>
  </si>
  <si>
    <t>2014100109</t>
  </si>
  <si>
    <t>6283-GNZ</t>
  </si>
  <si>
    <t>VOM1114 341</t>
  </si>
  <si>
    <t>VOLKSWAGEN GOLF +</t>
  </si>
  <si>
    <t>6541-GLF</t>
  </si>
  <si>
    <t>CESAR GUTIERREZ DE LA CAMARA ARA</t>
  </si>
  <si>
    <t>50304739-J</t>
  </si>
  <si>
    <t>FIAT ULYSSE</t>
  </si>
  <si>
    <t>6404-DNS</t>
  </si>
  <si>
    <t>SEAT MOTOR ESPAÑA,S.A.</t>
  </si>
  <si>
    <t>0088-DBH</t>
  </si>
  <si>
    <t>VOE14000785</t>
  </si>
  <si>
    <t>VOE14000787</t>
  </si>
  <si>
    <t>4287-DJJ</t>
  </si>
  <si>
    <t>CAROLINA DEL CARMEN CASABELLA BASANTA</t>
  </si>
  <si>
    <t>51652932-S</t>
  </si>
  <si>
    <t>comprado a mapfre 6/10/2014</t>
  </si>
  <si>
    <t>1679-HGS</t>
  </si>
  <si>
    <t>am-363</t>
  </si>
  <si>
    <t>SIXTO LUDENA MIZHQUERO</t>
  </si>
  <si>
    <t>03184748-F</t>
  </si>
  <si>
    <t>comprado a parcours 18/9/14</t>
  </si>
  <si>
    <t>ALEJANDRO MIGUEL IGLESIAS VAZQUEZ</t>
  </si>
  <si>
    <t>44471904-R</t>
  </si>
  <si>
    <t>comprado a oscar martinez 20/11/14</t>
  </si>
  <si>
    <t>CRISTIAN MARIUS DUMITRE SEU</t>
  </si>
  <si>
    <t>Y-0797359-D</t>
  </si>
  <si>
    <t>comprado a oliver mozo 17/10/14</t>
  </si>
  <si>
    <t>comprado a otz el 7/4/14</t>
  </si>
  <si>
    <t>MAYOLO MOZO MANSILLA</t>
  </si>
  <si>
    <t>05683143-G</t>
  </si>
  <si>
    <t>ARTURO GOMEZ SANCHEZ</t>
  </si>
  <si>
    <t>70887428-W</t>
  </si>
  <si>
    <t>comprado a volkswagen madrid 29/9/14</t>
  </si>
  <si>
    <t>JOSE MANUEL RODRIGUEZ BOTRAN</t>
  </si>
  <si>
    <t>12332414-K</t>
  </si>
  <si>
    <t>comprado a volkswagen madrid 21/11/14</t>
  </si>
  <si>
    <t>ALICIA MARGARITA JIMENEZ</t>
  </si>
  <si>
    <t>51373582-T</t>
  </si>
  <si>
    <t>comprado a parcours 30/10/14</t>
  </si>
  <si>
    <t>DANIEL TATARU</t>
  </si>
  <si>
    <t>Y1040976-X</t>
  </si>
  <si>
    <t>comprado a volkswagen madrid 25/9/14</t>
  </si>
  <si>
    <t>72487853-H</t>
  </si>
  <si>
    <t>comprado a liderdai 3/7/14</t>
  </si>
  <si>
    <t>FRANCISCO JAVIER PARDO QUEREJETA</t>
  </si>
  <si>
    <t>FA096VO20140000326</t>
  </si>
  <si>
    <t>3062-GZK</t>
  </si>
  <si>
    <t>JOSE MANUEL SOMEJI ESPIGUERO</t>
  </si>
  <si>
    <t>comprado a parcours 2/12/14</t>
  </si>
  <si>
    <t>UTM TOPOGRAFIA CB</t>
  </si>
  <si>
    <t>E84366145</t>
  </si>
  <si>
    <t>comprado a mapfre 6/10/14</t>
  </si>
  <si>
    <t>GARCICAR KM. 0, S.L. UNIPERSONAL</t>
  </si>
  <si>
    <t>B91264119</t>
  </si>
  <si>
    <t>FA097VO20140000080</t>
  </si>
  <si>
    <t>0698-GZF</t>
  </si>
  <si>
    <t>FA096VO20140000327</t>
  </si>
  <si>
    <t>FIAT FIORINO</t>
  </si>
  <si>
    <t>8272-HDY</t>
  </si>
  <si>
    <t>OSCAR RIVERA JIMENEZ</t>
  </si>
  <si>
    <t>17731967-W</t>
  </si>
  <si>
    <t>tf 6/10/2014 bankia 9900 €</t>
  </si>
  <si>
    <t xml:space="preserve">TF 1/12/2014 bankia </t>
  </si>
  <si>
    <t>TF. Recibida bankia 20/3/2014</t>
  </si>
  <si>
    <t>forma parte del pago de la venta del vehiculo 1170-gdv</t>
  </si>
  <si>
    <t>TF recibida bankia 22/1/2014 7500 €</t>
  </si>
  <si>
    <t>ingreso en cta. Sabadel 8/4/14 por cliente 2700 €</t>
  </si>
  <si>
    <t xml:space="preserve">cheque sabadel 3/12/14 por 8000 € </t>
  </si>
  <si>
    <t>tf. Recibida sabadel 16/12/14 9380€</t>
  </si>
  <si>
    <t>tf. Sabadel 14/8/14 (500)+19/8/14 (14400)</t>
  </si>
  <si>
    <t>tf. Recibida sabadel 25/6/14</t>
  </si>
  <si>
    <t>tf. Sabadel 24/7/14</t>
  </si>
  <si>
    <t>se recoge como forma de pago el vehículo m-5788-wg valorado en 2000 euros, INGRESA 14/11/14 en bankia 500 euros , tf. Sabadel 21/11/14 7850 €</t>
  </si>
  <si>
    <t>ingreso en cta. Popular por cliente 10/7/14</t>
  </si>
  <si>
    <t>ingresa en cta. Popular  Cliente 1/8/14</t>
  </si>
  <si>
    <t>ingresa en cta. Popular  Cliente 1/10/14</t>
  </si>
  <si>
    <t>ing. Cc cta popular 27/11/14</t>
  </si>
  <si>
    <t>ing cc cta popular 27/10/14</t>
  </si>
  <si>
    <t>SI?</t>
  </si>
  <si>
    <t>ing. Cc cta popular 2/4/14 x edwin peña rodriguez</t>
  </si>
  <si>
    <t xml:space="preserve">ing. Cc cta popular 4/7/14 </t>
  </si>
  <si>
    <t>ing. Cc. Cta. Popular 30/12/14</t>
  </si>
  <si>
    <t>ing. Cc cta popular 4/8/14</t>
  </si>
  <si>
    <t>ing cc cta popular 22/7/14 jose anton gonzalez</t>
  </si>
  <si>
    <t>ING cc cta popular 30/1/14</t>
  </si>
  <si>
    <t>ing cc cta popular 6/2/14</t>
  </si>
  <si>
    <t>ing cc cta popular 8/5/14</t>
  </si>
  <si>
    <t xml:space="preserve">ing cc cta popular 22/7/14   </t>
  </si>
  <si>
    <t xml:space="preserve">SI  </t>
  </si>
  <si>
    <t>tf. Recibida sabadel 8/8/14  1000 €, ING cc cta popular 12/8/14 )3950 €)</t>
  </si>
  <si>
    <t>ing cc cta popular 8/9/14</t>
  </si>
  <si>
    <t>ing cc cta popular 3/11/14</t>
  </si>
  <si>
    <t>cheque popular 10/2/14</t>
  </si>
  <si>
    <t>tf. 2/6/14 sabadel (300 €), cheque popular 31/5/14 9500€</t>
  </si>
  <si>
    <t>13/5/14 señal 500 € en bankia, ing cc en popular 19/5/14  7500 €</t>
  </si>
  <si>
    <t>ing cc en popular 2/6/2014</t>
  </si>
  <si>
    <t>ing cta caixa 4/9/2014</t>
  </si>
  <si>
    <t>ing cta caixa 9/9/14</t>
  </si>
  <si>
    <t>cheque caixa 12/9/14</t>
  </si>
  <si>
    <t>ing cta caixa 17/10/14</t>
  </si>
  <si>
    <t>tf. Recibida caixa 19/11/14 11080 €</t>
  </si>
  <si>
    <t>cheque caixa 26/11/14</t>
  </si>
  <si>
    <t>am-373</t>
  </si>
  <si>
    <t>tf caixa 4/12/14</t>
  </si>
  <si>
    <t>TF. SABADEL 30/10/14 300 € 04/11/14 4/11/14</t>
  </si>
  <si>
    <t>VOEH0215 9</t>
  </si>
  <si>
    <t>BMW 520 I</t>
  </si>
  <si>
    <t>M-5867-XT</t>
  </si>
  <si>
    <t>ANA MARIA AGUIRRE ZABALAGA</t>
  </si>
  <si>
    <t>15160537-H</t>
  </si>
  <si>
    <t>8211-DHF</t>
  </si>
  <si>
    <t>FERNANDO GARCIA MARTINEZ</t>
  </si>
  <si>
    <t>14601435-T</t>
  </si>
  <si>
    <t>FORD S MAX</t>
  </si>
  <si>
    <t>6410-GDF</t>
  </si>
  <si>
    <t>ing cc audi retalil 27/2/2015 1100 (coche + gastos transferencia)</t>
  </si>
  <si>
    <t>ANA MARIA FREIRE ARGONES</t>
  </si>
  <si>
    <t>36123680-H</t>
  </si>
  <si>
    <t>8131-CSM</t>
  </si>
  <si>
    <t>VOEM1215 6</t>
  </si>
  <si>
    <t>VOLKSWAGEN TOURAN</t>
  </si>
  <si>
    <t>4762-CYN</t>
  </si>
  <si>
    <t>VOEH1214 226</t>
  </si>
  <si>
    <t>8936-FZN</t>
  </si>
  <si>
    <t>FA096V02015000034</t>
  </si>
  <si>
    <t>4499-HBK</t>
  </si>
  <si>
    <t>FA096V02015000035</t>
  </si>
  <si>
    <t>FORD CONNECT VAN</t>
  </si>
  <si>
    <t>7176-HJM</t>
  </si>
  <si>
    <t>RAJAA BENALI LAROUSSI</t>
  </si>
  <si>
    <t>X 2407909-Q</t>
  </si>
  <si>
    <t>BMW X3</t>
  </si>
  <si>
    <t>2205-GLZ</t>
  </si>
  <si>
    <t>VO115 2</t>
  </si>
  <si>
    <t>NIMO GORDILLO HUELVA, S.L.U.</t>
  </si>
  <si>
    <t>B90079294</t>
  </si>
  <si>
    <t>TOYOTA</t>
  </si>
  <si>
    <t>7694-GNP</t>
  </si>
  <si>
    <t>TF caixa</t>
  </si>
  <si>
    <t>VOEM0215 5</t>
  </si>
  <si>
    <t>TOYOTA COROLLA</t>
  </si>
  <si>
    <t>2885-DWG</t>
  </si>
  <si>
    <t>ALBERTO CORNEJO DEL VAL</t>
  </si>
  <si>
    <t>47024378-G</t>
  </si>
  <si>
    <t>FIAT CROMA</t>
  </si>
  <si>
    <t>2007-FLK</t>
  </si>
  <si>
    <t>78750049-G</t>
  </si>
  <si>
    <t>VENDIDO 2015</t>
  </si>
  <si>
    <t>comprado a parcours 15/12/14</t>
  </si>
  <si>
    <t>am-377</t>
  </si>
  <si>
    <t>MARTA ALVAREZ FERNANDEZ</t>
  </si>
  <si>
    <t>09762067-Q</t>
  </si>
  <si>
    <t>comprado a rajaa benali 16/1/15</t>
  </si>
  <si>
    <t>TECHNIC HIFI CENTER, S.L.</t>
  </si>
  <si>
    <t>B80441744</t>
  </si>
  <si>
    <t>AM-379</t>
  </si>
  <si>
    <t>GONZALO JANOSO CORDOBA</t>
  </si>
  <si>
    <t>07252209-X</t>
  </si>
  <si>
    <t>comprado a mapfre 1/12/14</t>
  </si>
  <si>
    <t>AUTOCARES BOGARRA, S.L.</t>
  </si>
  <si>
    <t>B02368165</t>
  </si>
  <si>
    <t>CONSTANTIN MIHAITA BUCUR</t>
  </si>
  <si>
    <t>Y0682286-M</t>
  </si>
  <si>
    <t>comprado a volkswagen 21/11/2014</t>
  </si>
  <si>
    <t>AUTORECAMBIOS VIVASA, S.L.</t>
  </si>
  <si>
    <t>B7801873-G</t>
  </si>
  <si>
    <t>comprado a parcours 21/11/14</t>
  </si>
  <si>
    <t>HONDA CRV</t>
  </si>
  <si>
    <t>se coge comoforma de pago vehiculo 6410-gdf valorado en 7000 euros</t>
  </si>
  <si>
    <t>comprado a audi retail 30/12/2014</t>
  </si>
  <si>
    <t>AM-382</t>
  </si>
  <si>
    <t>MONICA HERNANDEZ MARTIN</t>
  </si>
  <si>
    <t>08940368-S</t>
  </si>
  <si>
    <t>ANA MARIA AGUIREREZ ZABALAGA ARZALLUZ</t>
  </si>
  <si>
    <t>comprado a volkswagen 28/11/14</t>
  </si>
  <si>
    <t>FRANCISCO GIL AUSTERO</t>
  </si>
  <si>
    <t>47007160-J</t>
  </si>
  <si>
    <t>SANDRA GONZALEZ LOPEZ</t>
  </si>
  <si>
    <t>03115458-Q</t>
  </si>
  <si>
    <t>comprado a vanessa acosta 4/6/14</t>
  </si>
  <si>
    <t>JUAN IGNACIO PEREZ GUTIERREZ</t>
  </si>
  <si>
    <t>20266140-N</t>
  </si>
  <si>
    <t>7722-GBH</t>
  </si>
  <si>
    <t>AM-399</t>
  </si>
  <si>
    <t>PERCRIS, C.B.</t>
  </si>
  <si>
    <t>E86974649</t>
  </si>
  <si>
    <t>comprado a parcours 21/11/2014</t>
  </si>
  <si>
    <t>2015200001</t>
  </si>
  <si>
    <t>AM-389</t>
  </si>
  <si>
    <t>VAISLE MARIAN CANTA</t>
  </si>
  <si>
    <t>Y0778688-Z</t>
  </si>
  <si>
    <t>comprado a volkswagen 26/2/15</t>
  </si>
  <si>
    <t>AM-390</t>
  </si>
  <si>
    <t>20266140-n</t>
  </si>
  <si>
    <t>se descuenta comoforma de pago 7722-gbh valorado en 5000 euros rebu</t>
  </si>
  <si>
    <t>comprado a fernando garcia 11/2/15</t>
  </si>
  <si>
    <t>JOSE LUIS RAMOS JIMENEZ</t>
  </si>
  <si>
    <t>53440662-R</t>
  </si>
  <si>
    <t>comprado a ana maria aguirre zabalaga 17/2/15</t>
  </si>
  <si>
    <t>KHALIFA ELKANDI YAKHLEF</t>
  </si>
  <si>
    <t>21703667-Q</t>
  </si>
  <si>
    <t>comprado a cesar gutierrez 17/12/14</t>
  </si>
  <si>
    <t>AM-395</t>
  </si>
  <si>
    <t>DAVID CIFUENTES FERNANDEZ</t>
  </si>
  <si>
    <t>07248281-S</t>
  </si>
  <si>
    <t>AM-394</t>
  </si>
  <si>
    <t>INFOCOLEGIO, S.L.</t>
  </si>
  <si>
    <t>B85825800</t>
  </si>
  <si>
    <t>comprado a seat 30/12/14</t>
  </si>
  <si>
    <t>JOAQUIN GIL DOMINGUEZ</t>
  </si>
  <si>
    <t>80047594-G</t>
  </si>
  <si>
    <t>comprado a parcours 16/2/15</t>
  </si>
  <si>
    <t>AM-397</t>
  </si>
  <si>
    <t>ELIDA RUA RIOS</t>
  </si>
  <si>
    <t>32396677-G</t>
  </si>
  <si>
    <t>comprado a volkswagen 25/9/14</t>
  </si>
  <si>
    <t>JOSE MARIA ENSEÑI ASUE</t>
  </si>
  <si>
    <t>02670815-D</t>
  </si>
  <si>
    <t>comprado a vamancia 27/10/14</t>
  </si>
  <si>
    <t>SILVIA SANCHEZ RUIZ</t>
  </si>
  <si>
    <t>50319409-D</t>
  </si>
  <si>
    <t>MARIUS COSTINEL VARZARU</t>
  </si>
  <si>
    <t>X8144885-X</t>
  </si>
  <si>
    <t>comprado a volkswagen 18/11/14</t>
  </si>
  <si>
    <t>DANIEL ABARQUERO SAN JOSE</t>
  </si>
  <si>
    <t>71937905-T</t>
  </si>
  <si>
    <t>comprado a juan ign perez 5/3/15</t>
  </si>
  <si>
    <t>PRIMER TRIMESTRE 2015</t>
  </si>
  <si>
    <t>email</t>
  </si>
  <si>
    <t>F150300000441</t>
  </si>
  <si>
    <t>AUTO RECAMBIOS VIVASA, S.L.</t>
  </si>
  <si>
    <t>A78018736</t>
  </si>
  <si>
    <t>7469-CBN</t>
  </si>
  <si>
    <t>ES00000M134</t>
  </si>
  <si>
    <t>B-86978533</t>
  </si>
  <si>
    <t>9637-BSD</t>
  </si>
  <si>
    <t>Mercedes-Benz ML 320</t>
  </si>
  <si>
    <t>Vamancia SL(tf. A WKDA Holding GmbH Alemania)</t>
  </si>
  <si>
    <t>MARIA DEL MAR  ESCUDERO CAMACHO</t>
  </si>
  <si>
    <t>08998251-F</t>
  </si>
  <si>
    <t xml:space="preserve">PEUGEOT 407 SW </t>
  </si>
  <si>
    <t>4586-FDH</t>
  </si>
  <si>
    <t>AM-398</t>
  </si>
  <si>
    <t>comprado a monica hernandez 13/2/15</t>
  </si>
  <si>
    <t>FA096V02015000053</t>
  </si>
  <si>
    <t>NISSAN</t>
  </si>
  <si>
    <t>3399-GTL</t>
  </si>
  <si>
    <t>FA096V02015000054</t>
  </si>
  <si>
    <t>3418-GTL</t>
  </si>
  <si>
    <t>FA096V02015000055</t>
  </si>
  <si>
    <t>7173-HJM</t>
  </si>
  <si>
    <t>OLIVIA SARITA ROMO</t>
  </si>
  <si>
    <t>Y1782718W</t>
  </si>
  <si>
    <t>comprado a ana maria freire 16/2/15</t>
  </si>
  <si>
    <t>MARIO ALDAZ ISCAR</t>
  </si>
  <si>
    <t>52367436-R</t>
  </si>
  <si>
    <t>comprado a vamancia 2/2/15</t>
  </si>
  <si>
    <t>AM-396</t>
  </si>
  <si>
    <t>VLAD CATALIN WISTOREANU</t>
  </si>
  <si>
    <t>X8807656-J</t>
  </si>
  <si>
    <t>comprado a auto recambios vivasa 10/2/15</t>
  </si>
  <si>
    <t>NISSAN NV 200</t>
  </si>
  <si>
    <t>comprado a parcours 4/3/2015</t>
  </si>
  <si>
    <t>ES00000M1098</t>
  </si>
  <si>
    <t>Toyota Avensis</t>
  </si>
  <si>
    <t>4721-DLC</t>
  </si>
  <si>
    <t>ES00000M1192</t>
  </si>
  <si>
    <t>BMW 5er 525d</t>
  </si>
  <si>
    <t>0116-DMF</t>
  </si>
  <si>
    <t>ES00000M1110</t>
  </si>
  <si>
    <t>M-3997-YK</t>
  </si>
  <si>
    <t>INGRESADO EN CAIXA 4800</t>
  </si>
  <si>
    <t>E/27/2015</t>
  </si>
  <si>
    <t>NIMO GORDILLO LUXURY, S.L.U.</t>
  </si>
  <si>
    <t>B91379040</t>
  </si>
  <si>
    <t>4260-FMC</t>
  </si>
  <si>
    <t>FA096V02015000119</t>
  </si>
  <si>
    <t>3543-GGW</t>
  </si>
  <si>
    <t>FA096V02015000118</t>
  </si>
  <si>
    <t>3546-GGW</t>
  </si>
  <si>
    <t>VOR115 16</t>
  </si>
  <si>
    <t>MITSUBISHI MONTERO SPORT</t>
  </si>
  <si>
    <t>9300-DYS</t>
  </si>
  <si>
    <t>150(gastos exentos) REBU</t>
  </si>
  <si>
    <t>ES00000R0081</t>
  </si>
  <si>
    <t>3558-FBW</t>
  </si>
  <si>
    <t>ES00000M1364</t>
  </si>
  <si>
    <t>TOYOTA RAV</t>
  </si>
  <si>
    <t>5097-DJT</t>
  </si>
  <si>
    <t>ES00000M1346</t>
  </si>
  <si>
    <t>BMW 3ER 320D</t>
  </si>
  <si>
    <t>5188-DVZ</t>
  </si>
  <si>
    <t>ES00000R0085</t>
  </si>
  <si>
    <t>MERCEDES-BENZ A-KLASSE</t>
  </si>
  <si>
    <t>3061-FMS</t>
  </si>
  <si>
    <t>ES00000M1425</t>
  </si>
  <si>
    <t>MERCEDES-BENZ VITO</t>
  </si>
  <si>
    <t>6755-DWN</t>
  </si>
  <si>
    <t>F9</t>
  </si>
  <si>
    <t>32789810-K</t>
  </si>
  <si>
    <t>VOLKSWAGEN CADDY 1.9</t>
  </si>
  <si>
    <t>5147-DKG</t>
  </si>
  <si>
    <t>96497</t>
  </si>
  <si>
    <t>3935-GHF</t>
  </si>
  <si>
    <t>voe15000170</t>
  </si>
  <si>
    <t>SEAT IBIZA FURGON</t>
  </si>
  <si>
    <t>7539-FLM</t>
  </si>
  <si>
    <t>REBU(100 EUROS TRANSFERENCIA)</t>
  </si>
  <si>
    <t>31</t>
  </si>
  <si>
    <t>SICHER OCIO Y DIVERSION, S.L.</t>
  </si>
  <si>
    <t xml:space="preserve">FORD FOCUS </t>
  </si>
  <si>
    <t>2130-DVM</t>
  </si>
  <si>
    <t>574</t>
  </si>
  <si>
    <t>GR MOTOR, S.L.</t>
  </si>
  <si>
    <t>B80781685</t>
  </si>
  <si>
    <t>2997-GTX</t>
  </si>
  <si>
    <t>VVOR15 46</t>
  </si>
  <si>
    <t>MOTORSAN, S.L.</t>
  </si>
  <si>
    <t>B82587874</t>
  </si>
  <si>
    <t>BMW 320</t>
  </si>
  <si>
    <t>0935-BHJ</t>
  </si>
  <si>
    <t>CR-5584-X</t>
  </si>
  <si>
    <t>PEUGEOT 106</t>
  </si>
  <si>
    <t>M-1094-ZD</t>
  </si>
  <si>
    <t>ES00000M2312</t>
  </si>
  <si>
    <t>5397-CHZ</t>
  </si>
  <si>
    <t>ES00000M23132</t>
  </si>
  <si>
    <t>2978-CDY</t>
  </si>
  <si>
    <t>tf sabadel 26/3/2015</t>
  </si>
  <si>
    <t>TF SABADEL 8/4/2015</t>
  </si>
  <si>
    <t>tf sabadel 7/5/2014</t>
  </si>
  <si>
    <t>tf. Sabadel 9/4/2015</t>
  </si>
  <si>
    <t>tf sabadel 10/4/2015</t>
  </si>
  <si>
    <t>tf popular 16/4/2015</t>
  </si>
  <si>
    <t>TF SABDEL 17/4/2015</t>
  </si>
  <si>
    <t>TF SABADEL 13/5/2015 + gastos tf</t>
  </si>
  <si>
    <t>TF sabadell 22/5/15</t>
  </si>
  <si>
    <t>tf popular 22/5/2015</t>
  </si>
  <si>
    <t>tf popular 28/5/2015</t>
  </si>
  <si>
    <t>KARAMI TAGUAROUNT TIJARTI</t>
  </si>
  <si>
    <t>51761409-R</t>
  </si>
  <si>
    <t>comprado a morotsan 14/4/15</t>
  </si>
  <si>
    <t>AMADOR CASORRAN GANIVET</t>
  </si>
  <si>
    <t>47490348-V</t>
  </si>
  <si>
    <t>AM-461</t>
  </si>
  <si>
    <t>WU CHEN</t>
  </si>
  <si>
    <t>Y3348355-Y</t>
  </si>
  <si>
    <t>comprado a vamancia 13/4/15</t>
  </si>
  <si>
    <t>AM-463</t>
  </si>
  <si>
    <t>PETRE IACOB</t>
  </si>
  <si>
    <t>PEUGEOT EXPERT</t>
  </si>
  <si>
    <t>X8918008-B</t>
  </si>
  <si>
    <t>comprado a techinic hifi 3/3/15</t>
  </si>
  <si>
    <t>ABDELAZIZ SABIGH</t>
  </si>
  <si>
    <t>X3791956-S</t>
  </si>
  <si>
    <t>comprado a vamancia 1/4/15</t>
  </si>
  <si>
    <t>AM-460</t>
  </si>
  <si>
    <t>ROSA Mª MARTIN CARDENES</t>
  </si>
  <si>
    <t>42808067-F</t>
  </si>
  <si>
    <t>comprado a audi retail</t>
  </si>
  <si>
    <t>AUTOCARES M LOPRESTI, S.L.</t>
  </si>
  <si>
    <t>B19550227</t>
  </si>
  <si>
    <t>comprado a sicher ocio 9/4/15</t>
  </si>
  <si>
    <t>AM-454</t>
  </si>
  <si>
    <t>LUIS MATANZAS ENRIQUEZ</t>
  </si>
  <si>
    <t>71824355-R</t>
  </si>
  <si>
    <t>comprado a julio vazquez 13/4/15</t>
  </si>
  <si>
    <t>MAXIMINA MARTINEZ OSMA</t>
  </si>
  <si>
    <t>04542692-P</t>
  </si>
  <si>
    <t>comprado a silvia sanchez 25/3/15</t>
  </si>
  <si>
    <t>JULIO ANTONIO VAZQUEZ AMADO (INCALGAS)</t>
  </si>
  <si>
    <t>forma parte del pago de la venta del 3399-gtl</t>
  </si>
  <si>
    <t>comprado a parcours 4/3/15</t>
  </si>
  <si>
    <t>AM-462</t>
  </si>
  <si>
    <t>ANTONIO MARTINEZ DE MARCO</t>
  </si>
  <si>
    <t>04628981-R</t>
  </si>
  <si>
    <t>comprado a nimo gordillo huelva 5/2/15</t>
  </si>
  <si>
    <t>ELANA CANCELAS SANZ</t>
  </si>
  <si>
    <t>12340214-R</t>
  </si>
  <si>
    <t>comprado a david cifuentes 18/3/15</t>
  </si>
  <si>
    <t>7229-FCD</t>
  </si>
  <si>
    <t>AM-464</t>
  </si>
  <si>
    <t xml:space="preserve">DENISE TAPIA SANTOS </t>
  </si>
  <si>
    <t>05979148-E</t>
  </si>
  <si>
    <t>SEAT LEON</t>
  </si>
  <si>
    <t>SEGUNDO TRIMESTRE 2015</t>
  </si>
  <si>
    <t>15103603</t>
  </si>
  <si>
    <t>IBERICAR OCASIÓN CENTRO, S.A.</t>
  </si>
  <si>
    <t>5825-CWY</t>
  </si>
  <si>
    <t>AM-467</t>
  </si>
  <si>
    <t>maria feliz vega cañibano</t>
  </si>
  <si>
    <t>71421505-L</t>
  </si>
  <si>
    <t>comprado a vamancia 15/4/2015</t>
  </si>
  <si>
    <t>VOE15000293</t>
  </si>
  <si>
    <t>VOE15000292</t>
  </si>
  <si>
    <t>0183-FHV</t>
  </si>
  <si>
    <t>comprado a seat 10/6/2015junio 2015 (falta fra)</t>
  </si>
  <si>
    <t>FA096V02015000292</t>
  </si>
  <si>
    <t>6586-HJW</t>
  </si>
  <si>
    <t>FA097V02015000030</t>
  </si>
  <si>
    <t>4734-HMC</t>
  </si>
  <si>
    <t>FA096V02015000291</t>
  </si>
  <si>
    <t>7144-GYN</t>
  </si>
  <si>
    <t>VOEH0415 51</t>
  </si>
  <si>
    <t>6709-CSK</t>
  </si>
  <si>
    <t>VOEH0515 27</t>
  </si>
  <si>
    <t>3244-GCZ</t>
  </si>
  <si>
    <t>U/38/2015</t>
  </si>
  <si>
    <t>LEXUS RX 450</t>
  </si>
  <si>
    <t>0206-GYN</t>
  </si>
  <si>
    <t>AM-473</t>
  </si>
  <si>
    <t>B43097344</t>
  </si>
  <si>
    <t>AEIOU VILA VILA , S.L.</t>
  </si>
  <si>
    <t>comprado a nimo gordillo huelva 22/5/15</t>
  </si>
  <si>
    <t>AM-468</t>
  </si>
  <si>
    <t>DAVID MUÑOZ MORANTE</t>
  </si>
  <si>
    <t>02275924-M</t>
  </si>
  <si>
    <t>AM-470</t>
  </si>
  <si>
    <t>MOHAMED EL BECHIR WDAO THIAM</t>
  </si>
  <si>
    <t>04247089-R</t>
  </si>
  <si>
    <t>AM-476</t>
  </si>
  <si>
    <t>EL DOS DE OROS, S.A.</t>
  </si>
  <si>
    <t>A78121787</t>
  </si>
  <si>
    <t>AM-475</t>
  </si>
  <si>
    <t>MONICA FUENTES BERNAL</t>
  </si>
  <si>
    <t>05694986-W</t>
  </si>
  <si>
    <t>comprado a seat 27/3/15</t>
  </si>
  <si>
    <t>AM-474</t>
  </si>
  <si>
    <t>comprado a seat 10/6/15</t>
  </si>
  <si>
    <t>RAUL MARTIN DE LA VEGA</t>
  </si>
  <si>
    <t>08996547-M</t>
  </si>
  <si>
    <t>4395-FTW</t>
  </si>
  <si>
    <t>AM-472</t>
  </si>
  <si>
    <t>LORENA PLAZA GONZALEZ</t>
  </si>
  <si>
    <t>71101834-W</t>
  </si>
  <si>
    <t>comprado a raul martin 6/5/15</t>
  </si>
  <si>
    <t>AM-481</t>
  </si>
  <si>
    <t>IVAN APOSTOL</t>
  </si>
  <si>
    <t>Y2173895-H</t>
  </si>
  <si>
    <t>comprado a abdelaziz sabigh 10/7/15</t>
  </si>
  <si>
    <t>AM-479</t>
  </si>
  <si>
    <t>JAIME GUILLEN COLLADO</t>
  </si>
  <si>
    <t>50983644-G</t>
  </si>
  <si>
    <t>comprado a parcours 18/5/15</t>
  </si>
  <si>
    <t>AM-478</t>
  </si>
  <si>
    <t>ELENA BRIONGOS SANCHEZ</t>
  </si>
  <si>
    <t>53493083-M</t>
  </si>
  <si>
    <t>comprado a alberto cornejo 17/3/15</t>
  </si>
  <si>
    <t>AM-477</t>
  </si>
  <si>
    <t>MARIA SEBASTIANA FARFAN MORTINA</t>
  </si>
  <si>
    <t>50340455-X</t>
  </si>
  <si>
    <t>comprado a ibericar 11/5/15</t>
  </si>
  <si>
    <t>AM-480</t>
  </si>
  <si>
    <t>DAVID JIMENEZ COLINA</t>
  </si>
  <si>
    <t>46930423-G</t>
  </si>
  <si>
    <t>comprado a vamancia 7/4/15</t>
  </si>
  <si>
    <t>tf bankia 19/6/15 8400 €</t>
  </si>
  <si>
    <t>tf popular 24 7 2015 10800 € + tf sabadel 24 07 2015 300 €</t>
  </si>
  <si>
    <t>TF POPULAR 12/9/2015</t>
  </si>
  <si>
    <t>17/9/2015 popular  10500€</t>
  </si>
  <si>
    <t>21/9/2015 popular</t>
  </si>
  <si>
    <t>CARRERAS AUTOMOTOR, S.L.</t>
  </si>
  <si>
    <t>AM-465</t>
  </si>
  <si>
    <t>B81343477</t>
  </si>
  <si>
    <t>AM-483</t>
  </si>
  <si>
    <t>CODIGO Z SEGURIDAD, S.L.</t>
  </si>
  <si>
    <t>B45622610</t>
  </si>
  <si>
    <t>comprado a gr motor 29/5/15</t>
  </si>
  <si>
    <t>SICHER, OCIO Y DIVERSION, S.L.</t>
  </si>
  <si>
    <t>TERCER TRIMESTRE 2015</t>
  </si>
  <si>
    <t>CITROEN CROSSER</t>
  </si>
  <si>
    <t>2915-GKT</t>
  </si>
  <si>
    <t>MERCEDES ML 320/50 CDI</t>
  </si>
  <si>
    <t>3188-FXJ</t>
  </si>
  <si>
    <t>N.V-1</t>
  </si>
  <si>
    <t>MODISCAL, S.L.</t>
  </si>
  <si>
    <t>B03077096</t>
  </si>
  <si>
    <t>LEXUS RX 300</t>
  </si>
  <si>
    <t>2902-CHH</t>
  </si>
  <si>
    <t>FIAT BRAVO 1900</t>
  </si>
  <si>
    <t>2214-FNY</t>
  </si>
  <si>
    <t>DIEGO CABRERO MORENO</t>
  </si>
  <si>
    <t>50961913-P</t>
  </si>
  <si>
    <t>8706-FPX</t>
  </si>
  <si>
    <t>9873-DKW</t>
  </si>
  <si>
    <t>AZUCENA CABELLO DIAZ</t>
  </si>
  <si>
    <t>51680579-T</t>
  </si>
  <si>
    <t>9995-CRS</t>
  </si>
  <si>
    <t>AM-501</t>
  </si>
  <si>
    <t>PABLO HURTADO BARRERA</t>
  </si>
  <si>
    <t>34035459-J</t>
  </si>
  <si>
    <t>comprado a azucena cabello 19/10/15</t>
  </si>
  <si>
    <t>comprado a david cabrero 17/11/15</t>
  </si>
  <si>
    <t>AM-500</t>
  </si>
  <si>
    <t>YULIA KIRILLOVA</t>
  </si>
  <si>
    <t>X5979294-F</t>
  </si>
  <si>
    <t>AM-507</t>
  </si>
  <si>
    <t>ADRIANO OLIVIRA BORGO</t>
  </si>
  <si>
    <t>Y0462861-T</t>
  </si>
  <si>
    <t>comprado a diego cabrero 17/11/15</t>
  </si>
  <si>
    <t>am-508</t>
  </si>
  <si>
    <t>comprado a modiscal 1/10/15</t>
  </si>
  <si>
    <t>am-506</t>
  </si>
  <si>
    <t>MARCO ANTONIO TRONCO MONREAL</t>
  </si>
  <si>
    <t>06249033-W</t>
  </si>
  <si>
    <t>comprado a motor mecha 17/11/15</t>
  </si>
  <si>
    <t>AM-504</t>
  </si>
  <si>
    <t>JOSE MANUEL DOMINGUEZ CALVET</t>
  </si>
  <si>
    <t>40931826-Z</t>
  </si>
  <si>
    <t>comprado a vamancia 14/4/15</t>
  </si>
  <si>
    <t>am-502</t>
  </si>
  <si>
    <t>JUAN NAVARRO MOYA</t>
  </si>
  <si>
    <t>05195288-W</t>
  </si>
  <si>
    <t>AM-503</t>
  </si>
  <si>
    <t>ELOY CASAS GABELLA</t>
  </si>
  <si>
    <t>71036150-Y</t>
  </si>
  <si>
    <t>comprado a gr motor 6/10/15</t>
  </si>
  <si>
    <t>am-486</t>
  </si>
  <si>
    <t>INMACULADA SANCHEZ REDONDO LORENZO</t>
  </si>
  <si>
    <t>02627790-V</t>
  </si>
  <si>
    <t>comprado a vamancia 19/5/15</t>
  </si>
  <si>
    <t>AM-485</t>
  </si>
  <si>
    <t>RUBEN JIMENEZ SANCHEZ</t>
  </si>
  <si>
    <t>04225535-K</t>
  </si>
  <si>
    <t>comprado a vamancia 15/4/15</t>
  </si>
  <si>
    <t>ALQUILER</t>
  </si>
  <si>
    <t>AM-482</t>
  </si>
  <si>
    <t>VALEO ESPAÑA, S.A.</t>
  </si>
  <si>
    <t>A30006027</t>
  </si>
  <si>
    <t>cesion de ensayos</t>
  </si>
  <si>
    <t>wor15 125</t>
  </si>
  <si>
    <t>B87277604</t>
  </si>
  <si>
    <t>6584-BVN</t>
  </si>
  <si>
    <t>MAPFRE AUTOMOCION, S.A.</t>
  </si>
  <si>
    <t>A31746688</t>
  </si>
  <si>
    <t>8032-FKM</t>
  </si>
  <si>
    <t>2015100035</t>
  </si>
  <si>
    <t>FIAT PUNTO VAN</t>
  </si>
  <si>
    <t>2287-GSN</t>
  </si>
  <si>
    <t>2985-FLM</t>
  </si>
  <si>
    <t>MERCEDES E 320</t>
  </si>
  <si>
    <t>E/92/2015</t>
  </si>
  <si>
    <t>am-505</t>
  </si>
  <si>
    <t>REDOUANE FAIDOUL</t>
  </si>
  <si>
    <t>X6378798-R</t>
  </si>
  <si>
    <t>comprado a motorsan 12/11/15</t>
  </si>
  <si>
    <t>CUARTO TRIMESTRE 2015</t>
  </si>
  <si>
    <t>VOR115 45</t>
  </si>
  <si>
    <t>8333-GJB</t>
  </si>
  <si>
    <t>NOEMI HARO GONZALEZ</t>
  </si>
  <si>
    <t>47016002-T</t>
  </si>
  <si>
    <t>6252-BGV</t>
  </si>
  <si>
    <t>MARIA FOLGADO BERNAL</t>
  </si>
  <si>
    <t>24367960-N</t>
  </si>
  <si>
    <t xml:space="preserve">SEAT IBIZA  </t>
  </si>
  <si>
    <t>V-3299-GZ</t>
  </si>
  <si>
    <t>FA096VO2015000486</t>
  </si>
  <si>
    <t>FA096VO20160000093</t>
  </si>
  <si>
    <t xml:space="preserve">FIAT BRAVO  </t>
  </si>
  <si>
    <t>6725-HRP</t>
  </si>
  <si>
    <t>FA097VO20160000009</t>
  </si>
  <si>
    <t>1568-HGD</t>
  </si>
  <si>
    <t>FA097VO20160000008</t>
  </si>
  <si>
    <t>2665-HFR</t>
  </si>
  <si>
    <t>FA096VO20160000049</t>
  </si>
  <si>
    <t>VOLKSWAGEN CRAFTER</t>
  </si>
  <si>
    <t>0276-GJR</t>
  </si>
  <si>
    <t>FA096VO20160000050</t>
  </si>
  <si>
    <t>2218-HBM</t>
  </si>
  <si>
    <t>FA097VO20160000006</t>
  </si>
  <si>
    <t>4839-HFY</t>
  </si>
  <si>
    <t>AM-511</t>
  </si>
  <si>
    <t>comprado a audi retail 27/7/15</t>
  </si>
  <si>
    <t>VENDIDO 2016</t>
  </si>
  <si>
    <t>AM-516</t>
  </si>
  <si>
    <t>MARCO ALEXANDER CORREA GIRALDO</t>
  </si>
  <si>
    <t>comprado a nimo gordillo 19/5/15</t>
  </si>
  <si>
    <t>AM-517</t>
  </si>
  <si>
    <t>JOSE GABRIEL RAMIREZ RAMIREZ</t>
  </si>
  <si>
    <t>27438652-C</t>
  </si>
  <si>
    <t>comprado a nimo gordillo 17/12/15</t>
  </si>
  <si>
    <t>CHEVROLET MATIZ</t>
  </si>
  <si>
    <t>AM-514</t>
  </si>
  <si>
    <t>MARTA SANCHEZ CLEMENTE</t>
  </si>
  <si>
    <t>51424814-B</t>
  </si>
  <si>
    <t>comprado a nimo gordillo 30/11/15</t>
  </si>
  <si>
    <t>AM-513</t>
  </si>
  <si>
    <t>SATURI AMOR BAYONA</t>
  </si>
  <si>
    <t>50124468-Q</t>
  </si>
  <si>
    <t>comprado a maria folgado 15/1/16</t>
  </si>
  <si>
    <t>AUDI A8-RESTOS</t>
  </si>
  <si>
    <t>AM-521</t>
  </si>
  <si>
    <t>AUXIBIO CABREO VARELA</t>
  </si>
  <si>
    <t>comprado a mapfre 3/11/15</t>
  </si>
  <si>
    <t>AM-515</t>
  </si>
  <si>
    <t>PERFILACERO, S.L.</t>
  </si>
  <si>
    <t>B30675292</t>
  </si>
  <si>
    <t>comprado a parcours 10/12/15</t>
  </si>
  <si>
    <t>AM-509</t>
  </si>
  <si>
    <t>UNION DIGITAL TELECOMUNICACIONES, S.L.</t>
  </si>
  <si>
    <t>B40231219</t>
  </si>
  <si>
    <t>comprado a parcours 17/9/15</t>
  </si>
  <si>
    <t>SERGIO BARRICA TORIBIO</t>
  </si>
  <si>
    <t>49008140-Q</t>
  </si>
  <si>
    <t>PEUGEOT 207</t>
  </si>
  <si>
    <t>7207-FTH</t>
  </si>
  <si>
    <t>ingreso efectivo en cta. Santander 4/12/15</t>
  </si>
  <si>
    <t>AM-510</t>
  </si>
  <si>
    <t>CELIA FERNANDEZ OSUNA</t>
  </si>
  <si>
    <t>76267514-C</t>
  </si>
  <si>
    <t>comprado a sergio barrica 3/12/15</t>
  </si>
  <si>
    <t>AM-518</t>
  </si>
  <si>
    <t>MARIA BARRANCO GOMEZ</t>
  </si>
  <si>
    <t>54063244-L</t>
  </si>
  <si>
    <t>comprado a noemi haro 15/12/15</t>
  </si>
  <si>
    <t>1T 2016</t>
  </si>
  <si>
    <t>49150493-E</t>
  </si>
  <si>
    <t>ingreso en bankia 5/2/2015</t>
  </si>
  <si>
    <t>tf. Recibida bankia 15/1/16</t>
  </si>
  <si>
    <t>ingreso efectivo en cta. Bankia 26/3/15 900 € + TF bankia 17/3/2015  +2500 €</t>
  </si>
  <si>
    <t>TF BANKIA 21/1/2016 +3300€</t>
  </si>
  <si>
    <t>ing.efec. Sabadel 21/4/15 +300€ + 24/4/15 sabadl cheque 11300 €</t>
  </si>
  <si>
    <t>cheque sabadel 25/6/15  +4500€</t>
  </si>
  <si>
    <t>cheque sabadel 10/7/15  +2400€</t>
  </si>
  <si>
    <t>ingreso efectivo sabadell 23/9/15  +2300€ +25/9/15 cheque sabadel 9000€ + 14/9/15 TF sabadel 14/9/15 +200 €</t>
  </si>
  <si>
    <t>TF. Sabadel 31/3/15 +5700 €</t>
  </si>
  <si>
    <t>tf sab 17/3/15 +300€</t>
  </si>
  <si>
    <t>tf. 12/2/15 sab +300 €</t>
  </si>
  <si>
    <t>tf sab 13/2/15 +3650 €</t>
  </si>
  <si>
    <t>tf sab 4/3/15 +4500 €</t>
  </si>
  <si>
    <t>tf sab 20/1/15 +4000€</t>
  </si>
  <si>
    <t>tf sab 11/3/15 +400€</t>
  </si>
  <si>
    <t>tf. Sab 6/8/15 +4700€</t>
  </si>
  <si>
    <t>tf sab 10/8/15  +3500€</t>
  </si>
  <si>
    <t>tf sab 16/3/15 +4750 €</t>
  </si>
  <si>
    <t>tf sab 23/3/15 +7400 €</t>
  </si>
  <si>
    <t xml:space="preserve"> +5200€cheque sabadel 17/11/15 + tf sab 21/10/15 +300€</t>
  </si>
  <si>
    <t>se descuentan 2000 euros del precio por la compra del vehiculo 5147-DKG + tf sab 13/4/15 +2000€</t>
  </si>
  <si>
    <t>tf sab 1/9/15 +6000€</t>
  </si>
  <si>
    <t>tf sab 13/4/15 +4620 €</t>
  </si>
  <si>
    <t>AM-484</t>
  </si>
  <si>
    <t>LEXUS RX</t>
  </si>
  <si>
    <t>comprado a nimo gordillo 14/9/15</t>
  </si>
  <si>
    <t>ENVIADO A ALMUDENA EN 2016 ES DE 2015</t>
  </si>
  <si>
    <t>cheque sabadel</t>
  </si>
  <si>
    <t>ing.pop.20/5/15 +3000€</t>
  </si>
  <si>
    <t>se coge como forma de pago 4721-dlc valorado en 4000 euros + ing.pop.13/7/15 +2100€</t>
  </si>
  <si>
    <t>ing.pop. 18/2/15 7000 €</t>
  </si>
  <si>
    <t>ing pop 25/1/16 +3000€</t>
  </si>
  <si>
    <t>tf 9/6/15 sab +200 € - ing pop 2/7/15 +2800 €</t>
  </si>
  <si>
    <t>ing pop 11/6/15 +3000€</t>
  </si>
  <si>
    <t>ing pop 23/3/15 +3700€</t>
  </si>
  <si>
    <t>ing pop 10/11/15 +3300€</t>
  </si>
  <si>
    <t>ing pop 26/11/15 +1500 €</t>
  </si>
  <si>
    <t>ing pop 28/1/15 +8000€</t>
  </si>
  <si>
    <t>ING POP 14/10/15 +4600€</t>
  </si>
  <si>
    <t>ing pop 21/9/15 +3000€</t>
  </si>
  <si>
    <t>ing pop 25/8/15 +4500€</t>
  </si>
  <si>
    <t>ing pop 13/7/15 +7300€</t>
  </si>
  <si>
    <t>ing pop 8/2/16 +3200€</t>
  </si>
  <si>
    <t>JUAN LUIS MORENO GONZALEZ</t>
  </si>
  <si>
    <t>ing pop 16/1/15 +3500€</t>
  </si>
  <si>
    <t>ing pop 2/11/15 +6700€</t>
  </si>
  <si>
    <t>ing pop 16/3/15 +2800 €</t>
  </si>
  <si>
    <t>ing pop 8/2/16 +10500€</t>
  </si>
  <si>
    <t>ing pop 30/11/15 +9300€</t>
  </si>
  <si>
    <t>ing pop 25/6/15 +6200€</t>
  </si>
  <si>
    <t>ing pop 28/3/15 +4300€</t>
  </si>
  <si>
    <t>ing pop 20/1/15 +10500€</t>
  </si>
  <si>
    <t>ing pop 3/7/15 +3800€</t>
  </si>
  <si>
    <t>ing pop 8/10/15 +4500€</t>
  </si>
  <si>
    <t>ing pop 26/3/15 +3000€</t>
  </si>
  <si>
    <t>ing pop 28/5/15 +4500€</t>
  </si>
  <si>
    <t>ing pop 25/2/15 +3700€</t>
  </si>
  <si>
    <t>ing pop 30/10/15 +1000€</t>
  </si>
  <si>
    <t>ing pop 30/10/15 +2000€</t>
  </si>
  <si>
    <t>tf caixa 5/2/15 +280€; tf caixa 4/2/15 +3720€</t>
  </si>
  <si>
    <t>tf caixa 23/2/15 +3300€</t>
  </si>
  <si>
    <t>tf caixa 10/2/15 +4350€</t>
  </si>
  <si>
    <t>TF CAIXA 18/3/15 -3000€</t>
  </si>
  <si>
    <t>tf caixa 11/11/15</t>
  </si>
  <si>
    <t>ing pop 25/2/15 +1500€ resto en efectivo</t>
  </si>
  <si>
    <t>ing pop 5/3/15 +2400€ resto efectivo</t>
  </si>
  <si>
    <t xml:space="preserve">ing pop 13/3/15 </t>
  </si>
  <si>
    <t>ING POP 26/3/15 +2000€</t>
  </si>
  <si>
    <t>ING POP 26/3/15 +2400€</t>
  </si>
  <si>
    <t>LASTE SOLUTIONS, S.L.</t>
  </si>
  <si>
    <t>B86959996</t>
  </si>
  <si>
    <t>comprado a parcours 13/2/16</t>
  </si>
  <si>
    <t>vvon16 40</t>
  </si>
  <si>
    <t>BMW MINI LIGHT COFFEE</t>
  </si>
  <si>
    <t>5671-HFT</t>
  </si>
  <si>
    <t>FA096VO20160000158</t>
  </si>
  <si>
    <t>1966-GSZ</t>
  </si>
  <si>
    <t>FA096VO160000157</t>
  </si>
  <si>
    <t>2169-GSN</t>
  </si>
  <si>
    <t>FA096VO20160000156</t>
  </si>
  <si>
    <t>2171-GSN</t>
  </si>
  <si>
    <t>VOM0216 12</t>
  </si>
  <si>
    <t xml:space="preserve">BMW X3 </t>
  </si>
  <si>
    <t>1205-GJS</t>
  </si>
  <si>
    <t>am-533</t>
  </si>
  <si>
    <t>RENOVA2 PYC, S.L.</t>
  </si>
  <si>
    <t>B86564101</t>
  </si>
  <si>
    <t>comprado a volkswagen 6/4/16</t>
  </si>
  <si>
    <t>AM-532</t>
  </si>
  <si>
    <t>TALLERES AUTO-EXPRESS, S.L.</t>
  </si>
  <si>
    <t>B98653272</t>
  </si>
  <si>
    <t>comprado a motorsan 27/5/16</t>
  </si>
  <si>
    <t>AM-531</t>
  </si>
  <si>
    <t>JAIME GARCIA HARO</t>
  </si>
  <si>
    <t>51552559-Z</t>
  </si>
  <si>
    <t>AM-529</t>
  </si>
  <si>
    <t>MARCOS PAULO DA SILVA OLIVEIRA</t>
  </si>
  <si>
    <t>Y4569474-D</t>
  </si>
  <si>
    <t>comprado a parcours 3/3/16</t>
  </si>
  <si>
    <t>AM-524</t>
  </si>
  <si>
    <t>AM-526</t>
  </si>
  <si>
    <t>GRUPO RJ VANSER SLU</t>
  </si>
  <si>
    <t>B87105102</t>
  </si>
  <si>
    <t>AM-527</t>
  </si>
  <si>
    <t>POR PRECIO Y CALIDA EUROPE, S.L.</t>
  </si>
  <si>
    <t>comprado a parcours 11/4/16</t>
  </si>
  <si>
    <t>AM-528</t>
  </si>
  <si>
    <t>ANTONIO BENITO ARCOS</t>
  </si>
  <si>
    <t>20021773-C</t>
  </si>
  <si>
    <t>AM-523</t>
  </si>
  <si>
    <t>AM-522</t>
  </si>
  <si>
    <t>FEDERICO GOMEZ CHAVARRO</t>
  </si>
  <si>
    <t>51547403-X</t>
  </si>
  <si>
    <t>2t 2016</t>
  </si>
  <si>
    <t>1t 2016</t>
  </si>
  <si>
    <t>B30873475</t>
  </si>
  <si>
    <t>VO16 482</t>
  </si>
  <si>
    <t>JARMAUTO, S.A.</t>
  </si>
  <si>
    <t>A78483294</t>
  </si>
  <si>
    <t>0931-FXF</t>
  </si>
  <si>
    <t>VO16 483</t>
  </si>
  <si>
    <t>VOLVO S40</t>
  </si>
  <si>
    <t>6503-FZH</t>
  </si>
  <si>
    <t>VO16 497</t>
  </si>
  <si>
    <t>0274-GCF</t>
  </si>
  <si>
    <t>AM-534</t>
  </si>
  <si>
    <t>comprado a jarmauto 20/5/16</t>
  </si>
  <si>
    <t>AM-581</t>
  </si>
  <si>
    <t>ELENA TORRES GARCIA</t>
  </si>
  <si>
    <t>50417262-C</t>
  </si>
  <si>
    <t>FA096VO20160000274</t>
  </si>
  <si>
    <t>HONDA CR-V DIESEL</t>
  </si>
  <si>
    <t>8830-HPS</t>
  </si>
  <si>
    <t>FA096VO20160000273</t>
  </si>
  <si>
    <t>9698-HPM</t>
  </si>
  <si>
    <t>VO16 771</t>
  </si>
  <si>
    <t>3161-DVP</t>
  </si>
  <si>
    <t>VO16 772</t>
  </si>
  <si>
    <t>7999-GFC</t>
  </si>
  <si>
    <t>VO16 776</t>
  </si>
  <si>
    <t>4341-DXX</t>
  </si>
  <si>
    <t>VO16 652</t>
  </si>
  <si>
    <t>1597-FRL</t>
  </si>
  <si>
    <t>VVOR16 47</t>
  </si>
  <si>
    <t>M-8635-XP</t>
  </si>
  <si>
    <t>VVOR16 53</t>
  </si>
  <si>
    <t>MERCEDES C 200</t>
  </si>
  <si>
    <t>0508-GDF</t>
  </si>
  <si>
    <t>MAQ-1</t>
  </si>
  <si>
    <t>CREAPRESS SERVICIOS INTEGRALES SLU</t>
  </si>
  <si>
    <t>B84564459</t>
  </si>
  <si>
    <t>FW6/17006</t>
  </si>
  <si>
    <t>REALIGRAF SA</t>
  </si>
  <si>
    <t>A28560142</t>
  </si>
  <si>
    <t>4023-BXZ</t>
  </si>
  <si>
    <t>VO16 909</t>
  </si>
  <si>
    <t>7219-GPK</t>
  </si>
  <si>
    <t>VO16 907</t>
  </si>
  <si>
    <t>NISSAN QASHQAI</t>
  </si>
  <si>
    <t>1484-HGK</t>
  </si>
  <si>
    <t>VO16 908</t>
  </si>
  <si>
    <t>0109-CJF</t>
  </si>
  <si>
    <t>am-541</t>
  </si>
  <si>
    <t>raul diaz rebollo</t>
  </si>
  <si>
    <t>46887621-M</t>
  </si>
  <si>
    <t>comprado a jarmauto 23/8/16</t>
  </si>
  <si>
    <t>AM-540</t>
  </si>
  <si>
    <t>SUTUI MULTISERVI SL</t>
  </si>
  <si>
    <t>B94071768</t>
  </si>
  <si>
    <t>comprado a realigraf 26/7/16</t>
  </si>
  <si>
    <t>Aam-539</t>
  </si>
  <si>
    <t>CONUITE SA</t>
  </si>
  <si>
    <t>A96271242</t>
  </si>
  <si>
    <t>AM-582</t>
  </si>
  <si>
    <t>LIDIU ALIN OLTEAU</t>
  </si>
  <si>
    <t>X5546394-J</t>
  </si>
  <si>
    <t>AM-542</t>
  </si>
  <si>
    <t>euroviconser sl</t>
  </si>
  <si>
    <t>B84419084</t>
  </si>
  <si>
    <t>AM-583</t>
  </si>
  <si>
    <t>MANUEL GUILLERMO CARTAMIL OBELLEIRO</t>
  </si>
  <si>
    <t>79324513-C</t>
  </si>
  <si>
    <t>comprado a parcours 13/6/16</t>
  </si>
  <si>
    <t>AM-535</t>
  </si>
  <si>
    <t>JOSE ANTONIO BLANCO GARCIA</t>
  </si>
  <si>
    <t>11076952-Z</t>
  </si>
  <si>
    <t>cheque sabadel 24/6/16</t>
  </si>
  <si>
    <t>AM-584</t>
  </si>
  <si>
    <t>PEDRO MIRON NAJAR</t>
  </si>
  <si>
    <t>27494547-W</t>
  </si>
  <si>
    <t>AM-586</t>
  </si>
  <si>
    <t>YAMILETH SOTO VELASQUES</t>
  </si>
  <si>
    <t>07235464-D</t>
  </si>
  <si>
    <t>comprado a jarmauto 19/7/2016</t>
  </si>
  <si>
    <t>AM-536</t>
  </si>
  <si>
    <t>LEONARDO GABRIEL WENGAUD MELON</t>
  </si>
  <si>
    <t>78766179-B</t>
  </si>
  <si>
    <t>comprado a motorsan 18/7/16</t>
  </si>
  <si>
    <t>VVOR16 46</t>
  </si>
  <si>
    <t>9893-FMX</t>
  </si>
  <si>
    <t>AM-537</t>
  </si>
  <si>
    <t>YAJAIRA ALEXANDRA SANCHEZ VALLES</t>
  </si>
  <si>
    <t>X6541195-H</t>
  </si>
  <si>
    <t>4239-DDZ</t>
  </si>
  <si>
    <t>AM-538</t>
  </si>
  <si>
    <t>MIGUEL BOHORQUER ORDUZ</t>
  </si>
  <si>
    <t>51000777-W</t>
  </si>
  <si>
    <t>comprado a elena torres 29/6/16</t>
  </si>
  <si>
    <t>3T 2016</t>
  </si>
  <si>
    <t>SUBARU OUTBACK</t>
  </si>
  <si>
    <t>8103-GLJ</t>
  </si>
  <si>
    <t>AM-585</t>
  </si>
  <si>
    <t>ANGEL LUIS ALVAREZ RODRIGUEZ</t>
  </si>
  <si>
    <t>44787256-T</t>
  </si>
  <si>
    <t>comprado a gr motor 19/4/2016</t>
  </si>
  <si>
    <t>JAVIER LOPEZ PEREZ</t>
  </si>
  <si>
    <t>09434402-D</t>
  </si>
  <si>
    <t>KIA SPORTAGE</t>
  </si>
  <si>
    <t>3651-HBB</t>
  </si>
  <si>
    <t>ingreso efectivo caixa 5/5/16</t>
  </si>
  <si>
    <t>cheque bancario 11/7/16 caixa</t>
  </si>
  <si>
    <t>tf 19/7/16 caixa reserva 350 €</t>
  </si>
  <si>
    <t>falta</t>
  </si>
  <si>
    <t>tf caixa 10/6/16</t>
  </si>
  <si>
    <t>tf caixa 7/7/16</t>
  </si>
  <si>
    <t xml:space="preserve">VO16 1083 </t>
  </si>
  <si>
    <t>RENAULT GRAND ESPACE</t>
  </si>
  <si>
    <t>8023-FYC</t>
  </si>
  <si>
    <t>VO16 1090</t>
  </si>
  <si>
    <t>CITROEN C4 PICASSO</t>
  </si>
  <si>
    <t>3911-GMG</t>
  </si>
  <si>
    <t>VO16 1219</t>
  </si>
  <si>
    <t>VOLVO S60</t>
  </si>
  <si>
    <t>3657-DBP</t>
  </si>
  <si>
    <t>PEUGEOT 107</t>
  </si>
  <si>
    <t>7251-DXZ</t>
  </si>
  <si>
    <t>4784-FGX</t>
  </si>
  <si>
    <t>PRU-16/210</t>
  </si>
  <si>
    <t>M. CONDE PREMIUM, S.L.</t>
  </si>
  <si>
    <t>B84660505</t>
  </si>
  <si>
    <t>1241-FXC</t>
  </si>
  <si>
    <t>VVOR16 89</t>
  </si>
  <si>
    <t>6464-GGS</t>
  </si>
  <si>
    <t>8426-hrx</t>
  </si>
  <si>
    <t>VVOR16 90</t>
  </si>
  <si>
    <t>AM-553</t>
  </si>
  <si>
    <t>ALBERTO HERNANDEZ CALDERON</t>
  </si>
  <si>
    <t>51446388B</t>
  </si>
  <si>
    <t>comprado a gr motor 27/10/16</t>
  </si>
  <si>
    <t>AM-554</t>
  </si>
  <si>
    <t>JUAN FRANCISCO SANCHEZ RODRIGUEZ</t>
  </si>
  <si>
    <t>01384836Y</t>
  </si>
  <si>
    <t>comprado a jarmauto 19/7/16</t>
  </si>
  <si>
    <t>VVOR16 94</t>
  </si>
  <si>
    <t>2873-DNY</t>
  </si>
  <si>
    <t>A80762206</t>
  </si>
  <si>
    <t>AUTOPREMIER BAVIERA, S.A.</t>
  </si>
  <si>
    <t>4033-DKY</t>
  </si>
  <si>
    <t>HYUNDAI TUCSON</t>
  </si>
  <si>
    <t>9317-DFW</t>
  </si>
  <si>
    <t>ACAI MOTOR AUTOPREMIER, S.L.</t>
  </si>
  <si>
    <t>B19302199</t>
  </si>
  <si>
    <t>7490-GNB</t>
  </si>
  <si>
    <t>AM-552</t>
  </si>
  <si>
    <t>CRISTINA CRINA COSMA</t>
  </si>
  <si>
    <t>X5739404-F</t>
  </si>
  <si>
    <t>comprado a motorsan 31/10/16</t>
  </si>
  <si>
    <t>am-559</t>
  </si>
  <si>
    <t>comprado a creapress 12/7/2016</t>
  </si>
  <si>
    <t>m-7011-wd</t>
  </si>
  <si>
    <t>jeep cherokee</t>
  </si>
  <si>
    <t>am-557</t>
  </si>
  <si>
    <t>raquel linares gil</t>
  </si>
  <si>
    <t>50972470-p</t>
  </si>
  <si>
    <t>comprado a acai motor 5/12/16</t>
  </si>
  <si>
    <t>am-556</t>
  </si>
  <si>
    <t>JORGE LUIS CHACON CRUZ</t>
  </si>
  <si>
    <t>03491246-F</t>
  </si>
  <si>
    <t>comprado a jarmauto 14/10/16</t>
  </si>
  <si>
    <t>AM-550</t>
  </si>
  <si>
    <t>JOSE ANTONIO CENTERE SAMPER</t>
  </si>
  <si>
    <t>07226881-M</t>
  </si>
  <si>
    <t>comprado a jarmauto 27/6/16</t>
  </si>
  <si>
    <t>AM-551</t>
  </si>
  <si>
    <t>JOSE ALBERTO LOBO GIL</t>
  </si>
  <si>
    <t>47028289-M</t>
  </si>
  <si>
    <t>comprado a motorsan 19/7/16</t>
  </si>
  <si>
    <t>AM-543</t>
  </si>
  <si>
    <t>ADRIANA LUCIA BLANDON ATEHORTUA</t>
  </si>
  <si>
    <t>X6521552-V</t>
  </si>
  <si>
    <t>comprado a javier lopez 19/9/16</t>
  </si>
  <si>
    <t>AM-545</t>
  </si>
  <si>
    <t>JENNIFER MARIA COUTO DELGADO</t>
  </si>
  <si>
    <t>78728965-B</t>
  </si>
  <si>
    <t>FELIX RUBEN SANCHEZ PEREZ</t>
  </si>
  <si>
    <t>52993355-K</t>
  </si>
  <si>
    <t>comprado a jarmauto 23/8/2016</t>
  </si>
  <si>
    <t>AM-548</t>
  </si>
  <si>
    <t>rebeca benito mongil</t>
  </si>
  <si>
    <t>12403900-T</t>
  </si>
  <si>
    <t>AM-549</t>
  </si>
  <si>
    <t>OLLMAXX SYSTEMS S.L.</t>
  </si>
  <si>
    <t>B54406178</t>
  </si>
  <si>
    <t>AM-546</t>
  </si>
  <si>
    <t>MIRIAM ESTELA VERA GONZALEZ</t>
  </si>
  <si>
    <t>Y3524013-J</t>
  </si>
  <si>
    <t>comprado a jarmauto 25/5/16</t>
  </si>
  <si>
    <t>CREAPRESS, S.L.</t>
  </si>
  <si>
    <t>comprado a parcours 11/4/2016</t>
  </si>
  <si>
    <t>VO16 1363</t>
  </si>
  <si>
    <t>FORD KUGA</t>
  </si>
  <si>
    <t>6117-GZB</t>
  </si>
  <si>
    <t>JUAN MANUEL MARTIN BRAVO</t>
  </si>
  <si>
    <t>31858980-R</t>
  </si>
  <si>
    <t>RUBEN SANCHEZ PEREZ</t>
  </si>
  <si>
    <t>3618-DKT</t>
  </si>
  <si>
    <t>AM-555</t>
  </si>
  <si>
    <t>MIGUEL ANGEL SANCHEZ GONZALEZ</t>
  </si>
  <si>
    <t>50861122A</t>
  </si>
  <si>
    <t>comprado a juan manuel martin 11/11/16</t>
  </si>
  <si>
    <t>AM-547</t>
  </si>
  <si>
    <t>NEREA FERNANDEZ DEL ALAMO</t>
  </si>
  <si>
    <t>comprado a ruben sanchez 2/10/16</t>
  </si>
  <si>
    <t>4T 2016</t>
  </si>
  <si>
    <t>vvor16 103</t>
  </si>
  <si>
    <t>0422-gwl</t>
  </si>
  <si>
    <t>05299964M</t>
  </si>
  <si>
    <t>VOEM1116136</t>
  </si>
  <si>
    <t>VOLKSWAGEN SCIROCCO</t>
  </si>
  <si>
    <t>6521GPN</t>
  </si>
  <si>
    <t>4t 2016</t>
  </si>
  <si>
    <t>ingreso caixa 29/11/2016</t>
  </si>
  <si>
    <t>CHEQUE CAIXA 4/10/16</t>
  </si>
  <si>
    <t>TF CAIXA 15/9/2016</t>
  </si>
  <si>
    <t>TF CAIXA 20/12/16</t>
  </si>
  <si>
    <t>TF CAIXA 11/11/2016</t>
  </si>
  <si>
    <t>INGRESO CAIXA 23/9/16</t>
  </si>
  <si>
    <t>INGRESO POPULAR 28/10/16</t>
  </si>
  <si>
    <t>INGRESO POPULAR 21/6/16</t>
  </si>
  <si>
    <t>INGRESO POPULAR 5/4/16</t>
  </si>
  <si>
    <t>INGRESO POPULAR 18/5/16</t>
  </si>
  <si>
    <t>INGRESO POPULAR 21/11/16</t>
  </si>
  <si>
    <t>INGRESO POPULAR 1/7/16</t>
  </si>
  <si>
    <t>EFECTIVO</t>
  </si>
  <si>
    <t>INGRESO POPULAR 2/4/16</t>
  </si>
  <si>
    <t>INGRESO POPULAR 20/5/16</t>
  </si>
  <si>
    <t>Ingreso popular 21/10/16 (3150 €)</t>
  </si>
  <si>
    <t>ingreso popular 14/7/16</t>
  </si>
  <si>
    <t>INGRESO POPULAR 21/9/16</t>
  </si>
  <si>
    <t>INGRESO POPULAR 9/8/16</t>
  </si>
  <si>
    <t>INGRESO 29/7/16 POPULAR</t>
  </si>
  <si>
    <t>TF POPULAR 2/9/16</t>
  </si>
  <si>
    <t>CHEQUE SABADEL 29/4/16</t>
  </si>
  <si>
    <t>CHEQUE SABADEEL 3/11/16 4500 €</t>
  </si>
  <si>
    <t>TF SABADEL 13/7/16</t>
  </si>
  <si>
    <t>TF SABADEL 10/11/16</t>
  </si>
  <si>
    <t>TF. SABADEL 30/5/16</t>
  </si>
  <si>
    <t>TF SABADEL 3/10/16 (11500 €)</t>
  </si>
  <si>
    <t>TF SABADEL 29/3/16</t>
  </si>
  <si>
    <t>TF. SABADEL 16/11/16</t>
  </si>
  <si>
    <t>TF. BANKIA 7/10/16</t>
  </si>
  <si>
    <t>INGRESO CAIXA 20/12/16 RESTO 16/12/16 BANKIA 300 €</t>
  </si>
  <si>
    <t>RB/31/2017</t>
  </si>
  <si>
    <t>MAPFRE AUTOMOCION SA</t>
  </si>
  <si>
    <t>7291-DLY</t>
  </si>
  <si>
    <t>RB/37/2017</t>
  </si>
  <si>
    <t>TOYOTA LAND CRUISER</t>
  </si>
  <si>
    <t>2995-GWD</t>
  </si>
  <si>
    <t>8945-HZP</t>
  </si>
  <si>
    <t>1363-FYT</t>
  </si>
  <si>
    <t>rb/19/2017</t>
  </si>
  <si>
    <t>5790-FLN</t>
  </si>
  <si>
    <t>tf sab 3700 € (20/2/17)</t>
  </si>
  <si>
    <t>rb/18/2017</t>
  </si>
  <si>
    <t>1625-hbw</t>
  </si>
  <si>
    <t>m-4344-um</t>
  </si>
  <si>
    <t>tf sab 23/02/2017</t>
  </si>
  <si>
    <t>4452-CZW</t>
  </si>
  <si>
    <t>tf sab 26/02/2017</t>
  </si>
  <si>
    <t>rb/42/2017</t>
  </si>
  <si>
    <t>4219-HLL</t>
  </si>
  <si>
    <t>tf sabadel 18/3/2017</t>
  </si>
  <si>
    <t>RB/43/2017</t>
  </si>
  <si>
    <t>4456-DGK</t>
  </si>
  <si>
    <t>RB/41/2017</t>
  </si>
  <si>
    <t>AM-563</t>
  </si>
  <si>
    <t>CONSTANTIN OPREA</t>
  </si>
  <si>
    <t>X6668231-W</t>
  </si>
  <si>
    <t>VOLKSWAGEN TIGUAN</t>
  </si>
  <si>
    <t>1091-GTH</t>
  </si>
  <si>
    <t>AM-568</t>
  </si>
  <si>
    <t>MARCO LUIS ZANELLA KOHLI</t>
  </si>
  <si>
    <t>Y4198908-L</t>
  </si>
  <si>
    <t>VENDIDO 2017</t>
  </si>
  <si>
    <t>comprado a mapfre 23/2/17</t>
  </si>
  <si>
    <t>am-570</t>
  </si>
  <si>
    <t>YANA BOKALO</t>
  </si>
  <si>
    <t>X5013128-W</t>
  </si>
  <si>
    <t>comprado a gr motor 7/11/16</t>
  </si>
  <si>
    <t>AM-571</t>
  </si>
  <si>
    <t>Mª AMPARO RUIZ MARCHAL</t>
  </si>
  <si>
    <t>05421596-J</t>
  </si>
  <si>
    <t>comprado a m.conde 11/10/16</t>
  </si>
  <si>
    <t>AM-569</t>
  </si>
  <si>
    <t>MOHAMMAD EL GHALBZOURI</t>
  </si>
  <si>
    <t>X8953064-S</t>
  </si>
  <si>
    <t>AM-572</t>
  </si>
  <si>
    <t>CHAPA Y PINTURA MOSTOLES, S.L.</t>
  </si>
  <si>
    <t>B86517943</t>
  </si>
  <si>
    <t>comprado a mapfre 6/2/17</t>
  </si>
  <si>
    <t>AM-566</t>
  </si>
  <si>
    <t>comprado a mapfre 21/2/16</t>
  </si>
  <si>
    <t>vendido 2017</t>
  </si>
  <si>
    <t>am-562</t>
  </si>
  <si>
    <t>LUIS ANTONIO RAMOS FLORES</t>
  </si>
  <si>
    <t>03886738-Z</t>
  </si>
  <si>
    <t>comprado a autopremier 27/12/16</t>
  </si>
  <si>
    <t>AM-560</t>
  </si>
  <si>
    <t>NATALIA TIRADO ALONSO</t>
  </si>
  <si>
    <t>02878957-R</t>
  </si>
  <si>
    <t>comprado a jarmauto 15/11/16</t>
  </si>
  <si>
    <t>AM-567</t>
  </si>
  <si>
    <t>RICARDO DEL OLMO DE BLAS</t>
  </si>
  <si>
    <t>03116260-J</t>
  </si>
  <si>
    <t>AM-565</t>
  </si>
  <si>
    <t>ELENA MORARIU</t>
  </si>
  <si>
    <t>comprado a motorsan 8/11/16</t>
  </si>
  <si>
    <t>AM-561</t>
  </si>
  <si>
    <t>comprado a jarmauto 23/12/16</t>
  </si>
  <si>
    <t>OSCAR GODIA GUTIERREZ</t>
  </si>
  <si>
    <t>50703581-N</t>
  </si>
  <si>
    <t>4627-CBM</t>
  </si>
  <si>
    <t>AM-564</t>
  </si>
  <si>
    <t>ALBERTO RUANO DE LA CRUZ</t>
  </si>
  <si>
    <t>52111008-T</t>
  </si>
  <si>
    <t>comprado a oscar godia 28/9/16</t>
  </si>
  <si>
    <t>1t 2017</t>
  </si>
  <si>
    <t>tf caixa 17/03/2017</t>
  </si>
  <si>
    <t>2892-DRP</t>
  </si>
  <si>
    <t>tf caixa 14/03/2017</t>
  </si>
  <si>
    <t>X9279949-R</t>
  </si>
  <si>
    <t>9790-cwc</t>
  </si>
  <si>
    <t>VVOR17 11</t>
  </si>
  <si>
    <t>comprado a motorsan 18/3/17</t>
  </si>
  <si>
    <t>ROSA Mª LAGO ESPEJO-SAAVEDRA</t>
  </si>
  <si>
    <t>03836136-N</t>
  </si>
  <si>
    <t>comprado a rosa m lago espejo 4/1/17</t>
  </si>
  <si>
    <t>BAUTISTA FERNANDEZ VAQUERO</t>
  </si>
  <si>
    <t>07402165-Y</t>
  </si>
  <si>
    <t>3900-DFM</t>
  </si>
  <si>
    <t>3924-FMB</t>
  </si>
  <si>
    <t>54363443e</t>
  </si>
  <si>
    <t>rb/58/2017</t>
  </si>
  <si>
    <t>bmw x5</t>
  </si>
  <si>
    <t>0597-GMG</t>
  </si>
  <si>
    <t>RB/99/2017</t>
  </si>
  <si>
    <t>RENAULT V.I. KANGOO (restos)</t>
  </si>
  <si>
    <t>5260-FVY</t>
  </si>
  <si>
    <t>TOYOTA RAV4(restos)</t>
  </si>
  <si>
    <t>0636-HHD</t>
  </si>
  <si>
    <t>VVOR17 32</t>
  </si>
  <si>
    <t>3321-FRW</t>
  </si>
  <si>
    <t>VVOR17 30</t>
  </si>
  <si>
    <t>MERCEDES ML 350</t>
  </si>
  <si>
    <t>0692-DRK</t>
  </si>
  <si>
    <t>GUADALUPE GUILLEN GIL</t>
  </si>
  <si>
    <t>50320968-G</t>
  </si>
  <si>
    <t>comprado a mapfre 21/4/17</t>
  </si>
  <si>
    <t>AM-576</t>
  </si>
  <si>
    <t>OANA PETRU</t>
  </si>
  <si>
    <t>X9875273-S</t>
  </si>
  <si>
    <t>comprado a mapfre 21/3/17</t>
  </si>
  <si>
    <t>AM-580</t>
  </si>
  <si>
    <t>DISCOGARCID S.L.</t>
  </si>
  <si>
    <t>B84977982</t>
  </si>
  <si>
    <t>comprado a mapfre 7/3/17</t>
  </si>
  <si>
    <t>AM-579</t>
  </si>
  <si>
    <t>RUBEN QUINTANA FERNANDEZ</t>
  </si>
  <si>
    <t>08869911-F</t>
  </si>
  <si>
    <t>comprado a acai motor 1/2/17</t>
  </si>
  <si>
    <t>AM-575</t>
  </si>
  <si>
    <t>AM-573</t>
  </si>
  <si>
    <t>comprado a mapfre 16/3/17</t>
  </si>
  <si>
    <t>AM-577</t>
  </si>
  <si>
    <t>DANIEL GARCIA RODRIGUEZ</t>
  </si>
  <si>
    <t>51071409-R</t>
  </si>
  <si>
    <t>comprado a motorsan 29/4/17</t>
  </si>
  <si>
    <t>AM-578</t>
  </si>
  <si>
    <t>AM-574</t>
  </si>
  <si>
    <t>ANGELA GROSU</t>
  </si>
  <si>
    <t>X6415752-V</t>
  </si>
  <si>
    <t>comprado a motorsan 6/5/17</t>
  </si>
  <si>
    <t>nw-099</t>
  </si>
  <si>
    <t>comprado a motorsan 28/12/16</t>
  </si>
  <si>
    <t>INSTALACIONES Y SISTEMAS ELECTRICOS CALAHORRA LA RIOJA, S.L.</t>
  </si>
  <si>
    <t>comprado a mapfre 24/2/17</t>
  </si>
  <si>
    <t>OSCAR VENTURA DIAZ</t>
  </si>
  <si>
    <t>53411307-V</t>
  </si>
  <si>
    <t>comprado a mapfre 30/12/16</t>
  </si>
  <si>
    <t>vo17 5</t>
  </si>
  <si>
    <t>comprado a jarmauto 1/3/17</t>
  </si>
  <si>
    <t>OLIVER MARTINEZ MUÑOZ</t>
  </si>
  <si>
    <t>50886340-J</t>
  </si>
  <si>
    <t>comprado a olivermartinez 4/11/16</t>
  </si>
  <si>
    <t>2T 2017</t>
  </si>
  <si>
    <t>CITROEN PICASSO</t>
  </si>
  <si>
    <t>1790-BKN</t>
  </si>
  <si>
    <t>tfh05170184</t>
  </si>
  <si>
    <t>7956-DCW</t>
  </si>
  <si>
    <t>VOEH0217073</t>
  </si>
  <si>
    <t>AUDI A5 COUPE</t>
  </si>
  <si>
    <t>3925-HJZ</t>
  </si>
  <si>
    <t>VO17 721</t>
  </si>
  <si>
    <t>2387-GSN</t>
  </si>
  <si>
    <t>tf bankia</t>
  </si>
  <si>
    <t>VO17 692</t>
  </si>
  <si>
    <t>5701-FJV</t>
  </si>
  <si>
    <t>CRISTINA ARENAS PIÑA</t>
  </si>
  <si>
    <t>46853558-M</t>
  </si>
  <si>
    <t>8542-CGP</t>
  </si>
  <si>
    <t>VO17 775</t>
  </si>
  <si>
    <t>AUDI Q7</t>
  </si>
  <si>
    <t>6044-GDY</t>
  </si>
  <si>
    <t>tf banco popular</t>
  </si>
  <si>
    <t>AM-591</t>
  </si>
  <si>
    <t>JUAN JOSE PARRAS SANTAMARIA</t>
  </si>
  <si>
    <t>52376951-V</t>
  </si>
  <si>
    <t>comprado a mapfre 20/6/17</t>
  </si>
  <si>
    <t>AHMED FERRAD SMAIL</t>
  </si>
  <si>
    <t>X7734106-B</t>
  </si>
  <si>
    <t>comprado a gr motor 29/5/17</t>
  </si>
  <si>
    <t>AM-589</t>
  </si>
  <si>
    <t>ALEJANDRA CRISTINA RODRIGUEZ</t>
  </si>
  <si>
    <t>Y3966002-B</t>
  </si>
  <si>
    <t>comprado a autopremier 30/12/16</t>
  </si>
  <si>
    <t>VOEH0217052</t>
  </si>
  <si>
    <t>8609-HDZ</t>
  </si>
  <si>
    <t>VOLVO XC 90</t>
  </si>
  <si>
    <t>8271-FDD</t>
  </si>
  <si>
    <t>RB/90/2017</t>
  </si>
  <si>
    <t>9482-DRM</t>
  </si>
  <si>
    <t>RB/92/2017</t>
  </si>
  <si>
    <t>8864-BFP</t>
  </si>
  <si>
    <t>JUAN LOPEZ MARTINEZ</t>
  </si>
  <si>
    <t>50288664-S</t>
  </si>
  <si>
    <t>1800-FBZ</t>
  </si>
  <si>
    <t>comprado a mapfre 31/5/17</t>
  </si>
  <si>
    <t>FRANCISCO MORILLAS LUCENA</t>
  </si>
  <si>
    <t>53430326-S</t>
  </si>
  <si>
    <t>AM-592</t>
  </si>
  <si>
    <t>Mª JESUS MARTIN MARTIN</t>
  </si>
  <si>
    <t>07017404-N</t>
  </si>
  <si>
    <t>comprado a audi retail 30/6/17</t>
  </si>
  <si>
    <t>AM-590</t>
  </si>
  <si>
    <t>DANIEL GARCIA CABEZAS</t>
  </si>
  <si>
    <t>73134975-N</t>
  </si>
  <si>
    <t>comprado a juan lopez 4/7/17</t>
  </si>
  <si>
    <t>AM-587</t>
  </si>
  <si>
    <t>SUELLEN IVANA TOLENTINO</t>
  </si>
  <si>
    <t>Y0587343-Y</t>
  </si>
  <si>
    <t>comprado a mapfre 27/5/17</t>
  </si>
  <si>
    <t>3T 2017</t>
  </si>
  <si>
    <t xml:space="preserve">SEAT LEON </t>
  </si>
  <si>
    <t>RB/108/217</t>
  </si>
  <si>
    <t>2151-HPJ</t>
  </si>
  <si>
    <t>F170300004277</t>
  </si>
  <si>
    <t>4650-DSP</t>
  </si>
  <si>
    <t>voeh1217424</t>
  </si>
  <si>
    <t>MERCEDES BENZ C 200</t>
  </si>
  <si>
    <t>3751-GVN</t>
  </si>
  <si>
    <t>VOEHH0617139</t>
  </si>
  <si>
    <t>2129-HFN</t>
  </si>
  <si>
    <t>RB/109/2017</t>
  </si>
  <si>
    <t>BMW SERIE 3</t>
  </si>
  <si>
    <t>1870-GHN</t>
  </si>
  <si>
    <t>RB/139/2017</t>
  </si>
  <si>
    <t>1059-DMN</t>
  </si>
  <si>
    <t>RB/140/2017</t>
  </si>
  <si>
    <t>1297-GNK</t>
  </si>
  <si>
    <t>RB/138/2017</t>
  </si>
  <si>
    <t>FIAT DOBLO</t>
  </si>
  <si>
    <t>7009-CYB</t>
  </si>
  <si>
    <t>31201710100009</t>
  </si>
  <si>
    <t xml:space="preserve">PEUGEOT 308 </t>
  </si>
  <si>
    <t>0027-HJJ</t>
  </si>
  <si>
    <t>31201710100010</t>
  </si>
  <si>
    <t>CITROEN JUMPER DIESEL</t>
  </si>
  <si>
    <t>5047-JGR</t>
  </si>
  <si>
    <t>HYUNDAI TERRACAN</t>
  </si>
  <si>
    <t>6932-BVT</t>
  </si>
  <si>
    <t>RB/182/2017</t>
  </si>
  <si>
    <t>TOYOTA LAND CRUISER LAND</t>
  </si>
  <si>
    <t>6256-GTN</t>
  </si>
  <si>
    <t>RB/183/2017</t>
  </si>
  <si>
    <t>PEUGEOT BOXER 2.2</t>
  </si>
  <si>
    <t>8200-HYS</t>
  </si>
  <si>
    <t>RB/181/2017</t>
  </si>
  <si>
    <t>KIA CEE´D</t>
  </si>
  <si>
    <t>1768-GKD</t>
  </si>
  <si>
    <t>RB/180/2017</t>
  </si>
  <si>
    <t>9025-GJN</t>
  </si>
  <si>
    <t>nw-101</t>
  </si>
  <si>
    <t>IVAN GARCIA RODRIGUEZ</t>
  </si>
  <si>
    <t>47020985-S</t>
  </si>
  <si>
    <t>comprado a mapfre 24/7/17</t>
  </si>
  <si>
    <t>LEIRE CARRAL GARCIA</t>
  </si>
  <si>
    <t>44173336-L</t>
  </si>
  <si>
    <t>comprado a jarmauto 16/1/2017</t>
  </si>
  <si>
    <t>AM-599</t>
  </si>
  <si>
    <t>ERNESTO TORRES TECGLEN</t>
  </si>
  <si>
    <t>51694904-N</t>
  </si>
  <si>
    <t>comprado a mapfre 20/10/17</t>
  </si>
  <si>
    <t>AM-652</t>
  </si>
  <si>
    <t>FELIPE CASTRO DOMINGUEZ</t>
  </si>
  <si>
    <t>46918324-A</t>
  </si>
  <si>
    <t>comprado a audi 28/7/2017</t>
  </si>
  <si>
    <t>AM-595</t>
  </si>
  <si>
    <t>abdelouahid WEDOUI</t>
  </si>
  <si>
    <t>X145681-Z</t>
  </si>
  <si>
    <t>comprado a cristina arenas 9/8/2017</t>
  </si>
  <si>
    <t xml:space="preserve"> am-650</t>
  </si>
  <si>
    <t>DAVID GARCIA LORENTE</t>
  </si>
  <si>
    <t>53562025-Q</t>
  </si>
  <si>
    <t>comprado a jarmauto 14/7/2017</t>
  </si>
  <si>
    <t>AM-596</t>
  </si>
  <si>
    <t>CONGELADOS ASTURGALAICOS, S.L.</t>
  </si>
  <si>
    <t>B27208834</t>
  </si>
  <si>
    <t>comprado a  autorecambio vivasa 28/9/2017</t>
  </si>
  <si>
    <t>AM-593</t>
  </si>
  <si>
    <t>ALEJANDRA MERIDA BERNARDO</t>
  </si>
  <si>
    <t>71645573-K</t>
  </si>
  <si>
    <t>COMPRADO A MAPFRE  24/7/2017</t>
  </si>
  <si>
    <t>AM-594</t>
  </si>
  <si>
    <t>LAURA MARTINEZ PEDRAZA</t>
  </si>
  <si>
    <t>11851107-N</t>
  </si>
  <si>
    <t>comprado a jarmauto 11/7/2017</t>
  </si>
  <si>
    <t>AM-597</t>
  </si>
  <si>
    <t>ELISA ISABEL LOPEZ HERRERA</t>
  </si>
  <si>
    <t>74657958-G</t>
  </si>
  <si>
    <t>comprado a audi retail 31/10/2017</t>
  </si>
  <si>
    <t>4t 2017</t>
  </si>
  <si>
    <t>ERNESTO MEGINO HERNAND</t>
  </si>
  <si>
    <t>51681502-L</t>
  </si>
  <si>
    <t xml:space="preserve">FIAT PUNTO  </t>
  </si>
  <si>
    <t>5682-FWT</t>
  </si>
  <si>
    <t>AM-598</t>
  </si>
  <si>
    <t>comprado a ernesto megino 11/9/17</t>
  </si>
  <si>
    <t>RB/110/2017</t>
  </si>
  <si>
    <t>9687GBB</t>
  </si>
  <si>
    <t>HONDA MOTO</t>
  </si>
  <si>
    <t>AM-651</t>
  </si>
  <si>
    <t>EDUARDO NEIRY PAREDES BAQUE</t>
  </si>
  <si>
    <t>X5968295-W</t>
  </si>
  <si>
    <t>TF 14/12/17  12000 EUROS BANKIA (TB 11/12 /17  300 EUROS DEBE SER RESERVA)</t>
  </si>
  <si>
    <t>TF 28/12/17 BANKIA 1800 EUROS</t>
  </si>
  <si>
    <t>TF 26/5/17 BANKIA 9000 E</t>
  </si>
  <si>
    <t>ing 19/9/17 sabadel 1500 e</t>
  </si>
  <si>
    <t>ing 25/8/17 sab 2000 e</t>
  </si>
  <si>
    <t>ing 30/8/17 sab 2000 e</t>
  </si>
  <si>
    <t>ing 1/8/17 sab 4000 e</t>
  </si>
  <si>
    <t>cheque 2/6/17 sab 1700 euros</t>
  </si>
  <si>
    <t>TF 7/3/17 SAB 2400</t>
  </si>
  <si>
    <t>tf sab 3/4/17 2000 e</t>
  </si>
  <si>
    <t>tf sab 16/3/17  2200 e</t>
  </si>
  <si>
    <t>tf sab 19/4/17 8500 e</t>
  </si>
  <si>
    <t>tf sab 21/4/17 1500 euros</t>
  </si>
  <si>
    <t>tf sabadel 8/3/17 2550 e</t>
  </si>
  <si>
    <t>TF SAB 31/3/17 2600 E</t>
  </si>
  <si>
    <t>TF SABADEL 11/4/17 4500 EUROS</t>
  </si>
  <si>
    <t>tf 20/4/17 sabadel 1700 euros</t>
  </si>
  <si>
    <t>TF 18/10/2017 SABADEL 10500</t>
  </si>
  <si>
    <t>ing pop 12/6/17 3400 euros</t>
  </si>
  <si>
    <t>ing pop 13/2/17</t>
  </si>
  <si>
    <t>ing pop 27/11/17</t>
  </si>
  <si>
    <t>ing pop 3/2/17 3500 euros</t>
  </si>
  <si>
    <t>ing pop 29/3/17 3000 euros</t>
  </si>
  <si>
    <t>ing pop 2/1/17</t>
  </si>
  <si>
    <t>ing pop 21/3/17</t>
  </si>
  <si>
    <t>tf pop 11/9/17)300)-14/9/17 (14200)</t>
  </si>
  <si>
    <t>tf caixa 21/12/17</t>
  </si>
  <si>
    <t>tf caixa 27/7/17</t>
  </si>
  <si>
    <t>tf caixa 15/11/17</t>
  </si>
  <si>
    <t>TF caixa 11/4/17</t>
  </si>
  <si>
    <t>TF BANKIA 30/3/17  5800 €  ing caixa 25/3/17 300 €</t>
  </si>
  <si>
    <t>tf caixa 1/7/207</t>
  </si>
  <si>
    <t>tf  caixa 22/8/17 300 euros</t>
  </si>
  <si>
    <t>cheque 28/10/17 18700 tf caixa 24/10/17 300 euros</t>
  </si>
  <si>
    <t>tf caixa 1/12/17 14000 euros</t>
  </si>
  <si>
    <t>tf caixa 16/11/17 500 euros, tf caixa 19/1/18 250 euros</t>
  </si>
  <si>
    <t>tf caixa 26/5/17</t>
  </si>
  <si>
    <t>tf caixa 20/1/17</t>
  </si>
  <si>
    <t>tf caixa 4/10/17 300e 13/10/17 9700 euros</t>
  </si>
  <si>
    <t>tf 13/10/17 caixa 5000 euros</t>
  </si>
  <si>
    <t>MERCEDES BENZ A 180</t>
  </si>
  <si>
    <t>4872-FRG</t>
  </si>
  <si>
    <t>VOEH0618009</t>
  </si>
  <si>
    <t>9778-HHC</t>
  </si>
  <si>
    <t>VOEH0618010</t>
  </si>
  <si>
    <t xml:space="preserve">BMW 320 </t>
  </si>
  <si>
    <t>6907-CTN</t>
  </si>
  <si>
    <t>VOH1218066</t>
  </si>
  <si>
    <t>3562-HDY</t>
  </si>
  <si>
    <t>RB/37/2018</t>
  </si>
  <si>
    <t>7105-GKK</t>
  </si>
  <si>
    <t>RB/148/2017</t>
  </si>
  <si>
    <t>MERCEDES BENZ SPRINTER</t>
  </si>
  <si>
    <t>3818-HJH</t>
  </si>
  <si>
    <t>ALBERTO DIAZ CURBELO</t>
  </si>
  <si>
    <t>78851592-W</t>
  </si>
  <si>
    <t>comprado a audi retail 28/7/17</t>
  </si>
  <si>
    <t>VENDIDO 2018</t>
  </si>
  <si>
    <t>JAVIER HERRERUELA AMOR</t>
  </si>
  <si>
    <t>28972603-D</t>
  </si>
  <si>
    <t>comprado a mapfre 1/1/18</t>
  </si>
  <si>
    <t>MARCOS RONDA SALVADOR</t>
  </si>
  <si>
    <t>53394512N</t>
  </si>
  <si>
    <t>am-601</t>
  </si>
  <si>
    <t>JOSELITO HEREDIA RODRIGUEZ</t>
  </si>
  <si>
    <t>12454434-A</t>
  </si>
  <si>
    <t>8626-CRW</t>
  </si>
  <si>
    <t>se compró en 2008 a mapfre estaba en stock</t>
  </si>
  <si>
    <t>LUIA MIGUEL SANTOS ZAYAS</t>
  </si>
  <si>
    <t>01109290-T</t>
  </si>
  <si>
    <t>AM-2501</t>
  </si>
  <si>
    <t>JESUS LEON CABRERA</t>
  </si>
  <si>
    <t>01821313N</t>
  </si>
  <si>
    <t>comprado a gr motor 4/12/17</t>
  </si>
  <si>
    <t>ingreso sabadel 26/1/18 1800</t>
  </si>
  <si>
    <t>ingreso sabadel 26/1/18 1200€</t>
  </si>
  <si>
    <t>VVOR17 93</t>
  </si>
  <si>
    <t>OPEL INSIGNIA</t>
  </si>
  <si>
    <t>5451-HNM</t>
  </si>
  <si>
    <t>VVORON18 32</t>
  </si>
  <si>
    <t>8064-GDR</t>
  </si>
  <si>
    <t>VVOR18 6</t>
  </si>
  <si>
    <t>9645-FKN</t>
  </si>
  <si>
    <t>RB/157/2017</t>
  </si>
  <si>
    <t xml:space="preserve">FIAT SCUDO </t>
  </si>
  <si>
    <t>6952-JCP</t>
  </si>
  <si>
    <t>RB/9/2018</t>
  </si>
  <si>
    <t>MERCEDES BENZ E CLASE E</t>
  </si>
  <si>
    <t>8966-DGB</t>
  </si>
  <si>
    <t>RB/170/2017</t>
  </si>
  <si>
    <t>5183-FVZ</t>
  </si>
  <si>
    <t>RB/177/2017</t>
  </si>
  <si>
    <t>1074-CSY</t>
  </si>
  <si>
    <t>31201810100001</t>
  </si>
  <si>
    <t>0160-HXK</t>
  </si>
  <si>
    <t>RB/161/2017</t>
  </si>
  <si>
    <t>FORD C-MAX</t>
  </si>
  <si>
    <t>9205-DFS</t>
  </si>
  <si>
    <t>VO18 53</t>
  </si>
  <si>
    <t>4148-FDK</t>
  </si>
  <si>
    <t>AM-600</t>
  </si>
  <si>
    <t>ANTONIO GONZALEZ ARROYO</t>
  </si>
  <si>
    <t>comprado a motorsan 13/10/17</t>
  </si>
  <si>
    <t>JOSE SALIDO GARCIA</t>
  </si>
  <si>
    <t>32634351-L</t>
  </si>
  <si>
    <t>comprado a jarmauto 18/1/17</t>
  </si>
  <si>
    <t>ROBERTO FERNANDEZ VARA</t>
  </si>
  <si>
    <t>08999490-G</t>
  </si>
  <si>
    <t>comprado a mapfre 17/11/17</t>
  </si>
  <si>
    <t>07452565-J</t>
  </si>
  <si>
    <t>ROBERT DUQUE GAITAN</t>
  </si>
  <si>
    <t>03480165-N</t>
  </si>
  <si>
    <t>comprado a mapfre 12/12/17</t>
  </si>
  <si>
    <t>ingreso sabadel 16/3/18</t>
  </si>
  <si>
    <t>PASCUAL RUBIO PALOINO</t>
  </si>
  <si>
    <t>50960804-A</t>
  </si>
  <si>
    <t>9311-FJT</t>
  </si>
  <si>
    <t>TANIA ALONSO GONZALEZ</t>
  </si>
  <si>
    <t>36174087-D</t>
  </si>
  <si>
    <t>comprado a pascual rubio 6/2/18</t>
  </si>
  <si>
    <t>1 T 2018</t>
  </si>
  <si>
    <t>RB/51/2018</t>
  </si>
  <si>
    <t>3195-DXN</t>
  </si>
  <si>
    <t>RB/52/2018</t>
  </si>
  <si>
    <t>NISSAN JUKE</t>
  </si>
  <si>
    <t>0991-JLN</t>
  </si>
  <si>
    <t>31201810100018</t>
  </si>
  <si>
    <t>FIAT PUNTO</t>
  </si>
  <si>
    <t>6426-HZL</t>
  </si>
  <si>
    <t>RB/65/2018</t>
  </si>
  <si>
    <t>2762-JSY</t>
  </si>
  <si>
    <t>RB/67/2018</t>
  </si>
  <si>
    <t>CHEVROLET AVEO</t>
  </si>
  <si>
    <t>2036-HNG</t>
  </si>
  <si>
    <t>4387-JRN</t>
  </si>
  <si>
    <t>RB/82/2018</t>
  </si>
  <si>
    <t>PEUGEOT 208</t>
  </si>
  <si>
    <t>3150-JMT</t>
  </si>
  <si>
    <t>rb/76/2018</t>
  </si>
  <si>
    <t>RENAULT TRAFIC COMBI</t>
  </si>
  <si>
    <t>4787-FJV</t>
  </si>
  <si>
    <t>RB/75/2018</t>
  </si>
  <si>
    <t>2579-HFD</t>
  </si>
  <si>
    <t>PEDRO LOPEZ GRUESO</t>
  </si>
  <si>
    <t>00127186-L</t>
  </si>
  <si>
    <t>0218-FJP</t>
  </si>
  <si>
    <t>ANDRES RODRIGUEZ GUTIERREZ</t>
  </si>
  <si>
    <t>50409314-F</t>
  </si>
  <si>
    <t>3217-GNM</t>
  </si>
  <si>
    <t>ANTONIA BAEZA SANTIAGO</t>
  </si>
  <si>
    <t>00235779-Y</t>
  </si>
  <si>
    <t>comprado a andres rodriguez 4/6/18</t>
  </si>
  <si>
    <t>REMEDIOS MORENO LOPEZ</t>
  </si>
  <si>
    <t>51659298-X</t>
  </si>
  <si>
    <t>LEONCI GONZALEZ MARTIN</t>
  </si>
  <si>
    <t>00538649-N</t>
  </si>
  <si>
    <t>comprado a mapfre 27/12/17</t>
  </si>
  <si>
    <t>YOLANDA LEON PALOMAR</t>
  </si>
  <si>
    <t>53020373-Z</t>
  </si>
  <si>
    <t>comprado a mapfre 20/12/17</t>
  </si>
  <si>
    <t>47220894-P</t>
  </si>
  <si>
    <t>comprado a mapfre 21/5/18</t>
  </si>
  <si>
    <t>ANA TIMON GONZALEZ</t>
  </si>
  <si>
    <t>47518905-P</t>
  </si>
  <si>
    <t>comprado a mapfre 7/6/18</t>
  </si>
  <si>
    <t>BOXES INTEGRALCAR, S.L.</t>
  </si>
  <si>
    <t>B84962851</t>
  </si>
  <si>
    <t>comprado a  mapfre 1/11/17</t>
  </si>
  <si>
    <t>PALOMA BARQUITA EPSAMARCQ</t>
  </si>
  <si>
    <t>NISSAN MICRA</t>
  </si>
  <si>
    <t>3387-HCN</t>
  </si>
  <si>
    <t>MARIA PILAR ANTON BATISTE</t>
  </si>
  <si>
    <t>43504733-A</t>
  </si>
  <si>
    <t>comprado a paloma barquita 14/3/17</t>
  </si>
  <si>
    <t>CARLOS GARCIA CASTRILLON</t>
  </si>
  <si>
    <t>09355673-D</t>
  </si>
  <si>
    <t>comprado a audi retail 31/1/18</t>
  </si>
  <si>
    <t>comprado a mpafre 1/1/18</t>
  </si>
  <si>
    <t>DAMIAN ARBAS REINA</t>
  </si>
  <si>
    <t>002210934-J</t>
  </si>
  <si>
    <t>M-0077-YL</t>
  </si>
  <si>
    <t>ANA ISABEL CABALLERO USERO</t>
  </si>
  <si>
    <t>04588025-P</t>
  </si>
  <si>
    <t>comprado a damian arbas 19/10/17</t>
  </si>
  <si>
    <t>JOSE ALBERTO GONZALEZ-ORTEGA RECIO</t>
  </si>
  <si>
    <t>72059335-J</t>
  </si>
  <si>
    <t>comprado a pedro lopez 13/10/17</t>
  </si>
  <si>
    <t>2T 2018</t>
  </si>
  <si>
    <t>nw-18-011</t>
  </si>
  <si>
    <t>Maria del Mar Guillem Castañer</t>
  </si>
  <si>
    <t>51894059X</t>
  </si>
  <si>
    <t>comprado a autopremier 11/12/17</t>
  </si>
  <si>
    <t>NW-18-012</t>
  </si>
  <si>
    <t>comprado a mapfre 21/2/17</t>
  </si>
  <si>
    <t>Aranda Selección Motor, S.L.</t>
  </si>
  <si>
    <t>ANW-18-013</t>
  </si>
  <si>
    <t>B09535865</t>
  </si>
  <si>
    <t>comprado a mapfre 15/5/18</t>
  </si>
  <si>
    <t>YERAY PEREZ POZO</t>
  </si>
  <si>
    <t>47220248-Y</t>
  </si>
  <si>
    <t>comprado a audi retail 31/1/2018</t>
  </si>
  <si>
    <t>DECOMEGA PLUZ</t>
  </si>
  <si>
    <t>B86722162</t>
  </si>
  <si>
    <t>comprado a motorsan 28/3/18</t>
  </si>
  <si>
    <t>31201810100023</t>
  </si>
  <si>
    <t>7777-HXL</t>
  </si>
  <si>
    <t>RB/62/2018</t>
  </si>
  <si>
    <t>7758-FXS</t>
  </si>
  <si>
    <t>rb/69/2018</t>
  </si>
  <si>
    <t>2402-HYL</t>
  </si>
  <si>
    <t>7815-HXL</t>
  </si>
  <si>
    <t>31201810100026</t>
  </si>
  <si>
    <t>080618</t>
  </si>
  <si>
    <t>AUTOCARS-SION 18, S.L.U.</t>
  </si>
  <si>
    <t>B42545418</t>
  </si>
  <si>
    <t>comprado a mapfre 07/06/2018</t>
  </si>
  <si>
    <t>X3969101-Z</t>
  </si>
  <si>
    <t>RB/90/2018</t>
  </si>
  <si>
    <t>6955-DNV</t>
  </si>
  <si>
    <t>RB/103/2018</t>
  </si>
  <si>
    <t>0697-GYW</t>
  </si>
  <si>
    <t>31201810100035</t>
  </si>
  <si>
    <t>7729-HXL</t>
  </si>
  <si>
    <t>RAUL PIQUERAS MORENO</t>
  </si>
  <si>
    <t>48383102-A</t>
  </si>
  <si>
    <t>comprado a mapfre 4/6/18</t>
  </si>
  <si>
    <t>comprado a mapfre 13/6/18</t>
  </si>
  <si>
    <t>FRANCISCO JOSE CASTAÑO BARDISA</t>
  </si>
  <si>
    <t>05382182-K</t>
  </si>
  <si>
    <t>comprado a mapfre 21/6/18</t>
  </si>
  <si>
    <t>LUIS MANUEL GARCIA MUÑOZ</t>
  </si>
  <si>
    <t>05324499-E</t>
  </si>
  <si>
    <t>SOUFIAN TEMSAMANI AZTTOUTA</t>
  </si>
  <si>
    <t>comprado a mapfre 23/11/17</t>
  </si>
  <si>
    <t>CESAR AUGUSTO VILLEGAS PREVITE</t>
  </si>
  <si>
    <t>comprado a mapfre 6/6/18</t>
  </si>
  <si>
    <t>X9854035-F</t>
  </si>
  <si>
    <t>Y5757327-G</t>
  </si>
  <si>
    <t>0673-CGZ</t>
  </si>
  <si>
    <t>comprado a remedios moreno 2/7/18</t>
  </si>
  <si>
    <t>YOUSEF MUJAMED AHMAD MOUTAN</t>
  </si>
  <si>
    <t>Y5547134P</t>
  </si>
  <si>
    <t>comprado a audi retail 1/12/17</t>
  </si>
  <si>
    <t>comprado a mapfre 27/3/18</t>
  </si>
  <si>
    <t>ARTURO PORAWSKI VARELA</t>
  </si>
  <si>
    <t>51391871-G</t>
  </si>
  <si>
    <t>BMW 525D</t>
  </si>
  <si>
    <t>1569-DLS</t>
  </si>
  <si>
    <t>EVA MARIA MONGE SANAGUSTIN</t>
  </si>
  <si>
    <t>25153721-R</t>
  </si>
  <si>
    <t>8615-CZS</t>
  </si>
  <si>
    <t>HIRAN FEBLES FONSECA</t>
  </si>
  <si>
    <t>comprado a eva mª monge 2/8/18</t>
  </si>
  <si>
    <t>Y3528268-J</t>
  </si>
  <si>
    <t>3t 2018</t>
  </si>
  <si>
    <t>RB/162/2018</t>
  </si>
  <si>
    <t>7592-HVK</t>
  </si>
  <si>
    <t>RB/161/2018</t>
  </si>
  <si>
    <t>1203-JSS</t>
  </si>
  <si>
    <t>RB/154/2018</t>
  </si>
  <si>
    <t>8292-GTY</t>
  </si>
  <si>
    <t>RB/155/2018</t>
  </si>
  <si>
    <t>RENAULT V.I. MASTER</t>
  </si>
  <si>
    <t>5190-JFJ</t>
  </si>
  <si>
    <t>31201810100048</t>
  </si>
  <si>
    <t>9624-JBS</t>
  </si>
  <si>
    <t>31201810100049</t>
  </si>
  <si>
    <t>9697-JBS</t>
  </si>
  <si>
    <t>31201810100047</t>
  </si>
  <si>
    <t>6434-HZL</t>
  </si>
  <si>
    <t>RB/127/2018</t>
  </si>
  <si>
    <t>7395-GXV</t>
  </si>
  <si>
    <t>MOTORSAN,S.L.</t>
  </si>
  <si>
    <t>VVOR18 90</t>
  </si>
  <si>
    <t>CHEVROLET ALERO</t>
  </si>
  <si>
    <t>3031-GYS</t>
  </si>
  <si>
    <t>MAR GUILLEN CASTAÑER</t>
  </si>
  <si>
    <t>51894059-X</t>
  </si>
  <si>
    <t>MERCEDES BENZ CLASE A</t>
  </si>
  <si>
    <t>tf desde caixa 19/12/18</t>
  </si>
  <si>
    <t>tf desde caixa 14/12/18</t>
  </si>
  <si>
    <t>tf desde sabadel 3/12/18</t>
  </si>
  <si>
    <t>tf desde popular 3/12/18</t>
  </si>
  <si>
    <t>tf desde popular 31/10/18</t>
  </si>
  <si>
    <t>tf desde sabadel 16/10/18</t>
  </si>
  <si>
    <t>tf desde sabadel 7/8/2018</t>
  </si>
  <si>
    <t>SYNAPSIS BUSINESS &amp; PEOPLE SLNE</t>
  </si>
  <si>
    <t>B85156495</t>
  </si>
  <si>
    <t>comprado a gr motor 28/6/18</t>
  </si>
  <si>
    <t>04191914-A</t>
  </si>
  <si>
    <t>comprado a mapfre 30/10/18</t>
  </si>
  <si>
    <t>FRANCISCO JAVIER APARICIO CEBRIAN</t>
  </si>
  <si>
    <t>50312783-F</t>
  </si>
  <si>
    <t>ALVARO RAUL BRIANO VELAZQUEZ</t>
  </si>
  <si>
    <t>X6627738-N</t>
  </si>
  <si>
    <t>comprado a mapfre 31/1/18</t>
  </si>
  <si>
    <t>JOSE LUIS CORBALAN RUIZ</t>
  </si>
  <si>
    <t>01828742-N</t>
  </si>
  <si>
    <t>B85637478</t>
  </si>
  <si>
    <t>comprado a mapfre 11/7/18</t>
  </si>
  <si>
    <t>JUAN LOPEZ JIMENEZ</t>
  </si>
  <si>
    <t>02686589-M</t>
  </si>
  <si>
    <t>comprado a mar guillen 22/10/18</t>
  </si>
  <si>
    <t>00384510-i</t>
  </si>
  <si>
    <t>comprado a mpafre 24/10/18</t>
  </si>
  <si>
    <t>CRISTIAN MAIERAN</t>
  </si>
  <si>
    <t>X9298393-E</t>
  </si>
  <si>
    <t>comprado a mapfre 7/8/18</t>
  </si>
  <si>
    <t>TOMITA DAVID</t>
  </si>
  <si>
    <t>Y-0026148-B</t>
  </si>
  <si>
    <t>CARMEN AJENJO BARCENAS</t>
  </si>
  <si>
    <t>11837731-E</t>
  </si>
  <si>
    <t>2731-FZF</t>
  </si>
  <si>
    <t>MARIA NEREIDA CANO GUARDIOLA</t>
  </si>
  <si>
    <t>50847566-V</t>
  </si>
  <si>
    <t>9388-DTD</t>
  </si>
  <si>
    <t>ALBERTO SEBASTIAN GALVAN</t>
  </si>
  <si>
    <t>51374555-F</t>
  </si>
  <si>
    <t>0663-FWD</t>
  </si>
  <si>
    <t>IRENE SAEZ ALONSO</t>
  </si>
  <si>
    <t>50876739-A</t>
  </si>
  <si>
    <t>9433-HTG</t>
  </si>
  <si>
    <t>INMACULADA MEGIAS REQUENA</t>
  </si>
  <si>
    <t>75069756-X</t>
  </si>
  <si>
    <t>comprado a maria nereida cano 9/8/18</t>
  </si>
  <si>
    <t>MARIA DEL CARMEN GIL PAGAN</t>
  </si>
  <si>
    <t>22481486-K</t>
  </si>
  <si>
    <t>comprado a irene saez 8/10/18</t>
  </si>
  <si>
    <t>SOUFIAN ERRAZZOUKI</t>
  </si>
  <si>
    <t>X9838552-V</t>
  </si>
  <si>
    <t>comprado a alberto sebastian 6/7/2018</t>
  </si>
  <si>
    <t>TF bankia 31/1/18(2900 (2546+354gestoria)</t>
  </si>
  <si>
    <t>tf. Bankia 14/6/18</t>
  </si>
  <si>
    <t>Isi</t>
  </si>
  <si>
    <t>tf bankia 8/6/18 19000€</t>
  </si>
  <si>
    <t>tf. Bankia 7200 €(4872-frg 5790-fln)</t>
  </si>
  <si>
    <t>tf. Bankia 16/5/18</t>
  </si>
  <si>
    <t>tf. Bankia 29/10/18 4500 €</t>
  </si>
  <si>
    <t>ingreso sabadel 6/2/18</t>
  </si>
  <si>
    <t>ingreso sabadel 27/4/18</t>
  </si>
  <si>
    <t>Tfsabadel 29/1/18(9000 (8646+354 gestoria)</t>
  </si>
  <si>
    <t>TF. Sabadel 27/2/18(7946+354gestoria)</t>
  </si>
  <si>
    <t>tf bankia 28/6/18 4000€ Y sabadel 28/6/18 1500€</t>
  </si>
  <si>
    <t>JOSE MANUEL INCHAUSTI PER</t>
  </si>
  <si>
    <t>TF sab 15500€ 28/3/18</t>
  </si>
  <si>
    <t>tf. Sab. 3/8/2018</t>
  </si>
  <si>
    <t>tf. Sab. 25/4/18</t>
  </si>
  <si>
    <t>tf. Sab. 17/1/18</t>
  </si>
  <si>
    <t>tf.sab.31/5/18</t>
  </si>
  <si>
    <t>ANTONIO PRIETO GABRIEL</t>
  </si>
  <si>
    <t>tf.sab.30/5/18-4/6/18</t>
  </si>
  <si>
    <t>tf. Sara mazarracin 30/1/2018</t>
  </si>
  <si>
    <t>tf. Sab 20/12/18</t>
  </si>
  <si>
    <t>tf.sab. 20/2/18</t>
  </si>
  <si>
    <t>tf.luis fernando herreruela sabadel 15/2/18</t>
  </si>
  <si>
    <t>tf. Sab. 20/2/18</t>
  </si>
  <si>
    <t>Tf. Sab. 6/8/18</t>
  </si>
  <si>
    <t>tf. Sab. Financiera santander5910€(5000 coche 910 comision)</t>
  </si>
  <si>
    <t>tf.sab11/5/18(300€),sab.16/5/18 (2700€), TF.SAB 15/5/18(8239€--539€ DE COMISION)</t>
  </si>
  <si>
    <t>ing. En pop.antonio gonzalez 3000€ 2/7/18</t>
  </si>
  <si>
    <t>tf.sab. Financiera Santander 20/7/18- ing.cheque popular 23/7/18(5995€) resto comision</t>
  </si>
  <si>
    <t>ing.popular 11/9/18 2000€</t>
  </si>
  <si>
    <t>tf.pop.1/10/18 britcars</t>
  </si>
  <si>
    <t>tf.pop 5/11/18 8000€</t>
  </si>
  <si>
    <t>compensacion con facturas taller</t>
  </si>
  <si>
    <t>BRIT CARS HANGAR, S.L.</t>
  </si>
  <si>
    <t>tf. 6/7/18 4000€</t>
  </si>
  <si>
    <t>0750-GGX</t>
  </si>
  <si>
    <t>tf. Caixa 17/12/18</t>
  </si>
  <si>
    <t>tf.caixa 10/8/18</t>
  </si>
  <si>
    <t>TF.CAIXA 14/8/18</t>
  </si>
  <si>
    <t>TF.CAIXA 3/12/18</t>
  </si>
  <si>
    <t>tf.caixa  9/5/2018</t>
  </si>
  <si>
    <t>tf.caixa 4/6/18</t>
  </si>
  <si>
    <t>tf.caixa 14/3/18</t>
  </si>
  <si>
    <t>tf.caixa 4300€ 26/10/18</t>
  </si>
  <si>
    <t>tf.caixa 11/7/18</t>
  </si>
  <si>
    <t>tf.caixa 22/10/18</t>
  </si>
  <si>
    <t>tf. Caixa 8/10/18</t>
  </si>
  <si>
    <t>ingreso caixa 2/4/18</t>
  </si>
  <si>
    <t>tf. Caixa 9/5/18</t>
  </si>
  <si>
    <t>tf.caixa 26/10/18 4500€</t>
  </si>
  <si>
    <t>tf.caixa 2/2/18</t>
  </si>
  <si>
    <t>tf.caixa 12/9/18</t>
  </si>
  <si>
    <t>BLANCA GARAYALDE SOSA</t>
  </si>
  <si>
    <t>TF.CAIXA 22/11/18 /(JESUS MARTINEZ DOMINGUE)</t>
  </si>
  <si>
    <t>tf.caixa 29/6/18</t>
  </si>
  <si>
    <t>comprado a mapfre 8/6/18</t>
  </si>
  <si>
    <t>tf.caixa 5/10/18</t>
  </si>
  <si>
    <t>comprado a audi retail 28/2/18</t>
  </si>
  <si>
    <t>tf. Caixa 4/12/18</t>
  </si>
  <si>
    <t>tf. Caixa 9/8/18</t>
  </si>
  <si>
    <t>tf. Caixa 6/2/18</t>
  </si>
  <si>
    <t>tf caixa 4/5/18</t>
  </si>
  <si>
    <t>TF. CAIXA 4/7/18</t>
  </si>
  <si>
    <t>tf. Caixa 10/10/18</t>
  </si>
  <si>
    <t>tf.caixa 30/10/18</t>
  </si>
  <si>
    <t>tf. Caixa 22/11/18</t>
  </si>
  <si>
    <t>tf.bankia  8/6/18</t>
  </si>
  <si>
    <t>tf. Caixa 4/9/18</t>
  </si>
  <si>
    <t>VVOR18-93</t>
  </si>
  <si>
    <t>4t 2018</t>
  </si>
  <si>
    <t>05260549-N</t>
  </si>
  <si>
    <t>3415-JHB</t>
  </si>
  <si>
    <t>tf. Sabadel 21/12/18 10000€-resto efectivo</t>
  </si>
  <si>
    <t>RB/  45  /2019</t>
  </si>
  <si>
    <t>SUZUKI IGNIS</t>
  </si>
  <si>
    <t>7400-CNZ</t>
  </si>
  <si>
    <t>RB/  46  /2019</t>
  </si>
  <si>
    <t>RENAULT MEGANE SEDAN</t>
  </si>
  <si>
    <t>9943-CXX</t>
  </si>
  <si>
    <t>RB/  47  /2019</t>
  </si>
  <si>
    <t>0949-DZS</t>
  </si>
  <si>
    <t>RB/ 26   /2019</t>
  </si>
  <si>
    <t>8953-HCP</t>
  </si>
  <si>
    <t>RB/   8 /2019</t>
  </si>
  <si>
    <t>1056-JJF</t>
  </si>
  <si>
    <t>RB/   10 /2019</t>
  </si>
  <si>
    <t>RENAULT CAPTUR</t>
  </si>
  <si>
    <t>2966-HYN</t>
  </si>
  <si>
    <t>RB/ 28   /2019</t>
  </si>
  <si>
    <t>CITROEN DS4</t>
  </si>
  <si>
    <t>3404-HWL</t>
  </si>
  <si>
    <t>RB/   24 /2019</t>
  </si>
  <si>
    <t>4292-JFM</t>
  </si>
  <si>
    <t>RB/  25  /2019</t>
  </si>
  <si>
    <t xml:space="preserve">RENAULT MEGANE   </t>
  </si>
  <si>
    <t>0780-JRD</t>
  </si>
  <si>
    <t>RB/  42  /2019</t>
  </si>
  <si>
    <t>DACIA LODGY</t>
  </si>
  <si>
    <t>6761-KMT</t>
  </si>
  <si>
    <t>RB/ 5   /2019</t>
  </si>
  <si>
    <t>0822-FHS</t>
  </si>
  <si>
    <t>OSCAR PATRICIO CENAMOR GONZALEZ</t>
  </si>
  <si>
    <t>50226677-J</t>
  </si>
  <si>
    <t>VENDIDO 2019</t>
  </si>
  <si>
    <t>comprado a motorsan 24/1/18</t>
  </si>
  <si>
    <t>JOSE MARIA GALLARDO BARQUIN</t>
  </si>
  <si>
    <t>44968023-X</t>
  </si>
  <si>
    <t>SARA YABEN BADOS</t>
  </si>
  <si>
    <t>73135993-H</t>
  </si>
  <si>
    <t>comprado a jose manuel inchausti 21/12/2018</t>
  </si>
  <si>
    <t>JOSE LUIS ROJAS TRUJILLO</t>
  </si>
  <si>
    <t>47455548-Q</t>
  </si>
  <si>
    <t>JEISYANI DE SOUZA SOARES</t>
  </si>
  <si>
    <t>Y4873511-D</t>
  </si>
  <si>
    <t>comprado a mapfre 02/8/18</t>
  </si>
  <si>
    <t>04208827-B</t>
  </si>
  <si>
    <t>comprado a mapfre 15/10/18</t>
  </si>
  <si>
    <t>comprado a mapfre 27/11/17</t>
  </si>
  <si>
    <t>LOZANTO VILLARES, S.L.</t>
  </si>
  <si>
    <t>B56094402</t>
  </si>
  <si>
    <t>RUBEN ZARATE PURAS</t>
  </si>
  <si>
    <t>71347474-W</t>
  </si>
  <si>
    <t>comprado a mapfre 24/5/18</t>
  </si>
  <si>
    <t>comprado a mapfre 21/2/19</t>
  </si>
  <si>
    <t>NAJIB JBARI</t>
  </si>
  <si>
    <t>X9512598-M</t>
  </si>
  <si>
    <t>comprado a carmen ajenjo 14/8/18</t>
  </si>
  <si>
    <t>SANDRA ANTON RIOBOO</t>
  </si>
  <si>
    <t>51086013-T</t>
  </si>
  <si>
    <t>comprado a mapfre 18/12/18</t>
  </si>
  <si>
    <t>comprado a motorsan 10/12/18</t>
  </si>
  <si>
    <t>AUTOCARSION SLU</t>
  </si>
  <si>
    <t>comprado a arturo porawski 10/8/18</t>
  </si>
  <si>
    <t>MIHAI MARCU</t>
  </si>
  <si>
    <t>X6054671-J</t>
  </si>
  <si>
    <t>comprado a mapfre 14/12/18</t>
  </si>
  <si>
    <t>comprado a mapfre 29/1/19</t>
  </si>
  <si>
    <t>DAVID GONZALEZ PEREZ</t>
  </si>
  <si>
    <t>50721963-V</t>
  </si>
  <si>
    <t>FORD GALAXY</t>
  </si>
  <si>
    <t>3754-DPC</t>
  </si>
  <si>
    <t>CLAUDIA CHACON CAPDEVILLE</t>
  </si>
  <si>
    <t>Y1026268-E</t>
  </si>
  <si>
    <t>comprado a david gonzalez 12/12/18</t>
  </si>
  <si>
    <t>comprado a motorsan 17/12/18</t>
  </si>
  <si>
    <t>PEDRO RAFAEL VALLES DEL CAMPO</t>
  </si>
  <si>
    <t>06228287-W</t>
  </si>
  <si>
    <t>M-1656-YZ</t>
  </si>
  <si>
    <t>vehiculo para desguace</t>
  </si>
  <si>
    <t>RECICLADOS AUTO4, S.L.</t>
  </si>
  <si>
    <t>B40243719</t>
  </si>
  <si>
    <t>comprado a pedro rafael valles 1/12/2017</t>
  </si>
  <si>
    <t>1T 2019</t>
  </si>
  <si>
    <t>RB / 65/ 2019</t>
  </si>
  <si>
    <t>CITROEN DS DS5</t>
  </si>
  <si>
    <t>1033-JFF</t>
  </si>
  <si>
    <t>RB/63/2019</t>
  </si>
  <si>
    <t>RENAULT MEGANE 5T</t>
  </si>
  <si>
    <t>1145-JHM</t>
  </si>
  <si>
    <t>RB/61/2019</t>
  </si>
  <si>
    <t>1109-HMV</t>
  </si>
  <si>
    <t>RB/54/2019</t>
  </si>
  <si>
    <t>5551-CGP</t>
  </si>
  <si>
    <t>EUROPCAR IB, S.A.</t>
  </si>
  <si>
    <t>A28364412</t>
  </si>
  <si>
    <t>OPEL MERIVA</t>
  </si>
  <si>
    <t>7308-JPH</t>
  </si>
  <si>
    <t>19--465</t>
  </si>
  <si>
    <t>VG1900051</t>
  </si>
  <si>
    <t>BUSTILLO AUT. GUADALAJARA, S.L.</t>
  </si>
  <si>
    <t>B19314830</t>
  </si>
  <si>
    <t>9638-FGC</t>
  </si>
  <si>
    <t>VG1900126</t>
  </si>
  <si>
    <t>9775-CZS</t>
  </si>
  <si>
    <t>SECUARITIFLEET, S.L.</t>
  </si>
  <si>
    <t>B83382549</t>
  </si>
  <si>
    <t>OPEL MOKKA</t>
  </si>
  <si>
    <t>7919-JZM</t>
  </si>
  <si>
    <t>8281-JRP</t>
  </si>
  <si>
    <t>MARIA BEGOÑA ALVAREZ PEÑA</t>
  </si>
  <si>
    <t>05655881-C</t>
  </si>
  <si>
    <t>2502-HBH</t>
  </si>
  <si>
    <t>CARLOS A RAMONDE CASTRO</t>
  </si>
  <si>
    <t>51617523-A</t>
  </si>
  <si>
    <t>0730-GRL</t>
  </si>
  <si>
    <t>JOAN ANTONI CUSCO PALLARES</t>
  </si>
  <si>
    <t>46976572-S</t>
  </si>
  <si>
    <t>4730-GCW</t>
  </si>
  <si>
    <t>VE1900006</t>
  </si>
  <si>
    <t>6833-CTJ</t>
  </si>
  <si>
    <t>RB/41/2019</t>
  </si>
  <si>
    <t>DACIA DOKKER</t>
  </si>
  <si>
    <t>4361-HST</t>
  </si>
  <si>
    <t>00384510-I</t>
  </si>
  <si>
    <t>comprado a mapfre 3/12/18</t>
  </si>
  <si>
    <t>comprado a motorsan 29/3/19</t>
  </si>
  <si>
    <t>MIRYAM MARIBEL CATAGÑA ACHI</t>
  </si>
  <si>
    <t>54401520-B</t>
  </si>
  <si>
    <t>comprado a mapfre 20/3/19</t>
  </si>
  <si>
    <t>ASIER ABASOLO LARRAÑAGA</t>
  </si>
  <si>
    <t>15385636-Q</t>
  </si>
  <si>
    <t>B87802112</t>
  </si>
  <si>
    <t>comprado a maria begoña alvarez 7/3/19</t>
  </si>
  <si>
    <t>FLORINA SAVA</t>
  </si>
  <si>
    <t>X9133334-B</t>
  </si>
  <si>
    <t>comprado a 21/2/19</t>
  </si>
  <si>
    <t>AUREL MOCANU</t>
  </si>
  <si>
    <t>Y-0776093-H</t>
  </si>
  <si>
    <t>comprado a mapfre 26/3/19</t>
  </si>
  <si>
    <t>comprado a carlos a ramonde 30/5/19</t>
  </si>
  <si>
    <t>RENAULT</t>
  </si>
  <si>
    <t>6500-FLM</t>
  </si>
  <si>
    <t>JOSE MARIA BACHILLER CANAL</t>
  </si>
  <si>
    <t>53412827-L</t>
  </si>
  <si>
    <t>comprado a maria luisa viedo 26/2/19</t>
  </si>
  <si>
    <t>2T 2019</t>
  </si>
  <si>
    <t>MARIA DEL CARMEN CASERO SANCHEZ</t>
  </si>
  <si>
    <t>09320902-Z</t>
  </si>
  <si>
    <t>3536-CHJ</t>
  </si>
  <si>
    <t>comprado a maria del carmen casero 11/5/2019</t>
  </si>
  <si>
    <t>MARIA LUISA VICEDO ZAPATERO</t>
  </si>
  <si>
    <t>01200359N</t>
  </si>
  <si>
    <t>2t 2019</t>
  </si>
  <si>
    <t>31201919500000</t>
  </si>
  <si>
    <t>A28141935</t>
  </si>
  <si>
    <t>BMW 530</t>
  </si>
  <si>
    <t>0660-GYL</t>
  </si>
  <si>
    <t>31201919900186</t>
  </si>
  <si>
    <t>6331-GJY</t>
  </si>
  <si>
    <t>E/80/2019</t>
  </si>
  <si>
    <t>B19135151</t>
  </si>
  <si>
    <t>TOYOTA RAV 4</t>
  </si>
  <si>
    <t>9197-HPG</t>
  </si>
  <si>
    <t>ZDZISLAW BIES</t>
  </si>
  <si>
    <t>X2654348X</t>
  </si>
  <si>
    <t>comprado a mapfre 28/1/19</t>
  </si>
  <si>
    <t>comprado a mapfre 22/1/19</t>
  </si>
  <si>
    <t>JOSE MANUEL MINGUIJON JUANA</t>
  </si>
  <si>
    <t>17444105-P</t>
  </si>
  <si>
    <t>comprado a bustillo 27/5/19</t>
  </si>
  <si>
    <t>SANTIAGO GARCIA BAUTISTA</t>
  </si>
  <si>
    <t>40336123-B</t>
  </si>
  <si>
    <t>comprado a joan antoni 14/6/19</t>
  </si>
  <si>
    <t>TEODOR EUGEN NICHITA BORZA</t>
  </si>
  <si>
    <t>06325171-X</t>
  </si>
  <si>
    <t>comprado a santon oliva 5/7/2019</t>
  </si>
  <si>
    <t>19034-A</t>
  </si>
  <si>
    <t>FRANCISCO FERMIN NAVARRETE</t>
  </si>
  <si>
    <t>46925722-H</t>
  </si>
  <si>
    <t>comprado a bustill 23/5/19</t>
  </si>
  <si>
    <t>MANUEL JARA ARROYO</t>
  </si>
  <si>
    <t>29707969-L</t>
  </si>
  <si>
    <t>comprado a mapfre 31/7/2019</t>
  </si>
  <si>
    <t>RB/109/2019</t>
  </si>
  <si>
    <t>3845-FCM</t>
  </si>
  <si>
    <t>RB/105/2019</t>
  </si>
  <si>
    <t>8601-GZG</t>
  </si>
  <si>
    <t>RB/96/2019</t>
  </si>
  <si>
    <t>5566-GDN</t>
  </si>
  <si>
    <t>RB/94/2019</t>
  </si>
  <si>
    <t>PORCHE CAYENNE</t>
  </si>
  <si>
    <t>3798-FVK</t>
  </si>
  <si>
    <t>RB/90/2019</t>
  </si>
  <si>
    <t>9796-KDV</t>
  </si>
  <si>
    <t>3120191MA9900331</t>
  </si>
  <si>
    <t>A08055741</t>
  </si>
  <si>
    <t>MAPFRE (OJO HAY 3 MAPFRES DISTINTO CIF)</t>
  </si>
  <si>
    <t xml:space="preserve">CITROEN JUMPER  </t>
  </si>
  <si>
    <t>8703-JHG</t>
  </si>
  <si>
    <t>NW-31</t>
  </si>
  <si>
    <t>comprado a mapfre 3/5/2019</t>
  </si>
  <si>
    <t xml:space="preserve">OJO SE DEVUELVE. Nos han hecho ingreso en banco pero falta el abono. </t>
  </si>
  <si>
    <t>3T 2019</t>
  </si>
  <si>
    <t>RB/123/2016</t>
  </si>
  <si>
    <t>MERCEDES BENZ CLS 350</t>
  </si>
  <si>
    <t>2249-FDX</t>
  </si>
  <si>
    <t>RB/164/2019</t>
  </si>
  <si>
    <t>YAMAHA X MAX</t>
  </si>
  <si>
    <t>7017JNS</t>
  </si>
  <si>
    <t>RB/151/2019</t>
  </si>
  <si>
    <t>MINI COUNTRYMAN</t>
  </si>
  <si>
    <t>9749-JHZ</t>
  </si>
  <si>
    <t>RB/114/2019</t>
  </si>
  <si>
    <t>5486-FDN</t>
  </si>
  <si>
    <t>RB/143/2019</t>
  </si>
  <si>
    <t>RENAULT GRAND SCENIC</t>
  </si>
  <si>
    <t>8889-FMX</t>
  </si>
  <si>
    <t>RB/132/2019</t>
  </si>
  <si>
    <t>DACIA SANDERO</t>
  </si>
  <si>
    <t>8724-KRB</t>
  </si>
  <si>
    <t>RB/131/2019</t>
  </si>
  <si>
    <t>5492-FLP</t>
  </si>
  <si>
    <t>RB/148/2019</t>
  </si>
  <si>
    <t>BMW SERIE 5</t>
  </si>
  <si>
    <t>6383-GLL</t>
  </si>
  <si>
    <t>RBA/5/2019</t>
  </si>
  <si>
    <t>31201919900225</t>
  </si>
  <si>
    <t>8627-HKJ</t>
  </si>
  <si>
    <t>E/84/2019</t>
  </si>
  <si>
    <t>SANTÓN OLIVA, S.L.</t>
  </si>
  <si>
    <t>1472-HRS</t>
  </si>
  <si>
    <t>GUARANTYCAR, S.A.U.</t>
  </si>
  <si>
    <t>RE0110735</t>
  </si>
  <si>
    <t>A81780694</t>
  </si>
  <si>
    <t>HONDA ACCORD SEDAN</t>
  </si>
  <si>
    <t>2071-HGW</t>
  </si>
  <si>
    <t>RE0110734</t>
  </si>
  <si>
    <t>2249-HZX</t>
  </si>
  <si>
    <t>6711-HYM</t>
  </si>
  <si>
    <t>RE0110651</t>
  </si>
  <si>
    <t>TOYOTA VERSO</t>
  </si>
  <si>
    <t>1930-HMF</t>
  </si>
  <si>
    <t>SSANGYONG RODIUS</t>
  </si>
  <si>
    <t>2726-GTS</t>
  </si>
  <si>
    <t>VE1900035</t>
  </si>
  <si>
    <t>VE1900026</t>
  </si>
  <si>
    <t>6600-CCL</t>
  </si>
  <si>
    <t>CESAR CATAGÑA LLULLUNA</t>
  </si>
  <si>
    <t>X5207962-A</t>
  </si>
  <si>
    <t>comprado a santon oliva 5/8/2019</t>
  </si>
  <si>
    <t>KUMAK MACHINE TOOLS, S.L.</t>
  </si>
  <si>
    <t>B40582892</t>
  </si>
  <si>
    <t>comprado a mapfre 10/9/2019</t>
  </si>
  <si>
    <t>JUSTO ALVAREZ OCAMPOS</t>
  </si>
  <si>
    <t>07394994-B</t>
  </si>
  <si>
    <t>comprado a europcar ib 23/5/2019</t>
  </si>
  <si>
    <t>comprado a motorsan 27/9/2019</t>
  </si>
  <si>
    <t>comprado a mapfre 3/12/2018</t>
  </si>
  <si>
    <t>TRIP CORNEL</t>
  </si>
  <si>
    <t>X3415784-P</t>
  </si>
  <si>
    <t>LUCIO PAREDES GARCIA</t>
  </si>
  <si>
    <t>70040718-Z</t>
  </si>
  <si>
    <t>comprado a europcar ib 9/5/2019</t>
  </si>
  <si>
    <t>BMW</t>
  </si>
  <si>
    <t>8907-CZZ</t>
  </si>
  <si>
    <t>comprado a manuel jara 16/9/2019</t>
  </si>
  <si>
    <t>comprado a mapfre 1/8/2019</t>
  </si>
  <si>
    <t>PARA</t>
  </si>
  <si>
    <t>MAYQUEL MARTIN LEON</t>
  </si>
  <si>
    <t>04208827B</t>
  </si>
  <si>
    <t>9090-FHX</t>
  </si>
  <si>
    <t>comprado a mayquel martin 22/3/2019</t>
  </si>
  <si>
    <t>4t 2019</t>
  </si>
  <si>
    <t>TF BANKIA 22/2/19</t>
  </si>
  <si>
    <t>TF bankia 2/8/2019</t>
  </si>
  <si>
    <t>tf bankia 11/9/2019</t>
  </si>
  <si>
    <t>tf bankia 10/10/2019</t>
  </si>
  <si>
    <t>tf bankia 14/12/19</t>
  </si>
  <si>
    <t>tf bankia 16/2/2019</t>
  </si>
  <si>
    <t>tf bankia 1/7/2019</t>
  </si>
  <si>
    <t>tf 24/5/19 caixa ( a garbu motor)</t>
  </si>
  <si>
    <t>tf. Caixa 28/8/19+</t>
  </si>
  <si>
    <t>AUTOCASION CORBALAN OÑA</t>
  </si>
  <si>
    <t>tf sabadel 24/1/2019</t>
  </si>
  <si>
    <t>tf sabadel 29/1/2019</t>
  </si>
  <si>
    <t>ingreso sabadel 1/3/19</t>
  </si>
  <si>
    <t>tf sabadel 28/2/19(de santander consumer)</t>
  </si>
  <si>
    <t>ingreso sabadel 11/3/2019</t>
  </si>
  <si>
    <t>tf sabadel 27/3/19</t>
  </si>
  <si>
    <t>tf sabadel 15/4/2019</t>
  </si>
  <si>
    <t>tf sabadel 6/5/19</t>
  </si>
  <si>
    <t>tf. sabadel 2/5/19 (de santander consumer)</t>
  </si>
  <si>
    <t>tf. sabadel 11/5/2019 (de santander consumer)</t>
  </si>
  <si>
    <t>tf.sabadel 22/5/19</t>
  </si>
  <si>
    <t>tf sabadel 23/5/2019</t>
  </si>
  <si>
    <t>TF.sabadel 23/5/2019</t>
  </si>
  <si>
    <t>ingreso sabadel 4/6/2019</t>
  </si>
  <si>
    <t>tf. sabadel 21/6/19</t>
  </si>
  <si>
    <t>tf sabadel 22/7/19</t>
  </si>
  <si>
    <t>tf sabadel 17/9/19</t>
  </si>
  <si>
    <t>tf sabadel 9/7/2019</t>
  </si>
  <si>
    <t>tf sabadel 12/8/19</t>
  </si>
  <si>
    <t>tf. sabadel 6/11/19</t>
  </si>
  <si>
    <t>tf. sabadel 5/11/19</t>
  </si>
  <si>
    <t>tf sabadel 23/10/19</t>
  </si>
  <si>
    <t>TF sabadel 19/11/19</t>
  </si>
  <si>
    <t>tf sabadel 3/12/2019</t>
  </si>
  <si>
    <t>ingreso cheque santander 15/07/2019</t>
  </si>
  <si>
    <t>ingreso cheque santander 28/1/19</t>
  </si>
  <si>
    <t>ingreso cheque santander 28/1/2019</t>
  </si>
  <si>
    <t>tf. Santander 1/10/19</t>
  </si>
  <si>
    <t>tf santander 4/7/2019</t>
  </si>
  <si>
    <t>tf. Santander 10/7/19</t>
  </si>
  <si>
    <t>tf.santander 11/7/2019</t>
  </si>
  <si>
    <t xml:space="preserve">tf. Santander 3/6/19 </t>
  </si>
  <si>
    <t>tf. 27/5/19 santander + comision</t>
  </si>
  <si>
    <t>tf. Santander 2/9/19 + comisiones santander consumer</t>
  </si>
  <si>
    <t>tf caixa 7/3/19</t>
  </si>
  <si>
    <t>tf caixa 14/6/19</t>
  </si>
  <si>
    <t>tf caixa 29/3/19</t>
  </si>
  <si>
    <t>tf caixa 1/10/19</t>
  </si>
  <si>
    <t>tf caixa</t>
  </si>
  <si>
    <t>tf. 6/10/19</t>
  </si>
  <si>
    <t>tf caixa 11/5/19 + efectivo</t>
  </si>
  <si>
    <t>tf. Caixa 30/5/19</t>
  </si>
  <si>
    <t>tf. Caixa 2/8/19</t>
  </si>
  <si>
    <t>tf. Caixa 2/8/219</t>
  </si>
  <si>
    <t xml:space="preserve">tf caixa </t>
  </si>
  <si>
    <t>tf santander 2/8/2019</t>
  </si>
  <si>
    <t>tf. 5/1/19 caixa</t>
  </si>
  <si>
    <t>tf. Caixa 7/3/2019</t>
  </si>
  <si>
    <t>tf. 1/8/2019</t>
  </si>
  <si>
    <t>tf. 20/9/19</t>
  </si>
  <si>
    <t>tf.22-23-24/03 2019 Caixa.</t>
  </si>
  <si>
    <t>tf. Caixa</t>
  </si>
  <si>
    <t>tf. Caixa 25/11/19</t>
  </si>
  <si>
    <t>tf. Caixa 22/1/19</t>
  </si>
  <si>
    <t>tf. Caixa 25/3/19</t>
  </si>
  <si>
    <t>tf. Caixa 8/3/19</t>
  </si>
  <si>
    <t>tf. Caixa 16/6/19</t>
  </si>
  <si>
    <t>SOFIA BEATRIZ DURAN PAZ</t>
  </si>
  <si>
    <t>32688041-G</t>
  </si>
  <si>
    <t>7507-HVG</t>
  </si>
  <si>
    <t>RB/39/2020</t>
  </si>
  <si>
    <t>0841-HSY</t>
  </si>
  <si>
    <t>RB/21/2020</t>
  </si>
  <si>
    <t>TOYOTA RAV-4</t>
  </si>
  <si>
    <t>3683-JTB</t>
  </si>
  <si>
    <t>RB/11/2020</t>
  </si>
  <si>
    <t>KYMCO SUPERDINK 125</t>
  </si>
  <si>
    <t>4661-HLP</t>
  </si>
  <si>
    <t>RB/13/2020</t>
  </si>
  <si>
    <t>HONDA MOTOS SH</t>
  </si>
  <si>
    <t>5534-KBR</t>
  </si>
  <si>
    <t>RB/16/2020</t>
  </si>
  <si>
    <t>8090-KXK</t>
  </si>
  <si>
    <t>RB/7/2020</t>
  </si>
  <si>
    <t>8183JPW</t>
  </si>
  <si>
    <t>RB/8/2020</t>
  </si>
  <si>
    <t>8233HWG</t>
  </si>
  <si>
    <t>RB/12/2020</t>
  </si>
  <si>
    <t>PIAGGIO VESPA</t>
  </si>
  <si>
    <t>9414-JZT</t>
  </si>
  <si>
    <t>ALBERTO CABALLERO OLIVA</t>
  </si>
  <si>
    <t>VENDIDO 2020</t>
  </si>
  <si>
    <t>comprado a mapfre 5/11/19</t>
  </si>
  <si>
    <t>DAVID ASENJO RODRIGUEZ</t>
  </si>
  <si>
    <t>05276858-Z</t>
  </si>
  <si>
    <t>comprado a guarantycar 3/10/19</t>
  </si>
  <si>
    <t>jonatan jambrina marcos</t>
  </si>
  <si>
    <t>45685292-R</t>
  </si>
  <si>
    <t>comprado a mapfre 4/10/19</t>
  </si>
  <si>
    <t>comprado a mapfre 10/4/19</t>
  </si>
  <si>
    <t>RUBEN ARRANZ GARCIA</t>
  </si>
  <si>
    <t>71147103F</t>
  </si>
  <si>
    <t>KOOXDA, S.L.</t>
  </si>
  <si>
    <t>B88298583</t>
  </si>
  <si>
    <t>comprado a mapfre 16/12/2019</t>
  </si>
  <si>
    <t>comprado a mapfre 21/2/2019</t>
  </si>
  <si>
    <t>DIEGO CACERES DEL CASTILLO</t>
  </si>
  <si>
    <t>09045617-Q</t>
  </si>
  <si>
    <t>comprado a mapfre 4/11/19</t>
  </si>
  <si>
    <t>IGOR GARCIA GOMEZ</t>
  </si>
  <si>
    <t>comprado a mapfre 29/4/19</t>
  </si>
  <si>
    <t>52995284-H</t>
  </si>
  <si>
    <t>comprado a mapfre 13/9/19</t>
  </si>
  <si>
    <t>AUTOCARSION 18, S.L.U.</t>
  </si>
  <si>
    <t>comprado a raul villaroro 5/11/19</t>
  </si>
  <si>
    <t>7394994-B</t>
  </si>
  <si>
    <t>M9757VG</t>
  </si>
  <si>
    <t>comprado a justo alvarez 24/10/19</t>
  </si>
  <si>
    <t>ingreso sabadel 23/1/20</t>
  </si>
  <si>
    <t>ingreso sabadell 16/01/20</t>
  </si>
  <si>
    <t>MARIA ISABEL PEREZ CHANEZ</t>
  </si>
  <si>
    <t>50835031V</t>
  </si>
  <si>
    <t>MARIA SUSANA ANEIROS FORTUNA</t>
  </si>
  <si>
    <t>50841786X</t>
  </si>
  <si>
    <t>comprado a maria isabel perez 17/2/2020</t>
  </si>
  <si>
    <t>2020 1T</t>
  </si>
  <si>
    <t>RB/66/2020</t>
  </si>
  <si>
    <t>MAPFRE Automoción S.A.</t>
  </si>
  <si>
    <t>YAMAHA SCOOTER</t>
  </si>
  <si>
    <t>3154-JNZ</t>
  </si>
  <si>
    <t>9465-KMS</t>
  </si>
  <si>
    <t>RB/58/2020</t>
  </si>
  <si>
    <t>7132-KNX</t>
  </si>
  <si>
    <t>RB/61/2020</t>
  </si>
  <si>
    <t>7762-KCY</t>
  </si>
  <si>
    <t>RB/62/2020</t>
  </si>
  <si>
    <t>YAMAHA D´LIGHT</t>
  </si>
  <si>
    <t>8991-JVX</t>
  </si>
  <si>
    <t>RB/57/2020</t>
  </si>
  <si>
    <t>1108-HHV</t>
  </si>
  <si>
    <t>RB/54/2020</t>
  </si>
  <si>
    <t>HONDA MOTOS</t>
  </si>
  <si>
    <t>2945-JWW</t>
  </si>
  <si>
    <t>RB/55/2020</t>
  </si>
  <si>
    <t>KEEWAY RKS</t>
  </si>
  <si>
    <t>4569-KDS</t>
  </si>
  <si>
    <t>RB/53/2020</t>
  </si>
  <si>
    <t>4885-JSV</t>
  </si>
  <si>
    <t>RB/56/2020</t>
  </si>
  <si>
    <t>PIAGGIO BEVERLY</t>
  </si>
  <si>
    <t>9508-HLX</t>
  </si>
  <si>
    <t>MARTA MARIA ARGUELLES DE ANDRES</t>
  </si>
  <si>
    <t>05203715-B</t>
  </si>
  <si>
    <t>comprado a mapfre 5/2/20</t>
  </si>
  <si>
    <t>Mª PAZ MARTIN GONZALEZ</t>
  </si>
  <si>
    <t>52986917-T</t>
  </si>
  <si>
    <t>comprado a mapfre 26/11/19</t>
  </si>
  <si>
    <t>comprado a mapfre 22/10/19</t>
  </si>
  <si>
    <t>ALIA GARCIA-GERMAN TRUJEDA</t>
  </si>
  <si>
    <t>51071586-V</t>
  </si>
  <si>
    <t>comprado a mapfre 22/1/20</t>
  </si>
  <si>
    <t>JESUS EMILIANO MOSTAJO BARQUITA</t>
  </si>
  <si>
    <t>51683895-C</t>
  </si>
  <si>
    <t>HONDA LIBERTY</t>
  </si>
  <si>
    <t>5798-HJV</t>
  </si>
  <si>
    <t>ELISA RODRIGUEZ GARCIA</t>
  </si>
  <si>
    <t>44666222-S</t>
  </si>
  <si>
    <t>comprado a jesus emiliano 14/1/20</t>
  </si>
  <si>
    <t>0497-FCR</t>
  </si>
  <si>
    <t>comprado a mª paz martin 5/6/20</t>
  </si>
  <si>
    <t>MªPILAR MARCO POMARES</t>
  </si>
  <si>
    <t>52992274K</t>
  </si>
  <si>
    <t>2020 2T</t>
  </si>
  <si>
    <t>MARCO ANTONIO MARTIN GALLEGO</t>
  </si>
  <si>
    <t>07499268-A</t>
  </si>
  <si>
    <t>5409-JYK</t>
  </si>
  <si>
    <t>RB/70/2020</t>
  </si>
  <si>
    <t>YAMAHA T-MAX</t>
  </si>
  <si>
    <t>1802-HPN</t>
  </si>
  <si>
    <t>RB/103/2020</t>
  </si>
  <si>
    <t>YAMAHA YP</t>
  </si>
  <si>
    <t>3107-GXL</t>
  </si>
  <si>
    <t>RB/68/2020</t>
  </si>
  <si>
    <t>YAMAHA NIGHT MAX</t>
  </si>
  <si>
    <t>4367-FLC</t>
  </si>
  <si>
    <t>RB/76/2020</t>
  </si>
  <si>
    <t>LEXUS RX 450H</t>
  </si>
  <si>
    <t>5149-HMK</t>
  </si>
  <si>
    <t>RB/102/2020</t>
  </si>
  <si>
    <t>VOLKSWAGEN GOLF 1.6</t>
  </si>
  <si>
    <t>5463-LBG</t>
  </si>
  <si>
    <t>RB/100/2020</t>
  </si>
  <si>
    <t>SEAT LEÓN LEON 1.5</t>
  </si>
  <si>
    <t>6335-LFX</t>
  </si>
  <si>
    <t>RB/101/2020</t>
  </si>
  <si>
    <t>SYM SYMPHONY</t>
  </si>
  <si>
    <t>6379-HDJ</t>
  </si>
  <si>
    <t>RB/108/2020</t>
  </si>
  <si>
    <t>6380-HNM</t>
  </si>
  <si>
    <t>RB/96/2020</t>
  </si>
  <si>
    <t>9327-GPG</t>
  </si>
  <si>
    <t>HONDA MOTOS PS</t>
  </si>
  <si>
    <t>BMW 530D</t>
  </si>
  <si>
    <t>6683-GLL</t>
  </si>
  <si>
    <t>comprado a mapfre 21/11/19</t>
  </si>
  <si>
    <t>52994628Y</t>
  </si>
  <si>
    <t>comprado a mapfre 4/3/20</t>
  </si>
  <si>
    <t>comprado a mapfre 19/3/19</t>
  </si>
  <si>
    <t>comprado a mapfre 29/6/20</t>
  </si>
  <si>
    <t>Tamara Cruz Guinea</t>
  </si>
  <si>
    <t>77349453Q</t>
  </si>
  <si>
    <t>comprado a mapfre 15/1/20</t>
  </si>
  <si>
    <t>Antonio Barros Herrera</t>
  </si>
  <si>
    <t>01166635-y</t>
  </si>
  <si>
    <t>Alvaro González Roda</t>
  </si>
  <si>
    <t>50963493-r</t>
  </si>
  <si>
    <t>Javier de diego de Lucas</t>
  </si>
  <si>
    <t>05423238-E</t>
  </si>
  <si>
    <t>comprado a mapfre 24/1/20</t>
  </si>
  <si>
    <t>María Pilar Marco Pomares</t>
  </si>
  <si>
    <t>52992274-k</t>
  </si>
  <si>
    <t>comprado a mapfre 7/7/20</t>
  </si>
  <si>
    <t>María Carmen Sánchez Arias</t>
  </si>
  <si>
    <t>09730175-w</t>
  </si>
  <si>
    <t>SUBARU XV</t>
  </si>
  <si>
    <t>comprado a marco antonio martin 29/6/20</t>
  </si>
  <si>
    <t>María José Gascón García</t>
  </si>
  <si>
    <t>70592186-b</t>
  </si>
  <si>
    <t>José Ramón Martín de Nova</t>
  </si>
  <si>
    <t>05251304-j</t>
  </si>
  <si>
    <t>comprado a mapfre 2/7/20</t>
  </si>
  <si>
    <t>Elena López Moreno</t>
  </si>
  <si>
    <t>50892310A</t>
  </si>
  <si>
    <t>comprado a sofia beatriz duran 29/1/20</t>
  </si>
  <si>
    <t>Rosa Judith Galarza Sanchez</t>
  </si>
  <si>
    <t>02556905-h</t>
  </si>
  <si>
    <t>comprado a guarantycar 30/8/19</t>
  </si>
  <si>
    <t>José Rubén Fernández García</t>
  </si>
  <si>
    <t>53423922-m</t>
  </si>
  <si>
    <t>JOSE CARLOS CARRERA APARICIO</t>
  </si>
  <si>
    <t>00678691F</t>
  </si>
  <si>
    <t>LEXUS CT200</t>
  </si>
  <si>
    <t>0063-HDL</t>
  </si>
  <si>
    <t>AGATINO MANISCALO</t>
  </si>
  <si>
    <t>Y5590607B</t>
  </si>
  <si>
    <t>comprado a jose carlos carrera 12/8/20</t>
  </si>
  <si>
    <t>2020 3T</t>
  </si>
  <si>
    <t>GUSTAVO ADOLFO LOZANO VAZQUEZ</t>
  </si>
  <si>
    <t>02709096-H</t>
  </si>
  <si>
    <t>0833-KRT</t>
  </si>
  <si>
    <t>52994628-Y</t>
  </si>
  <si>
    <t>comprado a mapfre 5/7/2019</t>
  </si>
  <si>
    <t>JUAN JOSE BERRENGUER SELLES</t>
  </si>
  <si>
    <t>48331838-Y</t>
  </si>
  <si>
    <t>comprado a mapfre 28/9/20</t>
  </si>
  <si>
    <t>AFREDO GONZALEZ BARBA</t>
  </si>
  <si>
    <t>10061987-Q</t>
  </si>
  <si>
    <t>comprado a mapfre 28/8/20</t>
  </si>
  <si>
    <t>MARIA PILAR MARCO POMARES</t>
  </si>
  <si>
    <t>comprado a mpafre 28/6/20</t>
  </si>
  <si>
    <t>RB/140/2020</t>
  </si>
  <si>
    <t>MA-0147-CL</t>
  </si>
  <si>
    <t>Fra. 106/2020</t>
  </si>
  <si>
    <t>BMW X6</t>
  </si>
  <si>
    <t>7955-KCN</t>
  </si>
  <si>
    <t>ARIKI - Vehicle Asset ManagemenT, S.L.</t>
  </si>
  <si>
    <t>B66079005</t>
  </si>
  <si>
    <t>8974-GMV</t>
  </si>
  <si>
    <t>RB/134/2020</t>
  </si>
  <si>
    <t>AUDI Q5 2.0</t>
  </si>
  <si>
    <t>RB/124/2020</t>
  </si>
  <si>
    <t>4667-GVM</t>
  </si>
  <si>
    <t>0014-LBL</t>
  </si>
  <si>
    <t>RB/123/2020</t>
  </si>
  <si>
    <t>RB/119/2020</t>
  </si>
  <si>
    <t>VOLKSWAGEN FOX</t>
  </si>
  <si>
    <t>1818-HBH</t>
  </si>
  <si>
    <t>RB/120/2020</t>
  </si>
  <si>
    <t>9478-DSC</t>
  </si>
  <si>
    <t>RB/149/2020</t>
  </si>
  <si>
    <t>5945-FMG</t>
  </si>
  <si>
    <t>JOSE LUIS ALVAREZ MUÑOZ</t>
  </si>
  <si>
    <t>03459030-Z</t>
  </si>
  <si>
    <t>5696-DYL</t>
  </si>
  <si>
    <t>2020 4T</t>
  </si>
  <si>
    <t>VPBV-T20-08965</t>
  </si>
  <si>
    <t>BMW MADRID, S.L.</t>
  </si>
  <si>
    <t>B83901561</t>
  </si>
  <si>
    <t>HONDA CB1000R</t>
  </si>
  <si>
    <t>6489-GJB</t>
  </si>
  <si>
    <t>comprado a mapfre 23/9/20</t>
  </si>
  <si>
    <t xml:space="preserve">tf. Santander 20/7/20 </t>
  </si>
  <si>
    <t>tf. Santander 22/6/20</t>
  </si>
  <si>
    <t>tf. Santander14/7/20</t>
  </si>
  <si>
    <t>tf. Santander 29/1/20</t>
  </si>
  <si>
    <t>ANTONIO CARLOS FERNANDEZ SANCHEZ</t>
  </si>
  <si>
    <t>tf. Santander 28/2/20</t>
  </si>
  <si>
    <t>tf. Santander 12y13/8/20</t>
  </si>
  <si>
    <t>tf. Santander 29/10/20</t>
  </si>
  <si>
    <t>tf. Santander 14/2/20</t>
  </si>
  <si>
    <t>tf. Santander 15/7/20</t>
  </si>
  <si>
    <t>tf. Santander 23y24/7/20</t>
  </si>
  <si>
    <t>tf. Santander 30/7/20 a traves santander consumer</t>
  </si>
  <si>
    <t>tf. Sabadell 11/2/20</t>
  </si>
  <si>
    <t>ingreso sabadell 6/7/2020</t>
  </si>
  <si>
    <t>MAITE MAZA PARRILLA</t>
  </si>
  <si>
    <t>26525055Y</t>
  </si>
  <si>
    <t>tf. Sabadell 17/1/20</t>
  </si>
  <si>
    <t>tf. Sabadell 30/11/20</t>
  </si>
  <si>
    <t>tf. Sabadel 17/1/20</t>
  </si>
  <si>
    <t>tf. Sabadell 16/1/20</t>
  </si>
  <si>
    <t>cheque bankia 31/7/20</t>
  </si>
  <si>
    <t>ingreso bankia 7/9/20</t>
  </si>
  <si>
    <t>tf. Bankia 28/9/20</t>
  </si>
  <si>
    <t>MARIA PILAR LOPEZ PARRILLA</t>
  </si>
  <si>
    <t>50173010-M</t>
  </si>
  <si>
    <t>4243-HSC</t>
  </si>
  <si>
    <t>tf. Bankia 2/12/20</t>
  </si>
  <si>
    <t>tf. Bankia 17/12/19</t>
  </si>
  <si>
    <t>tf. Bankia 22/9/20: +3999+150</t>
  </si>
  <si>
    <t>tf. Bankia 11/9/20</t>
  </si>
  <si>
    <t xml:space="preserve">tf sabadel 16/3/20 señal 300€-tf. Caixa 20700€ 29/5/2020 </t>
  </si>
  <si>
    <t>tf. Caixa 23/10/20</t>
  </si>
  <si>
    <t>TF. CAIXA 1/6/20y4/6/20</t>
  </si>
  <si>
    <t>tf. Caixa 12/8/20 10.999€</t>
  </si>
  <si>
    <t>tf. Caixa 18/9/20 6500 €</t>
  </si>
  <si>
    <t>tf. Caixa 4/3/20</t>
  </si>
  <si>
    <t>tf. Caixa 12/6/20</t>
  </si>
  <si>
    <t>tf. Caixa 4/8/20</t>
  </si>
  <si>
    <t>tf. Caixa 2/1/20</t>
  </si>
  <si>
    <t>tf.caixa 10/6/20</t>
  </si>
  <si>
    <t>tf caixa 13/11/20</t>
  </si>
  <si>
    <t>tf. Caixa 10/1/20</t>
  </si>
  <si>
    <t>tf. Caixa 5/9/20</t>
  </si>
  <si>
    <t>cheque 11/3/20 sabadel 12650 €-tf.caixa 2/3/20- +350€</t>
  </si>
  <si>
    <t>TF. Caixa 29/6/20</t>
  </si>
  <si>
    <t>TF.caixa 17/2/20</t>
  </si>
  <si>
    <t>tf. Caixa 24/7/20</t>
  </si>
  <si>
    <t>tf. Caixa 29/1/20</t>
  </si>
  <si>
    <t>tf. Caixa 23/7/20</t>
  </si>
  <si>
    <t>ok</t>
  </si>
  <si>
    <t>nada</t>
  </si>
  <si>
    <t>pendiente</t>
  </si>
  <si>
    <t>RB/40/2021</t>
  </si>
  <si>
    <t>5545-KTP</t>
  </si>
  <si>
    <t>RB/24/2021</t>
  </si>
  <si>
    <t>0952-KPY</t>
  </si>
  <si>
    <t>MAZDA CX-3</t>
  </si>
  <si>
    <t>3120201MA9901721</t>
  </si>
  <si>
    <t>5731-DSF</t>
  </si>
  <si>
    <t>AUDI</t>
  </si>
  <si>
    <t>RB/7/2021</t>
  </si>
  <si>
    <t>0070-HLT</t>
  </si>
  <si>
    <t>8385HDB</t>
  </si>
  <si>
    <t>VPBV-T20-4223</t>
  </si>
  <si>
    <t>CAROLINA GONZALEZ CAMINO</t>
  </si>
  <si>
    <t>71950902-W</t>
  </si>
  <si>
    <t>comprado a auxibio cabrero 4/1/2021</t>
  </si>
  <si>
    <t>VENDIDO 2021</t>
  </si>
  <si>
    <t>comprado a jose luis alvarez 23/12/20</t>
  </si>
  <si>
    <t>AUTOMOCION JOSE LUIS CARS, S.L.</t>
  </si>
  <si>
    <t>B01887769</t>
  </si>
  <si>
    <t>comprado a mapfre 26/11/20</t>
  </si>
  <si>
    <t>MARC DOS SANTOS VAQUINHAS BLANCO</t>
  </si>
  <si>
    <t>47926790-B</t>
  </si>
  <si>
    <t>comprado a boxes 4/6/19</t>
  </si>
  <si>
    <t>DANIEL VILARES FERRER</t>
  </si>
  <si>
    <t>49019204V</t>
  </si>
  <si>
    <t>SUSANA IGLESIAS DUARTE</t>
  </si>
  <si>
    <t>70983216-H</t>
  </si>
  <si>
    <t>FERNANDO SANCHEZ HUETE</t>
  </si>
  <si>
    <t>50064417-H</t>
  </si>
  <si>
    <t>comprado a mpafre 1/10/20</t>
  </si>
  <si>
    <t>EVA SCHAEFER GRAFE</t>
  </si>
  <si>
    <t>51346370-C</t>
  </si>
  <si>
    <t>3627-FRL</t>
  </si>
  <si>
    <t>comprado a eva schaefer 5/2/21</t>
  </si>
  <si>
    <t>2021 1T</t>
  </si>
  <si>
    <t>02303070-B</t>
  </si>
  <si>
    <t xml:space="preserve">IVAN AYEL ESPINOSA JIMENO </t>
  </si>
  <si>
    <t>comprado a mª pilar lopez 2/12/20</t>
  </si>
  <si>
    <t>ALEJANDRO GOMEZ GARCIA</t>
  </si>
  <si>
    <t>52993376-L</t>
  </si>
  <si>
    <t>comprado a bmw madrid 15/12/20</t>
  </si>
  <si>
    <t>MARTA ALIAGA FERNANDEZ</t>
  </si>
  <si>
    <t>45083680-T</t>
  </si>
  <si>
    <t>comprado a mapfre 15/12/20</t>
  </si>
  <si>
    <t>comprado a motorsan 22/7/19</t>
  </si>
  <si>
    <t>cheque sabadel 1/3/21</t>
  </si>
  <si>
    <t>tf santander 7/1/21</t>
  </si>
  <si>
    <t>tf santander 10/3/21</t>
  </si>
  <si>
    <t>tf santander 3/3/21</t>
  </si>
  <si>
    <t>tf caixa 4/1/21</t>
  </si>
  <si>
    <t>tf caixa 23/3/21</t>
  </si>
  <si>
    <t>tf caixa 2/2/21</t>
  </si>
  <si>
    <t>tf caixa 5/2/21</t>
  </si>
  <si>
    <t>tf caixa 5/1/21</t>
  </si>
  <si>
    <t>tf. Bankia 25/2/21</t>
  </si>
  <si>
    <t>tf. Sabadel 8/3/21</t>
  </si>
  <si>
    <t>tf. Bankia 23/2/21</t>
  </si>
  <si>
    <t>2021 1t</t>
  </si>
  <si>
    <t>SKODA YETI</t>
  </si>
  <si>
    <t>7299-HLD</t>
  </si>
  <si>
    <t>tf caixa 8/2/21</t>
  </si>
  <si>
    <t>RB/52/2021</t>
  </si>
  <si>
    <t>0393-FXH</t>
  </si>
  <si>
    <t>RB/77/2021</t>
  </si>
  <si>
    <t>VOLVO V50</t>
  </si>
  <si>
    <t>RB/73/2021</t>
  </si>
  <si>
    <t>RB/64/2021</t>
  </si>
  <si>
    <t xml:space="preserve">ISMAEL MARTIN SANTIAGO </t>
  </si>
  <si>
    <t>50104263-M</t>
  </si>
  <si>
    <t>comprado a mapfre 2/10/20</t>
  </si>
  <si>
    <t>ALBERTO CUBERO GONZALEZ</t>
  </si>
  <si>
    <t>00265330-W</t>
  </si>
  <si>
    <t>comprado a mapfre 8/3/21</t>
  </si>
  <si>
    <t>VENTAS WEB</t>
  </si>
  <si>
    <t>095</t>
  </si>
  <si>
    <t>096</t>
  </si>
  <si>
    <t>097</t>
  </si>
  <si>
    <t>098</t>
  </si>
  <si>
    <t>099</t>
  </si>
  <si>
    <t>100</t>
  </si>
  <si>
    <t>RAQUEL MARTIN SUAÑEZ</t>
  </si>
  <si>
    <t>Metálico</t>
  </si>
  <si>
    <t>VANESSA CEJUDO</t>
  </si>
  <si>
    <t>TPV Sabadell</t>
  </si>
  <si>
    <t>IVAN GARCIA</t>
  </si>
  <si>
    <t>PATRICIA CAÑADA CONDE</t>
  </si>
  <si>
    <t>INMA Y LOURDES, C.B.</t>
  </si>
  <si>
    <t>E-86370087</t>
  </si>
  <si>
    <t>TF. Sabadell</t>
  </si>
  <si>
    <t>VENTA WEB</t>
  </si>
  <si>
    <t>tf caixa 9/4/21</t>
  </si>
  <si>
    <t>tf bankia 5/5/21</t>
  </si>
  <si>
    <t>tf. Bankia 1/6/21</t>
  </si>
  <si>
    <t>tf. Caixa 16/6/2021</t>
  </si>
  <si>
    <t>tf.caixa 21/1/21</t>
  </si>
  <si>
    <t>tf. Santander 22/1/21</t>
  </si>
  <si>
    <t>JOSUE BLASCO VERNEDAS</t>
  </si>
  <si>
    <t>49219188-Q</t>
  </si>
  <si>
    <t>comprado a gustavo adolfo 28/9/20</t>
  </si>
  <si>
    <t>PEDRO PERDIZ SANCHEZ</t>
  </si>
  <si>
    <t>53409847-Y</t>
  </si>
  <si>
    <t>MERCEDES E320</t>
  </si>
  <si>
    <t>M3520SW</t>
  </si>
  <si>
    <t>comprado a pedro perdiz 13/5/21</t>
  </si>
  <si>
    <t>tf. Bankia 23/4/21(300€)-10/5/21(10195€)</t>
  </si>
  <si>
    <t>tf. 7/4/21 caixa 29/4/21</t>
  </si>
  <si>
    <t>tf. Caixa 16/5/2021</t>
  </si>
  <si>
    <t>tf. Caixa 29/5/21</t>
  </si>
  <si>
    <t>RB/84/2021</t>
  </si>
  <si>
    <t>KIA RIO</t>
  </si>
  <si>
    <t>8734-HFP</t>
  </si>
  <si>
    <t>9116-KCV</t>
  </si>
  <si>
    <t>9931-KGT</t>
  </si>
  <si>
    <t>0582-KFT</t>
  </si>
  <si>
    <t>tf. Santander 30/6/20</t>
  </si>
  <si>
    <t>2021 2T</t>
  </si>
  <si>
    <t>ANTONIO CAMARA VELA</t>
  </si>
  <si>
    <t>02504922-S</t>
  </si>
  <si>
    <t>comprado a mapfre 1/6/21</t>
  </si>
  <si>
    <t>tf. Caixa 25/6/2021</t>
  </si>
  <si>
    <t>RB/87/2021</t>
  </si>
  <si>
    <t>9197-KGM</t>
  </si>
  <si>
    <t>RB/114/2021</t>
  </si>
  <si>
    <t>4522-HCM</t>
  </si>
  <si>
    <t>F10002466</t>
  </si>
  <si>
    <t>4780-DYH</t>
  </si>
  <si>
    <t>Quiles Concesionaros I, S.L.U.</t>
  </si>
  <si>
    <t>B83663625</t>
  </si>
  <si>
    <t>MARIA ANGUSTIAS RODRIGUEZ SANZ</t>
  </si>
  <si>
    <t>06520181-A</t>
  </si>
  <si>
    <t>comprado a mapfre 24/2/21</t>
  </si>
  <si>
    <t>ISTAR TAPIA DE MIGUEL</t>
  </si>
  <si>
    <t>02654056-V</t>
  </si>
  <si>
    <t>comprado a gr motor 10/2/21</t>
  </si>
  <si>
    <t>NAYCARS GLOBAL, SLU</t>
  </si>
  <si>
    <t>B01669464</t>
  </si>
  <si>
    <t>comprado a mapfre 8/10/20</t>
  </si>
  <si>
    <t>CRISTIAN TEJADO CUADRADO</t>
  </si>
  <si>
    <t>28978613Q</t>
  </si>
  <si>
    <t>comprado a mapfre 22/12/20</t>
  </si>
  <si>
    <t>MARÍA JOSÉ MOLANO VALLE</t>
  </si>
  <si>
    <t>01832137-A</t>
  </si>
  <si>
    <t>comprado a mapfre 1/10/20</t>
  </si>
  <si>
    <t>PRESTON CIRCUIT, S.L.</t>
  </si>
  <si>
    <t>B86148467</t>
  </si>
  <si>
    <t>comprado a mapfre 9/7/2019</t>
  </si>
  <si>
    <t>RB/115/2021</t>
  </si>
  <si>
    <t>MAZDA CX-7</t>
  </si>
  <si>
    <t>3871-GZL</t>
  </si>
  <si>
    <t>FERNANDO GOMEZ LOPEZ</t>
  </si>
  <si>
    <t>50177219-M</t>
  </si>
  <si>
    <t>comprado a mapfre 21/1/21</t>
  </si>
  <si>
    <t>caixa 20/7/21</t>
  </si>
  <si>
    <t>santander 12/9/21</t>
  </si>
  <si>
    <t>santander 30/9/21</t>
  </si>
  <si>
    <t>2021 3t</t>
  </si>
  <si>
    <t>JOSE LUIS DIAZ MOYANO</t>
  </si>
  <si>
    <t>04125654Y</t>
  </si>
  <si>
    <t>comprado a arki 23/11/2020</t>
  </si>
  <si>
    <t>101</t>
  </si>
  <si>
    <t>102</t>
  </si>
  <si>
    <t>103</t>
  </si>
  <si>
    <t>SONIA ONETTI GOMEZ</t>
  </si>
  <si>
    <t>SANDRA VIVES BUIGUES</t>
  </si>
  <si>
    <t>2021 3T</t>
  </si>
  <si>
    <t>tf. Caixa 19/8/2021</t>
  </si>
  <si>
    <t>tf. Caixa 1/7/2021</t>
  </si>
  <si>
    <t>tf. Caixa 31/8/2021 resto efectivo</t>
  </si>
  <si>
    <t>tf. Caixa 20/7/2021</t>
  </si>
  <si>
    <t>RB/128/2021</t>
  </si>
  <si>
    <t>FORD MUSTANG GT</t>
  </si>
  <si>
    <t>1633-GJK</t>
  </si>
  <si>
    <t>santander 21/10/21</t>
  </si>
  <si>
    <t>tf. Santander 29/6/21 6060€(consumer)+tf. Santander 30/6/21 m angustias rodriguez 9695€ resto efectivo 1220 €</t>
  </si>
  <si>
    <t>tf. Santander 30/7/2021</t>
  </si>
  <si>
    <t>tf. Santander 10/8/2021</t>
  </si>
  <si>
    <t>tf. Santander 12/8/21</t>
  </si>
  <si>
    <t>tf. Santander 20/9/21</t>
  </si>
  <si>
    <t>RB/139/2021</t>
  </si>
  <si>
    <t>1489-JDP</t>
  </si>
  <si>
    <t>HYUNDAI I30</t>
  </si>
  <si>
    <t>RB/135/2021</t>
  </si>
  <si>
    <t>3372-HVB</t>
  </si>
  <si>
    <t>MERCEDES-BENZ SPRINTER</t>
  </si>
  <si>
    <t>RB/130/2021</t>
  </si>
  <si>
    <t>BMW X5 3.0</t>
  </si>
  <si>
    <t>3166-FMS</t>
  </si>
  <si>
    <t>RB/124/2021</t>
  </si>
  <si>
    <t>5820-FZL</t>
  </si>
  <si>
    <t>comprado a mapfre 9/4/2021</t>
  </si>
  <si>
    <t>comprado a mapfre 5/5/2021</t>
  </si>
  <si>
    <t>comprado a mapfre 30/9/21</t>
  </si>
  <si>
    <t>8724-DYH</t>
  </si>
  <si>
    <t>2021 4T</t>
  </si>
  <si>
    <t>02871987-T</t>
  </si>
  <si>
    <t>DANIEL GARCIA CHARPIN</t>
  </si>
  <si>
    <t>comprado a daniel garcia 25/11/21</t>
  </si>
  <si>
    <t>tf. Santander 27/10/21</t>
  </si>
  <si>
    <t>tf. Santander 11/11/21</t>
  </si>
  <si>
    <t>tf. Santander 16/11/21</t>
  </si>
  <si>
    <t>tf. Santander 10/11/21</t>
  </si>
  <si>
    <t>tf. Santander 26/11/21</t>
  </si>
  <si>
    <t>tf. Caixa 14/10/21</t>
  </si>
  <si>
    <t>RB/126/2021</t>
  </si>
  <si>
    <t>3089-FYB</t>
  </si>
  <si>
    <t>tf. Caixa 28/10/21</t>
  </si>
  <si>
    <t>tf caixa 30/3/21</t>
  </si>
  <si>
    <t>tf. Caixa 18/11/21</t>
  </si>
  <si>
    <t>ANA MARIA SANCHEZ GARCIA</t>
  </si>
  <si>
    <t>ANDREA GARCIA PEREZ</t>
  </si>
  <si>
    <t>RUTH ALCANTARA GARCIA</t>
  </si>
  <si>
    <t>RB/2/2022</t>
  </si>
  <si>
    <t>0632-HFD</t>
  </si>
  <si>
    <t>RB/3/2022</t>
  </si>
  <si>
    <t>3794-JPK</t>
  </si>
  <si>
    <t>RB/12/2022</t>
  </si>
  <si>
    <t>4776-JXW</t>
  </si>
  <si>
    <t>RB/30/2022</t>
  </si>
  <si>
    <t>PEUGEOT 5008</t>
  </si>
  <si>
    <t>9892-KBX</t>
  </si>
  <si>
    <t>220211161000011</t>
  </si>
  <si>
    <t>B60854932</t>
  </si>
  <si>
    <t>0582-KGW</t>
  </si>
  <si>
    <t>Soluciones de Renting y Movilidad, S.L.U.(Sabadell Renting)</t>
  </si>
  <si>
    <t>FIAT ABARTH 500C</t>
  </si>
  <si>
    <t>FRA 22001</t>
  </si>
  <si>
    <t>OSCAR JOAQUIN GODIA GUTIERREZ</t>
  </si>
  <si>
    <t>comprado a mapfre 28/6/20</t>
  </si>
  <si>
    <t>VENDIDO 2022</t>
  </si>
  <si>
    <t>FRA 22002</t>
  </si>
  <si>
    <t>FRANCISCO JAVIER SANCHEZ ROMERO</t>
  </si>
  <si>
    <t>52977406-B</t>
  </si>
  <si>
    <t>comprado a mapfre 20/7/21</t>
  </si>
  <si>
    <t>FRA 22003</t>
  </si>
  <si>
    <t>FERRAN MARTINEZ MEDINA</t>
  </si>
  <si>
    <t>23821794-G</t>
  </si>
  <si>
    <t>comprado a mapfre 30/6/21</t>
  </si>
  <si>
    <t>FRA 22004</t>
  </si>
  <si>
    <t>NINEVEST, S.L.</t>
  </si>
  <si>
    <t>B88620661</t>
  </si>
  <si>
    <t>comprado a mapfre 16/6/21</t>
  </si>
  <si>
    <t>FRA 22005</t>
  </si>
  <si>
    <t>JOSE LUIS RUIZ ADAME</t>
  </si>
  <si>
    <t>51361697-Y</t>
  </si>
  <si>
    <t>FRA 22006</t>
  </si>
  <si>
    <t>JOSE MANUEL REGO RODRIGUEZ</t>
  </si>
  <si>
    <t>52992706-Q</t>
  </si>
  <si>
    <t>FRA 22007</t>
  </si>
  <si>
    <t>comprado a mpafre 28/8/20</t>
  </si>
  <si>
    <t>SUSANA HIDALGO SOLERA</t>
  </si>
  <si>
    <t>52123741-Z</t>
  </si>
  <si>
    <t>comprado a mapfre 27/1/22</t>
  </si>
  <si>
    <t>FRA 22009</t>
  </si>
  <si>
    <t>FRA 22008</t>
  </si>
  <si>
    <t>comprado a mapfre 20/10/21</t>
  </si>
  <si>
    <t>2022 1T</t>
  </si>
  <si>
    <t>REBECA PRADES GARCIA</t>
  </si>
  <si>
    <t>19003544-R</t>
  </si>
  <si>
    <t>comprado a mapfre 2/3/22</t>
  </si>
  <si>
    <t>RB/39/2022</t>
  </si>
  <si>
    <t>CITROËN JUMPER</t>
  </si>
  <si>
    <t>2053-KFB</t>
  </si>
  <si>
    <t>RB/10/2022</t>
  </si>
  <si>
    <t>Carolina Ruiz martin</t>
  </si>
  <si>
    <t>Paloma Casas Escabia</t>
  </si>
  <si>
    <t>Gema Pedrosa Góme</t>
  </si>
  <si>
    <t>Iván López</t>
  </si>
  <si>
    <t>Vanessa Cejudo</t>
  </si>
  <si>
    <t>Angela Fernández</t>
  </si>
  <si>
    <t>Mª ANGUSTIAS RODRÍGUEZ SANZ</t>
  </si>
  <si>
    <t>06520181A</t>
  </si>
  <si>
    <t>AUDIA A3</t>
  </si>
  <si>
    <t>5990-GYY</t>
  </si>
  <si>
    <t>JUAN ANTONIO RODRÍGUEZ GARCIA</t>
  </si>
  <si>
    <t>50447829C</t>
  </si>
  <si>
    <t>8795-JLL</t>
  </si>
  <si>
    <t>RB/43/2022</t>
  </si>
  <si>
    <t>1307-KCJ</t>
  </si>
  <si>
    <t>RB/61/2022</t>
  </si>
  <si>
    <t>MERCEDES-BENZ E E280</t>
  </si>
  <si>
    <t>5539-DYV</t>
  </si>
  <si>
    <t>RB/58/2022</t>
  </si>
  <si>
    <t>FIAT 500L</t>
  </si>
  <si>
    <t>2995-HSW</t>
  </si>
  <si>
    <t>RB/59/2022</t>
  </si>
  <si>
    <t>RENAULT CAPTUR TCE</t>
  </si>
  <si>
    <t>9732-JWH</t>
  </si>
  <si>
    <t>RB/68/2022</t>
  </si>
  <si>
    <t>RENAULT V.I. KANGOO COMBI</t>
  </si>
  <si>
    <t>4415-JVN</t>
  </si>
  <si>
    <t>RB/70/2022</t>
  </si>
  <si>
    <t>FORD TRANSIT TT 350L</t>
  </si>
  <si>
    <t>6599-JTC</t>
  </si>
  <si>
    <t>FRA 22011</t>
  </si>
  <si>
    <t>JUAN PEDRO BALZQUEZ PERES</t>
  </si>
  <si>
    <t>50965107-M</t>
  </si>
  <si>
    <t>comprado a mpafre 27/10/21</t>
  </si>
  <si>
    <t>FRA 22012</t>
  </si>
  <si>
    <t>CARLOS ALBEIRO GRACIANO AGUIAR</t>
  </si>
  <si>
    <t>50582550-F</t>
  </si>
  <si>
    <t>comprado a mapfre 17/11/21</t>
  </si>
  <si>
    <t>FRA 22013</t>
  </si>
  <si>
    <t>FRA 22014</t>
  </si>
  <si>
    <t>AUTOMOCION JOSE LUIS CAR, S.L.</t>
  </si>
  <si>
    <t>comprado a mª agustias rodriguez 1/7/21</t>
  </si>
  <si>
    <t>FRA 22015</t>
  </si>
  <si>
    <t>comprado a juan antonio rodriguez 25/2/22</t>
  </si>
  <si>
    <t>FRA 22016</t>
  </si>
  <si>
    <t>ANTONIO GIRON ALVAREZ</t>
  </si>
  <si>
    <t>comprado a mapfre 4/4/22</t>
  </si>
  <si>
    <t>FRA 22017</t>
  </si>
  <si>
    <t>comprado a mapfre 18/11/20</t>
  </si>
  <si>
    <t>FRA 22018</t>
  </si>
  <si>
    <t>0555-KGL</t>
  </si>
  <si>
    <t>comprado a mapfre 19/1/22</t>
  </si>
  <si>
    <t>FRA 22019</t>
  </si>
  <si>
    <t>LUCIA HERGUEDAS MARTIN</t>
  </si>
  <si>
    <t>70267962-H</t>
  </si>
  <si>
    <t>comprado  a mapfre 29/6/20</t>
  </si>
  <si>
    <t>FRA 22020</t>
  </si>
  <si>
    <t>comprado a mapfre 23/3/22</t>
  </si>
  <si>
    <t>RB/71/2022</t>
  </si>
  <si>
    <t>8913-GJS</t>
  </si>
  <si>
    <t>FRA 22021</t>
  </si>
  <si>
    <t>comprado a mapfre 5/1/22</t>
  </si>
  <si>
    <t>FRA 22022</t>
  </si>
  <si>
    <t>comprado a mapfre 15/6/22</t>
  </si>
  <si>
    <t>FRA 22023</t>
  </si>
  <si>
    <t>comprado a mapfre 5/1/2022</t>
  </si>
  <si>
    <t>FRA 22010</t>
  </si>
  <si>
    <t>2022 2T</t>
  </si>
  <si>
    <t>perdido</t>
  </si>
  <si>
    <t>RB/89/2022</t>
  </si>
  <si>
    <t>PEUGEOT 508</t>
  </si>
  <si>
    <t>RB/97/2022</t>
  </si>
  <si>
    <t>RB/92/2022</t>
  </si>
  <si>
    <t>3916-KGD</t>
  </si>
  <si>
    <t>RB/83/2022</t>
  </si>
  <si>
    <t>HYUNDAI IX35</t>
  </si>
  <si>
    <t>6948-HHY</t>
  </si>
  <si>
    <t>RB/91/2022</t>
  </si>
  <si>
    <t>7435-FDT</t>
  </si>
  <si>
    <t xml:space="preserve">2022 2T </t>
  </si>
  <si>
    <t>Mª de las Nieves García Fernández</t>
  </si>
  <si>
    <t>Elena Tinoco pintor</t>
  </si>
  <si>
    <t>TF. CAIXA 28/6/22</t>
  </si>
  <si>
    <t>TF.CAIXA 22/6/22</t>
  </si>
  <si>
    <t>TF. CAIXA 1/6/22</t>
  </si>
  <si>
    <t>tf. Caixa 5/4/22</t>
  </si>
  <si>
    <t>TF. CAIXA</t>
  </si>
  <si>
    <t>TF. CAIXA 9/2/22</t>
  </si>
  <si>
    <t>tf santander 11/5/22</t>
  </si>
  <si>
    <t>TF. Santander 28/4/22</t>
  </si>
  <si>
    <t>TF. Santander 29/4/22</t>
  </si>
  <si>
    <t>tf. Santander 25/5/22</t>
  </si>
  <si>
    <t>tf. Caixa 24/6/22</t>
  </si>
  <si>
    <t>tf. 21/02/2022 santander consumer</t>
  </si>
  <si>
    <t>tf. 5/4/2022 santander consumer</t>
  </si>
  <si>
    <t>IONUT DITU</t>
  </si>
  <si>
    <t>X6825152V</t>
  </si>
  <si>
    <t>comprado a mapfre 11/11/21</t>
  </si>
  <si>
    <t>comprado a mapfre 1/6/22</t>
  </si>
  <si>
    <t>comprado a mapfre 10/9/21</t>
  </si>
  <si>
    <t>MARIA ANTONIA LOPEZ MATEOS</t>
  </si>
  <si>
    <t>00266634-H</t>
  </si>
  <si>
    <t>tf. Caixa Ramon Dios Morena 6/9/2022</t>
  </si>
  <si>
    <t>comprado a mapfre 25/5/22</t>
  </si>
  <si>
    <t>2022 3T</t>
  </si>
  <si>
    <t>S420221MA9901493</t>
  </si>
  <si>
    <t>0034-KYF</t>
  </si>
  <si>
    <t>FRA 22024</t>
  </si>
  <si>
    <t>FRA 22025</t>
  </si>
  <si>
    <t>FRA 22026</t>
  </si>
  <si>
    <t>FRA 22027</t>
  </si>
  <si>
    <t>FRA 22028</t>
  </si>
  <si>
    <t>RB/107/2022</t>
  </si>
  <si>
    <t>3458-JRN</t>
  </si>
  <si>
    <t>FRA 22029</t>
  </si>
  <si>
    <t>comprado a Mapfre 25/10/22</t>
  </si>
  <si>
    <t>FRA 22030</t>
  </si>
  <si>
    <t>RAFAEL CHECA GARCIA</t>
  </si>
  <si>
    <t>26186864-F</t>
  </si>
  <si>
    <t>comprado a mapfre 10/8/22</t>
  </si>
  <si>
    <t>FRA 22031</t>
  </si>
  <si>
    <t>comprado a mapfre 12/8/22</t>
  </si>
  <si>
    <t>2022 4t</t>
  </si>
  <si>
    <t>2897-FKF</t>
  </si>
  <si>
    <t>RB/116/2022</t>
  </si>
  <si>
    <t>PEUGEOT RIFTER</t>
  </si>
  <si>
    <t>1021-LBH</t>
  </si>
  <si>
    <t>RB/123/2022</t>
  </si>
  <si>
    <t>HONDA MOTOS PCX125</t>
  </si>
  <si>
    <t>4117-JYK</t>
  </si>
  <si>
    <t>FRA 22032</t>
  </si>
  <si>
    <t>JOHN ALEXANDER HURTADO RODAS</t>
  </si>
  <si>
    <t>50331355H</t>
  </si>
  <si>
    <t>comprado a mapfre 3/8/2022</t>
  </si>
  <si>
    <t>RB/126/2022</t>
  </si>
  <si>
    <t>RENAULT KADJAR 1.3</t>
  </si>
  <si>
    <t>6633-KVD</t>
  </si>
  <si>
    <t>2022 4T</t>
  </si>
  <si>
    <t>ENVIADO</t>
  </si>
  <si>
    <t>3113-JDK</t>
  </si>
  <si>
    <t>FRA 22034</t>
  </si>
  <si>
    <t>comprado a mapfre 6/9/22</t>
  </si>
  <si>
    <t>JUAN SANCHEZ FERNANDEZ</t>
  </si>
  <si>
    <t>51567397-V</t>
  </si>
  <si>
    <t>M-6072-WJ</t>
  </si>
  <si>
    <t>FRA 22033</t>
  </si>
  <si>
    <t>JOAQUIN MARCOS LOZANO</t>
  </si>
  <si>
    <t>01605229-J</t>
  </si>
  <si>
    <t>comprado a juan sanchez 8/12/22</t>
  </si>
  <si>
    <t>S420221MA9901641</t>
  </si>
  <si>
    <t>1032-KVY</t>
  </si>
  <si>
    <t>comprado a mapfre 14/10/21</t>
  </si>
  <si>
    <t>FELIX MANSILLA ARCOS</t>
  </si>
  <si>
    <t>51375665-J</t>
  </si>
  <si>
    <t>6110-KVV</t>
  </si>
  <si>
    <t>Mandado a Desguace</t>
  </si>
  <si>
    <t>22005-perdida</t>
  </si>
  <si>
    <t>MARIA TERESA SANCHEZ SANCHEZ</t>
  </si>
  <si>
    <t>53004671K</t>
  </si>
  <si>
    <t>Maria De Federico Bonera</t>
  </si>
  <si>
    <t>PENDIENTE DATOS FRA.</t>
  </si>
  <si>
    <t>FECHA COBRO</t>
  </si>
  <si>
    <t>Ana Rodríguez Merino</t>
  </si>
  <si>
    <t>Web-001-23</t>
  </si>
  <si>
    <t>Web-002-23</t>
  </si>
  <si>
    <t>tf. Santander 10/1/22</t>
  </si>
  <si>
    <t>tf. Santander 2/3/22</t>
  </si>
  <si>
    <t xml:space="preserve">tf. Santander 25/5/22 </t>
  </si>
  <si>
    <t>tf. Santander 16/6/22</t>
  </si>
  <si>
    <t xml:space="preserve">tf. Santander  21/6/22 </t>
  </si>
  <si>
    <t>TF. CAIXA 25/10/22</t>
  </si>
  <si>
    <t>TF. CAIXA 3/11/22</t>
  </si>
  <si>
    <t>TF. CAIXA 17/11/22</t>
  </si>
  <si>
    <t>TF CAIXA 15/12/22</t>
  </si>
  <si>
    <t>TF. CAIXA 7/12/22 resto efectivo</t>
  </si>
  <si>
    <t>tf. Caixa 8/11/22</t>
  </si>
  <si>
    <t>TF. CAIXA 26/10/22</t>
  </si>
  <si>
    <t>TF. CAIXA 30/11/22</t>
  </si>
  <si>
    <t>TF. CAIXA 16/12/22</t>
  </si>
  <si>
    <t>TF. CAIXA 8/12/12</t>
  </si>
  <si>
    <t>SERGIO ESTEVE RODRIGUEZ</t>
  </si>
  <si>
    <t>02648771-E</t>
  </si>
  <si>
    <t>S4202319500000</t>
  </si>
  <si>
    <t>SMART FORD TWO</t>
  </si>
  <si>
    <t>7591-CDD</t>
  </si>
  <si>
    <t>RB/7/2023</t>
  </si>
  <si>
    <t>4567-KGG</t>
  </si>
  <si>
    <t>RENAULT KADJAR</t>
  </si>
  <si>
    <t>S420231MA9900301</t>
  </si>
  <si>
    <t>0202-KSB</t>
  </si>
  <si>
    <t>RB/17/2023</t>
  </si>
  <si>
    <t>4699-JWG</t>
  </si>
  <si>
    <t>LUIS RAIMUNDO LEIRIA BOTO BARREIROS</t>
  </si>
  <si>
    <t>Y4315798T</t>
  </si>
  <si>
    <t>comprado a soluciones de renting 11/2/22</t>
  </si>
  <si>
    <t>VENDIDO 2023</t>
  </si>
  <si>
    <t>MERIEM SERROUKH</t>
  </si>
  <si>
    <t>Y0341512E</t>
  </si>
  <si>
    <t>comprado a mapfre 30/11/22</t>
  </si>
  <si>
    <t>2023 1T</t>
  </si>
  <si>
    <t>RB/27/2023</t>
  </si>
  <si>
    <t>5645-JWN</t>
  </si>
  <si>
    <t>1770-GXM</t>
  </si>
  <si>
    <t>BMW SERIE 1</t>
  </si>
  <si>
    <t>RB/33/2023</t>
  </si>
  <si>
    <t>SUZUKI MOTOS BURGMAN</t>
  </si>
  <si>
    <t>6002-JNH</t>
  </si>
  <si>
    <t>tf. Sabadel 21/3/23</t>
  </si>
  <si>
    <t>VICENTE GONZALEZ DIAZ</t>
  </si>
  <si>
    <t>02071798-G</t>
  </si>
  <si>
    <t>tf. Sabadell 17/3/2023</t>
  </si>
  <si>
    <t>tf. 17/3/23 caixa</t>
  </si>
  <si>
    <t>RB/32/2023</t>
  </si>
  <si>
    <t>PIAGGIO VESPA LIBERTY</t>
  </si>
  <si>
    <t>0128-KKZ</t>
  </si>
  <si>
    <t>RB/39/2023</t>
  </si>
  <si>
    <t>2051-HPZ</t>
  </si>
  <si>
    <t>RB/44/2023</t>
  </si>
  <si>
    <t>S420231MA9900600</t>
  </si>
  <si>
    <t>0031-KRG</t>
  </si>
  <si>
    <t>GOLF EDITION</t>
  </si>
  <si>
    <t>Volkswagen RENTING, S.A.</t>
  </si>
  <si>
    <t>A80185051</t>
  </si>
  <si>
    <t>6320-LDB</t>
  </si>
  <si>
    <t>ARVAL SERVICE LEASE S.A.U.</t>
  </si>
  <si>
    <t>1960-LFB</t>
  </si>
  <si>
    <t>comprado a mapfre 24/2/2023</t>
  </si>
  <si>
    <t>4117JYK</t>
  </si>
  <si>
    <t>comprado a mafpre 5/12/22</t>
  </si>
  <si>
    <t>DEPLAGA LA MANCHA, S.L.</t>
  </si>
  <si>
    <t>B45889631</t>
  </si>
  <si>
    <t>CVH PRECAST, S.L.</t>
  </si>
  <si>
    <t>B06768873</t>
  </si>
  <si>
    <t>comprado a volkswagen 25/5/23</t>
  </si>
  <si>
    <t>23013-A</t>
  </si>
  <si>
    <t>FELICIDAD SANZ GONZALEZ</t>
  </si>
  <si>
    <t>46835355H</t>
  </si>
  <si>
    <t>comprado a mafpre 25/5/22</t>
  </si>
  <si>
    <t>AUTO OSWALDO SL.</t>
  </si>
  <si>
    <t>comprado a mapfre 23/2/23</t>
  </si>
  <si>
    <t>RUBEN RUIZ TARAVILLO</t>
  </si>
  <si>
    <t>03133243E</t>
  </si>
  <si>
    <t>01605229J</t>
  </si>
  <si>
    <t>RB/48/2023</t>
  </si>
  <si>
    <t>NISSAN X-TRAIL</t>
  </si>
  <si>
    <t>4373-KND</t>
  </si>
  <si>
    <t>ROQUE TEVAR SAIZ</t>
  </si>
  <si>
    <t>47446463Q</t>
  </si>
  <si>
    <t>comprado a mapfre 27/04/2023</t>
  </si>
  <si>
    <t>S4202319500001</t>
  </si>
  <si>
    <t xml:space="preserve">OPEL CORSA </t>
  </si>
  <si>
    <t>S4202319500008</t>
  </si>
  <si>
    <t>2019 3T</t>
  </si>
  <si>
    <t>2023 2T</t>
  </si>
  <si>
    <t>RB/52/2023</t>
  </si>
  <si>
    <t>6192-KYY</t>
  </si>
  <si>
    <t>ALD Automotive S.A.U.</t>
  </si>
  <si>
    <t>230828161000072</t>
  </si>
  <si>
    <t>5084-KJW</t>
  </si>
  <si>
    <t>5700-HWN</t>
  </si>
  <si>
    <t>2003-JSD</t>
  </si>
  <si>
    <t>1999-JSD</t>
  </si>
  <si>
    <t>7479-KKS</t>
  </si>
  <si>
    <t>ALPHABET ESPAÑA FLEET MANAGEMENT, S.A.U.</t>
  </si>
  <si>
    <t>A91001438</t>
  </si>
  <si>
    <t>3356-KWT</t>
  </si>
  <si>
    <t>3232-KXV</t>
  </si>
  <si>
    <t>4962-KSK</t>
  </si>
  <si>
    <t>JUAN ALFONSO SANCHEZ PARRILLA</t>
  </si>
  <si>
    <t>50713031-D</t>
  </si>
  <si>
    <t>comprado a mapfre 20/4/23</t>
  </si>
  <si>
    <t>JUAN CARLOS CASARES PEREIRA</t>
  </si>
  <si>
    <t>04220243-L</t>
  </si>
  <si>
    <t>comprado a mapfre 21/3/23</t>
  </si>
  <si>
    <t>comprado a mapfre 21/6/23</t>
  </si>
  <si>
    <t>MUSTAPHA CHEBANI ROMAN</t>
  </si>
  <si>
    <t>50236016Z</t>
  </si>
  <si>
    <t>comprad a mapfre 26/2/23</t>
  </si>
  <si>
    <t>4985-JGM</t>
  </si>
  <si>
    <t>ANTONIO HERRERO BUENO</t>
  </si>
  <si>
    <t>49434340-A</t>
  </si>
  <si>
    <t>comprado a arvel 5/7/2023</t>
  </si>
  <si>
    <t>(Todas)</t>
  </si>
  <si>
    <t>ANGEL ENRIQUE LAITA AGUADO</t>
  </si>
  <si>
    <t>01826212N</t>
  </si>
  <si>
    <t>comprado a mapfre 29/3/2023</t>
  </si>
  <si>
    <t>2023 3T</t>
  </si>
  <si>
    <t>2244-KCS</t>
  </si>
  <si>
    <t>7992-JYL</t>
  </si>
  <si>
    <t>3606-KZC</t>
  </si>
  <si>
    <t>9395-KZF</t>
  </si>
  <si>
    <t>9153-KYZ</t>
  </si>
  <si>
    <t>3009-KZH</t>
  </si>
  <si>
    <t>2241-KCS</t>
  </si>
  <si>
    <t>0797-KZL</t>
  </si>
  <si>
    <t>FORD S-MAX</t>
  </si>
  <si>
    <t>9089-GXF</t>
  </si>
  <si>
    <t>9251-KPX</t>
  </si>
  <si>
    <t>JUAN PEDRO BLAZQUEZ PEREZ</t>
  </si>
  <si>
    <t>comprado a auixibio cabrero 10/10/23</t>
  </si>
  <si>
    <t>comprado a mapfre 25/10/22</t>
  </si>
  <si>
    <t>JUAN CARLOS GARCIA FERNANDEZ</t>
  </si>
  <si>
    <t>51398618N</t>
  </si>
  <si>
    <t>comprado a mapfre 27/4/23</t>
  </si>
  <si>
    <t>comprado a volkswagen 31/7/23</t>
  </si>
  <si>
    <t>comprado a alphabet 26/9/23</t>
  </si>
  <si>
    <t>MIGUEL ANGEL TEJADA GORDILLO</t>
  </si>
  <si>
    <t>08887976V</t>
  </si>
  <si>
    <t>comprado a ALD 28/8/23</t>
  </si>
  <si>
    <t>IRENE GARCIA HERRAEZ</t>
  </si>
  <si>
    <t>70832596W</t>
  </si>
  <si>
    <t>comprado a alphabet 22/9/23</t>
  </si>
  <si>
    <t>JAVIER MATEOS SANTAMARIA</t>
  </si>
  <si>
    <t>52867429C</t>
  </si>
  <si>
    <t>comprado a arval 3/7/23</t>
  </si>
  <si>
    <t>7330-KJW</t>
  </si>
  <si>
    <t>SILVIA RIAL FUENTES</t>
  </si>
  <si>
    <t>77420853R</t>
  </si>
  <si>
    <t>comprado a mapfre 16/12/22</t>
  </si>
  <si>
    <t>2719-KWR</t>
  </si>
  <si>
    <t>VANESA IBARROLA PALACIOS</t>
  </si>
  <si>
    <t>11837919A</t>
  </si>
  <si>
    <t>comprado a arval 10/11/23</t>
  </si>
  <si>
    <t>comprado a mapfre 31/1/23</t>
  </si>
  <si>
    <t>2023 4T</t>
  </si>
  <si>
    <t>comprado a felix mansilla 8/11/22</t>
  </si>
  <si>
    <t>VER</t>
  </si>
  <si>
    <t>7045-KHZ</t>
  </si>
  <si>
    <t>TF. SAB 30/10/23</t>
  </si>
  <si>
    <t>TF. SAB 03/11/23-06/11/23</t>
  </si>
  <si>
    <t>TF. SAB. 30/10/23</t>
  </si>
  <si>
    <t>TF. SAB. 10/11/23</t>
  </si>
  <si>
    <t>TF. SAB. 14/11/23</t>
  </si>
  <si>
    <t>TF. SAB. 21/12/23</t>
  </si>
  <si>
    <t>TF. SAN 27/4/23</t>
  </si>
  <si>
    <t>TF. SAN 11/05/2023</t>
  </si>
  <si>
    <t>TF SAN 25/05/2023</t>
  </si>
  <si>
    <t>TF. SANTANDER CONSUMER 26/6/23</t>
  </si>
  <si>
    <t>TF. SAN 20/07/2023-21/07/2023</t>
  </si>
  <si>
    <t>TF. SAN 27/07/2023</t>
  </si>
  <si>
    <t>TF. SAN 31/7/23</t>
  </si>
  <si>
    <t>TF. SAN 11/9/23</t>
  </si>
  <si>
    <t>TF. SAN 20/9/23</t>
  </si>
  <si>
    <t>TF. SAN 25/9/23</t>
  </si>
  <si>
    <t>23010</t>
  </si>
  <si>
    <t>tf. Caixa 23/1/23</t>
  </si>
  <si>
    <t>tf.caixa 24-10/13-11</t>
  </si>
  <si>
    <t>tf. Caixa 14/11/23</t>
  </si>
  <si>
    <t>TF. CAIXA 27/12/23</t>
  </si>
  <si>
    <t>tf. Caixa 3/4/23</t>
  </si>
  <si>
    <t>tf. Caixa 26/4/2023</t>
  </si>
  <si>
    <t>tf.caixa 27/6/23</t>
  </si>
  <si>
    <t>tf. Caixa 3/8/2023-4/8/23</t>
  </si>
  <si>
    <t>tf. Caixa 21/12/23</t>
  </si>
  <si>
    <t>2093-LKY</t>
  </si>
  <si>
    <t>VO-2024000979</t>
  </si>
  <si>
    <t>NORTHGATE ESPAÑA RENTING FLEXIBLE, S.A.</t>
  </si>
  <si>
    <t>A28659423</t>
  </si>
  <si>
    <t>3248-KVG</t>
  </si>
  <si>
    <t>VO-2024001205</t>
  </si>
  <si>
    <t>5813-KJJ</t>
  </si>
  <si>
    <t>240110161000082</t>
  </si>
  <si>
    <t>4414-KZW</t>
  </si>
  <si>
    <t>240304161000108</t>
  </si>
  <si>
    <t>2530-KTG</t>
  </si>
  <si>
    <t>0457-KTS</t>
  </si>
  <si>
    <t>4431-KZM</t>
  </si>
  <si>
    <t>9503-KWB</t>
  </si>
  <si>
    <t>ENRIQUE VIDAL HUERTA</t>
  </si>
  <si>
    <t>50975287L</t>
  </si>
  <si>
    <t>comprado a Alphabet 30/10/23</t>
  </si>
  <si>
    <t>VENDIDO 2024</t>
  </si>
  <si>
    <t>comprado a alphabet 22/11/23</t>
  </si>
  <si>
    <t>TANIA MARTINEZ CABUCHOLA</t>
  </si>
  <si>
    <t>47023179R</t>
  </si>
  <si>
    <t>RAUL ANTONIO HIDALGO CABRERA</t>
  </si>
  <si>
    <t>70651183J</t>
  </si>
  <si>
    <t>comprado a Alphabe españa 2/11/23</t>
  </si>
  <si>
    <t>3838-KVV</t>
  </si>
  <si>
    <t>comprado a arval 14/11/23</t>
  </si>
  <si>
    <t>MARTA GOMEZ VERA</t>
  </si>
  <si>
    <t>53141755W</t>
  </si>
  <si>
    <t>8492-FWK</t>
  </si>
  <si>
    <t>JOSE LUIS BLAZQUEZ PEREZ</t>
  </si>
  <si>
    <t>51929263R</t>
  </si>
  <si>
    <t>comprado a marta gomez 24/1/2024</t>
  </si>
  <si>
    <t>RECAMBIOS PINCHETE, S.L.</t>
  </si>
  <si>
    <t>B86898384</t>
  </si>
  <si>
    <t>comprado a alphabet 24/10/23</t>
  </si>
  <si>
    <t>8204-DDX</t>
  </si>
  <si>
    <t>50965107M</t>
  </si>
  <si>
    <t>comprado a enrique vidal 9/1/24</t>
  </si>
  <si>
    <t>2024-0002</t>
  </si>
  <si>
    <t>JUAN CARLOS GONZALEZ LEAL</t>
  </si>
  <si>
    <t>53019197B</t>
  </si>
  <si>
    <t>comprado a automocion jose luis 4/1/24</t>
  </si>
  <si>
    <t>240116161000034</t>
  </si>
  <si>
    <t>5338-LCD</t>
  </si>
  <si>
    <t>comprado a ald 16/1/24</t>
  </si>
  <si>
    <t>FATIMA PATRICIA PERAZA PINEDA</t>
  </si>
  <si>
    <t>Y6078341F</t>
  </si>
  <si>
    <t>comprado a alphabet 20/12/23</t>
  </si>
  <si>
    <t>JOSE MORCUENDE SIERRA</t>
  </si>
  <si>
    <t>50900186J</t>
  </si>
  <si>
    <t>comprado a arval 20/11/23</t>
  </si>
  <si>
    <t>LAURA SANZ BLAZQUEZ</t>
  </si>
  <si>
    <t>51493191D</t>
  </si>
  <si>
    <t>comprado a arval 9/1/24</t>
  </si>
  <si>
    <t>JOSE VEGA BENITEZ</t>
  </si>
  <si>
    <t>10193025T</t>
  </si>
  <si>
    <t>comprado a ald 10/1/24</t>
  </si>
  <si>
    <t>DAVID SUAREZ JIMENEZ</t>
  </si>
  <si>
    <t>50981194S</t>
  </si>
  <si>
    <t>comprado a mapfre 29/3/23</t>
  </si>
  <si>
    <t>2024 1T</t>
  </si>
  <si>
    <t>3080-KZJ</t>
  </si>
  <si>
    <t>8008-KXD</t>
  </si>
  <si>
    <t>0299-KZF</t>
  </si>
  <si>
    <t>0535-KYD</t>
  </si>
  <si>
    <t>240603161000023</t>
  </si>
  <si>
    <t>8925-KYK</t>
  </si>
  <si>
    <t>4419-LJL</t>
  </si>
  <si>
    <t>240415161000152</t>
  </si>
  <si>
    <t>9210-KZF</t>
  </si>
  <si>
    <t>240415161000161</t>
  </si>
  <si>
    <t>7626-LBP</t>
  </si>
  <si>
    <t>Ayvens Spain Mobility Solutions, S.A.U. (SOCIETE GENERALE) - Antiguo ALD</t>
  </si>
  <si>
    <t>2992-KNH</t>
  </si>
  <si>
    <t>240603160000026</t>
  </si>
  <si>
    <t>240618161000052</t>
  </si>
  <si>
    <t>8160-KYB</t>
  </si>
  <si>
    <t>240619161000071</t>
  </si>
  <si>
    <t>FIAT 500</t>
  </si>
  <si>
    <t>1598-KGY</t>
  </si>
  <si>
    <t>0577-KVS</t>
  </si>
  <si>
    <t>S420241MA9900790</t>
  </si>
  <si>
    <t>7011-LVB</t>
  </si>
  <si>
    <t>S420241MA9900789</t>
  </si>
  <si>
    <t>VOLKSWAGEN ARTEON</t>
  </si>
  <si>
    <t>4191-KVJ</t>
  </si>
  <si>
    <t>ALEJANDRO SANCHEZ SIERRA</t>
  </si>
  <si>
    <t>02759948V</t>
  </si>
  <si>
    <t>comprado a alphabet 28/11/23</t>
  </si>
  <si>
    <t>MARTA PEDRAZA PINO</t>
  </si>
  <si>
    <t>05299562V</t>
  </si>
  <si>
    <t>comprado a volkswagen renting 14/11/23</t>
  </si>
  <si>
    <t>NEREA CRUZ MARTIN</t>
  </si>
  <si>
    <t>48283255E</t>
  </si>
  <si>
    <t>comprado a alphabet españa22/2/24</t>
  </si>
  <si>
    <t>LAURA ARROYO HERNANDEZ</t>
  </si>
  <si>
    <t>53992069Y</t>
  </si>
  <si>
    <t>comprado a volkswagen renting 4/1/24</t>
  </si>
  <si>
    <t>comprado a arval 19/9/23</t>
  </si>
  <si>
    <t>DORU DINU</t>
  </si>
  <si>
    <t>X5378886Z</t>
  </si>
  <si>
    <t>comprado a arval 25/3/24</t>
  </si>
  <si>
    <t>53385699P</t>
  </si>
  <si>
    <t>comprado a mapfre 12/4/23</t>
  </si>
  <si>
    <t>JOSE RAMON MARTOS MORALES</t>
  </si>
  <si>
    <t>07525342H</t>
  </si>
  <si>
    <t>comprado  a northgate 31/1/24</t>
  </si>
  <si>
    <t>comprado a alphabet 26/10/23</t>
  </si>
  <si>
    <t>ANA PEREZ PEREZ</t>
  </si>
  <si>
    <t>02279788M</t>
  </si>
  <si>
    <t>comprado a alphabet 22/2/24</t>
  </si>
  <si>
    <t>ISABEL ANA NAVARRO CUENCA</t>
  </si>
  <si>
    <t>11804107R</t>
  </si>
  <si>
    <t>comprado a alphabet 21/2/24</t>
  </si>
  <si>
    <t>MARIANO REGO CUADRADO</t>
  </si>
  <si>
    <t>02089642T</t>
  </si>
  <si>
    <t>comprado a mapfre 4/6/24</t>
  </si>
  <si>
    <t>comprado a mapfre 4/6/2024</t>
  </si>
  <si>
    <t>ALICIA PEREZ FERNANDEZ</t>
  </si>
  <si>
    <t>07513240Z</t>
  </si>
  <si>
    <t>compralo ald 15/4/24</t>
  </si>
  <si>
    <t>PATRICIA GARCIA DEHESA</t>
  </si>
  <si>
    <t>51983503F</t>
  </si>
  <si>
    <t>comprado a alphabet 15/2/24</t>
  </si>
  <si>
    <t>ITZIAR MARTINEZ DURAN</t>
  </si>
  <si>
    <t>51754794X</t>
  </si>
  <si>
    <t>comprado a ald 15/4/24</t>
  </si>
  <si>
    <t>6235-LCT</t>
  </si>
  <si>
    <t xml:space="preserve">VICTOR CARRETERO BECERRA </t>
  </si>
  <si>
    <t>51911280G</t>
  </si>
  <si>
    <t>3910-CMN</t>
  </si>
  <si>
    <t>TERESA FERNANDEZ PEREZ</t>
  </si>
  <si>
    <t>51585333J</t>
  </si>
  <si>
    <t>comprado a arval 25/1/24</t>
  </si>
  <si>
    <t>comprado a victor carretero 11/6/2024</t>
  </si>
  <si>
    <t>2024 2T</t>
  </si>
  <si>
    <t>5924-KZB</t>
  </si>
  <si>
    <t>1049-LCH</t>
  </si>
  <si>
    <t>3037-LDB</t>
  </si>
  <si>
    <t>5973-KXY</t>
  </si>
  <si>
    <t>5972-KXY</t>
  </si>
  <si>
    <t>6068-KWW</t>
  </si>
  <si>
    <t>A81573480</t>
  </si>
  <si>
    <t>A81573481</t>
  </si>
  <si>
    <t>4645-LLX</t>
  </si>
  <si>
    <t>8838-KYD</t>
  </si>
  <si>
    <t>FERNANDO FERNANDEZ FERNANDEZ</t>
  </si>
  <si>
    <t>04161164G</t>
  </si>
  <si>
    <t>4084-GSJ</t>
  </si>
  <si>
    <t>CELIA SAEZ HERNANDEZ</t>
  </si>
  <si>
    <t>53135686M</t>
  </si>
  <si>
    <t>7953-KDT</t>
  </si>
  <si>
    <t>DANIEL ESPINAR VIDAL</t>
  </si>
  <si>
    <t>49035200M</t>
  </si>
  <si>
    <t>comprado a mapfre 12/5/23</t>
  </si>
  <si>
    <t>ANTONIO CAMARERO LOPEZ</t>
  </si>
  <si>
    <t>51670041N</t>
  </si>
  <si>
    <t>comprado a alphabet 11/4/24</t>
  </si>
  <si>
    <t>BANCO SANTANDER SA</t>
  </si>
  <si>
    <t>A39000013</t>
  </si>
  <si>
    <t>comprado a Ayvens Spain 3/6/24</t>
  </si>
  <si>
    <t>MARGARITA GARCIA CORTIJO</t>
  </si>
  <si>
    <t>50808159D</t>
  </si>
  <si>
    <t>comprado a ayvens Spain 18/6/24</t>
  </si>
  <si>
    <t>comprado a northgate 25/1/24</t>
  </si>
  <si>
    <t>JOSE JAVIER DOMINGUEZ CERRO</t>
  </si>
  <si>
    <t>00391173N</t>
  </si>
  <si>
    <t>comprado a celia saez 2/9/24</t>
  </si>
  <si>
    <t>comprado a ALD 4/3/2024</t>
  </si>
  <si>
    <t>comprado a fernando fernandez 5/9/24</t>
  </si>
  <si>
    <t>OCIO DA MORENA, S.L.</t>
  </si>
  <si>
    <t>efectivo</t>
  </si>
  <si>
    <t>B-70930839</t>
  </si>
  <si>
    <t>240909160000002</t>
  </si>
  <si>
    <t>8999-KYK</t>
  </si>
  <si>
    <t>2024-0129</t>
  </si>
  <si>
    <t>9452-KYR</t>
  </si>
  <si>
    <t>9583-KZK</t>
  </si>
  <si>
    <t>2024 3T</t>
  </si>
  <si>
    <t>2024 3t</t>
  </si>
  <si>
    <t>SERGIO ALEXANDER GONZALEZ</t>
  </si>
  <si>
    <t>Y9222476L</t>
  </si>
  <si>
    <t>comprado a lease plan 24/5/24</t>
  </si>
  <si>
    <t>JUANA SANCHEZ MOYA</t>
  </si>
  <si>
    <t>06512484B</t>
  </si>
  <si>
    <t>4132-BHY</t>
  </si>
  <si>
    <t>SUPERCOLOR HD, S.L.</t>
  </si>
  <si>
    <t>B19836147</t>
  </si>
  <si>
    <t>comprado a juana sanchez 13/9/24</t>
  </si>
  <si>
    <t>AUTO1 EUROPEAN CARS, B.V.</t>
  </si>
  <si>
    <t>W0039833i</t>
  </si>
  <si>
    <t>comprado a aphabet 22/9/23</t>
  </si>
  <si>
    <t>comprado a soluciones de renting 3/6/24</t>
  </si>
  <si>
    <t>VO-2024012527</t>
  </si>
  <si>
    <t>9978-KWK</t>
  </si>
  <si>
    <t>8064-KRS</t>
  </si>
  <si>
    <t>9255-LHR</t>
  </si>
  <si>
    <t>RENALT KANGOO FURGON</t>
  </si>
  <si>
    <t>1398-KRF</t>
  </si>
  <si>
    <t>3118-KCR</t>
  </si>
  <si>
    <t>9451-KW</t>
  </si>
  <si>
    <t>374634J0</t>
  </si>
  <si>
    <t>RENAULT KANGOO FURGON</t>
  </si>
  <si>
    <t>8963-LBL</t>
  </si>
  <si>
    <t>JUAN MANUEL SEGOVIA HOYA</t>
  </si>
  <si>
    <t>02533706A</t>
  </si>
  <si>
    <t>comprado a Arval 8/8/24</t>
  </si>
  <si>
    <t>BANKINTER, S.A.</t>
  </si>
  <si>
    <t>A28157360</t>
  </si>
  <si>
    <t>comprado a Arval 21/10/24</t>
  </si>
  <si>
    <t>IVAN ENAMORADO PLAZA</t>
  </si>
  <si>
    <t>07495300Z</t>
  </si>
  <si>
    <t>comprado a Arval 28/8/23</t>
  </si>
  <si>
    <t>MIGUEL ORTI PAREJA</t>
  </si>
  <si>
    <t>51674875Q</t>
  </si>
  <si>
    <t>comprado a arval 22/7/24</t>
  </si>
  <si>
    <t>RECAMBIOS PINCHETE S L</t>
  </si>
  <si>
    <t>comprado a alphabet 30/10/23</t>
  </si>
  <si>
    <t>SUSANA MUÑOZ AGUADO</t>
  </si>
  <si>
    <t>05203447L</t>
  </si>
  <si>
    <t>comprado a arval 2/4/24</t>
  </si>
  <si>
    <t>ADAN MARCO POMARES</t>
  </si>
  <si>
    <t>52992275E</t>
  </si>
  <si>
    <t>comprado a Daniel Espinar 1/10/24</t>
  </si>
  <si>
    <t>241105161000003</t>
  </si>
  <si>
    <t>HYUNDAI IONIQ</t>
  </si>
  <si>
    <t>3014-LBJ</t>
  </si>
  <si>
    <t>2024 4T</t>
  </si>
  <si>
    <t>241018161000081</t>
  </si>
  <si>
    <t>250219161000015</t>
  </si>
  <si>
    <t>3521-LPK</t>
  </si>
  <si>
    <t>375091J0</t>
  </si>
  <si>
    <t>8126-KZD</t>
  </si>
  <si>
    <t>375303JO</t>
  </si>
  <si>
    <t>0468-KPN</t>
  </si>
  <si>
    <t>376368JO</t>
  </si>
  <si>
    <t>3902-LJS</t>
  </si>
  <si>
    <t>376697JO</t>
  </si>
  <si>
    <t>7642-LCL</t>
  </si>
  <si>
    <t>376990JO</t>
  </si>
  <si>
    <t>TRANSIT COURIER VAN</t>
  </si>
  <si>
    <t>7132-KTP</t>
  </si>
  <si>
    <t>377207JO</t>
  </si>
  <si>
    <t>9670-KTW</t>
  </si>
  <si>
    <t xml:space="preserve">RENAULT CAPTUR  </t>
  </si>
  <si>
    <t>2416-KZM</t>
  </si>
  <si>
    <t>JUAN ANTONIO JIMENEZ BERROCAL</t>
  </si>
  <si>
    <t>07215429F</t>
  </si>
  <si>
    <t>VENDIDO 2025</t>
  </si>
  <si>
    <t>comprado a automocion jose luis 16/9/24</t>
  </si>
  <si>
    <t>GRUPO DOCE CEROCUATRO, S.L.</t>
  </si>
  <si>
    <t>B75590919</t>
  </si>
  <si>
    <t>comprado a banco santander 10/1/25</t>
  </si>
  <si>
    <t>JOSE MARIA DE TORRES TORRES</t>
  </si>
  <si>
    <t>03834426G</t>
  </si>
  <si>
    <t>MARIA PALOMA LOPEZ-AGUADO IZQUIERDO</t>
  </si>
  <si>
    <t>02632614B</t>
  </si>
  <si>
    <t>AGOSTINA MARIA DE LA IGLESIA MARCHAND</t>
  </si>
  <si>
    <t>Z2282545F</t>
  </si>
  <si>
    <t>comprado a Arval 17/6/24</t>
  </si>
  <si>
    <t>comprado a banco santander 19/12/24</t>
  </si>
  <si>
    <t>comprado a arval 26/8/24</t>
  </si>
  <si>
    <t>ASIGNACIONES A PUNTO, S.L.</t>
  </si>
  <si>
    <t>B04888269</t>
  </si>
  <si>
    <t>comprado a banco santander 28/2/25</t>
  </si>
  <si>
    <t xml:space="preserve">RECAMBIOS PINCHETE, S.L. </t>
  </si>
  <si>
    <t>comprado a northgate 16/12/24</t>
  </si>
  <si>
    <t>2025 1T</t>
  </si>
  <si>
    <t>comprado a alphabet 23/4/24</t>
  </si>
  <si>
    <t xml:space="preserve"> </t>
  </si>
  <si>
    <t>8079-GTG</t>
  </si>
  <si>
    <t>IONEL CLAUDIU RAT</t>
  </si>
  <si>
    <t>Y2014365Q</t>
  </si>
  <si>
    <t>comprado a maria paloma lopez 14/2/25</t>
  </si>
  <si>
    <t>377291JO</t>
  </si>
  <si>
    <t>2086-KZL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</si>
</sst>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"/>
    <numFmt numFmtId="165" formatCode="dd\-mm\-yy;@"/>
    <numFmt numFmtId="166" formatCode="0.0"/>
  </numFmts>
  <fonts count="2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theme="1"/>
      <name val="Verdana"/>
      <family val="2"/>
    </font>
    <font>
      <i/>
      <sz val="10"/>
      <color theme="1"/>
      <name val="Verdana"/>
      <family val="2"/>
    </font>
    <font>
      <i/>
      <sz val="10"/>
      <name val="Verdana"/>
      <family val="2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theme="1"/>
      <name val="Calibri"/>
      <family val="2"/>
      <scheme val="minor"/>
    </font>
    <font>
      <sz val="8"/>
      <name val="Verdana"/>
      <family val="2"/>
    </font>
    <font>
      <i/>
      <sz val="8"/>
      <color theme="1"/>
      <name val="Verdana"/>
      <family val="2"/>
    </font>
    <font>
      <i/>
      <sz val="8"/>
      <name val="Verdana"/>
      <family val="2"/>
    </font>
    <font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0E41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0FE02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252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1" fillId="0" borderId="0" xfId="0" applyNumberFormat="1" applyFont="1"/>
    <xf numFmtId="14" fontId="2" fillId="0" borderId="0" xfId="0" applyNumberFormat="1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1" fillId="0" borderId="1" xfId="0" applyFont="1" applyBorder="1"/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0" xfId="0" applyFont="1" applyFill="1" applyAlignment="1">
      <alignment horizontal="center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3" fillId="0" borderId="0" xfId="0" applyFont="1"/>
    <xf numFmtId="14" fontId="4" fillId="0" borderId="0" xfId="0" applyNumberFormat="1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wrapText="1"/>
    </xf>
    <xf numFmtId="164" fontId="4" fillId="0" borderId="0" xfId="0" applyNumberFormat="1" applyFont="1"/>
    <xf numFmtId="2" fontId="3" fillId="0" borderId="0" xfId="0" applyNumberFormat="1" applyFont="1"/>
    <xf numFmtId="49" fontId="4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center"/>
    </xf>
    <xf numFmtId="0" fontId="1" fillId="4" borderId="1" xfId="0" applyFont="1" applyFill="1" applyBorder="1"/>
    <xf numFmtId="49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0" xfId="0" applyFont="1" applyFill="1" applyAlignment="1">
      <alignment horizontal="center"/>
    </xf>
    <xf numFmtId="0" fontId="2" fillId="4" borderId="0" xfId="0" applyFont="1" applyFill="1"/>
    <xf numFmtId="14" fontId="2" fillId="4" borderId="0" xfId="0" applyNumberFormat="1" applyFont="1" applyFill="1"/>
    <xf numFmtId="0" fontId="2" fillId="4" borderId="0" xfId="0" applyFont="1" applyFill="1" applyAlignment="1">
      <alignment horizontal="right"/>
    </xf>
    <xf numFmtId="2" fontId="2" fillId="4" borderId="0" xfId="0" applyNumberFormat="1" applyFont="1" applyFill="1"/>
    <xf numFmtId="0" fontId="2" fillId="4" borderId="2" xfId="0" applyFont="1" applyFill="1" applyBorder="1"/>
    <xf numFmtId="0" fontId="2" fillId="4" borderId="1" xfId="0" applyFont="1" applyFill="1" applyBorder="1"/>
    <xf numFmtId="14" fontId="2" fillId="4" borderId="1" xfId="0" applyNumberFormat="1" applyFont="1" applyFill="1" applyBorder="1"/>
    <xf numFmtId="0" fontId="2" fillId="4" borderId="1" xfId="0" applyFont="1" applyFill="1" applyBorder="1" applyAlignment="1">
      <alignment horizontal="right"/>
    </xf>
    <xf numFmtId="2" fontId="2" fillId="4" borderId="1" xfId="0" applyNumberFormat="1" applyFont="1" applyFill="1" applyBorder="1"/>
    <xf numFmtId="14" fontId="1" fillId="4" borderId="0" xfId="0" applyNumberFormat="1" applyFont="1" applyFill="1"/>
    <xf numFmtId="49" fontId="1" fillId="4" borderId="0" xfId="0" applyNumberFormat="1" applyFont="1" applyFill="1" applyAlignment="1">
      <alignment horizontal="right"/>
    </xf>
    <xf numFmtId="0" fontId="1" fillId="4" borderId="0" xfId="0" applyFont="1" applyFill="1"/>
    <xf numFmtId="164" fontId="1" fillId="4" borderId="0" xfId="0" applyNumberFormat="1" applyFont="1" applyFill="1"/>
    <xf numFmtId="0" fontId="1" fillId="4" borderId="0" xfId="0" applyFont="1" applyFill="1" applyAlignment="1">
      <alignment wrapText="1"/>
    </xf>
    <xf numFmtId="14" fontId="1" fillId="4" borderId="1" xfId="0" applyNumberFormat="1" applyFont="1" applyFill="1" applyBorder="1"/>
    <xf numFmtId="49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wrapText="1"/>
    </xf>
    <xf numFmtId="164" fontId="1" fillId="4" borderId="1" xfId="0" applyNumberFormat="1" applyFont="1" applyFill="1" applyBorder="1"/>
    <xf numFmtId="16" fontId="2" fillId="4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left" wrapText="1"/>
    </xf>
    <xf numFmtId="49" fontId="2" fillId="4" borderId="0" xfId="0" applyNumberFormat="1" applyFont="1" applyFill="1" applyAlignment="1">
      <alignment horizontal="right"/>
    </xf>
    <xf numFmtId="0" fontId="0" fillId="4" borderId="0" xfId="0" applyFill="1"/>
    <xf numFmtId="0" fontId="5" fillId="4" borderId="0" xfId="0" applyFont="1" applyFill="1"/>
    <xf numFmtId="165" fontId="6" fillId="4" borderId="0" xfId="0" applyNumberFormat="1" applyFont="1" applyFill="1"/>
    <xf numFmtId="49" fontId="6" fillId="4" borderId="0" xfId="0" applyNumberFormat="1" applyFont="1" applyFill="1" applyAlignment="1">
      <alignment horizontal="right"/>
    </xf>
    <xf numFmtId="2" fontId="6" fillId="4" borderId="0" xfId="0" applyNumberFormat="1" applyFont="1" applyFill="1" applyAlignment="1">
      <alignment horizontal="center"/>
    </xf>
    <xf numFmtId="2" fontId="6" fillId="4" borderId="0" xfId="0" applyNumberFormat="1" applyFont="1" applyFill="1" applyAlignment="1">
      <alignment horizontal="right"/>
    </xf>
    <xf numFmtId="0" fontId="2" fillId="5" borderId="0" xfId="0" applyFont="1" applyFill="1"/>
    <xf numFmtId="0" fontId="2" fillId="6" borderId="0" xfId="0" applyFont="1" applyFill="1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6" borderId="0" xfId="0" applyFont="1" applyFill="1"/>
    <xf numFmtId="14" fontId="4" fillId="6" borderId="0" xfId="0" applyNumberFormat="1" applyFont="1" applyFill="1"/>
    <xf numFmtId="49" fontId="4" fillId="6" borderId="0" xfId="0" applyNumberFormat="1" applyFont="1" applyFill="1" applyAlignment="1">
      <alignment horizontal="right"/>
    </xf>
    <xf numFmtId="0" fontId="4" fillId="6" borderId="0" xfId="0" applyFont="1" applyFill="1"/>
    <xf numFmtId="0" fontId="4" fillId="6" borderId="0" xfId="0" applyFont="1" applyFill="1" applyAlignment="1">
      <alignment wrapText="1"/>
    </xf>
    <xf numFmtId="164" fontId="4" fillId="6" borderId="0" xfId="0" applyNumberFormat="1" applyFont="1" applyFill="1"/>
    <xf numFmtId="2" fontId="3" fillId="6" borderId="0" xfId="0" applyNumberFormat="1" applyFont="1" applyFill="1"/>
    <xf numFmtId="0" fontId="3" fillId="6" borderId="0" xfId="0" applyFont="1" applyFill="1" applyAlignment="1">
      <alignment horizontal="right"/>
    </xf>
    <xf numFmtId="14" fontId="1" fillId="6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wrapText="1"/>
    </xf>
    <xf numFmtId="164" fontId="1" fillId="6" borderId="0" xfId="0" applyNumberFormat="1" applyFont="1" applyFill="1"/>
    <xf numFmtId="2" fontId="2" fillId="6" borderId="0" xfId="0" applyNumberFormat="1" applyFont="1" applyFill="1"/>
    <xf numFmtId="14" fontId="2" fillId="6" borderId="0" xfId="0" applyNumberFormat="1" applyFont="1" applyFill="1"/>
    <xf numFmtId="0" fontId="2" fillId="6" borderId="0" xfId="0" applyFont="1" applyFill="1" applyAlignment="1">
      <alignment horizontal="right"/>
    </xf>
    <xf numFmtId="0" fontId="11" fillId="0" borderId="0" xfId="0" applyFont="1"/>
    <xf numFmtId="0" fontId="11" fillId="6" borderId="0" xfId="0" applyFont="1" applyFill="1"/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164" fontId="14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0" fontId="12" fillId="0" borderId="1" xfId="0" applyFont="1" applyBorder="1"/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15" fillId="0" borderId="1" xfId="0" applyFont="1" applyBorder="1"/>
    <xf numFmtId="14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0" fontId="12" fillId="0" borderId="1" xfId="0" applyFont="1" applyBorder="1" applyAlignment="1">
      <alignment wrapText="1"/>
    </xf>
    <xf numFmtId="164" fontId="12" fillId="0" borderId="1" xfId="0" applyNumberFormat="1" applyFont="1" applyBorder="1"/>
    <xf numFmtId="2" fontId="15" fillId="0" borderId="1" xfId="0" applyNumberFormat="1" applyFont="1" applyBorder="1"/>
    <xf numFmtId="14" fontId="15" fillId="0" borderId="1" xfId="0" applyNumberFormat="1" applyFont="1" applyBorder="1"/>
    <xf numFmtId="0" fontId="15" fillId="0" borderId="1" xfId="0" applyFont="1" applyBorder="1" applyAlignment="1">
      <alignment horizontal="right"/>
    </xf>
    <xf numFmtId="0" fontId="11" fillId="0" borderId="1" xfId="0" applyFont="1" applyBorder="1"/>
    <xf numFmtId="49" fontId="2" fillId="0" borderId="0" xfId="0" applyNumberFormat="1" applyFont="1"/>
    <xf numFmtId="0" fontId="2" fillId="7" borderId="0" xfId="0" applyFont="1" applyFill="1"/>
    <xf numFmtId="14" fontId="2" fillId="7" borderId="0" xfId="0" applyNumberFormat="1" applyFont="1" applyFill="1"/>
    <xf numFmtId="0" fontId="2" fillId="7" borderId="0" xfId="0" applyFont="1" applyFill="1" applyAlignment="1">
      <alignment horizontal="right"/>
    </xf>
    <xf numFmtId="2" fontId="2" fillId="7" borderId="0" xfId="0" applyNumberFormat="1" applyFont="1" applyFill="1"/>
    <xf numFmtId="0" fontId="2" fillId="8" borderId="0" xfId="0" applyFont="1" applyFill="1"/>
    <xf numFmtId="14" fontId="2" fillId="8" borderId="0" xfId="0" applyNumberFormat="1" applyFont="1" applyFill="1"/>
    <xf numFmtId="0" fontId="2" fillId="8" borderId="0" xfId="0" applyFont="1" applyFill="1" applyAlignment="1">
      <alignment horizontal="right"/>
    </xf>
    <xf numFmtId="2" fontId="2" fillId="8" borderId="0" xfId="0" applyNumberFormat="1" applyFont="1" applyFill="1"/>
    <xf numFmtId="0" fontId="2" fillId="9" borderId="0" xfId="0" applyFont="1" applyFill="1"/>
    <xf numFmtId="14" fontId="2" fillId="9" borderId="0" xfId="0" applyNumberFormat="1" applyFont="1" applyFill="1"/>
    <xf numFmtId="0" fontId="2" fillId="9" borderId="0" xfId="0" applyFont="1" applyFill="1" applyAlignment="1">
      <alignment horizontal="right"/>
    </xf>
    <xf numFmtId="2" fontId="2" fillId="9" borderId="0" xfId="0" applyNumberFormat="1" applyFont="1" applyFill="1"/>
    <xf numFmtId="0" fontId="12" fillId="10" borderId="1" xfId="0" applyFont="1" applyFill="1" applyBorder="1"/>
    <xf numFmtId="49" fontId="12" fillId="10" borderId="1" xfId="0" applyNumberFormat="1" applyFont="1" applyFill="1" applyBorder="1" applyAlignment="1">
      <alignment horizontal="left"/>
    </xf>
    <xf numFmtId="0" fontId="12" fillId="10" borderId="1" xfId="0" applyFont="1" applyFill="1" applyBorder="1" applyAlignment="1">
      <alignment horizontal="right"/>
    </xf>
    <xf numFmtId="0" fontId="12" fillId="10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left"/>
    </xf>
    <xf numFmtId="0" fontId="15" fillId="10" borderId="1" xfId="0" applyFont="1" applyFill="1" applyBorder="1"/>
    <xf numFmtId="14" fontId="11" fillId="0" borderId="0" xfId="0" applyNumberFormat="1" applyFont="1"/>
    <xf numFmtId="0" fontId="15" fillId="0" borderId="0" xfId="0" applyFont="1"/>
    <xf numFmtId="2" fontId="11" fillId="0" borderId="0" xfId="0" applyNumberFormat="1" applyFont="1"/>
    <xf numFmtId="14" fontId="11" fillId="6" borderId="0" xfId="0" applyNumberFormat="1" applyFont="1" applyFill="1"/>
    <xf numFmtId="0" fontId="15" fillId="6" borderId="0" xfId="0" applyFont="1" applyFill="1"/>
    <xf numFmtId="2" fontId="11" fillId="6" borderId="0" xfId="0" applyNumberFormat="1" applyFont="1" applyFill="1"/>
    <xf numFmtId="0" fontId="16" fillId="0" borderId="0" xfId="0" applyFont="1"/>
    <xf numFmtId="4" fontId="11" fillId="0" borderId="0" xfId="0" applyNumberFormat="1" applyFont="1"/>
    <xf numFmtId="0" fontId="11" fillId="11" borderId="0" xfId="0" applyFont="1" applyFill="1"/>
    <xf numFmtId="14" fontId="11" fillId="11" borderId="0" xfId="0" applyNumberFormat="1" applyFont="1" applyFill="1"/>
    <xf numFmtId="0" fontId="15" fillId="11" borderId="0" xfId="0" applyFont="1" applyFill="1"/>
    <xf numFmtId="2" fontId="11" fillId="11" borderId="0" xfId="0" applyNumberFormat="1" applyFont="1" applyFill="1"/>
    <xf numFmtId="0" fontId="16" fillId="6" borderId="0" xfId="0" applyFont="1" applyFill="1"/>
    <xf numFmtId="0" fontId="12" fillId="0" borderId="0" xfId="0" applyFont="1"/>
    <xf numFmtId="0" fontId="12" fillId="0" borderId="0" xfId="0" applyFont="1" applyAlignment="1">
      <alignment wrapText="1"/>
    </xf>
    <xf numFmtId="14" fontId="11" fillId="0" borderId="1" xfId="0" applyNumberFormat="1" applyFont="1" applyBorder="1"/>
    <xf numFmtId="0" fontId="11" fillId="6" borderId="1" xfId="0" applyFont="1" applyFill="1" applyBorder="1"/>
    <xf numFmtId="0" fontId="11" fillId="0" borderId="0" xfId="0" applyFont="1" applyAlignment="1">
      <alignment horizontal="left"/>
    </xf>
    <xf numFmtId="0" fontId="12" fillId="10" borderId="3" xfId="0" applyFont="1" applyFill="1" applyBorder="1"/>
    <xf numFmtId="0" fontId="12" fillId="10" borderId="4" xfId="0" applyFont="1" applyFill="1" applyBorder="1" applyAlignment="1">
      <alignment horizontal="center"/>
    </xf>
    <xf numFmtId="2" fontId="11" fillId="0" borderId="1" xfId="0" applyNumberFormat="1" applyFont="1" applyBorder="1"/>
    <xf numFmtId="0" fontId="11" fillId="6" borderId="0" xfId="0" applyFont="1" applyFill="1" applyAlignment="1">
      <alignment horizontal="left"/>
    </xf>
    <xf numFmtId="0" fontId="17" fillId="6" borderId="0" xfId="0" applyFont="1" applyFill="1"/>
    <xf numFmtId="0" fontId="11" fillId="13" borderId="0" xfId="0" applyFont="1" applyFill="1"/>
    <xf numFmtId="14" fontId="11" fillId="13" borderId="0" xfId="0" applyNumberFormat="1" applyFont="1" applyFill="1"/>
    <xf numFmtId="0" fontId="11" fillId="13" borderId="0" xfId="0" applyFont="1" applyFill="1" applyAlignment="1">
      <alignment horizontal="left"/>
    </xf>
    <xf numFmtId="0" fontId="11" fillId="12" borderId="0" xfId="0" applyFont="1" applyFill="1"/>
    <xf numFmtId="17" fontId="11" fillId="0" borderId="0" xfId="0" applyNumberFormat="1" applyFont="1" applyAlignment="1">
      <alignment horizontal="left"/>
    </xf>
    <xf numFmtId="0" fontId="17" fillId="0" borderId="0" xfId="0" applyFont="1"/>
    <xf numFmtId="0" fontId="11" fillId="11" borderId="0" xfId="0" applyFont="1" applyFill="1" applyAlignment="1">
      <alignment horizontal="left"/>
    </xf>
    <xf numFmtId="0" fontId="18" fillId="12" borderId="1" xfId="0" applyFont="1" applyFill="1" applyBorder="1"/>
    <xf numFmtId="0" fontId="18" fillId="12" borderId="1" xfId="0" applyFont="1" applyFill="1" applyBorder="1" applyAlignment="1">
      <alignment horizontal="left"/>
    </xf>
    <xf numFmtId="0" fontId="18" fillId="12" borderId="1" xfId="0" applyFont="1" applyFill="1" applyBorder="1" applyAlignment="1">
      <alignment horizontal="center"/>
    </xf>
    <xf numFmtId="0" fontId="19" fillId="12" borderId="1" xfId="0" applyFont="1" applyFill="1" applyBorder="1"/>
    <xf numFmtId="0" fontId="19" fillId="0" borderId="0" xfId="0" applyFont="1"/>
    <xf numFmtId="0" fontId="20" fillId="0" borderId="0" xfId="0" applyFont="1"/>
    <xf numFmtId="14" fontId="20" fillId="0" borderId="0" xfId="0" applyNumberFormat="1" applyFont="1"/>
    <xf numFmtId="2" fontId="20" fillId="0" borderId="0" xfId="0" applyNumberFormat="1" applyFont="1"/>
    <xf numFmtId="0" fontId="19" fillId="0" borderId="1" xfId="0" applyFont="1" applyBorder="1"/>
    <xf numFmtId="14" fontId="19" fillId="0" borderId="1" xfId="0" applyNumberFormat="1" applyFont="1" applyBorder="1"/>
    <xf numFmtId="2" fontId="19" fillId="0" borderId="1" xfId="0" applyNumberFormat="1" applyFont="1" applyBorder="1"/>
    <xf numFmtId="0" fontId="19" fillId="11" borderId="1" xfId="0" applyFont="1" applyFill="1" applyBorder="1"/>
    <xf numFmtId="2" fontId="19" fillId="11" borderId="1" xfId="0" applyNumberFormat="1" applyFont="1" applyFill="1" applyBorder="1"/>
    <xf numFmtId="14" fontId="19" fillId="11" borderId="1" xfId="0" applyNumberFormat="1" applyFont="1" applyFill="1" applyBorder="1"/>
    <xf numFmtId="0" fontId="19" fillId="6" borderId="1" xfId="0" applyFont="1" applyFill="1" applyBorder="1"/>
    <xf numFmtId="14" fontId="19" fillId="6" borderId="1" xfId="0" applyNumberFormat="1" applyFont="1" applyFill="1" applyBorder="1"/>
    <xf numFmtId="49" fontId="18" fillId="12" borderId="1" xfId="0" applyNumberFormat="1" applyFont="1" applyFill="1" applyBorder="1" applyAlignment="1">
      <alignment horizontal="left"/>
    </xf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2" fontId="0" fillId="0" borderId="1" xfId="0" applyNumberFormat="1" applyBorder="1"/>
    <xf numFmtId="49" fontId="0" fillId="0" borderId="0" xfId="0" applyNumberFormat="1"/>
    <xf numFmtId="0" fontId="21" fillId="13" borderId="1" xfId="0" applyFont="1" applyFill="1" applyBorder="1"/>
    <xf numFmtId="49" fontId="21" fillId="13" borderId="1" xfId="0" applyNumberFormat="1" applyFont="1" applyFill="1" applyBorder="1" applyAlignment="1">
      <alignment horizontal="left"/>
    </xf>
    <xf numFmtId="0" fontId="21" fillId="13" borderId="1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left"/>
    </xf>
    <xf numFmtId="0" fontId="0" fillId="12" borderId="1" xfId="0" applyFill="1" applyBorder="1"/>
    <xf numFmtId="14" fontId="0" fillId="0" borderId="5" xfId="0" applyNumberFormat="1" applyBorder="1"/>
    <xf numFmtId="49" fontId="0" fillId="0" borderId="5" xfId="0" applyNumberFormat="1" applyBorder="1"/>
    <xf numFmtId="0" fontId="0" fillId="0" borderId="5" xfId="0" applyBorder="1"/>
    <xf numFmtId="2" fontId="0" fillId="0" borderId="5" xfId="0" applyNumberFormat="1" applyBorder="1"/>
    <xf numFmtId="0" fontId="0" fillId="0" borderId="4" xfId="0" applyBorder="1"/>
    <xf numFmtId="0" fontId="0" fillId="0" borderId="6" xfId="0" applyBorder="1"/>
    <xf numFmtId="0" fontId="21" fillId="13" borderId="6" xfId="0" applyFont="1" applyFill="1" applyBorder="1"/>
    <xf numFmtId="0" fontId="0" fillId="0" borderId="2" xfId="0" applyBorder="1"/>
    <xf numFmtId="14" fontId="0" fillId="0" borderId="2" xfId="0" applyNumberFormat="1" applyBorder="1"/>
    <xf numFmtId="2" fontId="0" fillId="0" borderId="2" xfId="0" applyNumberFormat="1" applyBorder="1"/>
    <xf numFmtId="166" fontId="0" fillId="0" borderId="5" xfId="0" applyNumberFormat="1" applyBorder="1"/>
    <xf numFmtId="49" fontId="0" fillId="0" borderId="5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166" fontId="0" fillId="0" borderId="1" xfId="0" applyNumberFormat="1" applyBorder="1"/>
    <xf numFmtId="0" fontId="0" fillId="0" borderId="7" xfId="0" applyBorder="1"/>
    <xf numFmtId="14" fontId="0" fillId="0" borderId="7" xfId="0" applyNumberFormat="1" applyBorder="1"/>
    <xf numFmtId="0" fontId="0" fillId="0" borderId="7" xfId="0" applyBorder="1" applyAlignment="1">
      <alignment horizontal="left"/>
    </xf>
    <xf numFmtId="0" fontId="0" fillId="10" borderId="1" xfId="0" applyFill="1" applyBorder="1"/>
    <xf numFmtId="0" fontId="0" fillId="6" borderId="1" xfId="0" applyFill="1" applyBorder="1"/>
    <xf numFmtId="14" fontId="0" fillId="0" borderId="0" xfId="0" applyNumberFormat="1"/>
    <xf numFmtId="2" fontId="0" fillId="0" borderId="7" xfId="0" applyNumberFormat="1" applyBorder="1"/>
    <xf numFmtId="49" fontId="0" fillId="0" borderId="7" xfId="0" applyNumberFormat="1" applyBorder="1"/>
    <xf numFmtId="0" fontId="0" fillId="0" borderId="8" xfId="0" applyBorder="1"/>
    <xf numFmtId="2" fontId="0" fillId="0" borderId="0" xfId="0" applyNumberFormat="1"/>
    <xf numFmtId="0" fontId="0" fillId="0" borderId="9" xfId="0" applyBorder="1"/>
    <xf numFmtId="49" fontId="0" fillId="0" borderId="2" xfId="0" applyNumberFormat="1" applyBorder="1"/>
    <xf numFmtId="0" fontId="0" fillId="0" borderId="10" xfId="0" applyBorder="1"/>
    <xf numFmtId="2" fontId="0" fillId="6" borderId="1" xfId="0" applyNumberFormat="1" applyFill="1" applyBorder="1"/>
    <xf numFmtId="14" fontId="0" fillId="0" borderId="4" xfId="0" applyNumberFormat="1" applyBorder="1"/>
    <xf numFmtId="14" fontId="0" fillId="0" borderId="10" xfId="0" applyNumberFormat="1" applyBorder="1"/>
    <xf numFmtId="0" fontId="0" fillId="0" borderId="3" xfId="0" applyBorder="1"/>
    <xf numFmtId="0" fontId="0" fillId="0" borderId="11" xfId="0" applyBorder="1"/>
    <xf numFmtId="2" fontId="0" fillId="0" borderId="3" xfId="0" applyNumberFormat="1" applyBorder="1"/>
    <xf numFmtId="0" fontId="0" fillId="6" borderId="0" xfId="0" applyFill="1"/>
    <xf numFmtId="0" fontId="22" fillId="14" borderId="1" xfId="0" applyFont="1" applyFill="1" applyBorder="1" applyAlignment="1">
      <alignment horizontal="center"/>
    </xf>
    <xf numFmtId="49" fontId="22" fillId="14" borderId="1" xfId="0" applyNumberFormat="1" applyFont="1" applyFill="1" applyBorder="1" applyAlignment="1">
      <alignment horizontal="center"/>
    </xf>
    <xf numFmtId="0" fontId="22" fillId="8" borderId="1" xfId="0" applyFont="1" applyFill="1" applyBorder="1"/>
    <xf numFmtId="49" fontId="22" fillId="8" borderId="1" xfId="0" applyNumberFormat="1" applyFont="1" applyFill="1" applyBorder="1"/>
    <xf numFmtId="49" fontId="22" fillId="14" borderId="1" xfId="0" applyNumberFormat="1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22" fillId="15" borderId="1" xfId="0" applyFont="1" applyFill="1" applyBorder="1" applyAlignment="1">
      <alignment horizontal="center"/>
    </xf>
    <xf numFmtId="49" fontId="22" fillId="15" borderId="1" xfId="0" applyNumberFormat="1" applyFont="1" applyFill="1" applyBorder="1" applyAlignment="1">
      <alignment horizontal="center"/>
    </xf>
    <xf numFmtId="49" fontId="22" fillId="15" borderId="1" xfId="0" applyNumberFormat="1" applyFont="1" applyFill="1" applyBorder="1" applyAlignment="1">
      <alignment horizontal="left"/>
    </xf>
    <xf numFmtId="0" fontId="0" fillId="0" borderId="1" xfId="0" applyBorder="1" applyAlignment="1">
      <alignment vertical="top"/>
    </xf>
    <xf numFmtId="43" fontId="0" fillId="0" borderId="1" xfId="1" applyFont="1" applyBorder="1"/>
    <xf numFmtId="0" fontId="0" fillId="0" borderId="0" xfId="0" pivotButton="1"/>
    <xf numFmtId="44" fontId="22" fillId="15" borderId="1" xfId="2" applyFont="1" applyFill="1" applyBorder="1" applyAlignment="1">
      <alignment horizontal="center"/>
    </xf>
    <xf numFmtId="44" fontId="0" fillId="0" borderId="1" xfId="2" applyFont="1" applyBorder="1"/>
    <xf numFmtId="44" fontId="0" fillId="6" borderId="1" xfId="2" applyFont="1" applyFill="1" applyBorder="1"/>
    <xf numFmtId="44" fontId="0" fillId="0" borderId="0" xfId="2" applyFont="1"/>
    <xf numFmtId="14" fontId="22" fillId="0" borderId="1" xfId="0" applyNumberFormat="1" applyFont="1" applyBorder="1"/>
    <xf numFmtId="49" fontId="22" fillId="0" borderId="1" xfId="0" applyNumberFormat="1" applyFont="1" applyBorder="1" applyAlignment="1">
      <alignment horizontal="left"/>
    </xf>
    <xf numFmtId="0" fontId="22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14" borderId="1" xfId="0" applyFill="1" applyBorder="1" applyAlignment="1">
      <alignment horizontal="left"/>
    </xf>
    <xf numFmtId="0" fontId="0" fillId="16" borderId="1" xfId="0" applyFill="1" applyBorder="1"/>
    <xf numFmtId="14" fontId="0" fillId="16" borderId="1" xfId="0" applyNumberFormat="1" applyFill="1" applyBorder="1"/>
    <xf numFmtId="0" fontId="0" fillId="16" borderId="1" xfId="0" applyFill="1" applyBorder="1" applyAlignment="1">
      <alignment horizontal="left"/>
    </xf>
    <xf numFmtId="2" fontId="0" fillId="16" borderId="1" xfId="0" applyNumberFormat="1" applyFill="1" applyBorder="1"/>
    <xf numFmtId="0" fontId="0" fillId="16" borderId="0" xfId="0" applyFill="1"/>
    <xf numFmtId="14" fontId="0" fillId="6" borderId="1" xfId="0" applyNumberFormat="1" applyFill="1" applyBorder="1"/>
    <xf numFmtId="0" fontId="0" fillId="6" borderId="1" xfId="0" applyFill="1" applyBorder="1" applyAlignment="1">
      <alignment horizontal="left"/>
    </xf>
    <xf numFmtId="4" fontId="0" fillId="0" borderId="1" xfId="0" applyNumberFormat="1" applyBorder="1"/>
  </cellXfs>
  <cellStyles count="3">
    <cellStyle name="Millares" xfId="1" builtinId="3"/>
    <cellStyle name="Moneda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66"/>
      <color rgb="FF66CCFF"/>
      <color rgb="FFB0FE02"/>
      <color rgb="FF50E41C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34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microsoft.com/office/2017/10/relationships/person" Target="persons/person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microsoft.com/office/2017/10/relationships/person" Target="persons/person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microsoft.com/office/2017/10/relationships/person" Target="persons/person0.xml"/><Relationship Id="rId36" Type="http://schemas.microsoft.com/office/2017/10/relationships/person" Target="persons/person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35" Type="http://schemas.microsoft.com/office/2017/10/relationships/person" Target="persons/person.xml"/><Relationship Id="rId30" Type="http://schemas.microsoft.com/office/2017/10/relationships/person" Target="persons/person7.xml"/><Relationship Id="rId27" Type="http://schemas.microsoft.com/office/2017/10/relationships/person" Target="persons/person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M" refreshedDate="45200.741965740737" createdVersion="8" refreshedVersion="8" minRefreshableVersion="3" recordCount="124" xr:uid="{D17840D9-E95E-49BC-90E6-3F25BFD95413}">
  <cacheSource type="worksheet">
    <worksheetSource ref="A1:S125" sheet="2022-25"/>
  </cacheSource>
  <cacheFields count="19">
    <cacheField name="COMPRA" numFmtId="0">
      <sharedItems/>
    </cacheField>
    <cacheField name="FECHA" numFmtId="14">
      <sharedItems containsSemiMixedTypes="0" containsNonDate="0" containsDate="1" containsString="0" minDate="2019-08-02T00:00:00" maxDate="2023-09-23T00:00:00" count="98">
        <d v="2019-08-02T00:00:00"/>
        <d v="2020-06-29T00:00:00"/>
        <d v="2020-06-28T00:00:00"/>
        <d v="2020-08-28T00:00:00"/>
        <d v="2020-07-09T00:00:00"/>
        <d v="2020-11-18T00:00:00"/>
        <d v="2021-06-16T00:00:00"/>
        <d v="2021-06-30T00:00:00"/>
        <d v="2021-07-20T00:00:00"/>
        <d v="2021-09-10T00:00:00"/>
        <d v="2021-08-19T00:00:00"/>
        <d v="2021-10-20T00:00:00"/>
        <d v="2021-11-17T00:00:00"/>
        <d v="2021-11-11T00:00:00"/>
        <d v="2021-10-27T00:00:00"/>
        <d v="2021-10-14T00:00:00"/>
        <d v="2022-01-05T00:00:00"/>
        <d v="2022-01-27T00:00:00"/>
        <d v="2022-03-02T00:00:00"/>
        <d v="2022-02-11T00:00:00"/>
        <d v="2022-01-04T00:00:00"/>
        <d v="2022-01-11T00:00:00"/>
        <d v="2022-01-12T00:00:00"/>
        <d v="2022-01-13T00:00:00"/>
        <d v="2022-01-20T00:00:00"/>
        <d v="2022-02-02T00:00:00"/>
        <d v="2022-02-25T00:00:00"/>
        <d v="2022-02-07T00:00:00"/>
        <d v="2022-04-01T00:00:00"/>
        <d v="2022-03-23T00:00:00"/>
        <d v="2022-01-19T00:00:00"/>
        <d v="2021-07-01T00:00:00"/>
        <d v="2022-04-04T00:00:00"/>
        <d v="2022-05-25T00:00:00"/>
        <d v="2022-06-01T00:00:00"/>
        <d v="2022-06-15T00:00:00"/>
        <d v="2022-04-05T00:00:00"/>
        <d v="2022-04-07T00:00:00"/>
        <d v="2022-04-12T00:00:00"/>
        <d v="2022-04-27T00:00:00"/>
        <d v="2022-04-28T00:00:00"/>
        <d v="2022-05-12T00:00:00"/>
        <d v="2022-05-24T00:00:00"/>
        <d v="2022-05-31T00:00:00"/>
        <d v="2022-06-21T00:00:00"/>
        <d v="2022-06-23T00:00:00"/>
        <d v="2022-06-27T00:00:00"/>
        <d v="2022-08-10T00:00:00"/>
        <d v="2022-09-06T00:00:00"/>
        <d v="2022-08-12T00:00:00"/>
        <d v="2022-08-03T00:00:00"/>
        <d v="2022-07-12T00:00:00"/>
        <d v="2022-08-30T00:00:00"/>
        <d v="2022-09-01T00:00:00"/>
        <d v="2022-10-25T00:00:00"/>
        <d v="2022-11-02T00:00:00"/>
        <d v="2022-11-03T00:00:00"/>
        <d v="2022-11-16T00:00:00"/>
        <d v="2022-11-30T00:00:00"/>
        <d v="2022-12-05T00:00:00"/>
        <d v="2022-12-07T00:00:00"/>
        <d v="2022-12-16T00:00:00"/>
        <d v="2022-12-14T00:00:00"/>
        <d v="2022-12-08T00:00:00"/>
        <d v="2022-11-08T00:00:00"/>
        <d v="2022-01-14T00:00:00"/>
        <d v="2023-01-23T00:00:00"/>
        <d v="2023-02-24T00:00:00"/>
        <d v="2023-01-31T00:00:00"/>
        <d v="2023-02-23T00:00:00"/>
        <d v="2023-02-26T00:00:00"/>
        <d v="2023-02-21T00:00:00"/>
        <d v="2023-03-17T00:00:00"/>
        <d v="2023-03-21T00:00:00"/>
        <d v="2023-03-29T00:00:00"/>
        <d v="2023-04-12T00:00:00"/>
        <d v="2023-04-20T00:00:00"/>
        <d v="2023-04-25T00:00:00"/>
        <d v="2023-05-25T00:00:00"/>
        <d v="2023-07-03T00:00:00"/>
        <d v="2023-06-01T00:00:00"/>
        <d v="2023-05-10T00:00:00"/>
        <d v="2023-06-27T00:00:00"/>
        <d v="2023-04-04T00:00:00"/>
        <d v="2023-04-27T00:00:00"/>
        <d v="2023-06-21T00:00:00"/>
        <d v="2023-05-12T00:00:00"/>
        <d v="2023-07-31T00:00:00"/>
        <d v="2023-08-28T00:00:00"/>
        <d v="2023-09-22T00:00:00"/>
        <d v="2023-09-19T00:00:00"/>
        <d v="2023-07-24T00:00:00"/>
        <d v="2023-07-27T00:00:00"/>
        <d v="2023-08-03T00:00:00"/>
        <d v="2023-08-25T00:00:00"/>
        <d v="2023-08-31T00:00:00"/>
        <d v="2023-07-05T00:00:00"/>
        <d v="2023-09-20T00:00:00"/>
      </sharedItems>
    </cacheField>
    <cacheField name="FACTURA" numFmtId="0">
      <sharedItems containsMixedTypes="1" containsNumber="1" containsInteger="1" minValue="23010" maxValue="2310452410"/>
    </cacheField>
    <cacheField name="PROVEEDOR-CLIENTE" numFmtId="0">
      <sharedItems/>
    </cacheField>
    <cacheField name="CIF-DNI" numFmtId="0">
      <sharedItems/>
    </cacheField>
    <cacheField name="MODELO" numFmtId="0">
      <sharedItems/>
    </cacheField>
    <cacheField name="MATRICULA" numFmtId="0">
      <sharedItems/>
    </cacheField>
    <cacheField name="BASE" numFmtId="0">
      <sharedItems containsString="0" containsBlank="1" containsNumber="1" minValue="200" maxValue="20350"/>
    </cacheField>
    <cacheField name="IVA 21%" numFmtId="0">
      <sharedItems containsString="0" containsBlank="1" containsNumber="1" minValue="902.47920000000011" maxValue="3245.4554999999996"/>
    </cacheField>
    <cacheField name="EXENTO" numFmtId="0">
      <sharedItems containsBlank="1"/>
    </cacheField>
    <cacheField name="TOTAL" numFmtId="0">
      <sharedItems containsSemiMixedTypes="0" containsString="0" containsNumber="1" minValue="100" maxValue="27900"/>
    </cacheField>
    <cacheField name="informe" numFmtId="0">
      <sharedItems containsBlank="1"/>
    </cacheField>
    <cacheField name="Forma Pago" numFmtId="0">
      <sharedItems containsBlank="1"/>
    </cacheField>
    <cacheField name="Fecha Pago" numFmtId="0">
      <sharedItems containsNonDate="0" containsString="0" containsBlank="1"/>
    </cacheField>
    <cacheField name="Fecha Real" numFmtId="0">
      <sharedItems containsNonDate="0" containsString="0" containsBlank="1"/>
    </cacheField>
    <cacheField name="OBSERVACION" numFmtId="0">
      <sharedItems containsBlank="1"/>
    </cacheField>
    <cacheField name="ENVIO" numFmtId="0">
      <sharedItems containsDate="1" containsBlank="1" containsMixedTypes="1" minDate="2019-10-08T00:00:00" maxDate="2023-07-09T00:00:00"/>
    </cacheField>
    <cacheField name="VISADO" numFmtId="0">
      <sharedItems containsBlank="1"/>
    </cacheField>
    <cacheField name="347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s v="COMPRA"/>
    <x v="0"/>
    <s v="RB/96/2019"/>
    <s v="MAPFRE Automoción S.A."/>
    <s v="A31746688"/>
    <s v="VOLKSWAGEN PASSAT"/>
    <s v="5566-GDN"/>
    <m/>
    <m/>
    <s v="REBU"/>
    <n v="1000"/>
    <s v="Mandado a Desguace"/>
    <s v="TF bankia 2/8/2019"/>
    <m/>
    <m/>
    <s v="2019 3T"/>
    <d v="2019-10-08T00:00:00"/>
    <s v="SI"/>
    <m/>
  </r>
  <r>
    <s v="COMPRA"/>
    <x v="1"/>
    <s v="RB/62/2020"/>
    <s v="MAPFRE Automoción S.A."/>
    <s v="A31746688"/>
    <s v="YAMAHA D´LIGHT"/>
    <s v="8991-JVX"/>
    <m/>
    <m/>
    <s v="REBU"/>
    <n v="800"/>
    <s v="VENDIDO 2022"/>
    <m/>
    <m/>
    <m/>
    <s v="2020 2T"/>
    <s v="ENVIADO"/>
    <m/>
    <m/>
  </r>
  <r>
    <s v="COMPRA"/>
    <x v="2"/>
    <s v="RB/55/2020"/>
    <s v="MAPFRE Automoción S.A."/>
    <s v="A31746688"/>
    <s v="KEEWAY RKS"/>
    <s v="4569-KDS"/>
    <m/>
    <m/>
    <s v="REBU"/>
    <n v="250"/>
    <s v="VENDIDO 2022"/>
    <m/>
    <m/>
    <m/>
    <s v="2020 2T"/>
    <s v="ENVIADO"/>
    <m/>
    <m/>
  </r>
  <r>
    <s v="COMPRA"/>
    <x v="2"/>
    <s v="RB/53/2020"/>
    <s v="MAPFRE Automoción S.A."/>
    <s v="A31746688"/>
    <s v="BMW X5"/>
    <s v="4885-JSV"/>
    <m/>
    <m/>
    <s v="REBU"/>
    <n v="1300"/>
    <s v="VENDIDO 2022"/>
    <m/>
    <m/>
    <m/>
    <s v="2020 2T"/>
    <s v="ENVIADO"/>
    <m/>
    <m/>
  </r>
  <r>
    <s v="COMPRA"/>
    <x v="3"/>
    <s v="RB/103/2020"/>
    <s v="MAPFRE Automoción S.A."/>
    <s v="A31746688"/>
    <s v="YAMAHA YP"/>
    <s v="3107-GXL"/>
    <m/>
    <m/>
    <s v="REBU"/>
    <n v="150"/>
    <s v="VENDIDO 2022"/>
    <m/>
    <m/>
    <m/>
    <s v="2020 3T"/>
    <s v="ENVIADO"/>
    <m/>
    <m/>
  </r>
  <r>
    <s v="COMPRA"/>
    <x v="4"/>
    <s v="RB/76/2020"/>
    <s v="MAPFRE Automoción S.A."/>
    <s v="A31746688"/>
    <s v="LEXUS RX 450H"/>
    <s v="5149-HMK"/>
    <m/>
    <m/>
    <s v="REBU"/>
    <n v="2000"/>
    <m/>
    <m/>
    <m/>
    <m/>
    <s v="2020 3T"/>
    <s v="ENVIADO"/>
    <m/>
    <m/>
  </r>
  <r>
    <s v="COMPRA"/>
    <x v="3"/>
    <s v="RB/101/2020"/>
    <s v="MAPFRE Automoción S.A."/>
    <s v="A31746688"/>
    <s v="SYM SYMPHONY"/>
    <s v="6379-HDJ"/>
    <m/>
    <m/>
    <s v="REBU"/>
    <n v="150"/>
    <m/>
    <m/>
    <m/>
    <m/>
    <s v="2020 3T"/>
    <s v="ENVIADO"/>
    <m/>
    <m/>
  </r>
  <r>
    <s v="COMPRA"/>
    <x v="3"/>
    <s v="RB/96/2020"/>
    <s v="MAPFRE Automoción S.A."/>
    <s v="A31746688"/>
    <s v="HONDA MOTOS PS"/>
    <s v="9327-GPG"/>
    <m/>
    <m/>
    <s v="REBU"/>
    <n v="150"/>
    <s v="VENDIDO 2022"/>
    <m/>
    <m/>
    <m/>
    <s v="2020 3T"/>
    <s v="ENVIADO"/>
    <m/>
    <m/>
  </r>
  <r>
    <s v="COMPRA"/>
    <x v="5"/>
    <s v="RB/134/2020"/>
    <s v="MAPFRE Automoción S.A."/>
    <s v="A31746688"/>
    <s v="AUDI Q5 2.0"/>
    <s v="8974-GMV"/>
    <m/>
    <m/>
    <s v="REBU"/>
    <n v="1500"/>
    <s v="VENDIDO 2022"/>
    <m/>
    <m/>
    <m/>
    <s v="2020 4T"/>
    <d v="2021-01-11T00:00:00"/>
    <m/>
    <m/>
  </r>
  <r>
    <s v="COMPRA"/>
    <x v="6"/>
    <s v="RB/77/2021"/>
    <s v="MAPFRE Automoción S.A."/>
    <s v="A31746688"/>
    <s v="VOLVO V50"/>
    <s v="8734-HFP"/>
    <m/>
    <m/>
    <s v="REBU"/>
    <n v="1400"/>
    <s v="VENDIDO 2022"/>
    <s v="tf. Caixa 16/6/2021"/>
    <m/>
    <m/>
    <s v="2021 2T"/>
    <d v="2021-06-30T00:00:00"/>
    <s v="SI"/>
    <m/>
  </r>
  <r>
    <s v="COMPRA"/>
    <x v="7"/>
    <s v="RB/84/2021"/>
    <s v="MAPFRE Automoción S.A."/>
    <s v="A31746688"/>
    <s v="KIA RIO"/>
    <s v="0582-KFT"/>
    <m/>
    <m/>
    <s v="REBU"/>
    <n v="4800"/>
    <s v="VENDIDO 2022"/>
    <s v="tf. Santander 30/6/20"/>
    <m/>
    <m/>
    <s v="2021 2T"/>
    <d v="2021-06-30T00:00:00"/>
    <s v="SI"/>
    <m/>
  </r>
  <r>
    <s v="COMPRA"/>
    <x v="8"/>
    <s v="RB/87/2021"/>
    <s v="MAPFRE Automoción S.A."/>
    <s v="A31746688"/>
    <s v="FORD KUGA"/>
    <s v="9197-KGM"/>
    <m/>
    <m/>
    <s v="REBU"/>
    <n v="11500"/>
    <s v="VENDIDO 2022"/>
    <s v="caixa 20/7/21"/>
    <m/>
    <m/>
    <s v="2021 3t"/>
    <d v="2021-10-05T00:00:00"/>
    <s v="SI"/>
    <m/>
  </r>
  <r>
    <s v="COMPRA"/>
    <x v="9"/>
    <s v="RB/114/2021"/>
    <s v="MAPFRE Automoción S.A."/>
    <s v="A31746688"/>
    <s v="TOYOTA AVENSIS"/>
    <s v="4522-HCM"/>
    <m/>
    <m/>
    <s v="REBU"/>
    <n v="3000"/>
    <s v="VENDIDO 2022"/>
    <s v="santander 12/9/21"/>
    <m/>
    <m/>
    <s v="2021 3t"/>
    <d v="2021-10-05T00:00:00"/>
    <s v="SI"/>
    <m/>
  </r>
  <r>
    <s v="COMPRA"/>
    <x v="10"/>
    <s v="F10002466"/>
    <s v="Quiles Concesionaros I, S.L.U."/>
    <s v="B83663625"/>
    <s v="AUDI Q7"/>
    <s v="4780-DYH"/>
    <m/>
    <m/>
    <s v="REBU"/>
    <n v="6850"/>
    <m/>
    <s v="tf. Caixa 19/8/2021"/>
    <m/>
    <m/>
    <s v="2021 3t"/>
    <d v="2021-10-05T00:00:00"/>
    <m/>
    <m/>
  </r>
  <r>
    <s v="COMPRA"/>
    <x v="11"/>
    <s v="RB/128/2021"/>
    <s v="MAPFRE Automoción S.A."/>
    <s v="A31746688"/>
    <s v="FORD MUSTANG GT"/>
    <s v="1633-GJK"/>
    <m/>
    <m/>
    <s v="REBU"/>
    <n v="1800"/>
    <s v="VENDIDO 2022"/>
    <s v="santander 21/10/21"/>
    <m/>
    <m/>
    <s v="2021 4T"/>
    <d v="2021-12-03T00:00:00"/>
    <s v="SI"/>
    <m/>
  </r>
  <r>
    <s v="COMPRA"/>
    <x v="12"/>
    <s v="RB/139/2021"/>
    <s v="MAPFRE Automoción S.A."/>
    <s v="A31746688"/>
    <s v="HYUNDAI I30"/>
    <s v="1489-JDP"/>
    <m/>
    <m/>
    <s v="REBU"/>
    <n v="5600"/>
    <s v="VENDIDO 2022"/>
    <s v="tf. Caixa 18/11/21"/>
    <m/>
    <m/>
    <s v="2021 4T"/>
    <d v="2021-12-03T00:00:00"/>
    <s v="SI"/>
    <m/>
  </r>
  <r>
    <s v="COMPRA"/>
    <x v="13"/>
    <s v="RB/135/2021"/>
    <s v="MAPFRE Automoción S.A."/>
    <s v="A31746688"/>
    <s v="MERCEDES-BENZ SPRINTER"/>
    <s v="3372-HVB"/>
    <m/>
    <m/>
    <s v="REBU"/>
    <n v="6000"/>
    <s v="VENDIDO 2022"/>
    <s v="tf. Santander 11/11/21"/>
    <m/>
    <m/>
    <s v="2021 4T"/>
    <d v="2021-12-03T00:00:00"/>
    <m/>
    <m/>
  </r>
  <r>
    <s v="COMPRA"/>
    <x v="14"/>
    <s v="RB/130/2021"/>
    <s v="MAPFRE Automoción S.A."/>
    <s v="A31746688"/>
    <s v="BMW X5 3.0"/>
    <s v="3166-FMS"/>
    <m/>
    <m/>
    <s v="REBU"/>
    <n v="2000"/>
    <s v="VENDIDO 2022"/>
    <s v="tf. Santander 27/10/21"/>
    <m/>
    <m/>
    <s v="2021 4T"/>
    <d v="2021-12-03T00:00:00"/>
    <m/>
    <m/>
  </r>
  <r>
    <s v="COMPRA"/>
    <x v="15"/>
    <s v="RB/124/2021"/>
    <s v="MAPFRE Automoción S.A."/>
    <s v="A31746688"/>
    <s v="FORD FOCUS"/>
    <s v="5820-FZL"/>
    <m/>
    <m/>
    <s v="REBU"/>
    <n v="1500"/>
    <s v="VENDIDO 2022"/>
    <s v="tf. Caixa 14/10/21"/>
    <m/>
    <m/>
    <s v="2021 4T"/>
    <d v="2021-12-03T00:00:00"/>
    <s v="SI"/>
    <m/>
  </r>
  <r>
    <s v="COMPRA"/>
    <x v="15"/>
    <s v="RB/126/2021"/>
    <s v="MAPFRE Automoción S.A."/>
    <s v="A31746688"/>
    <s v="TOYOTA COROLLA"/>
    <s v="3089-FYB"/>
    <m/>
    <m/>
    <s v="REBU"/>
    <n v="2000"/>
    <s v="VENDIDO 2022"/>
    <m/>
    <m/>
    <m/>
    <s v="2021 4T"/>
    <d v="2022-01-19T00:00:00"/>
    <m/>
    <m/>
  </r>
  <r>
    <s v="COMPRA"/>
    <x v="16"/>
    <s v="RB/2/2022"/>
    <s v="MAPFRE Automoción S.A."/>
    <s v="A31746688"/>
    <s v="FIAT ABARTH 500C"/>
    <s v="0632-HFD"/>
    <m/>
    <m/>
    <s v="REBU"/>
    <n v="4000"/>
    <s v="VENDIDO 2022"/>
    <s v="tf. Santander 10/1/22"/>
    <m/>
    <m/>
    <s v="2022 1T"/>
    <d v="2022-03-18T00:00:00"/>
    <s v="SI"/>
    <m/>
  </r>
  <r>
    <s v="COMPRA"/>
    <x v="16"/>
    <s v="RB/3/2022"/>
    <s v="MAPFRE Automoción S.A."/>
    <s v="A31746688"/>
    <s v="VOLKSWAGEN POLO"/>
    <s v="3794-JPK"/>
    <m/>
    <m/>
    <s v="REBU"/>
    <n v="4700"/>
    <s v="VENDIDO 2022"/>
    <s v="tf. Santander 10/1/22"/>
    <m/>
    <m/>
    <s v="2022 1T"/>
    <d v="2022-03-18T00:00:00"/>
    <m/>
    <m/>
  </r>
  <r>
    <s v="COMPRA"/>
    <x v="17"/>
    <s v="RB/12/2022"/>
    <s v="MAPFRE Automoción S.A."/>
    <s v="A31746688"/>
    <s v="TOYOTA AURIS"/>
    <s v="4776-JXW"/>
    <m/>
    <m/>
    <s v="REBU"/>
    <n v="9500"/>
    <s v="VENDIDO 2022"/>
    <s v="TF. CAIXA"/>
    <m/>
    <m/>
    <s v="2022 1T"/>
    <d v="2022-03-18T00:00:00"/>
    <m/>
    <m/>
  </r>
  <r>
    <s v="COMPRA"/>
    <x v="18"/>
    <s v="RB/30/2022"/>
    <s v="MAPFRE Automoción S.A."/>
    <s v="A31746688"/>
    <s v="PEUGEOT 5008"/>
    <s v="9892-KBX"/>
    <m/>
    <m/>
    <s v="REBU"/>
    <n v="16500"/>
    <s v="VENDIDO 2022"/>
    <s v="tf. Santander 2/3/22"/>
    <m/>
    <m/>
    <s v="2022 1T"/>
    <d v="2022-03-18T00:00:00"/>
    <s v="SI"/>
    <m/>
  </r>
  <r>
    <s v="COMPRA"/>
    <x v="19"/>
    <s v="220211161000011"/>
    <s v="Soluciones de Renting y Movilidad, S.L.U.(Sabadell Renting)"/>
    <s v="B60854932"/>
    <s v="SKODA FABIA"/>
    <s v="0582-KGW"/>
    <n v="7190.08"/>
    <n v="1509.9168"/>
    <m/>
    <n v="8699.9968000000008"/>
    <s v="VENDIDO 2023"/>
    <s v="TF. CAIXA 9/2/22"/>
    <m/>
    <m/>
    <s v="2022 1T"/>
    <d v="2022-03-18T00:00:00"/>
    <m/>
    <m/>
  </r>
  <r>
    <s v="VENTA"/>
    <x v="20"/>
    <s v="FRA 22001"/>
    <s v="OSCAR JOAQUIN GODIA GUTIERREZ"/>
    <s v="50703581-N"/>
    <s v="BMW X5"/>
    <s v="4885-JSV"/>
    <m/>
    <m/>
    <s v="REBU"/>
    <n v="3000"/>
    <s v="comprado a mapfre 28/6/20"/>
    <m/>
    <m/>
    <m/>
    <s v="2022 1T"/>
    <d v="2022-03-18T00:00:00"/>
    <m/>
    <m/>
  </r>
  <r>
    <s v="VENTA"/>
    <x v="21"/>
    <s v="FRA 22002"/>
    <s v="FRANCISCO JAVIER SANCHEZ ROMERO"/>
    <s v="52977406-B"/>
    <s v="FORD KUGA"/>
    <s v="9197-KGM"/>
    <m/>
    <m/>
    <s v="REBU"/>
    <n v="18495"/>
    <s v="comprado a mapfre 20/7/21"/>
    <m/>
    <m/>
    <m/>
    <s v="2022 1T"/>
    <d v="2022-03-18T00:00:00"/>
    <m/>
    <m/>
  </r>
  <r>
    <s v="VENTA"/>
    <x v="22"/>
    <s v="FRA 22003"/>
    <s v="FERRAN MARTINEZ MEDINA"/>
    <s v="23821794-G"/>
    <s v="KIA RIO"/>
    <s v="0582-KFT"/>
    <m/>
    <m/>
    <s v="REBU"/>
    <n v="9495"/>
    <s v="comprado a mapfre 30/6/21"/>
    <m/>
    <m/>
    <m/>
    <s v="2022 1T"/>
    <d v="2022-03-18T00:00:00"/>
    <m/>
    <m/>
  </r>
  <r>
    <s v="VENTA"/>
    <x v="23"/>
    <s v="FRA 22004"/>
    <s v="NINEVEST, S.L."/>
    <s v="B88620661"/>
    <s v="VOLVO V50"/>
    <s v="8734-HFP"/>
    <m/>
    <m/>
    <s v="REBU"/>
    <n v="7995"/>
    <s v="comprado a mapfre 16/6/21"/>
    <m/>
    <m/>
    <m/>
    <s v="2022 1T"/>
    <d v="2022-03-18T00:00:00"/>
    <m/>
    <m/>
  </r>
  <r>
    <s v="VENTA"/>
    <x v="24"/>
    <s v="FRA 22005"/>
    <s v="JOSE LUIS RUIZ ADAME"/>
    <s v="51361697-Y"/>
    <s v="HONDA MOTOS PS"/>
    <s v="9327-GPG"/>
    <m/>
    <m/>
    <s v="REBU"/>
    <n v="800"/>
    <s v="comprado a mapfre 28/8/20"/>
    <m/>
    <m/>
    <m/>
    <s v="2022 1T"/>
    <d v="2022-03-18T00:00:00"/>
    <m/>
    <m/>
  </r>
  <r>
    <s v="VENTA"/>
    <x v="25"/>
    <s v="FRA 22006"/>
    <s v="JOSE MANUEL REGO RODRIGUEZ"/>
    <s v="52992706-Q"/>
    <s v="KEEWAY RKS"/>
    <s v="4569-KDS"/>
    <m/>
    <m/>
    <s v="REBU"/>
    <n v="100"/>
    <s v="comprado a mapfre 28/6/20"/>
    <m/>
    <m/>
    <m/>
    <s v="2022 1T"/>
    <d v="2022-03-18T00:00:00"/>
    <m/>
    <m/>
  </r>
  <r>
    <s v="VENTA"/>
    <x v="25"/>
    <s v="FRA 22007"/>
    <s v="JOSE MANUEL REGO RODRIGUEZ"/>
    <s v="52992706-Q"/>
    <s v="YAMAHA YP"/>
    <s v="3107-GXL"/>
    <m/>
    <m/>
    <s v="REBU"/>
    <n v="100"/>
    <s v="comprado a mpafre 28/8/20"/>
    <m/>
    <m/>
    <m/>
    <s v="2022 1T"/>
    <d v="2022-03-18T00:00:00"/>
    <m/>
    <m/>
  </r>
  <r>
    <s v="VENTA"/>
    <x v="26"/>
    <s v="FRA 22009"/>
    <s v="SUSANA HIDALGO SOLERA"/>
    <s v="52123741-Z"/>
    <s v="TOYOTA AURIS"/>
    <s v="4776-JXW"/>
    <m/>
    <m/>
    <s v="REBU"/>
    <n v="13995"/>
    <s v="comprado a mapfre 27/1/22"/>
    <s v="tf. 21/02/2022 santander consumer"/>
    <m/>
    <m/>
    <s v="2022 1T"/>
    <d v="2022-03-18T00:00:00"/>
    <m/>
    <m/>
  </r>
  <r>
    <s v="VENTA"/>
    <x v="27"/>
    <s v="FRA 22008"/>
    <s v="AUXIBIO CABRERO VARELA"/>
    <s v="00384510-L"/>
    <s v="FORD MUSTANG GT"/>
    <s v="1633-GJK"/>
    <m/>
    <m/>
    <s v="REBU"/>
    <n v="2800"/>
    <s v="comprado a mapfre 20/10/21"/>
    <m/>
    <m/>
    <m/>
    <s v="2022 1T"/>
    <d v="2022-03-18T00:00:00"/>
    <m/>
    <m/>
  </r>
  <r>
    <s v="VENTA"/>
    <x v="28"/>
    <s v="FRA 22010"/>
    <s v="REBECA PRADES GARCIA"/>
    <s v="19003544-R"/>
    <s v="PEUGEOT 5008"/>
    <s v="9892-KBX"/>
    <m/>
    <m/>
    <s v="REBU"/>
    <n v="27900"/>
    <s v="comprado a mapfre 2/3/22"/>
    <m/>
    <m/>
    <m/>
    <s v="2022 2T"/>
    <s v="perdido"/>
    <m/>
    <m/>
  </r>
  <r>
    <s v="COMPRA"/>
    <x v="29"/>
    <s v="RB/39/2022"/>
    <s v="MAPFRE Automoción S.A."/>
    <s v="A31746688"/>
    <s v="CITROËN JUMPER"/>
    <s v="2053-KFB"/>
    <m/>
    <m/>
    <s v="REBU"/>
    <n v="11000"/>
    <s v="VENDIDO 2022"/>
    <s v="TF. CAIXA"/>
    <m/>
    <m/>
    <s v="2022 2T"/>
    <s v="perdido"/>
    <m/>
    <m/>
  </r>
  <r>
    <s v="COMPRA"/>
    <x v="30"/>
    <s v="RB/10/2022"/>
    <s v="MAPFRE Automoción S.A."/>
    <s v="A31746688"/>
    <s v="PEUGEOT PARTNER"/>
    <s v="0555-KGL"/>
    <m/>
    <m/>
    <s v="REBU"/>
    <n v="6100"/>
    <s v="VENDIDO 2022"/>
    <s v="TF. CAIXA"/>
    <m/>
    <m/>
    <s v="2022 2T"/>
    <s v="perdido"/>
    <m/>
    <m/>
  </r>
  <r>
    <s v="COMPRA"/>
    <x v="31"/>
    <s v="particular"/>
    <s v="Mª ANGUSTIAS RODRÍGUEZ SANZ"/>
    <s v="06520181A"/>
    <s v="AUDIA A3"/>
    <s v="5990-GYY"/>
    <m/>
    <m/>
    <s v="REBU"/>
    <n v="1300"/>
    <s v="VENDIDO 2022"/>
    <m/>
    <m/>
    <m/>
    <s v="2022 2T"/>
    <s v="perdido"/>
    <m/>
    <m/>
  </r>
  <r>
    <s v="COMPRA"/>
    <x v="26"/>
    <s v="particular"/>
    <s v="JUAN ANTONIO RODRÍGUEZ GARCIA"/>
    <s v="50447829C"/>
    <s v="DACIA SANDERO"/>
    <s v="8795-JLL"/>
    <m/>
    <m/>
    <s v="REBU"/>
    <n v="4000"/>
    <s v="VENDIDO 2022"/>
    <m/>
    <m/>
    <m/>
    <s v="2022 2T"/>
    <s v="perdido"/>
    <m/>
    <m/>
  </r>
  <r>
    <s v="COMPRA"/>
    <x v="32"/>
    <s v="RB/43/2022"/>
    <s v="MAPFRE Automoción S.A."/>
    <s v="A31746688"/>
    <s v="DACIA DOKKER"/>
    <s v="1307-KCJ"/>
    <m/>
    <m/>
    <s v="REBU"/>
    <n v="5000"/>
    <s v="VENDIDO 2022"/>
    <s v="TF. CAIXA"/>
    <m/>
    <m/>
    <s v="2022 2T"/>
    <s v="perdido"/>
    <m/>
    <m/>
  </r>
  <r>
    <s v="COMPRA"/>
    <x v="33"/>
    <s v="RB/61/2022"/>
    <s v="MAPFRE Automoción S.A."/>
    <s v="A31746688"/>
    <s v="MERCEDES-BENZ E E280"/>
    <s v="5539-DYV"/>
    <m/>
    <m/>
    <s v="REBU"/>
    <n v="2200"/>
    <s v="VENDIDO 2023"/>
    <s v="tf. Santander 25/5/22 "/>
    <m/>
    <m/>
    <s v="2022 2T"/>
    <s v="perdido"/>
    <s v="SI"/>
    <m/>
  </r>
  <r>
    <s v="COMPRA"/>
    <x v="33"/>
    <s v="RB/58/2022"/>
    <s v="MAPFRE Automoción S.A."/>
    <s v="A31746688"/>
    <s v="FIAT 500L"/>
    <s v="2995-HSW"/>
    <m/>
    <m/>
    <s v="REBU"/>
    <n v="3500"/>
    <s v="VENDIDO 2022"/>
    <s v="tf. Santander 25/5/22"/>
    <m/>
    <m/>
    <s v="2022 2T"/>
    <s v="perdido"/>
    <m/>
    <m/>
  </r>
  <r>
    <s v="COMPRA"/>
    <x v="33"/>
    <s v="RB/59/2022"/>
    <s v="MAPFRE Automoción S.A."/>
    <s v="A31746688"/>
    <s v="RENAULT CAPTUR TCE"/>
    <s v="9732-JWH"/>
    <m/>
    <m/>
    <s v="REBU"/>
    <n v="11500"/>
    <s v="VENDIDO 2022"/>
    <s v="tf. Santander 25/5/22"/>
    <m/>
    <m/>
    <s v="2022 2T"/>
    <s v="perdido"/>
    <m/>
    <m/>
  </r>
  <r>
    <s v="COMPRA"/>
    <x v="34"/>
    <s v="RB/68/2022"/>
    <s v="MAPFRE Automoción S.A."/>
    <s v="A31746688"/>
    <s v="RENAULT V.I. KANGOO COMBI"/>
    <s v="4415-JVN"/>
    <m/>
    <m/>
    <s v="REBU"/>
    <n v="2000"/>
    <s v="VENDIDO 2022"/>
    <s v="TF. CAIXA"/>
    <m/>
    <m/>
    <s v="2022 2T"/>
    <s v="perdido"/>
    <m/>
    <m/>
  </r>
  <r>
    <s v="COMPRA"/>
    <x v="35"/>
    <s v="RB/70/2022"/>
    <s v="MAPFRE Automoción S.A."/>
    <s v="A31746688"/>
    <s v="FORD TRANSIT TT 350L"/>
    <s v="6599-JTC"/>
    <m/>
    <m/>
    <s v="REBU"/>
    <n v="11000"/>
    <s v="VENDIDO 2022"/>
    <s v="tf. Santander 16/6/22"/>
    <m/>
    <m/>
    <s v="2022 2T"/>
    <s v="perdido"/>
    <m/>
    <m/>
  </r>
  <r>
    <s v="VENTA"/>
    <x v="36"/>
    <s v="FRA 22011"/>
    <s v="JUAN PEDRO BALZQUEZ PERES"/>
    <s v="50965107-M"/>
    <s v="BMW X5"/>
    <s v="3166-FMS"/>
    <m/>
    <m/>
    <s v="REBU"/>
    <n v="2500"/>
    <s v="comprado a mpafre 27/10/21"/>
    <s v="tf. Caixa 5/4/22"/>
    <m/>
    <m/>
    <s v="2022 2T"/>
    <s v="perdido"/>
    <m/>
    <m/>
  </r>
  <r>
    <s v="VENTA"/>
    <x v="37"/>
    <s v="FRA 22012"/>
    <s v="CARLOS ALBEIRO GRACIANO AGUIAR"/>
    <s v="50582550-F"/>
    <s v="HYUNDAI I30"/>
    <s v="1489-JDP"/>
    <m/>
    <m/>
    <s v="REBU"/>
    <n v="8995"/>
    <s v="comprado a mapfre 17/11/21"/>
    <s v="tf. 5/4/2022 santander consumer"/>
    <m/>
    <m/>
    <s v="2022 2T"/>
    <s v="perdido"/>
    <m/>
    <m/>
  </r>
  <r>
    <s v="VENTA"/>
    <x v="38"/>
    <s v="FRA 22013"/>
    <s v="AUXIBIO CABRERO VARELA"/>
    <s v="00384510-L"/>
    <s v="TOYOTA COROLLA"/>
    <s v="3089-FYB"/>
    <m/>
    <m/>
    <s v="REBU"/>
    <n v="5500"/>
    <s v="comprado a mapfre 14/10/21"/>
    <m/>
    <m/>
    <m/>
    <s v="2022 2T"/>
    <s v="perdido"/>
    <m/>
    <m/>
  </r>
  <r>
    <s v="VENTA"/>
    <x v="39"/>
    <s v="FRA 22014"/>
    <s v="AUTOMOCION JOSE LUIS CAR, S.L."/>
    <s v="B01887769"/>
    <s v="AUDIA A3"/>
    <s v="5990-GYY"/>
    <m/>
    <m/>
    <s v="REBU"/>
    <n v="3500"/>
    <s v="comprado a mª agustias rodriguez 1/7/21"/>
    <s v="TF. Santander 28/4/22"/>
    <m/>
    <m/>
    <s v="2022 2T"/>
    <s v="perdido"/>
    <m/>
    <m/>
  </r>
  <r>
    <s v="VENTA"/>
    <x v="40"/>
    <s v="FRA 22015"/>
    <s v="AUTOMOCION JOSE LUIS CAR, S.L."/>
    <s v="B01887769"/>
    <s v="DACIA SANDERO"/>
    <s v="8795-JLL"/>
    <m/>
    <m/>
    <s v="REBU"/>
    <n v="5000"/>
    <s v="comprado a juan antonio rodriguez 25/2/22"/>
    <s v="TF. Santander 29/4/22"/>
    <m/>
    <m/>
    <s v="2022 2T"/>
    <s v="perdido"/>
    <m/>
    <m/>
  </r>
  <r>
    <s v="VENTA"/>
    <x v="41"/>
    <s v="FRA 22016"/>
    <s v="ANTONIO GIRON ALVAREZ"/>
    <s v="A31746688"/>
    <s v="DACIA DOKKER"/>
    <s v="1307-KCJ"/>
    <m/>
    <m/>
    <s v="REBU"/>
    <n v="12995"/>
    <s v="comprado a mapfre 4/4/22"/>
    <s v="tf santander 11/5/22"/>
    <m/>
    <m/>
    <s v="2022 2T"/>
    <s v="perdido"/>
    <m/>
    <m/>
  </r>
  <r>
    <s v="VENTA"/>
    <x v="42"/>
    <s v="FRA 22017"/>
    <s v="AUTOMOCION JOSE LUIS CAR, S.L."/>
    <s v="B01887769"/>
    <s v="AUDI Q5 2.0"/>
    <s v="8974-GMV"/>
    <m/>
    <m/>
    <s v="REBU"/>
    <n v="2000"/>
    <s v="comprado a mapfre 18/11/20"/>
    <s v="tf. Santander 25/5/22"/>
    <m/>
    <m/>
    <s v="2022 2T"/>
    <s v="perdido"/>
    <m/>
    <m/>
  </r>
  <r>
    <s v="VENTA"/>
    <x v="42"/>
    <s v="FRA 22018"/>
    <s v="AUTOMOCION JOSE LUIS CAR, S.L."/>
    <s v="B01887769"/>
    <s v="PEUGEOT PARTNER"/>
    <s v="0555-KGL"/>
    <m/>
    <m/>
    <s v="REBU"/>
    <n v="8500"/>
    <s v="comprado a mapfre 19/1/22"/>
    <s v="tf. Santander 25/5/22"/>
    <m/>
    <m/>
    <s v="2022 2T"/>
    <s v="perdido"/>
    <m/>
    <m/>
  </r>
  <r>
    <s v="VENTA"/>
    <x v="42"/>
    <s v="FRA 22019"/>
    <s v="LUCIA HERGUEDAS MARTIN"/>
    <s v="70267962-H"/>
    <s v="YAMAHA D´LIGHT"/>
    <s v="8991-JVX"/>
    <m/>
    <m/>
    <s v="REBU"/>
    <n v="1395"/>
    <s v="comprado  a mapfre 29/6/20"/>
    <m/>
    <m/>
    <m/>
    <s v="2022 2T"/>
    <s v="perdido"/>
    <m/>
    <m/>
  </r>
  <r>
    <s v="VENTA"/>
    <x v="43"/>
    <s v="FRA 22020"/>
    <s v="AUTOMOCION JOSE LUIS CAR, S.L."/>
    <s v="B01887769"/>
    <s v="CITROËN JUMPER"/>
    <s v="2053-KFB"/>
    <m/>
    <m/>
    <s v="REBU"/>
    <n v="11500"/>
    <s v="comprado a mapfre 23/3/22"/>
    <s v="TF. CAIXA 1/6/22"/>
    <m/>
    <m/>
    <s v="2022 2T"/>
    <s v="perdido"/>
    <m/>
    <m/>
  </r>
  <r>
    <s v="COMPRA"/>
    <x v="35"/>
    <s v="RB/71/2022"/>
    <s v="MAPFRE Automoción S.A."/>
    <s v="A31746688"/>
    <s v="MERCEDES-BENZ SPRINTER"/>
    <s v="8913-GJS"/>
    <m/>
    <m/>
    <s v="REBU"/>
    <n v="2300"/>
    <s v="VENDIDO 2022"/>
    <s v="tf. Santander  21/6/22 "/>
    <m/>
    <m/>
    <s v="2022 2T"/>
    <s v="perdido"/>
    <m/>
    <m/>
  </r>
  <r>
    <s v="VENTA"/>
    <x v="44"/>
    <s v="FRA 22021"/>
    <s v="AUTOMOCION JOSE LUIS CAR, S.L."/>
    <s v="B01887769"/>
    <s v="FIAT ABARTH 500C"/>
    <s v="0632-HFD"/>
    <m/>
    <m/>
    <s v="REBU"/>
    <n v="5000"/>
    <s v="comprado a mapfre 5/1/22"/>
    <s v="TF.CAIXA 22/6/22"/>
    <m/>
    <m/>
    <s v="2022 2T"/>
    <s v="perdido"/>
    <m/>
    <m/>
  </r>
  <r>
    <s v="VENTA"/>
    <x v="45"/>
    <s v="FRA 22022"/>
    <s v="AUTOMOCION JOSE LUIS CAR, S.L."/>
    <s v="B01887769"/>
    <s v="FORD TRANSIT TT 350L"/>
    <s v="6599-JTC"/>
    <m/>
    <m/>
    <s v="REBU"/>
    <n v="11500"/>
    <s v="comprado a mapfre 15/6/22"/>
    <s v="tf. Caixa 24/6/22"/>
    <m/>
    <m/>
    <s v="2022 2T"/>
    <s v="perdido"/>
    <m/>
    <m/>
  </r>
  <r>
    <s v="VENTA"/>
    <x v="46"/>
    <s v="FRA 22023"/>
    <s v="AUTOMOCION JOSE LUIS CAR, S.L."/>
    <s v="B01887769"/>
    <s v="VOLKSWAGEN POLO"/>
    <s v="3794-JPK"/>
    <m/>
    <m/>
    <s v="REBU"/>
    <n v="7900"/>
    <s v="comprado a mapfre 5/1/2022"/>
    <s v="TF. CAIXA 28/6/22"/>
    <m/>
    <m/>
    <s v="2022 2T"/>
    <s v="perdido"/>
    <m/>
    <m/>
  </r>
  <r>
    <s v="COMPRA"/>
    <x v="47"/>
    <s v="RB/89/2022"/>
    <s v="MAPFRE Automoción S.A."/>
    <s v="A31746688"/>
    <s v="VOLKSWAGEN POLO"/>
    <s v="2897-FKF"/>
    <m/>
    <m/>
    <s v="REBU"/>
    <n v="2500"/>
    <s v="VENDIDO 2022"/>
    <s v="TF. CAIXA"/>
    <m/>
    <m/>
    <s v="2022 3T"/>
    <d v="2022-10-11T00:00:00"/>
    <m/>
    <m/>
  </r>
  <r>
    <s v="COMPRA"/>
    <x v="48"/>
    <s v="RB/97/2022"/>
    <s v="MAPFRE Automoción S.A."/>
    <s v="A31746688"/>
    <s v="PEUGEOT 508"/>
    <s v="3113-JDK"/>
    <m/>
    <m/>
    <s v="REBU"/>
    <n v="7000"/>
    <s v="VENDIDO 2022"/>
    <s v="TF. CAIXA"/>
    <m/>
    <m/>
    <s v="2022 3T"/>
    <d v="2022-10-11T00:00:00"/>
    <m/>
    <m/>
  </r>
  <r>
    <s v="COMPRA"/>
    <x v="49"/>
    <s v="RB/92/2022"/>
    <s v="MAPFRE Automoción S.A."/>
    <s v="A31746688"/>
    <s v="NISSAN QASHQAI"/>
    <s v="3916-KGD"/>
    <m/>
    <m/>
    <s v="REBU"/>
    <n v="12000"/>
    <s v="VENDIDO 2022"/>
    <s v="TF. CAIXA"/>
    <m/>
    <m/>
    <s v="2022 3T"/>
    <d v="2022-10-11T00:00:00"/>
    <m/>
    <m/>
  </r>
  <r>
    <s v="COMPRA"/>
    <x v="50"/>
    <s v="RB/83/2022"/>
    <s v="MAPFRE Automoción S.A."/>
    <s v="A31746688"/>
    <s v="HYUNDAI IX35"/>
    <s v="6948-HHY"/>
    <m/>
    <m/>
    <s v="REBU"/>
    <n v="4500"/>
    <s v="VENDIDO 2022"/>
    <s v="TF. CAIXA"/>
    <m/>
    <m/>
    <s v="2022 3T"/>
    <d v="2022-10-11T00:00:00"/>
    <m/>
    <m/>
  </r>
  <r>
    <s v="COMPRA"/>
    <x v="47"/>
    <s v="RB/91/2022"/>
    <s v="MAPFRE Automoción S.A."/>
    <s v="A31746688"/>
    <s v="VOLKSWAGEN TRANSPORTER"/>
    <s v="7435-FDT"/>
    <m/>
    <m/>
    <s v="REBU"/>
    <n v="2000"/>
    <m/>
    <s v="TF. CAIXA"/>
    <m/>
    <m/>
    <s v="2022 3T"/>
    <d v="2022-10-11T00:00:00"/>
    <m/>
    <m/>
  </r>
  <r>
    <s v="VENTA"/>
    <x v="51"/>
    <s v="FRA 22024"/>
    <s v="IONUT DITU"/>
    <s v="X6825152V"/>
    <s v="MERCEDES-BENZ SPRINTER"/>
    <s v="3372-HVB"/>
    <m/>
    <m/>
    <s v="REBU"/>
    <n v="6500"/>
    <s v="comprado a mapfre 11/11/21"/>
    <m/>
    <m/>
    <m/>
    <s v="2022 3T"/>
    <d v="2022-10-11T00:00:00"/>
    <m/>
    <m/>
  </r>
  <r>
    <s v="VENTA"/>
    <x v="52"/>
    <s v="FRA 22025"/>
    <s v="AUTOMOCION JOSE LUIS CAR, S.L."/>
    <s v="B01887769"/>
    <s v="RENAULT V.I. KANGOO COMBI"/>
    <s v="4415-JVN"/>
    <m/>
    <m/>
    <s v="REBU"/>
    <n v="6000"/>
    <s v="comprado a mapfre 1/6/22"/>
    <m/>
    <m/>
    <m/>
    <s v="2022 3T"/>
    <d v="2022-10-11T00:00:00"/>
    <m/>
    <m/>
  </r>
  <r>
    <s v="VENTA"/>
    <x v="53"/>
    <s v="FRA 22026"/>
    <s v="AUTOMOCION JOSE LUIS CAR, S.L."/>
    <s v="B01887769"/>
    <s v="MERCEDES-BENZ SPRINTER"/>
    <s v="8913-GJS"/>
    <m/>
    <m/>
    <s v="REBU"/>
    <n v="9300"/>
    <s v="comprado a mapfre 15/6/22"/>
    <m/>
    <m/>
    <m/>
    <s v="2022 3T"/>
    <d v="2022-10-11T00:00:00"/>
    <m/>
    <m/>
  </r>
  <r>
    <s v="VENTA"/>
    <x v="53"/>
    <s v="FRA 22027"/>
    <s v="AUXIBIO CABRERO VARELA"/>
    <s v="00384510-I"/>
    <s v="TOYOTA AVENSIS"/>
    <s v="4522-HCM"/>
    <m/>
    <m/>
    <s v="REBU"/>
    <n v="8500"/>
    <s v="comprado a mapfre 10/9/21"/>
    <m/>
    <m/>
    <m/>
    <s v="2022 3T"/>
    <d v="2022-10-11T00:00:00"/>
    <m/>
    <m/>
  </r>
  <r>
    <s v="VENTA"/>
    <x v="48"/>
    <s v="FRA 22028"/>
    <s v="MARIA ANTONIA LOPEZ MATEOS"/>
    <s v="00266634-H"/>
    <s v="RENAULT CAPTUR TCE"/>
    <s v="9732-JWH"/>
    <m/>
    <m/>
    <s v="REBU"/>
    <n v="16495"/>
    <s v="comprado a mapfre 25/5/22"/>
    <s v="tf. Caixa Ramon Dios Morena 6/9/2022"/>
    <m/>
    <m/>
    <s v="2022 3T"/>
    <d v="2022-10-11T00:00:00"/>
    <m/>
    <m/>
  </r>
  <r>
    <s v="COMPRA"/>
    <x v="54"/>
    <s v="S420221MA9901493"/>
    <s v="MAPFRE Automoción S.A."/>
    <s v="A31746688"/>
    <s v="NISSAN QASHQAI"/>
    <s v="0034-KYF"/>
    <n v="5785.12"/>
    <n v="1214.8751999999999"/>
    <s v="REBU"/>
    <n v="6999.9951999999994"/>
    <m/>
    <s v="TF. CAIXA 25/10/22"/>
    <m/>
    <m/>
    <s v="2022 4t"/>
    <d v="2022-11-27T00:00:00"/>
    <s v="SI"/>
    <m/>
  </r>
  <r>
    <s v="COMPRA"/>
    <x v="54"/>
    <s v="RB/107/2022"/>
    <s v="MAPFRE Automoción S.A."/>
    <s v="A31746688"/>
    <s v="RENAULT KANGOO"/>
    <s v="3458-JRN"/>
    <m/>
    <m/>
    <s v="REBU"/>
    <n v="4700"/>
    <s v="VENDIDO 2022"/>
    <s v="TF. CAIXA 26/10/22"/>
    <m/>
    <m/>
    <s v="2022 4t"/>
    <d v="2022-11-27T00:00:00"/>
    <s v="SI"/>
    <m/>
  </r>
  <r>
    <s v="VENTA"/>
    <x v="55"/>
    <s v="FRA 22029"/>
    <s v="AUTOMOCION JOSE LUIS CAR, S.L."/>
    <s v="B01887769"/>
    <s v="RENAULT KANGOO"/>
    <s v="3458-JRN"/>
    <m/>
    <m/>
    <s v="REBU"/>
    <n v="6000"/>
    <s v="comprado a Mapfre 25/10/22"/>
    <s v="TF. CAIXA 3/11/22"/>
    <m/>
    <m/>
    <s v="2022 4t"/>
    <d v="2022-11-27T00:00:00"/>
    <s v="SI"/>
    <m/>
  </r>
  <r>
    <s v="VENTA"/>
    <x v="56"/>
    <s v="FRA 22030"/>
    <s v="RAFAEL CHECA GARCIA"/>
    <s v="26186864-F"/>
    <s v="VOLKSWAGEN POLO"/>
    <s v="2897-FKF"/>
    <m/>
    <m/>
    <s v="REBU"/>
    <n v="5000"/>
    <s v="comprado a mapfre 10/8/22"/>
    <m/>
    <m/>
    <m/>
    <s v="2022 4t"/>
    <d v="2022-11-27T00:00:00"/>
    <s v="SI"/>
    <m/>
  </r>
  <r>
    <s v="VENTA"/>
    <x v="57"/>
    <s v="FRA 22031"/>
    <s v="AUXIBIO CABRERO VARELA"/>
    <s v="00384510-L"/>
    <s v="NISSAN QASHQAI"/>
    <s v="3916-KGD"/>
    <m/>
    <m/>
    <s v="REBU"/>
    <n v="12200"/>
    <s v="comprado a mapfre 12/8/22"/>
    <s v="TF. CAIXA 17/11/22"/>
    <m/>
    <m/>
    <s v="2022 4t"/>
    <d v="2022-11-27T00:00:00"/>
    <s v="SI"/>
    <m/>
  </r>
  <r>
    <s v="COMPRA"/>
    <x v="58"/>
    <s v="RB/116/2022"/>
    <s v="MAPFRE Automoción S.A."/>
    <s v="A31746688"/>
    <s v="PEUGEOT RIFTER"/>
    <s v="1021-LBH"/>
    <m/>
    <m/>
    <s v="REBU"/>
    <n v="17000"/>
    <s v="VENDIDO 2023"/>
    <s v="TF. CAIXA 30/11/22"/>
    <m/>
    <m/>
    <s v="2022 4t"/>
    <d v="2023-01-15T00:00:00"/>
    <s v="SI"/>
    <m/>
  </r>
  <r>
    <s v="COMPRA"/>
    <x v="59"/>
    <s v="RB/123/2022"/>
    <s v="MAPFRE Automoción S.A."/>
    <s v="A31746688"/>
    <s v="HONDA MOTOS PCX125"/>
    <s v="4117-JYK"/>
    <m/>
    <m/>
    <s v="REBU"/>
    <n v="800"/>
    <s v="VENDIDO 2023"/>
    <s v="TF. CAIXA 8/12/12"/>
    <m/>
    <m/>
    <s v="2022 4t"/>
    <d v="2023-01-15T00:00:00"/>
    <s v="SI"/>
    <m/>
  </r>
  <r>
    <s v="VENTA"/>
    <x v="60"/>
    <s v="FRA 22032"/>
    <s v="JOHN ALEXANDER HURTADO RODAS"/>
    <s v="50331355H"/>
    <s v="HYUNDAI IX35"/>
    <s v="6948-HHY"/>
    <m/>
    <m/>
    <s v="REBU"/>
    <n v="10495"/>
    <s v="comprado a mapfre 3/8/2022"/>
    <s v="TF. CAIXA 7/12/22 resto efectivo"/>
    <m/>
    <m/>
    <s v="2022 4t"/>
    <d v="2023-01-15T00:00:00"/>
    <s v="SI"/>
    <m/>
  </r>
  <r>
    <s v="COMPRA"/>
    <x v="61"/>
    <s v="RB/126/2022"/>
    <s v="MAPFRE Automoción S.A."/>
    <s v="A31746688"/>
    <s v="RENAULT KADJAR 1.3"/>
    <s v="6633-KVD"/>
    <m/>
    <m/>
    <s v="REBU"/>
    <n v="14300"/>
    <m/>
    <s v="TF. CAIXA 16/12/22"/>
    <m/>
    <m/>
    <s v="2022 4t"/>
    <d v="2023-01-15T00:00:00"/>
    <s v="SI"/>
    <m/>
  </r>
  <r>
    <s v="VENTA"/>
    <x v="62"/>
    <s v="FRA 22034"/>
    <s v="AUXIBIO CABRERO VARELA"/>
    <s v="00384510-L"/>
    <s v="PEUGEOT 508"/>
    <s v="3113-JDK"/>
    <m/>
    <m/>
    <s v="REBU"/>
    <n v="11800"/>
    <s v="comprado a mapfre 6/9/22"/>
    <s v="TF CAIXA 15/12/22"/>
    <m/>
    <m/>
    <s v="2022 4t"/>
    <d v="2023-01-17T00:00:00"/>
    <s v="SI"/>
    <m/>
  </r>
  <r>
    <s v="COMPRA"/>
    <x v="63"/>
    <s v="particular"/>
    <s v="JUAN SANCHEZ FERNANDEZ"/>
    <s v="51567397-V"/>
    <s v="VOLKSWAGEN GOLF"/>
    <s v="M-6072-WJ"/>
    <m/>
    <m/>
    <s v="REBU"/>
    <n v="200"/>
    <s v="VENDIDO 2022"/>
    <m/>
    <m/>
    <m/>
    <s v="2022 4t"/>
    <d v="2023-01-17T00:00:00"/>
    <m/>
    <m/>
  </r>
  <r>
    <s v="VENTA"/>
    <x v="63"/>
    <s v="FRA 22033"/>
    <s v="JOAQUIN MARCOS LOZANO"/>
    <s v="01605229-J"/>
    <s v="VOLKSWAGEN GOLF"/>
    <s v="M-6072-WJ"/>
    <m/>
    <m/>
    <s v="REBU"/>
    <n v="250"/>
    <s v="comprado a juan sanchez 8/12/22"/>
    <m/>
    <m/>
    <m/>
    <s v="2022 4t"/>
    <d v="2023-01-17T00:00:00"/>
    <m/>
    <m/>
  </r>
  <r>
    <s v="COMPRA"/>
    <x v="58"/>
    <s v="S420221MA9901641"/>
    <s v="MAPFRE Automoción S.A."/>
    <s v="A31746688"/>
    <s v="NISSAN QASHQAI"/>
    <s v="1032-KVY"/>
    <n v="5785.12"/>
    <n v="1214.8751999999999"/>
    <m/>
    <n v="6999.9951999999994"/>
    <s v="VENDIDO 2023"/>
    <s v="TF. CAIXA 16/12/22"/>
    <m/>
    <m/>
    <s v="2022 4t"/>
    <d v="2023-01-17T00:00:00"/>
    <s v="SI"/>
    <m/>
  </r>
  <r>
    <s v="COMPRA"/>
    <x v="64"/>
    <s v="particular"/>
    <s v="FELIX MANSILLA ARCOS"/>
    <s v="51375665-J"/>
    <s v="OPEL CORSA"/>
    <s v="6110-KVV"/>
    <m/>
    <m/>
    <s v="REBU"/>
    <n v="8400"/>
    <m/>
    <s v="tf. Caixa 8/11/22"/>
    <m/>
    <m/>
    <s v="2022 4t"/>
    <d v="2023-01-17T00:00:00"/>
    <s v="SI"/>
    <m/>
  </r>
  <r>
    <s v="VENTA"/>
    <x v="65"/>
    <s v="22005-perdida"/>
    <s v="MARIA TERESA SANCHEZ SANCHEZ"/>
    <s v="53004671K"/>
    <s v="FORD FOCUS"/>
    <s v="5820-FZL"/>
    <m/>
    <m/>
    <s v="REBU"/>
    <n v="5700"/>
    <s v="comprado a mapfre 14/10/21"/>
    <m/>
    <m/>
    <m/>
    <s v="2022 4t"/>
    <d v="2023-01-17T00:00:00"/>
    <m/>
    <m/>
  </r>
  <r>
    <s v="VENTA"/>
    <x v="66"/>
    <n v="23010"/>
    <s v="SERGIO ESTEVE RODRIGUEZ"/>
    <s v="02648771-E"/>
    <s v="FIAT 500L"/>
    <s v="2995-HSW"/>
    <m/>
    <m/>
    <s v="REBU"/>
    <n v="5800"/>
    <s v="comprado a mapfre 25/5/22"/>
    <m/>
    <m/>
    <m/>
    <s v="2023 1T"/>
    <d v="2023-03-20T00:00:00"/>
    <m/>
    <m/>
  </r>
  <r>
    <s v="COMPRA"/>
    <x v="67"/>
    <s v="S4202319500000"/>
    <s v="MAPFRE Automoción S.A."/>
    <s v="A31746688"/>
    <s v="SMART FORD TWO"/>
    <s v="7591-CDD"/>
    <n v="300"/>
    <m/>
    <s v="REBU"/>
    <n v="300"/>
    <s v="VENDIDO 2023"/>
    <m/>
    <m/>
    <m/>
    <s v="2023 1T"/>
    <d v="2023-03-20T00:00:00"/>
    <m/>
    <m/>
  </r>
  <r>
    <s v="COMPRA"/>
    <x v="68"/>
    <s v="RB/7/2023"/>
    <s v="MAPFRE Automoción S.A."/>
    <s v="A31746688"/>
    <s v="RENAULT KADJAR"/>
    <s v="4567-KGG"/>
    <n v="9400"/>
    <m/>
    <s v="REBU"/>
    <n v="9400"/>
    <m/>
    <m/>
    <m/>
    <m/>
    <s v="2023 1T"/>
    <d v="2023-03-20T00:00:00"/>
    <m/>
    <m/>
  </r>
  <r>
    <s v="COMPRA"/>
    <x v="69"/>
    <s v="S420231MA9900301"/>
    <s v="MAPFRE Automoción S.A."/>
    <s v="A31746688"/>
    <s v="RENAULT KANGOO"/>
    <s v="0202-KSB"/>
    <n v="3000"/>
    <m/>
    <s v="REBU"/>
    <n v="3000"/>
    <s v="VENDIDO 2023"/>
    <m/>
    <m/>
    <m/>
    <s v="2023 1T"/>
    <d v="2023-03-20T00:00:00"/>
    <m/>
    <m/>
  </r>
  <r>
    <s v="COMPRA"/>
    <x v="70"/>
    <s v="RB/17/2023"/>
    <s v="MAPFRE Automoción S.A."/>
    <s v="A31746688"/>
    <s v="RENAULT TRAFIC"/>
    <s v="4699-JWG"/>
    <n v="8500"/>
    <m/>
    <s v="REBU"/>
    <n v="8500"/>
    <s v="VENDIDO 2023"/>
    <m/>
    <m/>
    <m/>
    <s v="2023 1T"/>
    <d v="2023-03-20T00:00:00"/>
    <m/>
    <m/>
  </r>
  <r>
    <s v="VENTA"/>
    <x v="71"/>
    <n v="23011"/>
    <s v="LUIS RAIMUNDO LEIRIA BOTO BARREIROS"/>
    <s v="Y4315798T"/>
    <s v="SKODA FABIA"/>
    <s v="0582-KGW"/>
    <n v="8409.0909090909099"/>
    <n v="1765.909090909091"/>
    <m/>
    <n v="10175"/>
    <s v="comprado a soluciones de renting 11/2/22"/>
    <m/>
    <m/>
    <m/>
    <s v="2023 1T"/>
    <d v="2023-03-20T00:00:00"/>
    <m/>
    <m/>
  </r>
  <r>
    <s v="VENTA"/>
    <x v="72"/>
    <n v="23012"/>
    <s v="MERIEM SERROUKH"/>
    <s v="Y0341512E"/>
    <s v="NISSAN QASHQAI"/>
    <s v="1032-KVY"/>
    <n v="6198.3471074380168"/>
    <n v="1301.6528925619834"/>
    <m/>
    <n v="7500"/>
    <s v="comprado a mapfre 30/11/22"/>
    <s v="tf. 17/3/23 caixa"/>
    <m/>
    <m/>
    <s v="2023 1T"/>
    <d v="2023-03-20T00:00:00"/>
    <m/>
    <m/>
  </r>
  <r>
    <s v="COMPRA"/>
    <x v="73"/>
    <s v="RB/27/2023"/>
    <s v="MAPFRE Automoción S.A."/>
    <s v="A31746688"/>
    <s v="FORD KUGA"/>
    <s v="5645-JWN"/>
    <n v="10500"/>
    <m/>
    <s v="REBU"/>
    <n v="10500"/>
    <s v="VENDIDO 2023"/>
    <s v="tf. Sabadel 21/3/23"/>
    <m/>
    <m/>
    <s v="2023 1T"/>
    <d v="2023-04-10T00:00:00"/>
    <s v="SI"/>
    <m/>
  </r>
  <r>
    <s v="COMPRA"/>
    <x v="74"/>
    <s v="RB/33/2023"/>
    <s v="MAPFRE Automoción S.A."/>
    <s v="A31746688"/>
    <s v="SUZUKI MOTOS BURGMAN"/>
    <s v="6002-JNH"/>
    <n v="850"/>
    <m/>
    <s v="REBU"/>
    <n v="850"/>
    <m/>
    <s v="tf caixa"/>
    <m/>
    <m/>
    <s v="2023 1T"/>
    <d v="2023-04-10T00:00:00"/>
    <m/>
    <m/>
  </r>
  <r>
    <s v="VENTA"/>
    <x v="73"/>
    <n v="23013"/>
    <s v="VICENTE GONZALEZ DIAZ"/>
    <s v="02071798-G"/>
    <s v="OPEL CORSA"/>
    <s v="6110-KVV"/>
    <m/>
    <m/>
    <s v="REBU"/>
    <n v="12175"/>
    <m/>
    <s v="tf. Sabadell 17/3/2023"/>
    <m/>
    <m/>
    <s v="2023 1T"/>
    <d v="2023-04-10T00:00:00"/>
    <m/>
    <m/>
  </r>
  <r>
    <s v="COMPRA"/>
    <x v="74"/>
    <s v="RB/32/2023"/>
    <s v="MAPFRE Automoción S.A."/>
    <s v="A31746688"/>
    <s v="PIAGGIO VESPA LIBERTY"/>
    <s v="0128-KKZ"/>
    <n v="750"/>
    <m/>
    <s v="REBU"/>
    <n v="750"/>
    <m/>
    <m/>
    <m/>
    <m/>
    <s v="2023 1T"/>
    <d v="2023-04-10T00:00:00"/>
    <m/>
    <m/>
  </r>
  <r>
    <s v="COMPRA"/>
    <x v="75"/>
    <s v="RB/39/2023"/>
    <s v="MAPFRE Automoción S.A."/>
    <s v="A31746688"/>
    <s v="SUZUKI MOTOS BURGMAN"/>
    <s v="2051-HPZ"/>
    <n v="650"/>
    <m/>
    <s v="REBU"/>
    <n v="650"/>
    <m/>
    <m/>
    <m/>
    <m/>
    <s v="2023 2T"/>
    <d v="2023-07-08T00:00:00"/>
    <m/>
    <m/>
  </r>
  <r>
    <s v="COMPRA"/>
    <x v="76"/>
    <s v="RB/44/2023"/>
    <s v="MAPFRE Automoción S.A."/>
    <s v="A31746688"/>
    <s v="BMW SERIE 1"/>
    <s v="1770-GXM"/>
    <n v="2300"/>
    <m/>
    <s v="REBU"/>
    <n v="2300"/>
    <s v="VENDIDO 2023"/>
    <m/>
    <m/>
    <m/>
    <s v="2023 2T"/>
    <d v="2023-07-08T00:00:00"/>
    <m/>
    <m/>
  </r>
  <r>
    <s v="COMPRA"/>
    <x v="77"/>
    <s v="S420231MA9900600"/>
    <s v="MAPFRE Automoción S.A."/>
    <s v="A31746688"/>
    <s v="GOLF EDITION"/>
    <s v="0031-KRG"/>
    <n v="2000"/>
    <m/>
    <s v="REBU"/>
    <n v="2000"/>
    <m/>
    <m/>
    <m/>
    <m/>
    <s v="2023 2T"/>
    <d v="2023-07-08T00:00:00"/>
    <m/>
    <m/>
  </r>
  <r>
    <s v="COMPRA"/>
    <x v="78"/>
    <n v="2307842"/>
    <s v="Volkswagen RENTING, S.A."/>
    <s v="A80185051"/>
    <s v="VOLKSWAGEN CADDY"/>
    <s v="6320-LDB"/>
    <n v="4297.5200000000004"/>
    <n v="902.47920000000011"/>
    <m/>
    <n v="5199.9992000000002"/>
    <s v="VENDIDO 2023"/>
    <m/>
    <m/>
    <m/>
    <s v="2023 2T"/>
    <d v="2023-07-08T00:00:00"/>
    <m/>
    <m/>
  </r>
  <r>
    <s v="COMPRA"/>
    <x v="79"/>
    <n v="2310305528"/>
    <s v="ARVAL SERVICE LEASE S.A.U."/>
    <s v="A81573479"/>
    <s v="DACIA SANDERO"/>
    <s v="1960-LFB"/>
    <n v="4826.45"/>
    <n v="1013.5545"/>
    <m/>
    <n v="5840.0045"/>
    <m/>
    <m/>
    <m/>
    <m/>
    <s v="2023 2T"/>
    <d v="2023-07-08T00:00:00"/>
    <m/>
    <m/>
  </r>
  <r>
    <s v="VENTA"/>
    <x v="80"/>
    <n v="23019"/>
    <s v="JOAQUIN MARCOS LOZANO"/>
    <s v="01605229J"/>
    <s v="SMART FORD TWO"/>
    <s v="7591-CDD"/>
    <n v="350"/>
    <m/>
    <s v="REBU"/>
    <n v="350"/>
    <s v="comprado a mapfre 24/2/2023"/>
    <m/>
    <m/>
    <m/>
    <s v="2023 2T"/>
    <d v="2023-07-08T00:00:00"/>
    <m/>
    <m/>
  </r>
  <r>
    <s v="VENTA"/>
    <x v="81"/>
    <n v="23016"/>
    <s v="DEPLAGA LA MANCHA, S.L."/>
    <s v="B45889631"/>
    <s v="HONDA MOTOS PCX125"/>
    <s v="4117JYK"/>
    <m/>
    <m/>
    <s v="REBU"/>
    <n v="2000"/>
    <s v="comprado a mafpre 5/12/22"/>
    <m/>
    <m/>
    <m/>
    <s v="2023 2T"/>
    <d v="2023-07-08T00:00:00"/>
    <m/>
    <m/>
  </r>
  <r>
    <s v="VENTA"/>
    <x v="82"/>
    <n v="23017"/>
    <s v="CVH PRECAST, S.L."/>
    <s v="B06768873"/>
    <s v="VOLKSWAGEN CADDY"/>
    <s v="6320-LDB"/>
    <n v="7900"/>
    <n v="1659"/>
    <m/>
    <n v="9559"/>
    <s v="comprado a volkswagen 25/5/23"/>
    <m/>
    <m/>
    <m/>
    <s v="2023 2T"/>
    <d v="2023-07-08T00:00:00"/>
    <m/>
    <m/>
  </r>
  <r>
    <s v="VENTA"/>
    <x v="83"/>
    <s v="23013-A"/>
    <s v="FELICIDAD SANZ GONZALEZ"/>
    <s v="46835355H"/>
    <s v="MERCEDES-BENZ E E280"/>
    <s v="5539-DYV"/>
    <m/>
    <m/>
    <s v="REBU"/>
    <n v="6000"/>
    <s v="comprado a mafpre 25/5/22"/>
    <m/>
    <m/>
    <m/>
    <s v="2023 2T"/>
    <d v="2023-07-08T00:00:00"/>
    <m/>
    <m/>
  </r>
  <r>
    <s v="VENTA"/>
    <x v="84"/>
    <n v="23014"/>
    <s v="AUTO OSWALDO SL."/>
    <s v="B11710357"/>
    <s v="RENAULT KANGOO"/>
    <s v="0202-KSB"/>
    <n v="3000"/>
    <m/>
    <s v="REBU"/>
    <n v="9300"/>
    <s v="comprado a mapfre 23/2/23"/>
    <m/>
    <m/>
    <m/>
    <s v="2023 2T"/>
    <d v="2023-07-08T00:00:00"/>
    <m/>
    <m/>
  </r>
  <r>
    <s v="VENTA"/>
    <x v="84"/>
    <n v="23015"/>
    <s v="RUBEN RUIZ TARAVILLO"/>
    <s v="03133243E"/>
    <s v="PEUGEOT RIFTER"/>
    <s v="1021-LBH"/>
    <m/>
    <m/>
    <s v="REBU"/>
    <n v="25500"/>
    <s v="comprado a mapfre 30/11/22"/>
    <m/>
    <m/>
    <m/>
    <s v="2023 2T"/>
    <d v="2023-07-08T00:00:00"/>
    <m/>
    <m/>
  </r>
  <r>
    <s v="COMPRA"/>
    <x v="84"/>
    <s v="RB/48/2023"/>
    <s v="MAPFRE Automoción S.A."/>
    <s v="A31746688"/>
    <s v="NISSAN X-TRAIL"/>
    <s v="4373-KND"/>
    <n v="13000"/>
    <m/>
    <s v="REBU"/>
    <n v="13000"/>
    <s v="VENDIDO 2023"/>
    <m/>
    <m/>
    <m/>
    <s v="2023 2T"/>
    <d v="2023-07-08T00:00:00"/>
    <m/>
    <m/>
  </r>
  <r>
    <s v="VENTA"/>
    <x v="82"/>
    <n v="23018"/>
    <s v="ROQUE TEVAR SAIZ"/>
    <s v="47446463Q"/>
    <s v="NISSAN X-TRAIL"/>
    <s v="4373-KND"/>
    <n v="20350"/>
    <m/>
    <s v="REBU"/>
    <n v="20350"/>
    <s v="comprado a mapfre 27/04/2023"/>
    <m/>
    <m/>
    <m/>
    <s v="2023 2T"/>
    <d v="2023-07-08T00:00:00"/>
    <m/>
    <m/>
  </r>
  <r>
    <s v="COMPRA"/>
    <x v="84"/>
    <s v="S4202319500001"/>
    <s v="MAPFRE Automoción S.A."/>
    <s v="A31746688"/>
    <s v="OPEL CORSA "/>
    <s v="1999-JSD"/>
    <n v="4545.45"/>
    <n v="954.54449999999997"/>
    <m/>
    <n v="5499.9944999999998"/>
    <m/>
    <m/>
    <m/>
    <m/>
    <s v="2023 2T"/>
    <d v="2023-07-08T00:00:00"/>
    <m/>
    <m/>
  </r>
  <r>
    <s v="COMPRA"/>
    <x v="85"/>
    <s v="S4202319500008"/>
    <s v="MAPFRE Automoción S.A."/>
    <s v="A31746688"/>
    <s v="OPEL CORSA "/>
    <s v="2003-JSD"/>
    <n v="4545.45"/>
    <n v="954.54449999999997"/>
    <m/>
    <n v="5499.9944999999998"/>
    <s v="VENDIDO 2023"/>
    <m/>
    <m/>
    <m/>
    <s v="2023 2T"/>
    <d v="2023-07-08T00:00:00"/>
    <m/>
    <m/>
  </r>
  <r>
    <s v="COMPRA"/>
    <x v="86"/>
    <s v="RB/52/2023"/>
    <s v="MAPFRE Automoción S.A."/>
    <s v="A31746688"/>
    <s v="PIAGGIO VESPA"/>
    <s v="5700-HWN"/>
    <n v="200"/>
    <m/>
    <s v="REBU"/>
    <n v="200"/>
    <m/>
    <m/>
    <m/>
    <m/>
    <s v="2023 2T"/>
    <d v="2023-07-08T00:00:00"/>
    <m/>
    <m/>
  </r>
  <r>
    <s v="COMPRA"/>
    <x v="87"/>
    <n v="2312239"/>
    <s v="Volkswagen RENTING, S.A."/>
    <s v="A80185051"/>
    <s v="VOLKSWAGEN TIGUAN"/>
    <s v="6192-KYY"/>
    <n v="15454.55"/>
    <n v="3245.4554999999996"/>
    <m/>
    <n v="18699.995500000001"/>
    <m/>
    <m/>
    <m/>
    <m/>
    <m/>
    <m/>
    <m/>
    <m/>
  </r>
  <r>
    <s v="COMPRA"/>
    <x v="88"/>
    <s v="230828161000072"/>
    <s v="ALD Automotive S.A.U."/>
    <s v="A80292667"/>
    <s v="CITROEN BERLINGO"/>
    <s v="5084-KJW"/>
    <n v="4710.7438016528931"/>
    <n v="989.25619834710756"/>
    <m/>
    <n v="5700.0000000000009"/>
    <m/>
    <m/>
    <m/>
    <m/>
    <m/>
    <m/>
    <m/>
    <m/>
  </r>
  <r>
    <s v="COMPRA"/>
    <x v="88"/>
    <n v="2310404238"/>
    <s v="ARVAL SERVICE LEASE S.A.U."/>
    <s v="A81573479"/>
    <s v="FIAT DOBLO"/>
    <s v="7479-KKS"/>
    <n v="4921.4849999999997"/>
    <n v="1033.5118499999999"/>
    <m/>
    <n v="5954.9968499999995"/>
    <m/>
    <m/>
    <m/>
    <m/>
    <m/>
    <m/>
    <m/>
    <m/>
  </r>
  <r>
    <s v="COMPRA"/>
    <x v="89"/>
    <n v="1230309244"/>
    <s v="ALPHABET ESPAÑA FLEET MANAGEMENT, S.A.U."/>
    <s v="A91001438"/>
    <s v="OPEL COMBO"/>
    <s v="3356-KWT"/>
    <n v="10282.64"/>
    <n v="2159.3543999999997"/>
    <m/>
    <n v="12441.9944"/>
    <m/>
    <m/>
    <m/>
    <m/>
    <m/>
    <m/>
    <m/>
    <m/>
  </r>
  <r>
    <s v="COMPRA"/>
    <x v="89"/>
    <n v="1230309240"/>
    <s v="ALPHABET ESPAÑA FLEET MANAGEMENT, S.A.U."/>
    <s v="A91001438"/>
    <s v="OPEL CORSA"/>
    <s v="3232-KXV"/>
    <n v="5076.03"/>
    <n v="1065.9662999999998"/>
    <m/>
    <n v="6141.9962999999998"/>
    <m/>
    <m/>
    <m/>
    <m/>
    <m/>
    <m/>
    <m/>
    <m/>
  </r>
  <r>
    <s v="COMPRA"/>
    <x v="90"/>
    <n v="2310452410"/>
    <s v="ARVAL SERVICE LEASE S.A.U."/>
    <s v="A81573479"/>
    <s v="RENAULT CLIO"/>
    <s v="4962-KSK"/>
    <n v="6243.8"/>
    <n v="1311.1980000000001"/>
    <m/>
    <n v="7554.9980000000005"/>
    <m/>
    <m/>
    <m/>
    <m/>
    <m/>
    <m/>
    <m/>
    <m/>
  </r>
  <r>
    <s v="VENTA"/>
    <x v="91"/>
    <n v="23020"/>
    <s v="JUAN ALFONSO SANCHEZ PARRILLA"/>
    <s v="50713031-D"/>
    <s v="BMW SERIE 1"/>
    <s v="1770-GXM"/>
    <n v="7900"/>
    <m/>
    <s v="REBU"/>
    <n v="7900"/>
    <s v="comprado a mapfre 20/4/23"/>
    <m/>
    <m/>
    <m/>
    <m/>
    <m/>
    <m/>
    <m/>
  </r>
  <r>
    <s v="VENTA"/>
    <x v="92"/>
    <n v="23021"/>
    <s v="MAPFRE Automoción S.A."/>
    <s v="A31746688"/>
    <s v="PIAGGIO VESPA LIBERTY"/>
    <s v="0128-KKZ"/>
    <n v="1725"/>
    <m/>
    <s v="REBU"/>
    <n v="1725"/>
    <m/>
    <m/>
    <m/>
    <m/>
    <m/>
    <m/>
    <m/>
    <m/>
  </r>
  <r>
    <s v="VENTA"/>
    <x v="93"/>
    <n v="23022"/>
    <s v="JUAN CARLOS CASARES PEREIRA"/>
    <s v="04220243-L"/>
    <s v="FORD KUGA"/>
    <s v="5645-JWN"/>
    <n v="17175"/>
    <m/>
    <s v="REBU"/>
    <n v="17175"/>
    <s v="comprado a mapfre 21/3/23"/>
    <m/>
    <m/>
    <m/>
    <m/>
    <m/>
    <m/>
    <m/>
  </r>
  <r>
    <s v="VENTA"/>
    <x v="94"/>
    <n v="23023"/>
    <s v="CVH PRECAST, S.L."/>
    <s v="B06768873"/>
    <s v="OPEL CORSA "/>
    <s v="2003-JSD"/>
    <n v="6607.4380165289258"/>
    <n v="1387.5619834710744"/>
    <m/>
    <n v="7995"/>
    <s v="comprado a mapfre 21/6/23"/>
    <m/>
    <m/>
    <m/>
    <m/>
    <m/>
    <m/>
    <m/>
  </r>
  <r>
    <s v="VENTA"/>
    <x v="95"/>
    <n v="23024"/>
    <s v="MUSTAPHA CHEBANI ROMAN"/>
    <s v="50236016Z"/>
    <s v="RENAULT TRAFIC"/>
    <s v="4699-JWG"/>
    <n v="18900"/>
    <m/>
    <s v="REBU"/>
    <n v="18900"/>
    <s v="comprad a mapfre 26/2/23"/>
    <m/>
    <m/>
    <m/>
    <m/>
    <m/>
    <m/>
    <m/>
  </r>
  <r>
    <s v="COMPRA"/>
    <x v="96"/>
    <n v="2310306103"/>
    <s v="ARVAL SERVICE LEASE S.A.U."/>
    <s v="A81573479"/>
    <s v="RENAULT TRAFIC"/>
    <s v="4985-JGM"/>
    <n v="4838.84"/>
    <n v="1016.1564"/>
    <m/>
    <n v="5854.9964"/>
    <s v="VENDIDO 2023"/>
    <m/>
    <m/>
    <m/>
    <m/>
    <m/>
    <m/>
    <m/>
  </r>
  <r>
    <s v="VENTA"/>
    <x v="97"/>
    <n v="23025"/>
    <s v="ANTONIO HERRERO BUENO"/>
    <s v="49434340-A"/>
    <s v="RENAULT TRAFIC"/>
    <s v="4985-JGM"/>
    <n v="6607.4380165289258"/>
    <n v="1387.5619834710744"/>
    <m/>
    <n v="7995"/>
    <s v="comprado a arvel 5/7/202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446C5-0C1A-481B-8AEF-CE60957EB8FA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" firstHeaderRow="0" firstDataRow="0" firstDataCol="0" rowPageCount="1" colPageCount="1"/>
  <pivotFields count="19">
    <pivotField showAll="0"/>
    <pivotField axis="axisPage" numFmtId="14" showAll="0">
      <items count="99">
        <item x="0"/>
        <item x="2"/>
        <item x="1"/>
        <item x="4"/>
        <item x="3"/>
        <item x="5"/>
        <item x="6"/>
        <item x="7"/>
        <item x="31"/>
        <item x="8"/>
        <item x="10"/>
        <item x="9"/>
        <item x="15"/>
        <item x="11"/>
        <item x="14"/>
        <item x="13"/>
        <item x="12"/>
        <item x="20"/>
        <item x="16"/>
        <item x="21"/>
        <item x="22"/>
        <item x="23"/>
        <item x="65"/>
        <item x="30"/>
        <item x="24"/>
        <item x="17"/>
        <item x="25"/>
        <item x="27"/>
        <item x="19"/>
        <item x="26"/>
        <item x="18"/>
        <item x="29"/>
        <item x="28"/>
        <item x="32"/>
        <item x="36"/>
        <item x="37"/>
        <item x="38"/>
        <item x="39"/>
        <item x="40"/>
        <item x="41"/>
        <item x="42"/>
        <item x="33"/>
        <item x="43"/>
        <item x="34"/>
        <item x="35"/>
        <item x="44"/>
        <item x="45"/>
        <item x="46"/>
        <item x="51"/>
        <item x="50"/>
        <item x="47"/>
        <item x="49"/>
        <item x="52"/>
        <item x="53"/>
        <item x="48"/>
        <item x="54"/>
        <item x="55"/>
        <item x="56"/>
        <item x="64"/>
        <item x="57"/>
        <item x="58"/>
        <item x="59"/>
        <item x="60"/>
        <item x="63"/>
        <item x="62"/>
        <item x="61"/>
        <item x="66"/>
        <item x="68"/>
        <item x="71"/>
        <item x="69"/>
        <item x="67"/>
        <item x="70"/>
        <item x="72"/>
        <item x="73"/>
        <item x="74"/>
        <item x="83"/>
        <item x="75"/>
        <item x="76"/>
        <item x="77"/>
        <item x="84"/>
        <item x="81"/>
        <item x="86"/>
        <item x="78"/>
        <item x="80"/>
        <item x="85"/>
        <item x="82"/>
        <item x="79"/>
        <item x="96"/>
        <item x="91"/>
        <item x="92"/>
        <item x="87"/>
        <item x="93"/>
        <item x="94"/>
        <item x="88"/>
        <item x="95"/>
        <item x="90"/>
        <item x="97"/>
        <item x="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B70C-5CF3-4B7F-A9AE-21B4C25CA3D1}">
  <dimension ref="A1:U26"/>
  <sheetViews>
    <sheetView workbookViewId="0">
      <selection activeCell="R27" sqref="R27"/>
    </sheetView>
  </sheetViews>
  <sheetFormatPr baseColWidth="10" defaultRowHeight="15" x14ac:dyDescent="0.25"/>
  <cols>
    <col min="1" max="1" width="12.42578125" bestFit="1" customWidth="1"/>
    <col min="2" max="2" width="10.7109375" bestFit="1" customWidth="1"/>
    <col min="3" max="3" width="10.7109375" customWidth="1"/>
    <col min="4" max="4" width="11.5703125" bestFit="1" customWidth="1"/>
    <col min="5" max="5" width="24.28515625" bestFit="1" customWidth="1"/>
    <col min="6" max="6" width="11.140625" customWidth="1"/>
    <col min="7" max="7" width="8.7109375" bestFit="1" customWidth="1"/>
    <col min="8" max="8" width="11.28515625" bestFit="1" customWidth="1"/>
    <col min="9" max="9" width="6.5703125" bestFit="1" customWidth="1"/>
    <col min="10" max="10" width="6.5703125" customWidth="1"/>
    <col min="11" max="11" width="13" customWidth="1"/>
    <col min="12" max="12" width="8" bestFit="1" customWidth="1"/>
    <col min="13" max="13" width="7.5703125" bestFit="1" customWidth="1"/>
    <col min="14" max="14" width="13.7109375" bestFit="1" customWidth="1"/>
    <col min="15" max="15" width="12.42578125" bestFit="1" customWidth="1"/>
    <col min="16" max="16" width="10.85546875" bestFit="1" customWidth="1"/>
    <col min="17" max="17" width="10.42578125" bestFit="1" customWidth="1"/>
    <col min="18" max="18" width="13.85546875" bestFit="1" customWidth="1"/>
    <col min="19" max="19" width="10.7109375" bestFit="1" customWidth="1"/>
    <col min="20" max="20" width="7.85546875" bestFit="1" customWidth="1"/>
    <col min="21" max="21" width="4" bestFit="1" customWidth="1"/>
  </cols>
  <sheetData>
    <row r="1" spans="1:21" x14ac:dyDescent="0.25">
      <c r="A1" s="224" t="s">
        <v>6627</v>
      </c>
      <c r="B1" s="225" t="s">
        <v>1</v>
      </c>
      <c r="C1" s="225" t="s">
        <v>6978</v>
      </c>
      <c r="D1" s="225" t="s">
        <v>2</v>
      </c>
      <c r="E1" s="224" t="s">
        <v>3</v>
      </c>
      <c r="F1" s="224" t="s">
        <v>4</v>
      </c>
      <c r="G1" s="224" t="s">
        <v>5</v>
      </c>
      <c r="H1" s="224" t="s">
        <v>6</v>
      </c>
      <c r="I1" s="224" t="s">
        <v>7</v>
      </c>
      <c r="J1" s="224" t="s">
        <v>30</v>
      </c>
      <c r="K1" s="224" t="s">
        <v>3503</v>
      </c>
      <c r="L1" s="224" t="s">
        <v>1630</v>
      </c>
      <c r="M1" s="224" t="s">
        <v>9</v>
      </c>
      <c r="N1" s="224" t="s">
        <v>3508</v>
      </c>
      <c r="O1" s="224" t="s">
        <v>83</v>
      </c>
      <c r="P1" s="224" t="s">
        <v>85</v>
      </c>
      <c r="Q1" s="224" t="s">
        <v>86</v>
      </c>
      <c r="R1" s="224" t="s">
        <v>11</v>
      </c>
      <c r="S1" s="224" t="s">
        <v>30</v>
      </c>
      <c r="T1" s="224" t="s">
        <v>3784</v>
      </c>
      <c r="U1" s="224">
        <v>347</v>
      </c>
    </row>
    <row r="2" spans="1:21" x14ac:dyDescent="0.25">
      <c r="A2" s="173" t="s">
        <v>6643</v>
      </c>
      <c r="B2" s="174">
        <v>44299</v>
      </c>
      <c r="C2" s="174"/>
      <c r="D2" s="175" t="s">
        <v>6628</v>
      </c>
      <c r="E2" s="173" t="s">
        <v>6634</v>
      </c>
      <c r="F2" s="173"/>
      <c r="G2" s="173"/>
      <c r="H2" s="173"/>
      <c r="I2" s="176">
        <v>24.78</v>
      </c>
      <c r="J2" s="176"/>
      <c r="K2" s="176">
        <f t="shared" ref="K2:K7" si="0">+I2*0.21</f>
        <v>5.2038000000000002</v>
      </c>
      <c r="L2" s="173"/>
      <c r="M2" s="176">
        <f t="shared" ref="M2:M7" si="1">+I2+K2</f>
        <v>29.983800000000002</v>
      </c>
      <c r="N2" s="173"/>
      <c r="O2" s="173" t="s">
        <v>6635</v>
      </c>
      <c r="P2" s="174">
        <v>44299</v>
      </c>
      <c r="Q2" s="173"/>
      <c r="R2" s="173" t="s">
        <v>6669</v>
      </c>
      <c r="S2" s="174">
        <v>44377</v>
      </c>
      <c r="T2" s="173"/>
      <c r="U2" s="173"/>
    </row>
    <row r="3" spans="1:21" x14ac:dyDescent="0.25">
      <c r="A3" s="173" t="s">
        <v>6643</v>
      </c>
      <c r="B3" s="174">
        <v>44305</v>
      </c>
      <c r="C3" s="174"/>
      <c r="D3" s="175" t="s">
        <v>6629</v>
      </c>
      <c r="E3" s="173" t="s">
        <v>6634</v>
      </c>
      <c r="F3" s="173"/>
      <c r="G3" s="173"/>
      <c r="H3" s="173"/>
      <c r="I3" s="176">
        <f>16.52+4.05</f>
        <v>20.57</v>
      </c>
      <c r="J3" s="176"/>
      <c r="K3" s="176">
        <f t="shared" si="0"/>
        <v>4.3197000000000001</v>
      </c>
      <c r="L3" s="173"/>
      <c r="M3" s="176">
        <f t="shared" si="1"/>
        <v>24.889700000000001</v>
      </c>
      <c r="N3" s="173"/>
      <c r="O3" s="173" t="s">
        <v>6635</v>
      </c>
      <c r="P3" s="174">
        <v>44305</v>
      </c>
      <c r="Q3" s="173"/>
      <c r="R3" s="173" t="s">
        <v>6669</v>
      </c>
      <c r="S3" s="174">
        <v>44377</v>
      </c>
      <c r="T3" s="173"/>
      <c r="U3" s="173"/>
    </row>
    <row r="4" spans="1:21" x14ac:dyDescent="0.25">
      <c r="A4" s="173" t="s">
        <v>6643</v>
      </c>
      <c r="B4" s="174">
        <v>44337</v>
      </c>
      <c r="C4" s="174"/>
      <c r="D4" s="175" t="s">
        <v>6630</v>
      </c>
      <c r="E4" s="173" t="s">
        <v>6636</v>
      </c>
      <c r="F4" s="173"/>
      <c r="G4" s="173"/>
      <c r="H4" s="173"/>
      <c r="I4" s="173">
        <f>23.48+4.05</f>
        <v>27.53</v>
      </c>
      <c r="J4" s="173"/>
      <c r="K4" s="176">
        <f t="shared" si="0"/>
        <v>5.7812999999999999</v>
      </c>
      <c r="L4" s="173"/>
      <c r="M4" s="176">
        <f t="shared" si="1"/>
        <v>33.311300000000003</v>
      </c>
      <c r="N4" s="173"/>
      <c r="O4" s="173" t="s">
        <v>6637</v>
      </c>
      <c r="P4" s="174">
        <v>44337</v>
      </c>
      <c r="Q4" s="173"/>
      <c r="R4" s="173" t="s">
        <v>6669</v>
      </c>
      <c r="S4" s="174">
        <v>44377</v>
      </c>
      <c r="T4" s="173"/>
      <c r="U4" s="173"/>
    </row>
    <row r="5" spans="1:21" x14ac:dyDescent="0.25">
      <c r="A5" s="173" t="s">
        <v>6643</v>
      </c>
      <c r="B5" s="174">
        <v>44349</v>
      </c>
      <c r="C5" s="174"/>
      <c r="D5" s="175" t="s">
        <v>6631</v>
      </c>
      <c r="E5" s="173" t="s">
        <v>6638</v>
      </c>
      <c r="F5" s="173"/>
      <c r="G5" s="173"/>
      <c r="H5" s="173"/>
      <c r="I5" s="173">
        <f>4.44+4.05-4.27</f>
        <v>4.2200000000000006</v>
      </c>
      <c r="J5" s="173"/>
      <c r="K5" s="176">
        <f t="shared" si="0"/>
        <v>0.8862000000000001</v>
      </c>
      <c r="L5" s="173"/>
      <c r="M5" s="176">
        <f t="shared" si="1"/>
        <v>5.1062000000000012</v>
      </c>
      <c r="N5" s="173"/>
      <c r="O5" s="173" t="s">
        <v>31</v>
      </c>
      <c r="P5" s="174">
        <v>44349</v>
      </c>
      <c r="Q5" s="173"/>
      <c r="R5" s="173" t="s">
        <v>6669</v>
      </c>
      <c r="S5" s="174">
        <v>44377</v>
      </c>
      <c r="T5" s="173"/>
      <c r="U5" s="173"/>
    </row>
    <row r="6" spans="1:21" x14ac:dyDescent="0.25">
      <c r="A6" s="173" t="s">
        <v>6643</v>
      </c>
      <c r="B6" s="174">
        <v>44352</v>
      </c>
      <c r="C6" s="174"/>
      <c r="D6" s="175" t="s">
        <v>6632</v>
      </c>
      <c r="E6" s="173" t="s">
        <v>6639</v>
      </c>
      <c r="F6" s="173"/>
      <c r="G6" s="173"/>
      <c r="H6" s="173"/>
      <c r="I6" s="173">
        <v>59.15</v>
      </c>
      <c r="J6" s="173"/>
      <c r="K6" s="176">
        <f t="shared" si="0"/>
        <v>12.4215</v>
      </c>
      <c r="L6" s="173"/>
      <c r="M6" s="176">
        <f t="shared" si="1"/>
        <v>71.5715</v>
      </c>
      <c r="N6" s="173"/>
      <c r="O6" s="173" t="s">
        <v>6637</v>
      </c>
      <c r="P6" s="174">
        <v>44352</v>
      </c>
      <c r="Q6" s="173"/>
      <c r="R6" s="173" t="s">
        <v>6669</v>
      </c>
      <c r="S6" s="174">
        <v>44377</v>
      </c>
      <c r="T6" s="173"/>
      <c r="U6" s="173"/>
    </row>
    <row r="7" spans="1:21" x14ac:dyDescent="0.25">
      <c r="A7" s="173" t="s">
        <v>6643</v>
      </c>
      <c r="B7" s="174">
        <v>44361</v>
      </c>
      <c r="C7" s="174"/>
      <c r="D7" s="175" t="s">
        <v>6633</v>
      </c>
      <c r="E7" s="173" t="s">
        <v>6640</v>
      </c>
      <c r="F7" s="173" t="s">
        <v>6641</v>
      </c>
      <c r="G7" s="173"/>
      <c r="H7" s="173"/>
      <c r="I7" s="176">
        <v>43.6</v>
      </c>
      <c r="J7" s="176"/>
      <c r="K7" s="176">
        <f t="shared" si="0"/>
        <v>9.1560000000000006</v>
      </c>
      <c r="L7" s="173"/>
      <c r="M7" s="176">
        <f t="shared" si="1"/>
        <v>52.756</v>
      </c>
      <c r="N7" s="173"/>
      <c r="O7" s="173" t="s">
        <v>6642</v>
      </c>
      <c r="P7" s="174">
        <v>44361</v>
      </c>
      <c r="Q7" s="173"/>
      <c r="R7" s="173" t="s">
        <v>6669</v>
      </c>
      <c r="S7" s="174">
        <v>44377</v>
      </c>
      <c r="T7" s="173"/>
      <c r="U7" s="173"/>
    </row>
    <row r="8" spans="1:21" x14ac:dyDescent="0.25">
      <c r="A8" s="173" t="s">
        <v>6643</v>
      </c>
      <c r="B8" s="174">
        <v>44413</v>
      </c>
      <c r="C8" s="174"/>
      <c r="D8" s="175" t="s">
        <v>6713</v>
      </c>
      <c r="E8" s="173" t="s">
        <v>6716</v>
      </c>
      <c r="F8" s="173"/>
      <c r="G8" s="173"/>
      <c r="H8" s="173"/>
      <c r="I8" s="176">
        <f>10.4/1.21</f>
        <v>8.5950413223140494</v>
      </c>
      <c r="J8" s="176"/>
      <c r="K8" s="176">
        <f t="shared" ref="K8:K14" si="2">I8*0.21</f>
        <v>1.8049586776859503</v>
      </c>
      <c r="L8" s="176"/>
      <c r="M8" s="176">
        <f t="shared" ref="M8:M14" si="3">+I8+K8</f>
        <v>10.4</v>
      </c>
      <c r="N8" s="173"/>
      <c r="O8" s="173" t="s">
        <v>6637</v>
      </c>
      <c r="P8" s="174">
        <f>B8</f>
        <v>44413</v>
      </c>
      <c r="Q8" s="173"/>
      <c r="R8" s="173" t="s">
        <v>6718</v>
      </c>
      <c r="S8" s="174">
        <v>44477</v>
      </c>
      <c r="T8" s="173"/>
      <c r="U8" s="173"/>
    </row>
    <row r="9" spans="1:21" x14ac:dyDescent="0.25">
      <c r="A9" s="173" t="s">
        <v>6643</v>
      </c>
      <c r="B9" s="174">
        <v>44421</v>
      </c>
      <c r="C9" s="174"/>
      <c r="D9" s="175" t="s">
        <v>6714</v>
      </c>
      <c r="E9" s="173" t="s">
        <v>6716</v>
      </c>
      <c r="F9" s="173"/>
      <c r="G9" s="173"/>
      <c r="H9" s="173"/>
      <c r="I9" s="176">
        <f>23.12/1.21</f>
        <v>19.107438016528928</v>
      </c>
      <c r="J9" s="176"/>
      <c r="K9" s="176">
        <f t="shared" si="2"/>
        <v>4.0125619834710751</v>
      </c>
      <c r="L9" s="176"/>
      <c r="M9" s="176">
        <f t="shared" si="3"/>
        <v>23.120000000000005</v>
      </c>
      <c r="N9" s="173"/>
      <c r="O9" s="173" t="s">
        <v>6637</v>
      </c>
      <c r="P9" s="174">
        <f>B9</f>
        <v>44421</v>
      </c>
      <c r="Q9" s="173"/>
      <c r="R9" s="187" t="s">
        <v>6718</v>
      </c>
      <c r="S9" s="174">
        <v>44477</v>
      </c>
      <c r="T9" s="173"/>
      <c r="U9" s="173"/>
    </row>
    <row r="10" spans="1:21" x14ac:dyDescent="0.25">
      <c r="A10" s="173" t="s">
        <v>6643</v>
      </c>
      <c r="B10" s="174">
        <v>44452</v>
      </c>
      <c r="C10" s="174"/>
      <c r="D10" s="175" t="s">
        <v>6715</v>
      </c>
      <c r="E10" s="173" t="s">
        <v>6717</v>
      </c>
      <c r="F10" s="173"/>
      <c r="G10" s="173"/>
      <c r="H10" s="176"/>
      <c r="I10" s="176">
        <f>7.8/1.21</f>
        <v>6.446280991735537</v>
      </c>
      <c r="J10" s="176"/>
      <c r="K10" s="176">
        <f t="shared" si="2"/>
        <v>1.3537190082644628</v>
      </c>
      <c r="L10" s="176"/>
      <c r="M10" s="176">
        <f t="shared" si="3"/>
        <v>7.8</v>
      </c>
      <c r="N10" s="173"/>
      <c r="O10" s="173" t="s">
        <v>6637</v>
      </c>
      <c r="P10" s="174">
        <f>B10</f>
        <v>44452</v>
      </c>
      <c r="Q10" s="173"/>
      <c r="R10" s="173" t="s">
        <v>6718</v>
      </c>
      <c r="S10" s="174">
        <v>44477</v>
      </c>
      <c r="T10" s="173"/>
      <c r="U10" s="173"/>
    </row>
    <row r="11" spans="1:21" x14ac:dyDescent="0.25">
      <c r="A11" s="173" t="s">
        <v>6643</v>
      </c>
      <c r="B11" s="174">
        <v>44502</v>
      </c>
      <c r="C11" s="174"/>
      <c r="D11" s="173">
        <v>104</v>
      </c>
      <c r="E11" s="173" t="s">
        <v>6762</v>
      </c>
      <c r="F11" s="173"/>
      <c r="G11" s="173"/>
      <c r="H11" s="176"/>
      <c r="I11" s="176">
        <f>15.9/1.21</f>
        <v>13.140495867768596</v>
      </c>
      <c r="J11" s="176"/>
      <c r="K11" s="176">
        <f t="shared" si="2"/>
        <v>2.7595041322314051</v>
      </c>
      <c r="L11" s="176"/>
      <c r="M11" s="176">
        <f t="shared" si="3"/>
        <v>15.900000000000002</v>
      </c>
      <c r="N11" s="173"/>
      <c r="O11" s="173" t="s">
        <v>6637</v>
      </c>
      <c r="P11" s="174">
        <v>44502</v>
      </c>
      <c r="Q11" s="173"/>
      <c r="R11" s="173" t="s">
        <v>6747</v>
      </c>
      <c r="S11" s="174">
        <v>44580</v>
      </c>
      <c r="T11" s="173"/>
      <c r="U11" s="173"/>
    </row>
    <row r="12" spans="1:21" x14ac:dyDescent="0.25">
      <c r="A12" s="173" t="s">
        <v>6643</v>
      </c>
      <c r="B12" s="174">
        <v>44520</v>
      </c>
      <c r="C12" s="174"/>
      <c r="D12" s="173">
        <v>105</v>
      </c>
      <c r="E12" s="173" t="s">
        <v>6762</v>
      </c>
      <c r="F12" s="173"/>
      <c r="G12" s="173"/>
      <c r="H12" s="176"/>
      <c r="I12" s="176">
        <f>6.15/1.21</f>
        <v>5.0826446280991737</v>
      </c>
      <c r="J12" s="176"/>
      <c r="K12" s="176">
        <f t="shared" si="2"/>
        <v>1.0673553719008264</v>
      </c>
      <c r="L12" s="176"/>
      <c r="M12" s="176">
        <f t="shared" si="3"/>
        <v>6.15</v>
      </c>
      <c r="N12" s="173"/>
      <c r="O12" s="173" t="s">
        <v>6637</v>
      </c>
      <c r="P12" s="174">
        <v>44522</v>
      </c>
      <c r="Q12" s="173"/>
      <c r="R12" s="173" t="s">
        <v>6747</v>
      </c>
      <c r="S12" s="174">
        <v>44580</v>
      </c>
      <c r="T12" s="173"/>
      <c r="U12" s="173"/>
    </row>
    <row r="13" spans="1:21" x14ac:dyDescent="0.25">
      <c r="A13" s="173" t="s">
        <v>6643</v>
      </c>
      <c r="B13" s="174">
        <v>44541</v>
      </c>
      <c r="C13" s="174"/>
      <c r="D13" s="173">
        <v>106</v>
      </c>
      <c r="E13" s="173" t="s">
        <v>6763</v>
      </c>
      <c r="F13" s="173"/>
      <c r="G13" s="173"/>
      <c r="H13" s="173"/>
      <c r="I13" s="176">
        <f>13.87/1.21</f>
        <v>11.462809917355372</v>
      </c>
      <c r="J13" s="176"/>
      <c r="K13" s="176">
        <f t="shared" si="2"/>
        <v>2.407190082644628</v>
      </c>
      <c r="L13" s="176"/>
      <c r="M13" s="176">
        <f t="shared" si="3"/>
        <v>13.870000000000001</v>
      </c>
      <c r="N13" s="173"/>
      <c r="O13" s="173" t="s">
        <v>6637</v>
      </c>
      <c r="P13" s="174">
        <v>44543</v>
      </c>
      <c r="Q13" s="173"/>
      <c r="R13" s="173" t="s">
        <v>6747</v>
      </c>
      <c r="S13" s="174">
        <v>44580</v>
      </c>
      <c r="T13" s="173"/>
      <c r="U13" s="173"/>
    </row>
    <row r="14" spans="1:21" x14ac:dyDescent="0.25">
      <c r="A14" s="173" t="s">
        <v>6643</v>
      </c>
      <c r="B14" s="174">
        <v>44544</v>
      </c>
      <c r="C14" s="174"/>
      <c r="D14" s="173">
        <v>107</v>
      </c>
      <c r="E14" s="173" t="s">
        <v>6764</v>
      </c>
      <c r="F14" s="173"/>
      <c r="G14" s="173"/>
      <c r="H14" s="176"/>
      <c r="I14" s="176">
        <f>15.9/1.21</f>
        <v>13.140495867768596</v>
      </c>
      <c r="J14" s="176"/>
      <c r="K14" s="176">
        <f t="shared" si="2"/>
        <v>2.7595041322314051</v>
      </c>
      <c r="L14" s="176"/>
      <c r="M14" s="176">
        <f t="shared" si="3"/>
        <v>15.900000000000002</v>
      </c>
      <c r="N14" s="173"/>
      <c r="O14" s="173" t="s">
        <v>6637</v>
      </c>
      <c r="P14" s="174">
        <v>44545</v>
      </c>
      <c r="Q14" s="173"/>
      <c r="R14" s="173" t="s">
        <v>6747</v>
      </c>
      <c r="S14" s="174">
        <v>44580</v>
      </c>
      <c r="T14" s="173"/>
      <c r="U14" s="173"/>
    </row>
    <row r="15" spans="1:21" x14ac:dyDescent="0.25">
      <c r="A15" s="173" t="s">
        <v>6643</v>
      </c>
      <c r="B15" s="174">
        <v>44598</v>
      </c>
      <c r="C15" s="174"/>
      <c r="D15" s="231">
        <v>107</v>
      </c>
      <c r="E15" s="173" t="s">
        <v>6817</v>
      </c>
      <c r="F15" s="173"/>
      <c r="G15" s="173"/>
      <c r="H15" s="173"/>
      <c r="I15" s="176">
        <f t="shared" ref="I15:I20" si="4">+M15/1.21</f>
        <v>8.0413223140495873</v>
      </c>
      <c r="J15" s="176"/>
      <c r="K15" s="176">
        <f>+I15*0.21</f>
        <v>1.6886776859504133</v>
      </c>
      <c r="L15" s="173"/>
      <c r="M15" s="173">
        <v>9.73</v>
      </c>
      <c r="N15" s="173"/>
      <c r="O15" s="173" t="s">
        <v>6637</v>
      </c>
      <c r="P15" s="174">
        <f t="shared" ref="P15:P20" si="5">B15</f>
        <v>44598</v>
      </c>
      <c r="Q15" s="173"/>
      <c r="R15" s="173" t="s">
        <v>6896</v>
      </c>
      <c r="S15" s="173" t="s">
        <v>6885</v>
      </c>
      <c r="T15" s="173"/>
      <c r="U15" s="173"/>
    </row>
    <row r="16" spans="1:21" x14ac:dyDescent="0.25">
      <c r="A16" s="173" t="s">
        <v>6643</v>
      </c>
      <c r="B16" s="174">
        <v>44602</v>
      </c>
      <c r="C16" s="174"/>
      <c r="D16" s="173">
        <v>108</v>
      </c>
      <c r="E16" s="173" t="s">
        <v>6818</v>
      </c>
      <c r="F16" s="173"/>
      <c r="G16" s="173"/>
      <c r="H16" s="173"/>
      <c r="I16" s="176">
        <f t="shared" si="4"/>
        <v>13.140495867768596</v>
      </c>
      <c r="J16" s="176"/>
      <c r="K16" s="176">
        <f t="shared" ref="K16:K22" si="6">+I16*0.21</f>
        <v>2.7595041322314051</v>
      </c>
      <c r="L16" s="173"/>
      <c r="M16" s="173">
        <v>15.9</v>
      </c>
      <c r="N16" s="173"/>
      <c r="O16" s="173" t="s">
        <v>6637</v>
      </c>
      <c r="P16" s="174">
        <f t="shared" si="5"/>
        <v>44602</v>
      </c>
      <c r="Q16" s="173"/>
      <c r="R16" s="173" t="s">
        <v>6896</v>
      </c>
      <c r="S16" s="173" t="s">
        <v>6885</v>
      </c>
      <c r="T16" s="173"/>
      <c r="U16" s="173"/>
    </row>
    <row r="17" spans="1:21" x14ac:dyDescent="0.25">
      <c r="A17" s="173" t="s">
        <v>6643</v>
      </c>
      <c r="B17" s="174">
        <v>44629</v>
      </c>
      <c r="C17" s="174"/>
      <c r="D17" s="231">
        <f>+D16+1</f>
        <v>109</v>
      </c>
      <c r="E17" s="173" t="s">
        <v>6819</v>
      </c>
      <c r="F17" s="173"/>
      <c r="G17" s="173"/>
      <c r="H17" s="173"/>
      <c r="I17" s="176">
        <f t="shared" si="4"/>
        <v>26.776859504132229</v>
      </c>
      <c r="J17" s="176"/>
      <c r="K17" s="176">
        <f t="shared" si="6"/>
        <v>5.6231404958677675</v>
      </c>
      <c r="L17" s="173"/>
      <c r="M17" s="173">
        <v>32.4</v>
      </c>
      <c r="N17" s="173"/>
      <c r="O17" s="173" t="s">
        <v>6637</v>
      </c>
      <c r="P17" s="174">
        <f t="shared" si="5"/>
        <v>44629</v>
      </c>
      <c r="Q17" s="173"/>
      <c r="R17" s="173" t="s">
        <v>6896</v>
      </c>
      <c r="S17" s="173" t="s">
        <v>6885</v>
      </c>
      <c r="T17" s="173"/>
      <c r="U17" s="173"/>
    </row>
    <row r="18" spans="1:21" x14ac:dyDescent="0.25">
      <c r="A18" s="173" t="s">
        <v>6643</v>
      </c>
      <c r="B18" s="174">
        <v>44655</v>
      </c>
      <c r="C18" s="174"/>
      <c r="D18" s="173">
        <v>109</v>
      </c>
      <c r="E18" s="173" t="s">
        <v>6820</v>
      </c>
      <c r="F18" s="173"/>
      <c r="G18" s="173"/>
      <c r="H18" s="173"/>
      <c r="I18" s="176">
        <f t="shared" si="4"/>
        <v>10.652892561983473</v>
      </c>
      <c r="J18" s="176"/>
      <c r="K18" s="176">
        <f t="shared" si="6"/>
        <v>2.2371074380165292</v>
      </c>
      <c r="L18" s="173"/>
      <c r="M18" s="173">
        <v>12.89</v>
      </c>
      <c r="N18" s="173"/>
      <c r="O18" s="173" t="s">
        <v>6637</v>
      </c>
      <c r="P18" s="174">
        <f t="shared" si="5"/>
        <v>44655</v>
      </c>
      <c r="Q18" s="173"/>
      <c r="R18" s="173" t="s">
        <v>6896</v>
      </c>
      <c r="S18" s="173" t="s">
        <v>6885</v>
      </c>
      <c r="T18" s="173"/>
      <c r="U18" s="173"/>
    </row>
    <row r="19" spans="1:21" x14ac:dyDescent="0.25">
      <c r="A19" s="173" t="s">
        <v>6643</v>
      </c>
      <c r="B19" s="174">
        <v>44699</v>
      </c>
      <c r="C19" s="174"/>
      <c r="D19" s="231">
        <f>+D18+1</f>
        <v>110</v>
      </c>
      <c r="E19" s="173" t="s">
        <v>6821</v>
      </c>
      <c r="F19" s="173"/>
      <c r="G19" s="173"/>
      <c r="H19" s="173"/>
      <c r="I19" s="176">
        <f t="shared" si="4"/>
        <v>35.867768595041319</v>
      </c>
      <c r="J19" s="176"/>
      <c r="K19" s="176">
        <f t="shared" si="6"/>
        <v>7.5322314049586767</v>
      </c>
      <c r="L19" s="173"/>
      <c r="M19" s="173">
        <v>43.4</v>
      </c>
      <c r="N19" s="173"/>
      <c r="O19" s="173" t="s">
        <v>6637</v>
      </c>
      <c r="P19" s="174">
        <f t="shared" si="5"/>
        <v>44699</v>
      </c>
      <c r="Q19" s="173"/>
      <c r="R19" s="173" t="s">
        <v>6896</v>
      </c>
      <c r="S19" s="173" t="s">
        <v>6885</v>
      </c>
      <c r="T19" s="173"/>
      <c r="U19" s="173"/>
    </row>
    <row r="20" spans="1:21" x14ac:dyDescent="0.25">
      <c r="A20" s="173" t="s">
        <v>6643</v>
      </c>
      <c r="B20" s="174">
        <v>44725</v>
      </c>
      <c r="C20" s="174"/>
      <c r="D20" s="173">
        <v>111</v>
      </c>
      <c r="E20" s="173" t="s">
        <v>6822</v>
      </c>
      <c r="F20" s="173"/>
      <c r="G20" s="173"/>
      <c r="H20" s="173"/>
      <c r="I20" s="176">
        <f t="shared" si="4"/>
        <v>62.479338842975203</v>
      </c>
      <c r="J20" s="176"/>
      <c r="K20" s="176">
        <f t="shared" si="6"/>
        <v>13.120661157024792</v>
      </c>
      <c r="L20" s="173"/>
      <c r="M20" s="173">
        <v>75.599999999999994</v>
      </c>
      <c r="N20" s="173"/>
      <c r="O20" s="173" t="s">
        <v>6637</v>
      </c>
      <c r="P20" s="174">
        <f t="shared" si="5"/>
        <v>44725</v>
      </c>
      <c r="Q20" s="173"/>
      <c r="R20" s="173" t="s">
        <v>6896</v>
      </c>
      <c r="S20" s="173" t="s">
        <v>6885</v>
      </c>
      <c r="T20" s="173"/>
      <c r="U20" s="173"/>
    </row>
    <row r="21" spans="1:21" x14ac:dyDescent="0.25">
      <c r="A21" s="173"/>
      <c r="B21" s="174"/>
      <c r="C21" s="174"/>
      <c r="D21" s="173"/>
      <c r="E21" s="173"/>
      <c r="F21" s="173"/>
      <c r="G21" s="173"/>
      <c r="H21" s="173"/>
      <c r="I21" s="176"/>
      <c r="J21" s="176"/>
      <c r="K21" s="176"/>
      <c r="L21" s="173"/>
      <c r="M21" s="173"/>
      <c r="N21" s="173"/>
      <c r="O21" s="173"/>
      <c r="P21" s="174"/>
      <c r="Q21" s="173"/>
      <c r="R21" s="173"/>
      <c r="S21" s="173"/>
      <c r="T21" s="173"/>
      <c r="U21" s="173"/>
    </row>
    <row r="22" spans="1:21" x14ac:dyDescent="0.25">
      <c r="A22" s="173" t="s">
        <v>6643</v>
      </c>
      <c r="B22" s="174">
        <v>44804</v>
      </c>
      <c r="C22" s="174"/>
      <c r="D22" s="173"/>
      <c r="E22" s="173" t="s">
        <v>6897</v>
      </c>
      <c r="F22" s="173"/>
      <c r="G22" s="173"/>
      <c r="H22" s="173"/>
      <c r="I22" s="176">
        <f>14.86+4.05</f>
        <v>18.91</v>
      </c>
      <c r="J22" s="176"/>
      <c r="K22" s="176">
        <f t="shared" si="6"/>
        <v>3.9710999999999999</v>
      </c>
      <c r="L22" s="173"/>
      <c r="M22" s="176">
        <f>+I22+K22</f>
        <v>22.8811</v>
      </c>
      <c r="N22" s="173"/>
      <c r="O22" s="173" t="s">
        <v>6637</v>
      </c>
      <c r="P22" s="174">
        <f>B22</f>
        <v>44804</v>
      </c>
      <c r="Q22" s="173"/>
      <c r="R22" s="173"/>
      <c r="S22" s="173"/>
      <c r="T22" s="173"/>
      <c r="U22" s="173"/>
    </row>
    <row r="23" spans="1:21" x14ac:dyDescent="0.25">
      <c r="A23" s="173" t="s">
        <v>6643</v>
      </c>
      <c r="B23" s="174">
        <v>44807</v>
      </c>
      <c r="C23" s="174"/>
      <c r="D23" s="173"/>
      <c r="E23" s="173" t="s">
        <v>6898</v>
      </c>
      <c r="F23" s="173"/>
      <c r="G23" s="173"/>
      <c r="H23" s="173"/>
      <c r="I23" s="173">
        <f>4.55+4.05</f>
        <v>8.6</v>
      </c>
      <c r="J23" s="173"/>
      <c r="K23" s="176">
        <f>+I23*0.21</f>
        <v>1.8059999999999998</v>
      </c>
      <c r="L23" s="173"/>
      <c r="M23" s="176">
        <f>+I23+K23</f>
        <v>10.405999999999999</v>
      </c>
      <c r="N23" s="173"/>
      <c r="O23" s="173" t="s">
        <v>6637</v>
      </c>
      <c r="P23" s="174">
        <f>B23</f>
        <v>44807</v>
      </c>
      <c r="Q23" s="173"/>
      <c r="R23" s="173"/>
      <c r="S23" s="173"/>
      <c r="T23" s="173"/>
      <c r="U23" s="173"/>
    </row>
    <row r="24" spans="1:21" x14ac:dyDescent="0.25">
      <c r="A24" s="173" t="s">
        <v>6643</v>
      </c>
      <c r="B24" s="174">
        <v>44927</v>
      </c>
      <c r="C24" s="174">
        <v>44893</v>
      </c>
      <c r="D24" s="173" t="s">
        <v>6980</v>
      </c>
      <c r="E24" s="173" t="s">
        <v>6976</v>
      </c>
      <c r="F24" s="173"/>
      <c r="G24" s="173"/>
      <c r="H24" s="173"/>
      <c r="I24" s="173">
        <v>2.88</v>
      </c>
      <c r="J24" s="173">
        <v>4.05</v>
      </c>
      <c r="K24" s="176">
        <f>(I24+J24)*0.21</f>
        <v>1.4552999999999998</v>
      </c>
      <c r="L24" s="173"/>
      <c r="M24" s="176">
        <f>+I24+J24+K24</f>
        <v>8.3852999999999991</v>
      </c>
      <c r="N24" s="173"/>
      <c r="O24" s="173" t="s">
        <v>6637</v>
      </c>
      <c r="P24" s="174">
        <f>C24</f>
        <v>44893</v>
      </c>
      <c r="Q24" s="173" t="s">
        <v>6977</v>
      </c>
      <c r="R24" s="173"/>
      <c r="S24" s="173"/>
      <c r="T24" s="173"/>
      <c r="U24" s="173"/>
    </row>
    <row r="25" spans="1:21" x14ac:dyDescent="0.25">
      <c r="A25" s="173" t="s">
        <v>6643</v>
      </c>
      <c r="B25" s="174">
        <v>44935</v>
      </c>
      <c r="C25" s="173"/>
      <c r="D25" s="173" t="s">
        <v>6981</v>
      </c>
      <c r="E25" s="173" t="s">
        <v>6979</v>
      </c>
      <c r="F25" s="173"/>
      <c r="G25" s="173"/>
      <c r="H25" s="173"/>
      <c r="I25" s="173">
        <v>5.84</v>
      </c>
      <c r="J25" s="173">
        <v>4.05</v>
      </c>
      <c r="K25" s="176">
        <f>(I25+J25)*0.21</f>
        <v>2.0769000000000002</v>
      </c>
      <c r="L25" s="173"/>
      <c r="M25" s="176">
        <f>+I25+J25+K25</f>
        <v>11.966900000000001</v>
      </c>
      <c r="N25" s="173"/>
      <c r="O25" s="173" t="s">
        <v>6637</v>
      </c>
      <c r="P25" s="174">
        <v>44935</v>
      </c>
      <c r="Q25" s="173"/>
      <c r="R25" s="173"/>
      <c r="S25" s="173"/>
      <c r="T25" s="173"/>
      <c r="U25" s="173"/>
    </row>
    <row r="26" spans="1:21" x14ac:dyDescent="0.25">
      <c r="A26" s="173" t="s">
        <v>6643</v>
      </c>
      <c r="B26" s="174">
        <v>45483</v>
      </c>
      <c r="C26" s="173"/>
      <c r="D26" s="173">
        <v>100</v>
      </c>
      <c r="E26" s="173" t="s">
        <v>7341</v>
      </c>
      <c r="F26" s="173" t="s">
        <v>7343</v>
      </c>
      <c r="G26" s="173"/>
      <c r="H26" s="173"/>
      <c r="I26" s="173">
        <v>160</v>
      </c>
      <c r="J26" s="173"/>
      <c r="K26" s="176">
        <f>(I26+J26)*0.21</f>
        <v>33.6</v>
      </c>
      <c r="L26" s="173"/>
      <c r="M26" s="176">
        <f>+I26+J26+K26</f>
        <v>193.6</v>
      </c>
      <c r="N26" s="173"/>
      <c r="O26" s="173" t="s">
        <v>7342</v>
      </c>
      <c r="P26" s="173"/>
      <c r="R26" t="s">
        <v>7350</v>
      </c>
    </row>
  </sheetData>
  <autoFilter ref="A1:U14" xr:uid="{C6D8B70C-5CF3-4B7F-A9AE-21B4C25CA3D1}"/>
  <phoneticPr fontId="1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"/>
  <dimension ref="A1:S241"/>
  <sheetViews>
    <sheetView workbookViewId="0">
      <pane ySplit="1" topLeftCell="A2" activePane="bottomLeft" state="frozen"/>
      <selection pane="bottomLeft" activeCell="G57" sqref="G57"/>
    </sheetView>
  </sheetViews>
  <sheetFormatPr baseColWidth="10" defaultRowHeight="15" x14ac:dyDescent="0.25"/>
  <cols>
    <col min="1" max="1" width="8.85546875" bestFit="1" customWidth="1"/>
    <col min="2" max="2" width="10.7109375" bestFit="1" customWidth="1"/>
    <col min="3" max="3" width="11.140625" style="200" customWidth="1"/>
    <col min="4" max="4" width="29.140625" customWidth="1"/>
    <col min="5" max="5" width="11.7109375" bestFit="1" customWidth="1"/>
    <col min="6" max="6" width="23.85546875" customWidth="1"/>
    <col min="7" max="11" width="8.42578125" customWidth="1"/>
    <col min="12" max="12" width="21.7109375" customWidth="1"/>
    <col min="13" max="13" width="22.42578125" customWidth="1"/>
    <col min="14" max="15" width="6.5703125" customWidth="1"/>
    <col min="16" max="16" width="6.140625" customWidth="1"/>
    <col min="17" max="17" width="11" customWidth="1"/>
    <col min="18" max="18" width="12.42578125" hidden="1" customWidth="1"/>
    <col min="19" max="19" width="7.85546875" bestFit="1" customWidth="1"/>
  </cols>
  <sheetData>
    <row r="1" spans="1:19" x14ac:dyDescent="0.25">
      <c r="A1" s="178" t="s">
        <v>0</v>
      </c>
      <c r="B1" s="179" t="s">
        <v>1</v>
      </c>
      <c r="C1" s="179" t="s">
        <v>2</v>
      </c>
      <c r="D1" s="180" t="s">
        <v>3</v>
      </c>
      <c r="E1" s="181" t="s">
        <v>4</v>
      </c>
      <c r="F1" s="180" t="s">
        <v>5</v>
      </c>
      <c r="G1" s="180" t="s">
        <v>6</v>
      </c>
      <c r="H1" s="180" t="s">
        <v>7</v>
      </c>
      <c r="I1" s="180" t="s">
        <v>3503</v>
      </c>
      <c r="J1" s="180" t="s">
        <v>1630</v>
      </c>
      <c r="K1" s="180" t="s">
        <v>9</v>
      </c>
      <c r="L1" s="180" t="s">
        <v>3508</v>
      </c>
      <c r="M1" s="180" t="s">
        <v>83</v>
      </c>
      <c r="N1" s="181" t="s">
        <v>85</v>
      </c>
      <c r="O1" s="180" t="s">
        <v>86</v>
      </c>
      <c r="P1" s="180" t="s">
        <v>11</v>
      </c>
      <c r="Q1" s="178" t="s">
        <v>30</v>
      </c>
      <c r="R1" s="189" t="s">
        <v>3185</v>
      </c>
      <c r="S1" s="178" t="s">
        <v>3784</v>
      </c>
    </row>
    <row r="2" spans="1:19" x14ac:dyDescent="0.25">
      <c r="A2" s="185" t="s">
        <v>12</v>
      </c>
      <c r="B2" s="183">
        <v>42062</v>
      </c>
      <c r="C2" s="194" t="s">
        <v>4371</v>
      </c>
      <c r="D2" s="185" t="s">
        <v>4041</v>
      </c>
      <c r="E2" s="185" t="s">
        <v>4042</v>
      </c>
      <c r="F2" s="185" t="s">
        <v>4372</v>
      </c>
      <c r="G2" s="185" t="s">
        <v>4373</v>
      </c>
      <c r="H2" s="185"/>
      <c r="I2" s="185"/>
      <c r="J2" s="185" t="s">
        <v>21</v>
      </c>
      <c r="K2" s="185">
        <v>746</v>
      </c>
      <c r="L2" s="185" t="s">
        <v>4413</v>
      </c>
      <c r="M2" s="185" t="s">
        <v>4381</v>
      </c>
      <c r="N2" s="185"/>
      <c r="O2" s="185"/>
      <c r="P2" s="185" t="s">
        <v>4493</v>
      </c>
      <c r="Q2" s="183">
        <v>42103</v>
      </c>
      <c r="R2" s="173"/>
      <c r="S2" s="185"/>
    </row>
    <row r="3" spans="1:19" x14ac:dyDescent="0.25">
      <c r="A3" s="173" t="s">
        <v>12</v>
      </c>
      <c r="B3" s="174">
        <v>42052</v>
      </c>
      <c r="C3" s="195" t="s">
        <v>944</v>
      </c>
      <c r="D3" s="173" t="s">
        <v>4374</v>
      </c>
      <c r="E3" s="173" t="s">
        <v>4375</v>
      </c>
      <c r="F3" s="173" t="s">
        <v>4061</v>
      </c>
      <c r="G3" s="173" t="s">
        <v>4376</v>
      </c>
      <c r="H3" s="173"/>
      <c r="I3" s="173"/>
      <c r="J3" s="173" t="s">
        <v>21</v>
      </c>
      <c r="K3" s="173">
        <v>2200</v>
      </c>
      <c r="L3" s="173" t="s">
        <v>4413</v>
      </c>
      <c r="M3" s="173"/>
      <c r="N3" s="173"/>
      <c r="O3" s="173"/>
      <c r="P3" s="173" t="s">
        <v>4493</v>
      </c>
      <c r="Q3" s="174">
        <v>42103</v>
      </c>
      <c r="R3" s="173"/>
      <c r="S3" s="173"/>
    </row>
    <row r="4" spans="1:19" x14ac:dyDescent="0.25">
      <c r="A4" s="173" t="s">
        <v>12</v>
      </c>
      <c r="B4" s="174">
        <v>42046</v>
      </c>
      <c r="C4" s="195" t="s">
        <v>944</v>
      </c>
      <c r="D4" s="173" t="s">
        <v>4377</v>
      </c>
      <c r="E4" s="173" t="s">
        <v>4378</v>
      </c>
      <c r="F4" s="173" t="s">
        <v>4379</v>
      </c>
      <c r="G4" s="173" t="s">
        <v>4380</v>
      </c>
      <c r="H4" s="173"/>
      <c r="I4" s="173"/>
      <c r="J4" s="173" t="s">
        <v>21</v>
      </c>
      <c r="K4" s="173">
        <v>7000</v>
      </c>
      <c r="L4" s="173" t="s">
        <v>4413</v>
      </c>
      <c r="M4" s="173"/>
      <c r="N4" s="173"/>
      <c r="O4" s="173"/>
      <c r="P4" s="173" t="s">
        <v>4493</v>
      </c>
      <c r="Q4" s="174">
        <v>42103</v>
      </c>
      <c r="R4" s="173"/>
      <c r="S4" s="173"/>
    </row>
    <row r="5" spans="1:19" x14ac:dyDescent="0.25">
      <c r="A5" s="173" t="s">
        <v>12</v>
      </c>
      <c r="B5" s="174">
        <v>42051</v>
      </c>
      <c r="C5" s="195" t="s">
        <v>944</v>
      </c>
      <c r="D5" s="173" t="s">
        <v>4382</v>
      </c>
      <c r="E5" s="173" t="s">
        <v>4383</v>
      </c>
      <c r="F5" s="173" t="s">
        <v>906</v>
      </c>
      <c r="G5" s="173" t="s">
        <v>4384</v>
      </c>
      <c r="H5" s="173"/>
      <c r="I5" s="173"/>
      <c r="J5" s="173" t="s">
        <v>21</v>
      </c>
      <c r="K5" s="173">
        <v>1500</v>
      </c>
      <c r="L5" s="173" t="s">
        <v>4413</v>
      </c>
      <c r="M5" s="173"/>
      <c r="N5" s="173"/>
      <c r="O5" s="173"/>
      <c r="P5" s="173" t="s">
        <v>4493</v>
      </c>
      <c r="Q5" s="174">
        <v>42103</v>
      </c>
      <c r="R5" s="173"/>
      <c r="S5" s="173"/>
    </row>
    <row r="6" spans="1:19" x14ac:dyDescent="0.25">
      <c r="A6" s="173" t="s">
        <v>12</v>
      </c>
      <c r="B6" s="174">
        <v>42061</v>
      </c>
      <c r="C6" s="195" t="s">
        <v>4385</v>
      </c>
      <c r="D6" s="173" t="s">
        <v>4057</v>
      </c>
      <c r="E6" s="173" t="s">
        <v>4058</v>
      </c>
      <c r="F6" s="173" t="s">
        <v>4386</v>
      </c>
      <c r="G6" s="173" t="s">
        <v>4387</v>
      </c>
      <c r="H6" s="173"/>
      <c r="I6" s="173"/>
      <c r="J6" s="173" t="s">
        <v>21</v>
      </c>
      <c r="K6" s="176">
        <v>2000</v>
      </c>
      <c r="L6" s="173" t="s">
        <v>4413</v>
      </c>
      <c r="M6" s="173"/>
      <c r="N6" s="173"/>
      <c r="O6" s="173"/>
      <c r="P6" s="173" t="s">
        <v>4493</v>
      </c>
      <c r="Q6" s="174">
        <v>42103</v>
      </c>
      <c r="R6" s="173"/>
      <c r="S6" s="173"/>
    </row>
    <row r="7" spans="1:19" x14ac:dyDescent="0.25">
      <c r="A7" s="173" t="s">
        <v>12</v>
      </c>
      <c r="B7" s="174">
        <v>42003</v>
      </c>
      <c r="C7" s="195" t="s">
        <v>4388</v>
      </c>
      <c r="D7" s="173" t="s">
        <v>4041</v>
      </c>
      <c r="E7" s="173" t="s">
        <v>4042</v>
      </c>
      <c r="F7" s="173" t="s">
        <v>4433</v>
      </c>
      <c r="G7" s="173" t="s">
        <v>4389</v>
      </c>
      <c r="H7" s="173"/>
      <c r="I7" s="173"/>
      <c r="J7" s="173" t="s">
        <v>21</v>
      </c>
      <c r="K7" s="173">
        <v>7646</v>
      </c>
      <c r="L7" s="173" t="s">
        <v>4413</v>
      </c>
      <c r="M7" s="173"/>
      <c r="N7" s="173"/>
      <c r="O7" s="173"/>
      <c r="P7" s="173" t="s">
        <v>4493</v>
      </c>
      <c r="Q7" s="174">
        <v>42103</v>
      </c>
      <c r="R7" s="173"/>
      <c r="S7" s="173"/>
    </row>
    <row r="8" spans="1:19" x14ac:dyDescent="0.25">
      <c r="A8" s="173" t="s">
        <v>12</v>
      </c>
      <c r="B8" s="174">
        <v>42051</v>
      </c>
      <c r="C8" s="195" t="s">
        <v>4390</v>
      </c>
      <c r="D8" s="173" t="s">
        <v>3958</v>
      </c>
      <c r="E8" s="173" t="s">
        <v>2626</v>
      </c>
      <c r="F8" s="173" t="s">
        <v>4054</v>
      </c>
      <c r="G8" s="173" t="s">
        <v>4391</v>
      </c>
      <c r="H8" s="176">
        <v>5785.1239669421493</v>
      </c>
      <c r="I8" s="176">
        <v>1214.8760330578514</v>
      </c>
      <c r="J8" s="173"/>
      <c r="K8" s="176">
        <v>7000.0000000000009</v>
      </c>
      <c r="L8" s="173" t="s">
        <v>4413</v>
      </c>
      <c r="M8" s="173"/>
      <c r="N8" s="173"/>
      <c r="O8" s="173"/>
      <c r="P8" s="173" t="s">
        <v>4493</v>
      </c>
      <c r="Q8" s="174">
        <v>42103</v>
      </c>
      <c r="R8" s="173"/>
      <c r="S8" s="173"/>
    </row>
    <row r="9" spans="1:19" x14ac:dyDescent="0.25">
      <c r="A9" s="173" t="s">
        <v>12</v>
      </c>
      <c r="B9" s="174">
        <v>42051</v>
      </c>
      <c r="C9" s="195" t="s">
        <v>4392</v>
      </c>
      <c r="D9" s="173" t="s">
        <v>3958</v>
      </c>
      <c r="E9" s="173" t="s">
        <v>2626</v>
      </c>
      <c r="F9" s="173" t="s">
        <v>4393</v>
      </c>
      <c r="G9" s="173" t="s">
        <v>4394</v>
      </c>
      <c r="H9" s="176">
        <v>3719.0082644628101</v>
      </c>
      <c r="I9" s="176">
        <v>780.99173553719004</v>
      </c>
      <c r="J9" s="173"/>
      <c r="K9" s="176">
        <v>4500</v>
      </c>
      <c r="L9" s="173" t="s">
        <v>4413</v>
      </c>
      <c r="M9" s="173"/>
      <c r="N9" s="173"/>
      <c r="O9" s="173"/>
      <c r="P9" s="173" t="s">
        <v>4493</v>
      </c>
      <c r="Q9" s="174">
        <v>42103</v>
      </c>
      <c r="R9" s="173"/>
      <c r="S9" s="173"/>
    </row>
    <row r="10" spans="1:19" x14ac:dyDescent="0.25">
      <c r="A10" s="173" t="s">
        <v>12</v>
      </c>
      <c r="B10" s="174">
        <v>42020</v>
      </c>
      <c r="C10" s="195" t="s">
        <v>944</v>
      </c>
      <c r="D10" s="173" t="s">
        <v>4395</v>
      </c>
      <c r="E10" s="173" t="s">
        <v>4396</v>
      </c>
      <c r="F10" s="173" t="s">
        <v>4397</v>
      </c>
      <c r="G10" s="173" t="s">
        <v>4398</v>
      </c>
      <c r="H10" s="173"/>
      <c r="I10" s="173"/>
      <c r="J10" s="173" t="s">
        <v>21</v>
      </c>
      <c r="K10" s="176">
        <v>10000</v>
      </c>
      <c r="L10" s="173" t="s">
        <v>4413</v>
      </c>
      <c r="M10" s="173"/>
      <c r="N10" s="173"/>
      <c r="O10" s="173"/>
      <c r="P10" s="173" t="s">
        <v>4493</v>
      </c>
      <c r="Q10" s="174">
        <v>42103</v>
      </c>
      <c r="R10" s="173"/>
      <c r="S10" s="173"/>
    </row>
    <row r="11" spans="1:19" x14ac:dyDescent="0.25">
      <c r="A11" s="173" t="s">
        <v>12</v>
      </c>
      <c r="B11" s="174">
        <v>42040</v>
      </c>
      <c r="C11" s="195" t="s">
        <v>4399</v>
      </c>
      <c r="D11" s="173" t="s">
        <v>4400</v>
      </c>
      <c r="E11" s="173" t="s">
        <v>4401</v>
      </c>
      <c r="F11" s="173" t="s">
        <v>4402</v>
      </c>
      <c r="G11" s="173" t="s">
        <v>4403</v>
      </c>
      <c r="H11" s="176">
        <v>8780.9917355371908</v>
      </c>
      <c r="I11" s="176">
        <v>1844.0082644628101</v>
      </c>
      <c r="J11" s="173"/>
      <c r="K11" s="215">
        <v>10625</v>
      </c>
      <c r="L11" s="173" t="s">
        <v>4413</v>
      </c>
      <c r="M11" s="173" t="s">
        <v>4404</v>
      </c>
      <c r="N11" s="173"/>
      <c r="O11" s="173"/>
      <c r="P11" s="173" t="s">
        <v>4493</v>
      </c>
      <c r="Q11" s="174">
        <v>42103</v>
      </c>
      <c r="R11" s="173"/>
      <c r="S11" s="173"/>
    </row>
    <row r="12" spans="1:19" x14ac:dyDescent="0.25">
      <c r="A12" s="173" t="s">
        <v>12</v>
      </c>
      <c r="B12" s="174">
        <v>42061</v>
      </c>
      <c r="C12" s="195" t="s">
        <v>4405</v>
      </c>
      <c r="D12" s="173" t="s">
        <v>4057</v>
      </c>
      <c r="E12" s="173" t="s">
        <v>4058</v>
      </c>
      <c r="F12" s="173" t="s">
        <v>4406</v>
      </c>
      <c r="G12" s="173" t="s">
        <v>4407</v>
      </c>
      <c r="H12" s="173"/>
      <c r="I12" s="173"/>
      <c r="J12" s="173" t="s">
        <v>21</v>
      </c>
      <c r="K12" s="173">
        <v>2000</v>
      </c>
      <c r="L12" s="173" t="s">
        <v>4413</v>
      </c>
      <c r="M12" s="173"/>
      <c r="N12" s="173"/>
      <c r="O12" s="173"/>
      <c r="P12" s="173" t="s">
        <v>4493</v>
      </c>
      <c r="Q12" s="174">
        <v>42103</v>
      </c>
      <c r="R12" s="173"/>
      <c r="S12" s="173"/>
    </row>
    <row r="13" spans="1:19" x14ac:dyDescent="0.25">
      <c r="A13" s="173" t="s">
        <v>12</v>
      </c>
      <c r="B13" s="174">
        <v>42080</v>
      </c>
      <c r="C13" s="195" t="s">
        <v>944</v>
      </c>
      <c r="D13" s="173" t="s">
        <v>4408</v>
      </c>
      <c r="E13" s="173" t="s">
        <v>4409</v>
      </c>
      <c r="F13" s="173" t="s">
        <v>4410</v>
      </c>
      <c r="G13" s="173" t="s">
        <v>4411</v>
      </c>
      <c r="H13" s="173"/>
      <c r="I13" s="173"/>
      <c r="J13" s="173" t="s">
        <v>21</v>
      </c>
      <c r="K13" s="173">
        <v>3000</v>
      </c>
      <c r="L13" s="173" t="s">
        <v>4413</v>
      </c>
      <c r="M13" s="173" t="s">
        <v>4945</v>
      </c>
      <c r="N13" s="173"/>
      <c r="O13" s="173"/>
      <c r="P13" s="173" t="s">
        <v>4493</v>
      </c>
      <c r="Q13" s="174">
        <v>42103</v>
      </c>
      <c r="R13" s="173"/>
      <c r="S13" s="173"/>
    </row>
    <row r="14" spans="1:19" x14ac:dyDescent="0.25">
      <c r="A14" s="173" t="s">
        <v>408</v>
      </c>
      <c r="B14" s="174">
        <v>42020</v>
      </c>
      <c r="C14" s="195" t="s">
        <v>3609</v>
      </c>
      <c r="D14" s="173" t="s">
        <v>4926</v>
      </c>
      <c r="E14" s="173" t="s">
        <v>4412</v>
      </c>
      <c r="F14" s="173" t="s">
        <v>400</v>
      </c>
      <c r="G14" s="173" t="s">
        <v>4220</v>
      </c>
      <c r="H14" s="176">
        <v>2892.5619834710747</v>
      </c>
      <c r="I14" s="176">
        <v>607.43801652892569</v>
      </c>
      <c r="J14" s="173"/>
      <c r="K14" s="176">
        <v>3500.0000000000005</v>
      </c>
      <c r="L14" s="173" t="s">
        <v>4414</v>
      </c>
      <c r="M14" s="173" t="s">
        <v>4927</v>
      </c>
      <c r="N14" s="173"/>
      <c r="O14" s="173"/>
      <c r="P14" s="173" t="s">
        <v>4493</v>
      </c>
      <c r="Q14" s="174">
        <v>42103</v>
      </c>
      <c r="R14" s="173"/>
      <c r="S14" s="173"/>
    </row>
    <row r="15" spans="1:19" x14ac:dyDescent="0.25">
      <c r="A15" s="173" t="s">
        <v>408</v>
      </c>
      <c r="B15" s="174">
        <v>42021</v>
      </c>
      <c r="C15" s="195" t="s">
        <v>4415</v>
      </c>
      <c r="D15" s="173" t="s">
        <v>4416</v>
      </c>
      <c r="E15" s="173" t="s">
        <v>4417</v>
      </c>
      <c r="F15" s="173" t="s">
        <v>4397</v>
      </c>
      <c r="G15" s="173" t="s">
        <v>4398</v>
      </c>
      <c r="H15" s="173"/>
      <c r="I15" s="173"/>
      <c r="J15" s="173" t="s">
        <v>21</v>
      </c>
      <c r="K15" s="173">
        <v>10500</v>
      </c>
      <c r="L15" s="173" t="s">
        <v>4418</v>
      </c>
      <c r="M15" s="173" t="s">
        <v>4934</v>
      </c>
      <c r="N15" s="173"/>
      <c r="O15" s="173"/>
      <c r="P15" s="173" t="s">
        <v>4493</v>
      </c>
      <c r="Q15" s="174">
        <v>42103</v>
      </c>
      <c r="R15" s="173"/>
      <c r="S15" s="173"/>
    </row>
    <row r="16" spans="1:19" x14ac:dyDescent="0.25">
      <c r="A16" s="173" t="s">
        <v>408</v>
      </c>
      <c r="B16" s="174">
        <v>42024</v>
      </c>
      <c r="C16" s="195" t="s">
        <v>3631</v>
      </c>
      <c r="D16" s="173" t="s">
        <v>4419</v>
      </c>
      <c r="E16" s="173" t="s">
        <v>4420</v>
      </c>
      <c r="F16" s="173" t="s">
        <v>3194</v>
      </c>
      <c r="G16" s="173" t="s">
        <v>4218</v>
      </c>
      <c r="H16" s="176">
        <v>3305.7851239669421</v>
      </c>
      <c r="I16" s="176">
        <v>694.21487603305786</v>
      </c>
      <c r="J16" s="173"/>
      <c r="K16" s="176">
        <v>4000</v>
      </c>
      <c r="L16" s="173" t="s">
        <v>4414</v>
      </c>
      <c r="M16" s="173" t="s">
        <v>4896</v>
      </c>
      <c r="N16" s="173"/>
      <c r="O16" s="173"/>
      <c r="P16" s="173" t="s">
        <v>4493</v>
      </c>
      <c r="Q16" s="174">
        <v>42103</v>
      </c>
      <c r="R16" s="173"/>
      <c r="S16" s="173"/>
    </row>
    <row r="17" spans="1:19" x14ac:dyDescent="0.25">
      <c r="A17" s="173" t="s">
        <v>408</v>
      </c>
      <c r="B17" s="174">
        <v>42031</v>
      </c>
      <c r="C17" s="195" t="s">
        <v>4421</v>
      </c>
      <c r="D17" s="173" t="s">
        <v>4422</v>
      </c>
      <c r="E17" s="173" t="s">
        <v>4423</v>
      </c>
      <c r="F17" s="173" t="s">
        <v>2718</v>
      </c>
      <c r="G17" s="173" t="s">
        <v>4266</v>
      </c>
      <c r="H17" s="176">
        <v>6611.5702479338843</v>
      </c>
      <c r="I17" s="176">
        <v>1388.4297520661157</v>
      </c>
      <c r="J17" s="173"/>
      <c r="K17" s="176">
        <v>8000</v>
      </c>
      <c r="L17" s="173" t="s">
        <v>4424</v>
      </c>
      <c r="M17" s="173" t="s">
        <v>4920</v>
      </c>
      <c r="N17" s="173"/>
      <c r="O17" s="173"/>
      <c r="P17" s="173" t="s">
        <v>4493</v>
      </c>
      <c r="Q17" s="174">
        <v>42103</v>
      </c>
      <c r="R17" s="173"/>
      <c r="S17" s="173"/>
    </row>
    <row r="18" spans="1:19" x14ac:dyDescent="0.25">
      <c r="A18" s="173" t="s">
        <v>408</v>
      </c>
      <c r="B18" s="174">
        <v>42039</v>
      </c>
      <c r="C18" s="195" t="s">
        <v>3627</v>
      </c>
      <c r="D18" s="173" t="s">
        <v>4425</v>
      </c>
      <c r="E18" s="173" t="s">
        <v>4426</v>
      </c>
      <c r="F18" s="173" t="s">
        <v>4323</v>
      </c>
      <c r="G18" s="173" t="s">
        <v>4324</v>
      </c>
      <c r="H18" s="176">
        <v>3305.7851239669421</v>
      </c>
      <c r="I18" s="176">
        <v>694.21487603305786</v>
      </c>
      <c r="J18" s="173"/>
      <c r="K18" s="176">
        <v>4000</v>
      </c>
      <c r="L18" s="173" t="s">
        <v>4314</v>
      </c>
      <c r="M18" s="173" t="s">
        <v>4942</v>
      </c>
      <c r="N18" s="173"/>
      <c r="O18" s="173"/>
      <c r="P18" s="173" t="s">
        <v>4493</v>
      </c>
      <c r="Q18" s="174">
        <v>42103</v>
      </c>
      <c r="R18" s="173"/>
      <c r="S18" s="173"/>
    </row>
    <row r="19" spans="1:19" x14ac:dyDescent="0.25">
      <c r="A19" s="173" t="s">
        <v>408</v>
      </c>
      <c r="B19" s="174">
        <v>42040</v>
      </c>
      <c r="C19" s="195" t="s">
        <v>3009</v>
      </c>
      <c r="D19" s="173" t="s">
        <v>4427</v>
      </c>
      <c r="E19" s="173" t="s">
        <v>4428</v>
      </c>
      <c r="F19" s="173" t="s">
        <v>3156</v>
      </c>
      <c r="G19" s="173" t="s">
        <v>4251</v>
      </c>
      <c r="H19" s="173"/>
      <c r="I19" s="173"/>
      <c r="J19" s="173" t="s">
        <v>21</v>
      </c>
      <c r="K19" s="173">
        <v>1800</v>
      </c>
      <c r="L19" s="173" t="s">
        <v>4429</v>
      </c>
      <c r="M19" s="173"/>
      <c r="N19" s="173"/>
      <c r="O19" s="173"/>
      <c r="P19" s="173" t="s">
        <v>4493</v>
      </c>
      <c r="Q19" s="174">
        <v>42103</v>
      </c>
      <c r="R19" s="173"/>
      <c r="S19" s="173"/>
    </row>
    <row r="20" spans="1:19" x14ac:dyDescent="0.25">
      <c r="A20" s="173" t="s">
        <v>408</v>
      </c>
      <c r="B20" s="174">
        <v>42045</v>
      </c>
      <c r="C20" s="195" t="s">
        <v>3657</v>
      </c>
      <c r="D20" s="173" t="s">
        <v>4430</v>
      </c>
      <c r="E20" s="173" t="s">
        <v>4431</v>
      </c>
      <c r="F20" s="173" t="s">
        <v>4238</v>
      </c>
      <c r="G20" s="173" t="s">
        <v>4262</v>
      </c>
      <c r="H20" s="176">
        <v>3595.0413223140495</v>
      </c>
      <c r="I20" s="176">
        <v>754.95867768595031</v>
      </c>
      <c r="J20" s="173"/>
      <c r="K20" s="176">
        <v>4350</v>
      </c>
      <c r="L20" s="173" t="s">
        <v>4432</v>
      </c>
      <c r="M20" s="173" t="s">
        <v>4944</v>
      </c>
      <c r="N20" s="173"/>
      <c r="O20" s="173"/>
      <c r="P20" s="173" t="s">
        <v>4493</v>
      </c>
      <c r="Q20" s="174">
        <v>42103</v>
      </c>
      <c r="R20" s="173"/>
      <c r="S20" s="173"/>
    </row>
    <row r="21" spans="1:19" x14ac:dyDescent="0.25">
      <c r="A21" s="173" t="s">
        <v>408</v>
      </c>
      <c r="B21" s="174">
        <v>42046</v>
      </c>
      <c r="C21" s="195" t="s">
        <v>3635</v>
      </c>
      <c r="D21" s="173" t="s">
        <v>4377</v>
      </c>
      <c r="E21" s="173" t="s">
        <v>4378</v>
      </c>
      <c r="F21" s="173" t="s">
        <v>4433</v>
      </c>
      <c r="G21" s="173" t="s">
        <v>4389</v>
      </c>
      <c r="H21" s="173"/>
      <c r="I21" s="173"/>
      <c r="J21" s="173" t="s">
        <v>21</v>
      </c>
      <c r="K21" s="173">
        <v>8500</v>
      </c>
      <c r="L21" s="173" t="s">
        <v>4435</v>
      </c>
      <c r="M21" s="173" t="s">
        <v>4434</v>
      </c>
      <c r="N21" s="173"/>
      <c r="O21" s="173"/>
      <c r="P21" s="173" t="s">
        <v>4493</v>
      </c>
      <c r="Q21" s="174">
        <v>42103</v>
      </c>
      <c r="R21" s="173"/>
      <c r="S21" s="173"/>
    </row>
    <row r="22" spans="1:19" x14ac:dyDescent="0.25">
      <c r="A22" s="173" t="s">
        <v>408</v>
      </c>
      <c r="B22" s="174">
        <v>42048</v>
      </c>
      <c r="C22" s="195" t="s">
        <v>4436</v>
      </c>
      <c r="D22" s="173" t="s">
        <v>4437</v>
      </c>
      <c r="E22" s="173" t="s">
        <v>4438</v>
      </c>
      <c r="F22" s="173" t="s">
        <v>4215</v>
      </c>
      <c r="G22" s="173" t="s">
        <v>4216</v>
      </c>
      <c r="H22" s="176">
        <v>3719.0082644628101</v>
      </c>
      <c r="I22" s="176">
        <v>780.99173553719004</v>
      </c>
      <c r="J22" s="173"/>
      <c r="K22" s="176">
        <v>4500</v>
      </c>
      <c r="L22" s="173" t="s">
        <v>4414</v>
      </c>
      <c r="M22" s="173" t="s">
        <v>4894</v>
      </c>
      <c r="N22" s="173"/>
      <c r="O22" s="173"/>
      <c r="P22" s="173" t="s">
        <v>4493</v>
      </c>
      <c r="Q22" s="174">
        <v>42103</v>
      </c>
      <c r="R22" s="173"/>
      <c r="S22" s="173"/>
    </row>
    <row r="23" spans="1:19" x14ac:dyDescent="0.25">
      <c r="A23" s="173" t="s">
        <v>408</v>
      </c>
      <c r="B23" s="174">
        <v>42052</v>
      </c>
      <c r="C23" s="195" t="s">
        <v>3643</v>
      </c>
      <c r="D23" s="173" t="s">
        <v>4439</v>
      </c>
      <c r="E23" s="173" t="s">
        <v>4375</v>
      </c>
      <c r="F23" s="173" t="s">
        <v>4268</v>
      </c>
      <c r="G23" s="173" t="s">
        <v>4269</v>
      </c>
      <c r="H23" s="176">
        <v>5785.1239669421493</v>
      </c>
      <c r="I23" s="176">
        <v>1214.8760330578514</v>
      </c>
      <c r="J23" s="176"/>
      <c r="K23" s="176">
        <v>7000.0000000000009</v>
      </c>
      <c r="L23" s="173" t="s">
        <v>4440</v>
      </c>
      <c r="M23" s="173" t="s">
        <v>4913</v>
      </c>
      <c r="N23" s="173"/>
      <c r="O23" s="173"/>
      <c r="P23" s="173" t="s">
        <v>4493</v>
      </c>
      <c r="Q23" s="174">
        <v>42103</v>
      </c>
      <c r="R23" s="173"/>
      <c r="S23" s="173"/>
    </row>
    <row r="24" spans="1:19" x14ac:dyDescent="0.25">
      <c r="A24" s="173" t="s">
        <v>408</v>
      </c>
      <c r="B24" s="174">
        <v>42055</v>
      </c>
      <c r="C24" s="195" t="s">
        <v>3647</v>
      </c>
      <c r="D24" s="173" t="s">
        <v>4441</v>
      </c>
      <c r="E24" s="173" t="s">
        <v>4442</v>
      </c>
      <c r="F24" s="173" t="s">
        <v>4223</v>
      </c>
      <c r="G24" s="173" t="s">
        <v>4228</v>
      </c>
      <c r="H24" s="176">
        <v>2727.2727272727275</v>
      </c>
      <c r="I24" s="176">
        <v>572.72727272727275</v>
      </c>
      <c r="J24" s="173"/>
      <c r="K24" s="176">
        <v>3300</v>
      </c>
      <c r="L24" s="173" t="s">
        <v>4317</v>
      </c>
      <c r="M24" s="173" t="s">
        <v>4943</v>
      </c>
      <c r="N24" s="173"/>
      <c r="O24" s="173"/>
      <c r="P24" s="173" t="s">
        <v>4493</v>
      </c>
      <c r="Q24" s="174">
        <v>42103</v>
      </c>
      <c r="R24" s="173"/>
      <c r="S24" s="173"/>
    </row>
    <row r="25" spans="1:19" x14ac:dyDescent="0.25">
      <c r="A25" s="173" t="s">
        <v>408</v>
      </c>
      <c r="B25" s="174">
        <v>42059</v>
      </c>
      <c r="C25" s="195" t="s">
        <v>3688</v>
      </c>
      <c r="D25" s="173" t="s">
        <v>4443</v>
      </c>
      <c r="E25" s="173" t="s">
        <v>4444</v>
      </c>
      <c r="F25" s="173" t="s">
        <v>706</v>
      </c>
      <c r="G25" s="173" t="s">
        <v>4050</v>
      </c>
      <c r="H25" s="173"/>
      <c r="I25" s="173"/>
      <c r="J25" s="173" t="s">
        <v>21</v>
      </c>
      <c r="K25" s="173">
        <v>3700</v>
      </c>
      <c r="L25" s="173" t="s">
        <v>4445</v>
      </c>
      <c r="M25" s="173" t="s">
        <v>4939</v>
      </c>
      <c r="N25" s="173"/>
      <c r="O25" s="173"/>
      <c r="P25" s="173" t="s">
        <v>4493</v>
      </c>
      <c r="Q25" s="174">
        <v>42103</v>
      </c>
      <c r="R25" s="173"/>
      <c r="S25" s="173"/>
    </row>
    <row r="26" spans="1:19" x14ac:dyDescent="0.25">
      <c r="A26" s="173" t="s">
        <v>12</v>
      </c>
      <c r="B26" s="174">
        <v>42068</v>
      </c>
      <c r="C26" s="195" t="s">
        <v>944</v>
      </c>
      <c r="D26" s="173" t="s">
        <v>4446</v>
      </c>
      <c r="E26" s="173" t="s">
        <v>4447</v>
      </c>
      <c r="F26" s="173" t="s">
        <v>3624</v>
      </c>
      <c r="G26" s="173" t="s">
        <v>4448</v>
      </c>
      <c r="H26" s="173"/>
      <c r="I26" s="173"/>
      <c r="J26" s="173" t="s">
        <v>21</v>
      </c>
      <c r="K26" s="173">
        <v>5000</v>
      </c>
      <c r="L26" s="173" t="s">
        <v>4413</v>
      </c>
      <c r="M26" s="173"/>
      <c r="N26" s="173"/>
      <c r="O26" s="173"/>
      <c r="P26" s="173" t="s">
        <v>4493</v>
      </c>
      <c r="Q26" s="174">
        <v>42103</v>
      </c>
      <c r="R26" s="173"/>
      <c r="S26" s="173"/>
    </row>
    <row r="27" spans="1:19" x14ac:dyDescent="0.25">
      <c r="A27" s="173" t="s">
        <v>43</v>
      </c>
      <c r="B27" s="174">
        <v>42017</v>
      </c>
      <c r="C27" s="195" t="s">
        <v>4453</v>
      </c>
      <c r="D27" s="173" t="s">
        <v>4222</v>
      </c>
      <c r="E27" s="173" t="s">
        <v>13</v>
      </c>
      <c r="F27" s="173" t="s">
        <v>4223</v>
      </c>
      <c r="G27" s="173" t="s">
        <v>4228</v>
      </c>
      <c r="H27" s="176">
        <v>-500</v>
      </c>
      <c r="I27" s="176">
        <v>-105</v>
      </c>
      <c r="J27" s="173"/>
      <c r="K27" s="176">
        <v>-605</v>
      </c>
      <c r="L27" s="173" t="s">
        <v>4413</v>
      </c>
      <c r="M27" s="173" t="s">
        <v>4883</v>
      </c>
      <c r="N27" s="173"/>
      <c r="O27" s="173"/>
      <c r="P27" s="173" t="s">
        <v>4493</v>
      </c>
      <c r="Q27" s="174">
        <v>42103</v>
      </c>
      <c r="R27" s="173"/>
      <c r="S27" s="173"/>
    </row>
    <row r="28" spans="1:19" x14ac:dyDescent="0.25">
      <c r="A28" s="173" t="s">
        <v>408</v>
      </c>
      <c r="B28" s="174">
        <v>42067</v>
      </c>
      <c r="C28" s="195" t="s">
        <v>4454</v>
      </c>
      <c r="D28" s="173" t="s">
        <v>4455</v>
      </c>
      <c r="E28" s="173" t="s">
        <v>4456</v>
      </c>
      <c r="F28" s="173" t="s">
        <v>4386</v>
      </c>
      <c r="G28" s="173" t="s">
        <v>4387</v>
      </c>
      <c r="H28" s="173"/>
      <c r="I28" s="173"/>
      <c r="J28" s="173" t="s">
        <v>21</v>
      </c>
      <c r="K28" s="176">
        <v>2500</v>
      </c>
      <c r="L28" s="173" t="s">
        <v>4457</v>
      </c>
      <c r="M28" s="173" t="s">
        <v>4948</v>
      </c>
      <c r="N28" s="173"/>
      <c r="O28" s="173"/>
      <c r="P28" s="173" t="s">
        <v>4493</v>
      </c>
      <c r="Q28" s="174">
        <v>42103</v>
      </c>
      <c r="R28" s="173"/>
      <c r="S28" s="173"/>
    </row>
    <row r="29" spans="1:19" x14ac:dyDescent="0.25">
      <c r="A29" s="173" t="s">
        <v>408</v>
      </c>
      <c r="B29" s="174">
        <v>42068</v>
      </c>
      <c r="C29" s="195" t="s">
        <v>4458</v>
      </c>
      <c r="D29" s="173" t="s">
        <v>4446</v>
      </c>
      <c r="E29" s="173" t="s">
        <v>4459</v>
      </c>
      <c r="F29" s="173" t="s">
        <v>4379</v>
      </c>
      <c r="G29" s="173" t="s">
        <v>4380</v>
      </c>
      <c r="H29" s="173"/>
      <c r="I29" s="173"/>
      <c r="J29" s="173" t="s">
        <v>21</v>
      </c>
      <c r="K29" s="173">
        <v>7500</v>
      </c>
      <c r="L29" s="173" t="s">
        <v>4461</v>
      </c>
      <c r="M29" s="173" t="s">
        <v>4460</v>
      </c>
      <c r="N29" s="173"/>
      <c r="O29" s="173"/>
      <c r="P29" s="173" t="s">
        <v>4493</v>
      </c>
      <c r="Q29" s="174">
        <v>42103</v>
      </c>
      <c r="R29" s="173"/>
      <c r="S29" s="173"/>
    </row>
    <row r="30" spans="1:19" x14ac:dyDescent="0.25">
      <c r="A30" s="173" t="s">
        <v>408</v>
      </c>
      <c r="B30" s="174">
        <v>42075</v>
      </c>
      <c r="C30" s="195" t="s">
        <v>3692</v>
      </c>
      <c r="D30" s="173" t="s">
        <v>4462</v>
      </c>
      <c r="E30" s="173" t="s">
        <v>4463</v>
      </c>
      <c r="F30" s="173" t="s">
        <v>4061</v>
      </c>
      <c r="G30" s="173" t="s">
        <v>4376</v>
      </c>
      <c r="H30" s="173"/>
      <c r="I30" s="173"/>
      <c r="J30" s="173" t="s">
        <v>21</v>
      </c>
      <c r="K30" s="173">
        <v>2700</v>
      </c>
      <c r="L30" s="173" t="s">
        <v>4464</v>
      </c>
      <c r="M30" s="173" t="s">
        <v>4897</v>
      </c>
      <c r="N30" s="173"/>
      <c r="O30" s="173"/>
      <c r="P30" s="173" t="s">
        <v>4493</v>
      </c>
      <c r="Q30" s="174">
        <v>42103</v>
      </c>
      <c r="R30" s="173"/>
      <c r="S30" s="173" t="s">
        <v>3791</v>
      </c>
    </row>
    <row r="31" spans="1:19" x14ac:dyDescent="0.25">
      <c r="A31" s="173" t="s">
        <v>408</v>
      </c>
      <c r="B31" s="174">
        <v>42077</v>
      </c>
      <c r="C31" s="195" t="s">
        <v>3751</v>
      </c>
      <c r="D31" s="173" t="s">
        <v>4465</v>
      </c>
      <c r="E31" s="173" t="s">
        <v>4466</v>
      </c>
      <c r="F31" s="173" t="s">
        <v>4272</v>
      </c>
      <c r="G31" s="173" t="s">
        <v>4273</v>
      </c>
      <c r="H31" s="173"/>
      <c r="I31" s="173"/>
      <c r="J31" s="173" t="s">
        <v>21</v>
      </c>
      <c r="K31" s="173">
        <v>2800</v>
      </c>
      <c r="L31" s="173" t="s">
        <v>4467</v>
      </c>
      <c r="M31" s="173" t="s">
        <v>4929</v>
      </c>
      <c r="N31" s="173"/>
      <c r="O31" s="173"/>
      <c r="P31" s="173" t="s">
        <v>4493</v>
      </c>
      <c r="Q31" s="174">
        <v>42103</v>
      </c>
      <c r="R31" s="173"/>
      <c r="S31" s="173"/>
    </row>
    <row r="32" spans="1:19" x14ac:dyDescent="0.25">
      <c r="A32" s="173" t="s">
        <v>408</v>
      </c>
      <c r="B32" s="174">
        <v>42081</v>
      </c>
      <c r="C32" s="195" t="s">
        <v>4468</v>
      </c>
      <c r="D32" s="173" t="s">
        <v>4469</v>
      </c>
      <c r="E32" s="173" t="s">
        <v>4470</v>
      </c>
      <c r="F32" s="173" t="s">
        <v>4406</v>
      </c>
      <c r="G32" s="173" t="s">
        <v>4407</v>
      </c>
      <c r="H32" s="173"/>
      <c r="I32" s="173"/>
      <c r="J32" s="173" t="s">
        <v>21</v>
      </c>
      <c r="K32" s="173">
        <v>2400</v>
      </c>
      <c r="L32" s="173" t="s">
        <v>4457</v>
      </c>
      <c r="M32" s="173" t="s">
        <v>4892</v>
      </c>
      <c r="N32" s="173"/>
      <c r="O32" s="173"/>
      <c r="P32" s="173" t="s">
        <v>4493</v>
      </c>
      <c r="Q32" s="174">
        <v>42103</v>
      </c>
      <c r="R32" s="173"/>
      <c r="S32" s="173"/>
    </row>
    <row r="33" spans="1:19" x14ac:dyDescent="0.25">
      <c r="A33" s="173" t="s">
        <v>408</v>
      </c>
      <c r="B33" s="174">
        <v>42081</v>
      </c>
      <c r="C33" s="195" t="s">
        <v>4471</v>
      </c>
      <c r="D33" s="173" t="s">
        <v>4472</v>
      </c>
      <c r="E33" s="173" t="s">
        <v>4473</v>
      </c>
      <c r="F33" s="173" t="s">
        <v>4120</v>
      </c>
      <c r="G33" s="173" t="s">
        <v>4275</v>
      </c>
      <c r="H33" s="173"/>
      <c r="I33" s="173"/>
      <c r="J33" s="173" t="s">
        <v>21</v>
      </c>
      <c r="K33" s="173">
        <v>4750</v>
      </c>
      <c r="L33" s="173" t="s">
        <v>4474</v>
      </c>
      <c r="M33" s="173" t="s">
        <v>4900</v>
      </c>
      <c r="N33" s="173"/>
      <c r="O33" s="173"/>
      <c r="P33" s="173" t="s">
        <v>4493</v>
      </c>
      <c r="Q33" s="174">
        <v>42103</v>
      </c>
      <c r="R33" s="173"/>
      <c r="S33" s="173"/>
    </row>
    <row r="34" spans="1:19" x14ac:dyDescent="0.25">
      <c r="A34" s="173" t="s">
        <v>408</v>
      </c>
      <c r="B34" s="174">
        <v>42083</v>
      </c>
      <c r="C34" s="195" t="s">
        <v>3025</v>
      </c>
      <c r="D34" s="173" t="s">
        <v>4475</v>
      </c>
      <c r="E34" s="173" t="s">
        <v>4476</v>
      </c>
      <c r="F34" s="173" t="s">
        <v>4054</v>
      </c>
      <c r="G34" s="173" t="s">
        <v>4391</v>
      </c>
      <c r="H34" s="176">
        <v>6115.7024793388427</v>
      </c>
      <c r="I34" s="176">
        <v>1284.297520661157</v>
      </c>
      <c r="J34" s="173"/>
      <c r="K34" s="176">
        <v>7400</v>
      </c>
      <c r="L34" s="173" t="s">
        <v>4477</v>
      </c>
      <c r="M34" s="173" t="s">
        <v>4901</v>
      </c>
      <c r="N34" s="173"/>
      <c r="O34" s="173"/>
      <c r="P34" s="173" t="s">
        <v>4493</v>
      </c>
      <c r="Q34" s="174">
        <v>42103</v>
      </c>
      <c r="R34" s="173"/>
      <c r="S34" s="173"/>
    </row>
    <row r="35" spans="1:19" x14ac:dyDescent="0.25">
      <c r="A35" s="173" t="s">
        <v>408</v>
      </c>
      <c r="B35" s="174">
        <v>42084</v>
      </c>
      <c r="C35" s="195" t="s">
        <v>4478</v>
      </c>
      <c r="D35" s="173" t="s">
        <v>4479</v>
      </c>
      <c r="E35" s="173" t="s">
        <v>4480</v>
      </c>
      <c r="F35" s="173" t="s">
        <v>362</v>
      </c>
      <c r="G35" s="173" t="s">
        <v>4186</v>
      </c>
      <c r="H35" s="173"/>
      <c r="I35" s="173"/>
      <c r="J35" s="173" t="s">
        <v>21</v>
      </c>
      <c r="K35" s="176">
        <v>3700</v>
      </c>
      <c r="L35" s="173" t="s">
        <v>4481</v>
      </c>
      <c r="M35" s="173" t="s">
        <v>4917</v>
      </c>
      <c r="N35" s="173"/>
      <c r="O35" s="173"/>
      <c r="P35" s="173" t="s">
        <v>4493</v>
      </c>
      <c r="Q35" s="174">
        <v>42103</v>
      </c>
      <c r="R35" s="173"/>
      <c r="S35" s="173"/>
    </row>
    <row r="36" spans="1:19" x14ac:dyDescent="0.25">
      <c r="A36" s="173" t="s">
        <v>408</v>
      </c>
      <c r="B36" s="174">
        <v>42087</v>
      </c>
      <c r="C36" s="195" t="s">
        <v>3029</v>
      </c>
      <c r="D36" s="173" t="s">
        <v>4482</v>
      </c>
      <c r="E36" s="173" t="s">
        <v>4483</v>
      </c>
      <c r="F36" s="173" t="s">
        <v>4232</v>
      </c>
      <c r="G36" s="173" t="s">
        <v>4233</v>
      </c>
      <c r="H36" s="173"/>
      <c r="I36" s="173"/>
      <c r="J36" s="173" t="s">
        <v>21</v>
      </c>
      <c r="K36" s="176">
        <v>2000</v>
      </c>
      <c r="L36" s="173" t="s">
        <v>4484</v>
      </c>
      <c r="M36" s="173" t="s">
        <v>4893</v>
      </c>
      <c r="N36" s="173"/>
      <c r="O36" s="173"/>
      <c r="P36" s="173" t="s">
        <v>4493</v>
      </c>
      <c r="Q36" s="174">
        <v>42103</v>
      </c>
      <c r="R36" s="173"/>
      <c r="S36" s="173"/>
    </row>
    <row r="37" spans="1:19" x14ac:dyDescent="0.25">
      <c r="A37" s="173" t="s">
        <v>408</v>
      </c>
      <c r="B37" s="174">
        <v>42088</v>
      </c>
      <c r="C37" s="195" t="s">
        <v>3032</v>
      </c>
      <c r="D37" s="173" t="s">
        <v>4485</v>
      </c>
      <c r="E37" s="173" t="s">
        <v>4486</v>
      </c>
      <c r="F37" s="173" t="s">
        <v>906</v>
      </c>
      <c r="G37" s="173" t="s">
        <v>4278</v>
      </c>
      <c r="H37" s="173"/>
      <c r="I37" s="173"/>
      <c r="J37" s="173" t="s">
        <v>21</v>
      </c>
      <c r="K37" s="173">
        <v>3000</v>
      </c>
      <c r="L37" s="173" t="s">
        <v>4474</v>
      </c>
      <c r="M37" s="173" t="s">
        <v>4937</v>
      </c>
      <c r="N37" s="173"/>
      <c r="O37" s="173"/>
      <c r="P37" s="173" t="s">
        <v>4493</v>
      </c>
      <c r="Q37" s="174">
        <v>42103</v>
      </c>
      <c r="R37" s="173"/>
      <c r="S37" s="173"/>
    </row>
    <row r="38" spans="1:19" x14ac:dyDescent="0.25">
      <c r="A38" s="173" t="s">
        <v>408</v>
      </c>
      <c r="B38" s="174">
        <v>42091</v>
      </c>
      <c r="C38" s="195" t="s">
        <v>3124</v>
      </c>
      <c r="D38" s="173" t="s">
        <v>4487</v>
      </c>
      <c r="E38" s="173" t="s">
        <v>4488</v>
      </c>
      <c r="F38" s="173" t="s">
        <v>4054</v>
      </c>
      <c r="G38" s="173" t="s">
        <v>4253</v>
      </c>
      <c r="H38" s="173"/>
      <c r="I38" s="173"/>
      <c r="J38" s="173" t="s">
        <v>21</v>
      </c>
      <c r="K38" s="176">
        <v>4300</v>
      </c>
      <c r="L38" s="173" t="s">
        <v>4489</v>
      </c>
      <c r="M38" s="173" t="s">
        <v>4933</v>
      </c>
      <c r="N38" s="173"/>
      <c r="O38" s="173"/>
      <c r="P38" s="173" t="s">
        <v>4493</v>
      </c>
      <c r="Q38" s="174">
        <v>42103</v>
      </c>
      <c r="R38" s="173"/>
      <c r="S38" s="173"/>
    </row>
    <row r="39" spans="1:19" x14ac:dyDescent="0.25">
      <c r="A39" s="173" t="s">
        <v>408</v>
      </c>
      <c r="B39" s="174">
        <v>42094</v>
      </c>
      <c r="C39" s="195" t="s">
        <v>3257</v>
      </c>
      <c r="D39" s="173" t="s">
        <v>4490</v>
      </c>
      <c r="E39" s="173" t="s">
        <v>4491</v>
      </c>
      <c r="F39" s="173" t="s">
        <v>3624</v>
      </c>
      <c r="G39" s="173" t="s">
        <v>4448</v>
      </c>
      <c r="H39" s="173"/>
      <c r="I39" s="173"/>
      <c r="J39" s="173" t="s">
        <v>21</v>
      </c>
      <c r="K39" s="173">
        <v>5700</v>
      </c>
      <c r="L39" s="173" t="s">
        <v>4492</v>
      </c>
      <c r="M39" s="173" t="s">
        <v>4891</v>
      </c>
      <c r="N39" s="173"/>
      <c r="O39" s="173"/>
      <c r="P39" s="173" t="s">
        <v>4493</v>
      </c>
      <c r="Q39" s="174">
        <v>42103</v>
      </c>
      <c r="R39" s="173"/>
      <c r="S39" s="173"/>
    </row>
    <row r="40" spans="1:19" x14ac:dyDescent="0.25">
      <c r="A40" s="173" t="s">
        <v>12</v>
      </c>
      <c r="B40" s="174">
        <v>42045</v>
      </c>
      <c r="C40" s="195" t="s">
        <v>4495</v>
      </c>
      <c r="D40" s="173" t="s">
        <v>4496</v>
      </c>
      <c r="E40" s="173" t="s">
        <v>4497</v>
      </c>
      <c r="F40" s="173" t="s">
        <v>377</v>
      </c>
      <c r="G40" s="173" t="s">
        <v>4498</v>
      </c>
      <c r="H40" s="176">
        <v>661.15702479338847</v>
      </c>
      <c r="I40" s="176">
        <v>138.84297520661158</v>
      </c>
      <c r="J40" s="173"/>
      <c r="K40" s="176">
        <v>800</v>
      </c>
      <c r="L40" s="173" t="s">
        <v>4413</v>
      </c>
      <c r="M40" s="173"/>
      <c r="N40" s="173"/>
      <c r="O40" s="173"/>
      <c r="P40" s="173" t="s">
        <v>4493</v>
      </c>
      <c r="Q40" s="174">
        <v>42105</v>
      </c>
      <c r="R40" s="173"/>
      <c r="S40" s="173"/>
    </row>
    <row r="41" spans="1:19" x14ac:dyDescent="0.25">
      <c r="A41" s="173" t="s">
        <v>12</v>
      </c>
      <c r="B41" s="174">
        <v>42037</v>
      </c>
      <c r="C41" s="195" t="s">
        <v>4499</v>
      </c>
      <c r="D41" s="173" t="s">
        <v>4503</v>
      </c>
      <c r="E41" s="173" t="s">
        <v>4500</v>
      </c>
      <c r="F41" s="173" t="s">
        <v>4502</v>
      </c>
      <c r="G41" s="173" t="s">
        <v>4501</v>
      </c>
      <c r="H41" s="173"/>
      <c r="I41" s="173"/>
      <c r="J41" s="173" t="s">
        <v>303</v>
      </c>
      <c r="K41" s="173">
        <v>3220</v>
      </c>
      <c r="L41" s="173" t="s">
        <v>4413</v>
      </c>
      <c r="M41" s="173"/>
      <c r="N41" s="173"/>
      <c r="O41" s="173"/>
      <c r="P41" s="173" t="s">
        <v>4493</v>
      </c>
      <c r="Q41" s="174">
        <v>42105</v>
      </c>
      <c r="R41" s="173"/>
      <c r="S41" s="173"/>
    </row>
    <row r="42" spans="1:19" x14ac:dyDescent="0.25">
      <c r="A42" s="173" t="s">
        <v>12</v>
      </c>
      <c r="B42" s="174">
        <v>42048</v>
      </c>
      <c r="C42" s="195" t="s">
        <v>944</v>
      </c>
      <c r="D42" s="173" t="s">
        <v>4437</v>
      </c>
      <c r="E42" s="173" t="s">
        <v>4438</v>
      </c>
      <c r="F42" s="173" t="s">
        <v>4506</v>
      </c>
      <c r="G42" s="173" t="s">
        <v>4507</v>
      </c>
      <c r="H42" s="173"/>
      <c r="I42" s="173"/>
      <c r="J42" s="173" t="s">
        <v>21</v>
      </c>
      <c r="K42" s="176">
        <v>1500</v>
      </c>
      <c r="L42" s="173" t="s">
        <v>4413</v>
      </c>
      <c r="M42" s="173"/>
      <c r="N42" s="173"/>
      <c r="O42" s="173"/>
      <c r="P42" s="173" t="s">
        <v>4493</v>
      </c>
      <c r="Q42" s="174">
        <v>42105</v>
      </c>
      <c r="R42" s="173"/>
      <c r="S42" s="173"/>
    </row>
    <row r="43" spans="1:19" x14ac:dyDescent="0.25">
      <c r="A43" s="173" t="s">
        <v>408</v>
      </c>
      <c r="B43" s="174">
        <v>42059</v>
      </c>
      <c r="C43" s="195" t="s">
        <v>4508</v>
      </c>
      <c r="D43" s="173" t="s">
        <v>4504</v>
      </c>
      <c r="E43" s="173" t="s">
        <v>4505</v>
      </c>
      <c r="F43" s="173" t="s">
        <v>4506</v>
      </c>
      <c r="G43" s="173" t="s">
        <v>4507</v>
      </c>
      <c r="H43" s="173"/>
      <c r="I43" s="173"/>
      <c r="J43" s="173" t="s">
        <v>21</v>
      </c>
      <c r="K43" s="173">
        <v>2000</v>
      </c>
      <c r="L43" s="173" t="s">
        <v>4509</v>
      </c>
      <c r="M43" s="173" t="s">
        <v>4947</v>
      </c>
      <c r="N43" s="173"/>
      <c r="O43" s="173"/>
      <c r="P43" s="173" t="s">
        <v>4493</v>
      </c>
      <c r="Q43" s="174">
        <v>42105</v>
      </c>
      <c r="R43" s="173"/>
      <c r="S43" s="173"/>
    </row>
    <row r="44" spans="1:19" x14ac:dyDescent="0.25">
      <c r="A44" s="173" t="s">
        <v>408</v>
      </c>
      <c r="B44" s="174">
        <v>42066</v>
      </c>
      <c r="C44" s="195" t="s">
        <v>3638</v>
      </c>
      <c r="D44" s="173" t="s">
        <v>4517</v>
      </c>
      <c r="E44" s="173" t="s">
        <v>4518</v>
      </c>
      <c r="F44" s="173" t="s">
        <v>906</v>
      </c>
      <c r="G44" s="173" t="s">
        <v>4384</v>
      </c>
      <c r="H44" s="173"/>
      <c r="I44" s="173"/>
      <c r="J44" s="173" t="s">
        <v>21</v>
      </c>
      <c r="K44" s="176">
        <v>2000</v>
      </c>
      <c r="L44" s="173" t="s">
        <v>4519</v>
      </c>
      <c r="M44" s="173" t="s">
        <v>4950</v>
      </c>
      <c r="N44" s="173"/>
      <c r="O44" s="173"/>
      <c r="P44" s="173" t="s">
        <v>4493</v>
      </c>
      <c r="Q44" s="174">
        <v>42105</v>
      </c>
      <c r="R44" s="173"/>
      <c r="S44" s="173"/>
    </row>
    <row r="45" spans="1:19" x14ac:dyDescent="0.25">
      <c r="A45" s="173" t="s">
        <v>12</v>
      </c>
      <c r="B45" s="174">
        <v>42067</v>
      </c>
      <c r="C45" s="195" t="s">
        <v>4510</v>
      </c>
      <c r="D45" s="173" t="s">
        <v>3958</v>
      </c>
      <c r="E45" s="173" t="s">
        <v>2626</v>
      </c>
      <c r="F45" s="173" t="s">
        <v>4511</v>
      </c>
      <c r="G45" s="173" t="s">
        <v>4512</v>
      </c>
      <c r="H45" s="176">
        <v>2892.5619834710747</v>
      </c>
      <c r="I45" s="176">
        <v>607.43801652892569</v>
      </c>
      <c r="J45" s="173"/>
      <c r="K45" s="176">
        <v>3500.0000000000005</v>
      </c>
      <c r="L45" s="173" t="s">
        <v>4413</v>
      </c>
      <c r="M45" s="173"/>
      <c r="N45" s="173"/>
      <c r="O45" s="173"/>
      <c r="P45" s="173" t="s">
        <v>4493</v>
      </c>
      <c r="Q45" s="174">
        <v>42105</v>
      </c>
      <c r="R45" s="173"/>
      <c r="S45" s="173"/>
    </row>
    <row r="46" spans="1:19" x14ac:dyDescent="0.25">
      <c r="A46" s="173" t="s">
        <v>12</v>
      </c>
      <c r="B46" s="174">
        <v>42067</v>
      </c>
      <c r="C46" s="195" t="s">
        <v>4513</v>
      </c>
      <c r="D46" s="173" t="s">
        <v>3958</v>
      </c>
      <c r="E46" s="173" t="s">
        <v>2626</v>
      </c>
      <c r="F46" s="173" t="s">
        <v>4527</v>
      </c>
      <c r="G46" s="173" t="s">
        <v>4514</v>
      </c>
      <c r="H46" s="176">
        <v>3305.7851239669421</v>
      </c>
      <c r="I46" s="176">
        <v>694.21487603305786</v>
      </c>
      <c r="J46" s="173"/>
      <c r="K46" s="176">
        <v>4000</v>
      </c>
      <c r="L46" s="173" t="s">
        <v>4413</v>
      </c>
      <c r="M46" s="173"/>
      <c r="N46" s="173"/>
      <c r="O46" s="173"/>
      <c r="P46" s="173" t="s">
        <v>4493</v>
      </c>
      <c r="Q46" s="174">
        <v>42105</v>
      </c>
      <c r="R46" s="173"/>
      <c r="S46" s="173"/>
    </row>
    <row r="47" spans="1:19" x14ac:dyDescent="0.25">
      <c r="A47" s="173" t="s">
        <v>12</v>
      </c>
      <c r="B47" s="174">
        <v>42067</v>
      </c>
      <c r="C47" s="195" t="s">
        <v>4515</v>
      </c>
      <c r="D47" s="173" t="s">
        <v>3958</v>
      </c>
      <c r="E47" s="173" t="s">
        <v>2626</v>
      </c>
      <c r="F47" s="173" t="s">
        <v>4393</v>
      </c>
      <c r="G47" s="173" t="s">
        <v>4516</v>
      </c>
      <c r="H47" s="176">
        <v>3884.2975206611573</v>
      </c>
      <c r="I47" s="176">
        <v>815.70247933884298</v>
      </c>
      <c r="J47" s="173"/>
      <c r="K47" s="176">
        <v>4700</v>
      </c>
      <c r="L47" s="173" t="s">
        <v>4413</v>
      </c>
      <c r="M47" s="173"/>
      <c r="N47" s="173"/>
      <c r="O47" s="173"/>
      <c r="P47" s="173" t="s">
        <v>4493</v>
      </c>
      <c r="Q47" s="174">
        <v>42105</v>
      </c>
      <c r="R47" s="173"/>
      <c r="S47" s="173"/>
    </row>
    <row r="48" spans="1:19" x14ac:dyDescent="0.25">
      <c r="A48" s="173" t="s">
        <v>408</v>
      </c>
      <c r="B48" s="174">
        <v>42080</v>
      </c>
      <c r="C48" s="195" t="s">
        <v>3743</v>
      </c>
      <c r="D48" s="173" t="s">
        <v>4520</v>
      </c>
      <c r="E48" s="173" t="s">
        <v>4521</v>
      </c>
      <c r="F48" s="173" t="s">
        <v>4502</v>
      </c>
      <c r="G48" s="173" t="s">
        <v>4501</v>
      </c>
      <c r="H48" s="173"/>
      <c r="I48" s="173"/>
      <c r="J48" s="173" t="s">
        <v>303</v>
      </c>
      <c r="K48" s="173">
        <v>3800</v>
      </c>
      <c r="L48" s="173" t="s">
        <v>4522</v>
      </c>
      <c r="M48" s="173" t="s">
        <v>4885</v>
      </c>
      <c r="N48" s="173"/>
      <c r="O48" s="173"/>
      <c r="P48" s="173" t="s">
        <v>4493</v>
      </c>
      <c r="Q48" s="174">
        <v>42105</v>
      </c>
      <c r="R48" s="173"/>
      <c r="S48" s="173" t="s">
        <v>3186</v>
      </c>
    </row>
    <row r="49" spans="1:19" x14ac:dyDescent="0.25">
      <c r="A49" s="173" t="s">
        <v>408</v>
      </c>
      <c r="B49" s="174">
        <v>42083</v>
      </c>
      <c r="C49" s="195" t="s">
        <v>4523</v>
      </c>
      <c r="D49" s="173" t="s">
        <v>4524</v>
      </c>
      <c r="E49" s="173" t="s">
        <v>4525</v>
      </c>
      <c r="F49" s="173" t="s">
        <v>377</v>
      </c>
      <c r="G49" s="173" t="s">
        <v>4498</v>
      </c>
      <c r="H49" s="176">
        <v>826.44628099173553</v>
      </c>
      <c r="I49" s="176">
        <v>173.55371900826447</v>
      </c>
      <c r="J49" s="173"/>
      <c r="K49" s="176">
        <v>1000</v>
      </c>
      <c r="L49" s="173" t="s">
        <v>4526</v>
      </c>
      <c r="M49" s="173" t="s">
        <v>4949</v>
      </c>
      <c r="N49" s="173"/>
      <c r="O49" s="173"/>
      <c r="P49" s="173" t="s">
        <v>4493</v>
      </c>
      <c r="Q49" s="174">
        <v>42105</v>
      </c>
      <c r="R49" s="173"/>
      <c r="S49" s="173"/>
    </row>
    <row r="50" spans="1:19" x14ac:dyDescent="0.25">
      <c r="A50" s="173" t="s">
        <v>408</v>
      </c>
      <c r="B50" s="174">
        <v>42066</v>
      </c>
      <c r="C50" s="195" t="s">
        <v>3709</v>
      </c>
      <c r="D50" s="173" t="s">
        <v>4419</v>
      </c>
      <c r="E50" s="173" t="s">
        <v>4420</v>
      </c>
      <c r="F50" s="173" t="s">
        <v>4527</v>
      </c>
      <c r="G50" s="173" t="s">
        <v>4514</v>
      </c>
      <c r="H50" s="176">
        <v>3719.0082644628101</v>
      </c>
      <c r="I50" s="176">
        <v>780.99173553719004</v>
      </c>
      <c r="J50" s="173"/>
      <c r="K50" s="176">
        <v>4500</v>
      </c>
      <c r="L50" s="173" t="s">
        <v>4528</v>
      </c>
      <c r="M50" s="173" t="s">
        <v>4895</v>
      </c>
      <c r="N50" s="173"/>
      <c r="O50" s="173"/>
      <c r="P50" s="173" t="s">
        <v>4493</v>
      </c>
      <c r="Q50" s="174">
        <v>42105</v>
      </c>
      <c r="R50" s="173"/>
      <c r="S50" s="173"/>
    </row>
    <row r="51" spans="1:19" x14ac:dyDescent="0.25">
      <c r="A51" s="173" t="s">
        <v>12</v>
      </c>
      <c r="B51" s="174">
        <v>42095</v>
      </c>
      <c r="C51" s="195" t="s">
        <v>4529</v>
      </c>
      <c r="D51" s="173" t="s">
        <v>4503</v>
      </c>
      <c r="E51" s="173" t="s">
        <v>4500</v>
      </c>
      <c r="F51" s="173" t="s">
        <v>4530</v>
      </c>
      <c r="G51" s="173" t="s">
        <v>4531</v>
      </c>
      <c r="H51" s="173"/>
      <c r="I51" s="173"/>
      <c r="J51" s="173" t="s">
        <v>21</v>
      </c>
      <c r="K51" s="173">
        <v>2500</v>
      </c>
      <c r="L51" s="173" t="s">
        <v>4413</v>
      </c>
      <c r="M51" s="173" t="s">
        <v>4595</v>
      </c>
      <c r="N51" s="173"/>
      <c r="O51" s="173"/>
      <c r="P51" s="173" t="s">
        <v>4651</v>
      </c>
      <c r="Q51" s="174">
        <v>42180</v>
      </c>
      <c r="R51" s="173"/>
      <c r="S51" s="173"/>
    </row>
    <row r="52" spans="1:19" x14ac:dyDescent="0.25">
      <c r="A52" s="173" t="s">
        <v>12</v>
      </c>
      <c r="B52" s="174">
        <v>42101</v>
      </c>
      <c r="C52" s="195" t="s">
        <v>4532</v>
      </c>
      <c r="D52" s="173" t="s">
        <v>4503</v>
      </c>
      <c r="E52" s="173" t="s">
        <v>4500</v>
      </c>
      <c r="F52" s="173" t="s">
        <v>4533</v>
      </c>
      <c r="G52" s="173" t="s">
        <v>4534</v>
      </c>
      <c r="H52" s="173"/>
      <c r="I52" s="173"/>
      <c r="J52" s="173" t="s">
        <v>21</v>
      </c>
      <c r="K52" s="173">
        <v>5100</v>
      </c>
      <c r="L52" s="173" t="s">
        <v>4413</v>
      </c>
      <c r="M52" s="173" t="s">
        <v>4598</v>
      </c>
      <c r="N52" s="173"/>
      <c r="O52" s="173"/>
      <c r="P52" s="173" t="s">
        <v>4651</v>
      </c>
      <c r="Q52" s="174">
        <v>42180</v>
      </c>
      <c r="R52" s="173"/>
      <c r="S52" s="173"/>
    </row>
    <row r="53" spans="1:19" x14ac:dyDescent="0.25">
      <c r="A53" s="173" t="s">
        <v>12</v>
      </c>
      <c r="B53" s="174">
        <v>42095</v>
      </c>
      <c r="C53" s="195" t="s">
        <v>4535</v>
      </c>
      <c r="D53" s="173" t="s">
        <v>4503</v>
      </c>
      <c r="E53" s="173" t="s">
        <v>4500</v>
      </c>
      <c r="F53" s="173" t="s">
        <v>4232</v>
      </c>
      <c r="G53" s="173" t="s">
        <v>4536</v>
      </c>
      <c r="H53" s="173"/>
      <c r="I53" s="173"/>
      <c r="J53" s="173" t="s">
        <v>21</v>
      </c>
      <c r="K53" s="173">
        <v>2405</v>
      </c>
      <c r="L53" s="173" t="s">
        <v>4413</v>
      </c>
      <c r="M53" s="173" t="s">
        <v>4597</v>
      </c>
      <c r="N53" s="173"/>
      <c r="O53" s="173"/>
      <c r="P53" s="173" t="s">
        <v>4651</v>
      </c>
      <c r="Q53" s="174">
        <v>42180</v>
      </c>
      <c r="R53" s="173"/>
      <c r="S53" s="173"/>
    </row>
    <row r="54" spans="1:19" x14ac:dyDescent="0.25">
      <c r="A54" s="173" t="s">
        <v>12</v>
      </c>
      <c r="B54" s="174">
        <v>42143</v>
      </c>
      <c r="C54" s="195" t="s">
        <v>4538</v>
      </c>
      <c r="D54" s="173" t="s">
        <v>4539</v>
      </c>
      <c r="E54" s="173" t="s">
        <v>4540</v>
      </c>
      <c r="F54" s="173" t="s">
        <v>4433</v>
      </c>
      <c r="G54" s="173" t="s">
        <v>4541</v>
      </c>
      <c r="H54" s="173"/>
      <c r="I54" s="173"/>
      <c r="J54" s="173" t="s">
        <v>21</v>
      </c>
      <c r="K54" s="173">
        <v>9850</v>
      </c>
      <c r="L54" s="173" t="s">
        <v>4839</v>
      </c>
      <c r="M54" s="173" t="s">
        <v>4601</v>
      </c>
      <c r="N54" s="173"/>
      <c r="O54" s="173"/>
      <c r="P54" s="173" t="s">
        <v>4651</v>
      </c>
      <c r="Q54" s="174">
        <v>42180</v>
      </c>
      <c r="R54" s="173"/>
      <c r="S54" s="173"/>
    </row>
    <row r="55" spans="1:19" x14ac:dyDescent="0.25">
      <c r="A55" s="173" t="s">
        <v>12</v>
      </c>
      <c r="B55" s="174">
        <v>42142</v>
      </c>
      <c r="C55" s="195" t="s">
        <v>4542</v>
      </c>
      <c r="D55" s="173" t="s">
        <v>3958</v>
      </c>
      <c r="E55" s="173" t="s">
        <v>2626</v>
      </c>
      <c r="F55" s="173" t="s">
        <v>3807</v>
      </c>
      <c r="G55" s="173" t="s">
        <v>4543</v>
      </c>
      <c r="H55" s="176">
        <v>3305.7851239669421</v>
      </c>
      <c r="I55" s="176">
        <v>694.21487603305786</v>
      </c>
      <c r="J55" s="173"/>
      <c r="K55" s="176">
        <v>4000</v>
      </c>
      <c r="L55" s="173" t="s">
        <v>4413</v>
      </c>
      <c r="M55" s="173" t="s">
        <v>4599</v>
      </c>
      <c r="N55" s="173"/>
      <c r="O55" s="173"/>
      <c r="P55" s="173" t="s">
        <v>4651</v>
      </c>
      <c r="Q55" s="174">
        <v>42180</v>
      </c>
      <c r="R55" s="173"/>
      <c r="S55" s="173"/>
    </row>
    <row r="56" spans="1:19" x14ac:dyDescent="0.25">
      <c r="A56" s="173" t="s">
        <v>12</v>
      </c>
      <c r="B56" s="174">
        <v>42142</v>
      </c>
      <c r="C56" s="195" t="s">
        <v>4544</v>
      </c>
      <c r="D56" s="173" t="s">
        <v>3958</v>
      </c>
      <c r="E56" s="173" t="s">
        <v>2626</v>
      </c>
      <c r="F56" s="173" t="s">
        <v>3807</v>
      </c>
      <c r="G56" s="173" t="s">
        <v>4545</v>
      </c>
      <c r="H56" s="176">
        <v>3305.7851239669421</v>
      </c>
      <c r="I56" s="176">
        <v>694.21487603305786</v>
      </c>
      <c r="J56" s="173"/>
      <c r="K56" s="176">
        <v>4000</v>
      </c>
      <c r="L56" s="173" t="s">
        <v>4413</v>
      </c>
      <c r="M56" s="173" t="s">
        <v>4599</v>
      </c>
      <c r="N56" s="173"/>
      <c r="O56" s="173"/>
      <c r="P56" s="173" t="s">
        <v>4651</v>
      </c>
      <c r="Q56" s="174">
        <v>42180</v>
      </c>
      <c r="R56" s="173"/>
      <c r="S56" s="173"/>
    </row>
    <row r="57" spans="1:19" x14ac:dyDescent="0.25">
      <c r="A57" s="173" t="s">
        <v>12</v>
      </c>
      <c r="B57" s="174">
        <v>42146</v>
      </c>
      <c r="C57" s="195" t="s">
        <v>4546</v>
      </c>
      <c r="D57" s="173" t="s">
        <v>4400</v>
      </c>
      <c r="E57" s="173" t="s">
        <v>4401</v>
      </c>
      <c r="F57" s="173" t="s">
        <v>4547</v>
      </c>
      <c r="G57" s="173" t="s">
        <v>4548</v>
      </c>
      <c r="H57" s="173"/>
      <c r="I57" s="173"/>
      <c r="J57" s="173" t="s">
        <v>4549</v>
      </c>
      <c r="K57" s="206">
        <v>6550</v>
      </c>
      <c r="L57" s="173" t="s">
        <v>4413</v>
      </c>
      <c r="M57" s="173" t="s">
        <v>4603</v>
      </c>
      <c r="N57" s="173"/>
      <c r="O57" s="173"/>
      <c r="P57" s="173" t="s">
        <v>4651</v>
      </c>
      <c r="Q57" s="174">
        <v>42180</v>
      </c>
      <c r="R57" s="173"/>
      <c r="S57" s="173"/>
    </row>
    <row r="58" spans="1:19" x14ac:dyDescent="0.25">
      <c r="A58" s="173" t="s">
        <v>12</v>
      </c>
      <c r="B58" s="174">
        <v>42107</v>
      </c>
      <c r="C58" s="195" t="s">
        <v>4550</v>
      </c>
      <c r="D58" s="173" t="s">
        <v>4503</v>
      </c>
      <c r="E58" s="173" t="s">
        <v>4500</v>
      </c>
      <c r="F58" s="173" t="s">
        <v>4533</v>
      </c>
      <c r="G58" s="173" t="s">
        <v>4551</v>
      </c>
      <c r="H58" s="176">
        <v>5289.26</v>
      </c>
      <c r="I58" s="176">
        <v>1110.7446</v>
      </c>
      <c r="J58" s="173"/>
      <c r="K58" s="176">
        <v>6400.0046000000002</v>
      </c>
      <c r="L58" s="173" t="s">
        <v>4413</v>
      </c>
      <c r="M58" s="173" t="s">
        <v>4600</v>
      </c>
      <c r="N58" s="173"/>
      <c r="O58" s="173"/>
      <c r="P58" s="173" t="s">
        <v>4651</v>
      </c>
      <c r="Q58" s="174">
        <v>42180</v>
      </c>
      <c r="R58" s="173"/>
      <c r="S58" s="173"/>
    </row>
    <row r="59" spans="1:19" x14ac:dyDescent="0.25">
      <c r="A59" s="173" t="s">
        <v>12</v>
      </c>
      <c r="B59" s="174">
        <v>42108</v>
      </c>
      <c r="C59" s="195" t="s">
        <v>4552</v>
      </c>
      <c r="D59" s="173" t="s">
        <v>4503</v>
      </c>
      <c r="E59" s="173" t="s">
        <v>4500</v>
      </c>
      <c r="F59" s="173" t="s">
        <v>4553</v>
      </c>
      <c r="G59" s="173" t="s">
        <v>4554</v>
      </c>
      <c r="H59" s="173"/>
      <c r="I59" s="173"/>
      <c r="J59" s="173" t="s">
        <v>21</v>
      </c>
      <c r="K59" s="173">
        <v>5000</v>
      </c>
      <c r="L59" s="173" t="s">
        <v>4413</v>
      </c>
      <c r="M59" s="173" t="s">
        <v>4600</v>
      </c>
      <c r="N59" s="173"/>
      <c r="O59" s="173"/>
      <c r="P59" s="173" t="s">
        <v>4651</v>
      </c>
      <c r="Q59" s="174">
        <v>42180</v>
      </c>
      <c r="R59" s="173"/>
      <c r="S59" s="173"/>
    </row>
    <row r="60" spans="1:19" x14ac:dyDescent="0.25">
      <c r="A60" s="173" t="s">
        <v>12</v>
      </c>
      <c r="B60" s="174">
        <v>42107</v>
      </c>
      <c r="C60" s="195" t="s">
        <v>4555</v>
      </c>
      <c r="D60" s="173" t="s">
        <v>4503</v>
      </c>
      <c r="E60" s="173" t="s">
        <v>4500</v>
      </c>
      <c r="F60" s="173" t="s">
        <v>4556</v>
      </c>
      <c r="G60" s="173" t="s">
        <v>4557</v>
      </c>
      <c r="H60" s="173"/>
      <c r="I60" s="173"/>
      <c r="J60" s="173" t="s">
        <v>21</v>
      </c>
      <c r="K60" s="173">
        <v>4000</v>
      </c>
      <c r="L60" s="173" t="s">
        <v>4413</v>
      </c>
      <c r="M60" s="173" t="s">
        <v>4600</v>
      </c>
      <c r="N60" s="173"/>
      <c r="O60" s="173"/>
      <c r="P60" s="173" t="s">
        <v>4651</v>
      </c>
      <c r="Q60" s="174">
        <v>42180</v>
      </c>
      <c r="R60" s="173"/>
      <c r="S60" s="173"/>
    </row>
    <row r="61" spans="1:19" x14ac:dyDescent="0.25">
      <c r="A61" s="173" t="s">
        <v>12</v>
      </c>
      <c r="B61" s="174">
        <v>42109</v>
      </c>
      <c r="C61" s="195" t="s">
        <v>4558</v>
      </c>
      <c r="D61" s="173" t="s">
        <v>4503</v>
      </c>
      <c r="E61" s="173" t="s">
        <v>4500</v>
      </c>
      <c r="F61" s="173" t="s">
        <v>4559</v>
      </c>
      <c r="G61" s="173" t="s">
        <v>4560</v>
      </c>
      <c r="H61" s="176">
        <v>4793.3900000000003</v>
      </c>
      <c r="I61" s="176">
        <v>1006.6119</v>
      </c>
      <c r="J61" s="173"/>
      <c r="K61" s="176">
        <v>5800.0019000000002</v>
      </c>
      <c r="L61" s="173" t="s">
        <v>4413</v>
      </c>
      <c r="M61" s="173" t="s">
        <v>4600</v>
      </c>
      <c r="N61" s="173"/>
      <c r="O61" s="173"/>
      <c r="P61" s="173" t="s">
        <v>4651</v>
      </c>
      <c r="Q61" s="174">
        <v>42180</v>
      </c>
      <c r="R61" s="173"/>
      <c r="S61" s="173"/>
    </row>
    <row r="62" spans="1:19" x14ac:dyDescent="0.25">
      <c r="A62" s="173" t="s">
        <v>12</v>
      </c>
      <c r="B62" s="174">
        <v>42109</v>
      </c>
      <c r="C62" s="195" t="s">
        <v>4561</v>
      </c>
      <c r="D62" s="173" t="s">
        <v>4503</v>
      </c>
      <c r="E62" s="173" t="s">
        <v>4500</v>
      </c>
      <c r="F62" s="173" t="s">
        <v>4562</v>
      </c>
      <c r="G62" s="173" t="s">
        <v>4563</v>
      </c>
      <c r="H62" s="173"/>
      <c r="I62" s="173"/>
      <c r="J62" s="173" t="s">
        <v>21</v>
      </c>
      <c r="K62" s="173">
        <v>4200</v>
      </c>
      <c r="L62" s="173" t="s">
        <v>4413</v>
      </c>
      <c r="M62" s="173" t="s">
        <v>4600</v>
      </c>
      <c r="N62" s="173"/>
      <c r="O62" s="173"/>
      <c r="P62" s="173" t="s">
        <v>4651</v>
      </c>
      <c r="Q62" s="174">
        <v>42180</v>
      </c>
      <c r="R62" s="173"/>
      <c r="S62" s="173"/>
    </row>
    <row r="63" spans="1:19" x14ac:dyDescent="0.25">
      <c r="A63" s="173" t="s">
        <v>12</v>
      </c>
      <c r="B63" s="174">
        <v>42107</v>
      </c>
      <c r="C63" s="195" t="s">
        <v>4564</v>
      </c>
      <c r="D63" s="173" t="s">
        <v>4636</v>
      </c>
      <c r="E63" s="173" t="s">
        <v>4565</v>
      </c>
      <c r="F63" s="173" t="s">
        <v>4566</v>
      </c>
      <c r="G63" s="173" t="s">
        <v>4567</v>
      </c>
      <c r="H63" s="176">
        <v>1652.8925619834711</v>
      </c>
      <c r="I63" s="176">
        <v>347.10743801652893</v>
      </c>
      <c r="J63" s="173"/>
      <c r="K63" s="176">
        <v>2000</v>
      </c>
      <c r="L63" s="173" t="s">
        <v>4413</v>
      </c>
      <c r="M63" s="173" t="s">
        <v>4637</v>
      </c>
      <c r="N63" s="173"/>
      <c r="O63" s="173"/>
      <c r="P63" s="173" t="s">
        <v>4651</v>
      </c>
      <c r="Q63" s="174">
        <v>42180</v>
      </c>
      <c r="R63" s="173"/>
      <c r="S63" s="173"/>
    </row>
    <row r="64" spans="1:19" x14ac:dyDescent="0.25">
      <c r="A64" s="173" t="s">
        <v>12</v>
      </c>
      <c r="B64" s="174">
        <v>42066</v>
      </c>
      <c r="C64" s="195" t="s">
        <v>4568</v>
      </c>
      <c r="D64" s="173" t="s">
        <v>4419</v>
      </c>
      <c r="E64" s="173" t="s">
        <v>4420</v>
      </c>
      <c r="F64" s="173" t="s">
        <v>4616</v>
      </c>
      <c r="G64" s="173" t="s">
        <v>4569</v>
      </c>
      <c r="H64" s="176">
        <v>827</v>
      </c>
      <c r="I64" s="176">
        <v>173.67</v>
      </c>
      <c r="J64" s="173"/>
      <c r="K64" s="176">
        <v>1000.67</v>
      </c>
      <c r="L64" s="173" t="s">
        <v>4413</v>
      </c>
      <c r="M64" s="173"/>
      <c r="N64" s="173"/>
      <c r="O64" s="173"/>
      <c r="P64" s="173" t="s">
        <v>4651</v>
      </c>
      <c r="Q64" s="174">
        <v>42180</v>
      </c>
      <c r="R64" s="173"/>
      <c r="S64" s="173"/>
    </row>
    <row r="65" spans="1:19" x14ac:dyDescent="0.25">
      <c r="A65" s="173" t="s">
        <v>12</v>
      </c>
      <c r="B65" s="174">
        <v>42090</v>
      </c>
      <c r="C65" s="195" t="s">
        <v>4570</v>
      </c>
      <c r="D65" s="173" t="s">
        <v>4274</v>
      </c>
      <c r="E65" s="173" t="s">
        <v>989</v>
      </c>
      <c r="F65" s="173" t="s">
        <v>4571</v>
      </c>
      <c r="G65" s="173" t="s">
        <v>4572</v>
      </c>
      <c r="H65" s="173"/>
      <c r="I65" s="173"/>
      <c r="J65" s="173" t="s">
        <v>4573</v>
      </c>
      <c r="K65" s="173">
        <v>1500</v>
      </c>
      <c r="L65" s="173" t="s">
        <v>4413</v>
      </c>
      <c r="M65" s="173" t="s">
        <v>4594</v>
      </c>
      <c r="N65" s="173"/>
      <c r="O65" s="173"/>
      <c r="P65" s="173" t="s">
        <v>4651</v>
      </c>
      <c r="Q65" s="174">
        <v>42180</v>
      </c>
      <c r="R65" s="173"/>
      <c r="S65" s="173"/>
    </row>
    <row r="66" spans="1:19" x14ac:dyDescent="0.25">
      <c r="A66" s="173" t="s">
        <v>12</v>
      </c>
      <c r="B66" s="174">
        <v>42103</v>
      </c>
      <c r="C66" s="195" t="s">
        <v>4574</v>
      </c>
      <c r="D66" s="173" t="s">
        <v>4575</v>
      </c>
      <c r="E66" s="173" t="s">
        <v>186</v>
      </c>
      <c r="F66" s="173" t="s">
        <v>4576</v>
      </c>
      <c r="G66" s="173" t="s">
        <v>4577</v>
      </c>
      <c r="H66" s="176">
        <v>661.15702479338847</v>
      </c>
      <c r="I66" s="176">
        <v>138.84297520661158</v>
      </c>
      <c r="J66" s="173"/>
      <c r="K66" s="176">
        <v>800</v>
      </c>
      <c r="L66" s="173" t="s">
        <v>4413</v>
      </c>
      <c r="M66" s="173"/>
      <c r="N66" s="173"/>
      <c r="O66" s="173"/>
      <c r="P66" s="173" t="s">
        <v>4651</v>
      </c>
      <c r="Q66" s="174">
        <v>42180</v>
      </c>
      <c r="R66" s="173"/>
      <c r="S66" s="173"/>
    </row>
    <row r="67" spans="1:19" x14ac:dyDescent="0.25">
      <c r="A67" s="190" t="s">
        <v>12</v>
      </c>
      <c r="B67" s="191">
        <v>42153</v>
      </c>
      <c r="C67" s="196" t="s">
        <v>4578</v>
      </c>
      <c r="D67" s="190" t="s">
        <v>4579</v>
      </c>
      <c r="E67" s="190" t="s">
        <v>4580</v>
      </c>
      <c r="F67" s="190" t="s">
        <v>693</v>
      </c>
      <c r="G67" s="190" t="s">
        <v>4581</v>
      </c>
      <c r="H67" s="190"/>
      <c r="I67" s="190"/>
      <c r="J67" s="190" t="s">
        <v>21</v>
      </c>
      <c r="K67" s="190">
        <v>10000</v>
      </c>
      <c r="L67" s="190" t="s">
        <v>4413</v>
      </c>
      <c r="M67" s="190" t="s">
        <v>4604</v>
      </c>
      <c r="N67" s="190"/>
      <c r="O67" s="190"/>
      <c r="P67" s="190" t="s">
        <v>4651</v>
      </c>
      <c r="Q67" s="191">
        <v>42180</v>
      </c>
      <c r="R67" s="173"/>
      <c r="S67" s="190"/>
    </row>
    <row r="68" spans="1:19" x14ac:dyDescent="0.25">
      <c r="A68" s="173" t="s">
        <v>12</v>
      </c>
      <c r="B68" s="174">
        <v>42108</v>
      </c>
      <c r="C68" s="195" t="s">
        <v>4582</v>
      </c>
      <c r="D68" s="173" t="s">
        <v>4583</v>
      </c>
      <c r="E68" s="173" t="s">
        <v>4584</v>
      </c>
      <c r="F68" s="173" t="s">
        <v>4585</v>
      </c>
      <c r="G68" s="173" t="s">
        <v>4586</v>
      </c>
      <c r="H68" s="173"/>
      <c r="I68" s="173"/>
      <c r="J68" s="173" t="s">
        <v>21</v>
      </c>
      <c r="K68" s="173">
        <v>1800</v>
      </c>
      <c r="L68" s="173" t="s">
        <v>4413</v>
      </c>
      <c r="M68" s="173" t="s">
        <v>4596</v>
      </c>
      <c r="N68" s="173"/>
      <c r="O68" s="173"/>
      <c r="P68" s="173" t="s">
        <v>4651</v>
      </c>
      <c r="Q68" s="174">
        <v>42180</v>
      </c>
      <c r="R68" s="188"/>
      <c r="S68" s="173"/>
    </row>
    <row r="69" spans="1:19" x14ac:dyDescent="0.25">
      <c r="A69" s="185" t="s">
        <v>12</v>
      </c>
      <c r="B69" s="183">
        <v>42081</v>
      </c>
      <c r="C69" s="194" t="s">
        <v>944</v>
      </c>
      <c r="D69" s="185" t="s">
        <v>4469</v>
      </c>
      <c r="E69" s="185" t="s">
        <v>4470</v>
      </c>
      <c r="F69" s="185" t="s">
        <v>711</v>
      </c>
      <c r="G69" s="185" t="s">
        <v>4587</v>
      </c>
      <c r="H69" s="185"/>
      <c r="I69" s="185"/>
      <c r="J69" s="185" t="s">
        <v>21</v>
      </c>
      <c r="K69" s="185">
        <v>600</v>
      </c>
      <c r="L69" s="185" t="s">
        <v>4413</v>
      </c>
      <c r="M69" s="185"/>
      <c r="N69" s="185"/>
      <c r="O69" s="185"/>
      <c r="P69" s="185" t="s">
        <v>4651</v>
      </c>
      <c r="Q69" s="183">
        <v>42180</v>
      </c>
      <c r="R69" s="173"/>
      <c r="S69" s="185"/>
    </row>
    <row r="70" spans="1:19" x14ac:dyDescent="0.25">
      <c r="A70" s="173" t="s">
        <v>12</v>
      </c>
      <c r="B70" s="174">
        <v>42088</v>
      </c>
      <c r="C70" s="195" t="s">
        <v>944</v>
      </c>
      <c r="D70" s="173" t="s">
        <v>4485</v>
      </c>
      <c r="E70" s="173" t="s">
        <v>4486</v>
      </c>
      <c r="F70" s="173" t="s">
        <v>4588</v>
      </c>
      <c r="G70" s="173" t="s">
        <v>4589</v>
      </c>
      <c r="H70" s="173"/>
      <c r="I70" s="173"/>
      <c r="J70" s="173" t="s">
        <v>21</v>
      </c>
      <c r="K70" s="173">
        <v>500</v>
      </c>
      <c r="L70" s="173" t="s">
        <v>4413</v>
      </c>
      <c r="M70" s="173"/>
      <c r="N70" s="173"/>
      <c r="O70" s="173"/>
      <c r="P70" s="173" t="s">
        <v>4651</v>
      </c>
      <c r="Q70" s="174">
        <v>42180</v>
      </c>
      <c r="R70" s="173"/>
      <c r="S70" s="173"/>
    </row>
    <row r="71" spans="1:19" x14ac:dyDescent="0.25">
      <c r="A71" s="173" t="s">
        <v>12</v>
      </c>
      <c r="B71" s="174">
        <v>42143</v>
      </c>
      <c r="C71" s="195" t="s">
        <v>4590</v>
      </c>
      <c r="D71" s="173" t="s">
        <v>4503</v>
      </c>
      <c r="E71" s="173" t="s">
        <v>4500</v>
      </c>
      <c r="F71" s="173" t="s">
        <v>4120</v>
      </c>
      <c r="G71" s="173" t="s">
        <v>4591</v>
      </c>
      <c r="H71" s="173"/>
      <c r="I71" s="173"/>
      <c r="J71" s="173" t="s">
        <v>21</v>
      </c>
      <c r="K71" s="173">
        <v>4750</v>
      </c>
      <c r="L71" s="173" t="s">
        <v>4839</v>
      </c>
      <c r="M71" s="173" t="s">
        <v>4602</v>
      </c>
      <c r="N71" s="173"/>
      <c r="O71" s="173"/>
      <c r="P71" s="173" t="s">
        <v>4651</v>
      </c>
      <c r="Q71" s="174">
        <v>42180</v>
      </c>
      <c r="R71" s="173"/>
      <c r="S71" s="173"/>
    </row>
    <row r="72" spans="1:19" x14ac:dyDescent="0.25">
      <c r="A72" s="173" t="s">
        <v>12</v>
      </c>
      <c r="B72" s="174">
        <v>42143</v>
      </c>
      <c r="C72" s="195" t="s">
        <v>4592</v>
      </c>
      <c r="D72" s="173" t="s">
        <v>4503</v>
      </c>
      <c r="E72" s="173" t="s">
        <v>4500</v>
      </c>
      <c r="F72" s="173" t="s">
        <v>3679</v>
      </c>
      <c r="G72" s="173" t="s">
        <v>4593</v>
      </c>
      <c r="H72" s="173"/>
      <c r="I72" s="173"/>
      <c r="J72" s="173" t="s">
        <v>21</v>
      </c>
      <c r="K72" s="173">
        <v>4500</v>
      </c>
      <c r="L72" s="173" t="s">
        <v>4413</v>
      </c>
      <c r="M72" s="173" t="s">
        <v>4602</v>
      </c>
      <c r="N72" s="173"/>
      <c r="O72" s="173"/>
      <c r="P72" s="173" t="s">
        <v>4651</v>
      </c>
      <c r="Q72" s="174">
        <v>42180</v>
      </c>
      <c r="R72" s="173"/>
      <c r="S72" s="173"/>
    </row>
    <row r="73" spans="1:19" x14ac:dyDescent="0.25">
      <c r="A73" s="173" t="s">
        <v>408</v>
      </c>
      <c r="B73" s="174">
        <v>42130</v>
      </c>
      <c r="C73" s="195" t="s">
        <v>3270</v>
      </c>
      <c r="D73" s="173" t="s">
        <v>4605</v>
      </c>
      <c r="E73" s="173" t="s">
        <v>4606</v>
      </c>
      <c r="F73" s="173" t="s">
        <v>4585</v>
      </c>
      <c r="G73" s="173" t="s">
        <v>4586</v>
      </c>
      <c r="H73" s="173"/>
      <c r="I73" s="173"/>
      <c r="J73" s="173" t="s">
        <v>21</v>
      </c>
      <c r="K73" s="173">
        <v>2200</v>
      </c>
      <c r="L73" s="173" t="s">
        <v>4607</v>
      </c>
      <c r="M73" s="173"/>
      <c r="N73" s="173"/>
      <c r="O73" s="173"/>
      <c r="P73" s="173" t="s">
        <v>4651</v>
      </c>
      <c r="Q73" s="174">
        <v>42180</v>
      </c>
      <c r="R73" s="173"/>
      <c r="S73" s="173"/>
    </row>
    <row r="74" spans="1:19" x14ac:dyDescent="0.25">
      <c r="A74" s="173" t="s">
        <v>408</v>
      </c>
      <c r="B74" s="174">
        <v>42124</v>
      </c>
      <c r="C74" s="195" t="s">
        <v>3296</v>
      </c>
      <c r="D74" s="173" t="s">
        <v>4608</v>
      </c>
      <c r="E74" s="173" t="s">
        <v>4609</v>
      </c>
      <c r="F74" s="173" t="s">
        <v>4246</v>
      </c>
      <c r="G74" s="173" t="s">
        <v>4247</v>
      </c>
      <c r="H74" s="173"/>
      <c r="I74" s="173"/>
      <c r="J74" s="173" t="s">
        <v>21</v>
      </c>
      <c r="K74" s="176">
        <v>2400</v>
      </c>
      <c r="L74" s="173" t="s">
        <v>4429</v>
      </c>
      <c r="M74" s="173" t="s">
        <v>4951</v>
      </c>
      <c r="N74" s="173"/>
      <c r="O74" s="173"/>
      <c r="P74" s="173" t="s">
        <v>4651</v>
      </c>
      <c r="Q74" s="174">
        <v>42180</v>
      </c>
      <c r="R74" s="173"/>
      <c r="S74" s="173"/>
    </row>
    <row r="75" spans="1:19" x14ac:dyDescent="0.25">
      <c r="A75" s="173" t="s">
        <v>408</v>
      </c>
      <c r="B75" s="174">
        <v>42151</v>
      </c>
      <c r="C75" s="195" t="s">
        <v>4610</v>
      </c>
      <c r="D75" s="173" t="s">
        <v>4611</v>
      </c>
      <c r="E75" s="173" t="s">
        <v>4612</v>
      </c>
      <c r="F75" s="173" t="s">
        <v>4556</v>
      </c>
      <c r="G75" s="173" t="s">
        <v>4557</v>
      </c>
      <c r="H75" s="173"/>
      <c r="I75" s="173"/>
      <c r="J75" s="173" t="s">
        <v>21</v>
      </c>
      <c r="K75" s="173">
        <v>4500</v>
      </c>
      <c r="L75" s="173" t="s">
        <v>4613</v>
      </c>
      <c r="M75" s="173" t="s">
        <v>4938</v>
      </c>
      <c r="N75" s="173"/>
      <c r="O75" s="173"/>
      <c r="P75" s="173" t="s">
        <v>4651</v>
      </c>
      <c r="Q75" s="174">
        <v>42180</v>
      </c>
      <c r="R75" s="173"/>
      <c r="S75" s="173"/>
    </row>
    <row r="76" spans="1:19" x14ac:dyDescent="0.25">
      <c r="A76" s="173" t="s">
        <v>408</v>
      </c>
      <c r="B76" s="174">
        <v>42152</v>
      </c>
      <c r="C76" s="195" t="s">
        <v>4614</v>
      </c>
      <c r="D76" s="173" t="s">
        <v>4615</v>
      </c>
      <c r="E76" s="173" t="s">
        <v>4617</v>
      </c>
      <c r="F76" s="173" t="s">
        <v>4616</v>
      </c>
      <c r="G76" s="173" t="s">
        <v>4569</v>
      </c>
      <c r="H76" s="176">
        <v>1074.3801652892562</v>
      </c>
      <c r="I76" s="176">
        <v>225.61983471074379</v>
      </c>
      <c r="J76" s="173"/>
      <c r="K76" s="176">
        <v>1300</v>
      </c>
      <c r="L76" s="173" t="s">
        <v>4618</v>
      </c>
      <c r="M76" s="173"/>
      <c r="N76" s="173"/>
      <c r="O76" s="173"/>
      <c r="P76" s="173" t="s">
        <v>4651</v>
      </c>
      <c r="Q76" s="174">
        <v>42180</v>
      </c>
      <c r="R76" s="173"/>
      <c r="S76" s="173"/>
    </row>
    <row r="77" spans="1:19" x14ac:dyDescent="0.25">
      <c r="A77" s="173" t="s">
        <v>408</v>
      </c>
      <c r="B77" s="174">
        <v>42143</v>
      </c>
      <c r="C77" s="195" t="s">
        <v>3294</v>
      </c>
      <c r="D77" s="173" t="s">
        <v>4619</v>
      </c>
      <c r="E77" s="173" t="s">
        <v>4620</v>
      </c>
      <c r="F77" s="173" t="s">
        <v>4530</v>
      </c>
      <c r="G77" s="173" t="s">
        <v>4531</v>
      </c>
      <c r="H77" s="173"/>
      <c r="I77" s="173"/>
      <c r="J77" s="173" t="s">
        <v>21</v>
      </c>
      <c r="K77" s="173">
        <v>3000</v>
      </c>
      <c r="L77" s="173" t="s">
        <v>4621</v>
      </c>
      <c r="M77" s="173" t="s">
        <v>4911</v>
      </c>
      <c r="N77" s="173"/>
      <c r="O77" s="173"/>
      <c r="P77" s="173" t="s">
        <v>4651</v>
      </c>
      <c r="Q77" s="174">
        <v>42180</v>
      </c>
      <c r="R77" s="173"/>
      <c r="S77" s="173"/>
    </row>
    <row r="78" spans="1:19" x14ac:dyDescent="0.25">
      <c r="A78" s="173" t="s">
        <v>408</v>
      </c>
      <c r="B78" s="174">
        <v>42149</v>
      </c>
      <c r="C78" s="195" t="s">
        <v>4622</v>
      </c>
      <c r="D78" s="173" t="s">
        <v>4623</v>
      </c>
      <c r="E78" s="173" t="s">
        <v>4624</v>
      </c>
      <c r="F78" s="173" t="s">
        <v>4372</v>
      </c>
      <c r="G78" s="173" t="s">
        <v>4373</v>
      </c>
      <c r="H78" s="173"/>
      <c r="I78" s="173"/>
      <c r="J78" s="173" t="s">
        <v>21</v>
      </c>
      <c r="K78" s="173">
        <v>1300</v>
      </c>
      <c r="L78" s="173" t="s">
        <v>4625</v>
      </c>
      <c r="M78" s="173"/>
      <c r="N78" s="173"/>
      <c r="O78" s="173"/>
      <c r="P78" s="173" t="s">
        <v>4651</v>
      </c>
      <c r="Q78" s="174">
        <v>42180</v>
      </c>
      <c r="R78" s="173"/>
      <c r="S78" s="173"/>
    </row>
    <row r="79" spans="1:19" x14ac:dyDescent="0.25">
      <c r="A79" s="173" t="s">
        <v>408</v>
      </c>
      <c r="B79" s="174">
        <v>42143</v>
      </c>
      <c r="C79" s="195" t="s">
        <v>3517</v>
      </c>
      <c r="D79" s="173" t="s">
        <v>4626</v>
      </c>
      <c r="E79" s="173" t="s">
        <v>4627</v>
      </c>
      <c r="F79" s="173" t="s">
        <v>4576</v>
      </c>
      <c r="G79" s="173" t="s">
        <v>4577</v>
      </c>
      <c r="H79" s="176">
        <v>991.73553719008271</v>
      </c>
      <c r="I79" s="176">
        <v>208.26446280991735</v>
      </c>
      <c r="J79" s="173"/>
      <c r="K79" s="176">
        <v>1200</v>
      </c>
      <c r="L79" s="173" t="s">
        <v>4628</v>
      </c>
      <c r="M79" s="173"/>
      <c r="N79" s="173"/>
      <c r="O79" s="173"/>
      <c r="P79" s="173" t="s">
        <v>4651</v>
      </c>
      <c r="Q79" s="174">
        <v>42180</v>
      </c>
      <c r="R79" s="173"/>
      <c r="S79" s="173"/>
    </row>
    <row r="80" spans="1:19" x14ac:dyDescent="0.25">
      <c r="A80" s="173" t="s">
        <v>408</v>
      </c>
      <c r="B80" s="174">
        <v>42121</v>
      </c>
      <c r="C80" s="195" t="s">
        <v>4629</v>
      </c>
      <c r="D80" s="173" t="s">
        <v>4630</v>
      </c>
      <c r="E80" s="173" t="s">
        <v>4631</v>
      </c>
      <c r="F80" s="173" t="s">
        <v>4566</v>
      </c>
      <c r="G80" s="173" t="s">
        <v>4567</v>
      </c>
      <c r="H80" s="176">
        <v>1983.4710743801654</v>
      </c>
      <c r="I80" s="176">
        <v>416.52892561983469</v>
      </c>
      <c r="J80" s="173"/>
      <c r="K80" s="176">
        <v>2400</v>
      </c>
      <c r="L80" s="173" t="s">
        <v>4632</v>
      </c>
      <c r="M80" s="173"/>
      <c r="N80" s="173"/>
      <c r="O80" s="173"/>
      <c r="P80" s="173" t="s">
        <v>4651</v>
      </c>
      <c r="Q80" s="174">
        <v>42180</v>
      </c>
      <c r="R80" s="173"/>
      <c r="S80" s="173"/>
    </row>
    <row r="81" spans="1:19" x14ac:dyDescent="0.25">
      <c r="A81" s="173" t="s">
        <v>408</v>
      </c>
      <c r="B81" s="174">
        <v>42118</v>
      </c>
      <c r="C81" s="195" t="s">
        <v>3266</v>
      </c>
      <c r="D81" s="173" t="s">
        <v>4633</v>
      </c>
      <c r="E81" s="173" t="s">
        <v>4634</v>
      </c>
      <c r="F81" s="173" t="s">
        <v>4588</v>
      </c>
      <c r="G81" s="173" t="s">
        <v>4589</v>
      </c>
      <c r="H81" s="173"/>
      <c r="I81" s="173"/>
      <c r="J81" s="173" t="s">
        <v>21</v>
      </c>
      <c r="K81" s="173">
        <v>900</v>
      </c>
      <c r="L81" s="173" t="s">
        <v>4635</v>
      </c>
      <c r="M81" s="173"/>
      <c r="N81" s="173"/>
      <c r="O81" s="173"/>
      <c r="P81" s="173" t="s">
        <v>4651</v>
      </c>
      <c r="Q81" s="174">
        <v>42180</v>
      </c>
      <c r="R81" s="173"/>
      <c r="S81" s="173"/>
    </row>
    <row r="82" spans="1:19" x14ac:dyDescent="0.25">
      <c r="A82" s="173" t="s">
        <v>408</v>
      </c>
      <c r="B82" s="174">
        <v>42107</v>
      </c>
      <c r="C82" s="195" t="s">
        <v>3262</v>
      </c>
      <c r="D82" s="173" t="s">
        <v>4636</v>
      </c>
      <c r="E82" s="173" t="s">
        <v>4565</v>
      </c>
      <c r="F82" s="173" t="s">
        <v>4511</v>
      </c>
      <c r="G82" s="173" t="s">
        <v>4512</v>
      </c>
      <c r="H82" s="176">
        <v>3305.7851239669421</v>
      </c>
      <c r="I82" s="176">
        <v>694.21487603305786</v>
      </c>
      <c r="J82" s="173"/>
      <c r="K82" s="176">
        <v>4000</v>
      </c>
      <c r="L82" s="173" t="s">
        <v>4638</v>
      </c>
      <c r="M82" s="173" t="s">
        <v>4903</v>
      </c>
      <c r="N82" s="173"/>
      <c r="O82" s="173"/>
      <c r="P82" s="173" t="s">
        <v>4651</v>
      </c>
      <c r="Q82" s="174">
        <v>42180</v>
      </c>
      <c r="R82" s="173"/>
      <c r="S82" s="173" t="s">
        <v>3791</v>
      </c>
    </row>
    <row r="83" spans="1:19" x14ac:dyDescent="0.25">
      <c r="A83" s="173" t="s">
        <v>408</v>
      </c>
      <c r="B83" s="174">
        <v>42115</v>
      </c>
      <c r="C83" s="195" t="s">
        <v>4639</v>
      </c>
      <c r="D83" s="173" t="s">
        <v>4640</v>
      </c>
      <c r="E83" s="173" t="s">
        <v>4641</v>
      </c>
      <c r="F83" s="173" t="s">
        <v>4402</v>
      </c>
      <c r="G83" s="173" t="s">
        <v>4403</v>
      </c>
      <c r="H83" s="176">
        <v>9338.8429752066113</v>
      </c>
      <c r="I83" s="176">
        <v>1961.1570247933882</v>
      </c>
      <c r="J83" s="173"/>
      <c r="K83" s="176">
        <v>11300</v>
      </c>
      <c r="L83" s="173" t="s">
        <v>4642</v>
      </c>
      <c r="M83" s="173" t="s">
        <v>4887</v>
      </c>
      <c r="N83" s="173"/>
      <c r="O83" s="173"/>
      <c r="P83" s="173" t="s">
        <v>4651</v>
      </c>
      <c r="Q83" s="174">
        <v>42180</v>
      </c>
      <c r="R83" s="173"/>
      <c r="S83" s="173" t="s">
        <v>3791</v>
      </c>
    </row>
    <row r="84" spans="1:19" x14ac:dyDescent="0.25">
      <c r="A84" s="173" t="s">
        <v>408</v>
      </c>
      <c r="B84" s="174">
        <v>42137</v>
      </c>
      <c r="C84" s="195" t="s">
        <v>3512</v>
      </c>
      <c r="D84" s="173" t="s">
        <v>4643</v>
      </c>
      <c r="E84" s="173" t="s">
        <v>4644</v>
      </c>
      <c r="F84" s="173" t="s">
        <v>711</v>
      </c>
      <c r="G84" s="173" t="s">
        <v>4587</v>
      </c>
      <c r="H84" s="173"/>
      <c r="I84" s="173"/>
      <c r="J84" s="173" t="s">
        <v>21</v>
      </c>
      <c r="K84" s="173">
        <v>900</v>
      </c>
      <c r="L84" s="173" t="s">
        <v>4645</v>
      </c>
      <c r="M84" s="173"/>
      <c r="N84" s="173"/>
      <c r="O84" s="173"/>
      <c r="P84" s="173" t="s">
        <v>4651</v>
      </c>
      <c r="Q84" s="174">
        <v>42180</v>
      </c>
      <c r="R84" s="173"/>
      <c r="S84" s="173"/>
    </row>
    <row r="85" spans="1:19" x14ac:dyDescent="0.25">
      <c r="A85" s="173" t="s">
        <v>12</v>
      </c>
      <c r="B85" s="174">
        <v>42165</v>
      </c>
      <c r="C85" s="195" t="s">
        <v>4659</v>
      </c>
      <c r="D85" s="173" t="s">
        <v>4274</v>
      </c>
      <c r="E85" s="173" t="s">
        <v>989</v>
      </c>
      <c r="F85" s="173" t="s">
        <v>4650</v>
      </c>
      <c r="G85" s="173" t="s">
        <v>4646</v>
      </c>
      <c r="H85" s="173"/>
      <c r="I85" s="173"/>
      <c r="J85" s="173" t="s">
        <v>4573</v>
      </c>
      <c r="K85" s="173">
        <v>2500</v>
      </c>
      <c r="L85" s="173" t="s">
        <v>4413</v>
      </c>
      <c r="M85" s="173" t="s">
        <v>4722</v>
      </c>
      <c r="N85" s="173"/>
      <c r="O85" s="173"/>
      <c r="P85" s="173" t="s">
        <v>4651</v>
      </c>
      <c r="Q85" s="174">
        <v>42199</v>
      </c>
      <c r="R85" s="173"/>
      <c r="S85" s="173"/>
    </row>
    <row r="86" spans="1:19" x14ac:dyDescent="0.25">
      <c r="A86" s="173" t="s">
        <v>408</v>
      </c>
      <c r="B86" s="174">
        <v>42166</v>
      </c>
      <c r="C86" s="195" t="s">
        <v>4647</v>
      </c>
      <c r="D86" s="173" t="s">
        <v>4648</v>
      </c>
      <c r="E86" s="173" t="s">
        <v>4649</v>
      </c>
      <c r="F86" s="173" t="s">
        <v>4650</v>
      </c>
      <c r="G86" s="173" t="s">
        <v>4646</v>
      </c>
      <c r="H86" s="176"/>
      <c r="I86" s="176"/>
      <c r="J86" s="173" t="s">
        <v>21</v>
      </c>
      <c r="K86" s="176">
        <v>3000</v>
      </c>
      <c r="L86" s="173" t="s">
        <v>4662</v>
      </c>
      <c r="M86" s="173" t="s">
        <v>4916</v>
      </c>
      <c r="N86" s="173"/>
      <c r="O86" s="173"/>
      <c r="P86" s="173" t="s">
        <v>4651</v>
      </c>
      <c r="Q86" s="174">
        <v>42199</v>
      </c>
      <c r="R86" s="173"/>
      <c r="S86" s="173"/>
    </row>
    <row r="87" spans="1:19" x14ac:dyDescent="0.25">
      <c r="A87" s="173" t="s">
        <v>12</v>
      </c>
      <c r="B87" s="174">
        <v>42135</v>
      </c>
      <c r="C87" s="195" t="s">
        <v>4652</v>
      </c>
      <c r="D87" s="173" t="s">
        <v>4653</v>
      </c>
      <c r="E87" s="173" t="s">
        <v>2439</v>
      </c>
      <c r="F87" s="173" t="s">
        <v>913</v>
      </c>
      <c r="G87" s="173" t="s">
        <v>4654</v>
      </c>
      <c r="H87" s="173"/>
      <c r="I87" s="173"/>
      <c r="J87" s="173" t="s">
        <v>21</v>
      </c>
      <c r="K87" s="173">
        <v>2000</v>
      </c>
      <c r="L87" s="173" t="s">
        <v>4413</v>
      </c>
      <c r="M87" s="173"/>
      <c r="N87" s="173"/>
      <c r="O87" s="173"/>
      <c r="P87" s="173" t="s">
        <v>4651</v>
      </c>
      <c r="Q87" s="174">
        <v>42199</v>
      </c>
      <c r="R87" s="173"/>
      <c r="S87" s="173"/>
    </row>
    <row r="88" spans="1:19" x14ac:dyDescent="0.25">
      <c r="A88" s="173" t="s">
        <v>408</v>
      </c>
      <c r="B88" s="174">
        <v>42179</v>
      </c>
      <c r="C88" s="195" t="s">
        <v>4655</v>
      </c>
      <c r="D88" s="173" t="s">
        <v>4656</v>
      </c>
      <c r="E88" s="173" t="s">
        <v>4657</v>
      </c>
      <c r="F88" s="173" t="s">
        <v>4559</v>
      </c>
      <c r="G88" s="173" t="s">
        <v>4560</v>
      </c>
      <c r="H88" s="176">
        <v>5123.9669421487606</v>
      </c>
      <c r="I88" s="176">
        <v>1076.0330578512396</v>
      </c>
      <c r="J88" s="173"/>
      <c r="K88" s="176">
        <v>6200</v>
      </c>
      <c r="L88" s="173" t="s">
        <v>4658</v>
      </c>
      <c r="M88" s="173" t="s">
        <v>4932</v>
      </c>
      <c r="N88" s="173"/>
      <c r="O88" s="173"/>
      <c r="P88" s="173" t="s">
        <v>4651</v>
      </c>
      <c r="Q88" s="174">
        <v>42199</v>
      </c>
      <c r="R88" s="173"/>
      <c r="S88" s="173"/>
    </row>
    <row r="89" spans="1:19" x14ac:dyDescent="0.25">
      <c r="A89" s="173" t="s">
        <v>12</v>
      </c>
      <c r="B89" s="174">
        <v>42165</v>
      </c>
      <c r="C89" s="195" t="s">
        <v>4660</v>
      </c>
      <c r="D89" s="173" t="s">
        <v>4274</v>
      </c>
      <c r="E89" s="173" t="s">
        <v>989</v>
      </c>
      <c r="F89" s="173" t="s">
        <v>2681</v>
      </c>
      <c r="G89" s="173" t="s">
        <v>4661</v>
      </c>
      <c r="H89" s="173"/>
      <c r="I89" s="173"/>
      <c r="J89" s="173" t="s">
        <v>4573</v>
      </c>
      <c r="K89" s="173">
        <v>5800</v>
      </c>
      <c r="L89" s="173" t="s">
        <v>4413</v>
      </c>
      <c r="M89" s="173" t="s">
        <v>4722</v>
      </c>
      <c r="N89" s="173"/>
      <c r="O89" s="173"/>
      <c r="P89" s="173" t="s">
        <v>4651</v>
      </c>
      <c r="Q89" s="174">
        <v>42199</v>
      </c>
      <c r="R89" s="173"/>
      <c r="S89" s="173"/>
    </row>
    <row r="90" spans="1:19" x14ac:dyDescent="0.25">
      <c r="A90" s="173" t="s">
        <v>12</v>
      </c>
      <c r="B90" s="174">
        <v>42264</v>
      </c>
      <c r="C90" s="195" t="s">
        <v>4663</v>
      </c>
      <c r="D90" s="173" t="s">
        <v>3958</v>
      </c>
      <c r="E90" s="173" t="s">
        <v>2626</v>
      </c>
      <c r="F90" s="173" t="s">
        <v>377</v>
      </c>
      <c r="G90" s="173" t="s">
        <v>4664</v>
      </c>
      <c r="H90" s="176">
        <v>2479.3388429752067</v>
      </c>
      <c r="I90" s="176">
        <v>520.6611570247934</v>
      </c>
      <c r="J90" s="173"/>
      <c r="K90" s="176">
        <v>3000</v>
      </c>
      <c r="L90" s="173" t="s">
        <v>4839</v>
      </c>
      <c r="M90" s="173" t="s">
        <v>4726</v>
      </c>
      <c r="N90" s="173"/>
      <c r="O90" s="173"/>
      <c r="P90" s="173" t="s">
        <v>4735</v>
      </c>
      <c r="Q90" s="174">
        <v>42282</v>
      </c>
      <c r="R90" s="173"/>
      <c r="S90" s="173"/>
    </row>
    <row r="91" spans="1:19" x14ac:dyDescent="0.25">
      <c r="A91" s="173" t="s">
        <v>12</v>
      </c>
      <c r="B91" s="174">
        <v>42264</v>
      </c>
      <c r="C91" s="195" t="s">
        <v>4665</v>
      </c>
      <c r="D91" s="173" t="s">
        <v>3958</v>
      </c>
      <c r="E91" s="173" t="s">
        <v>2626</v>
      </c>
      <c r="F91" s="173" t="s">
        <v>2657</v>
      </c>
      <c r="G91" s="173" t="s">
        <v>4666</v>
      </c>
      <c r="H91" s="176">
        <v>5785.1239669421493</v>
      </c>
      <c r="I91" s="176">
        <v>1214.8760330578514</v>
      </c>
      <c r="J91" s="173"/>
      <c r="K91" s="176">
        <v>7000.0000000000009</v>
      </c>
      <c r="L91" s="173" t="s">
        <v>4839</v>
      </c>
      <c r="M91" s="173" t="s">
        <v>4725</v>
      </c>
      <c r="N91" s="173"/>
      <c r="O91" s="173"/>
      <c r="P91" s="173" t="s">
        <v>4735</v>
      </c>
      <c r="Q91" s="174">
        <v>42282</v>
      </c>
      <c r="R91" s="173"/>
      <c r="S91" s="173"/>
    </row>
    <row r="92" spans="1:19" x14ac:dyDescent="0.25">
      <c r="A92" s="173" t="s">
        <v>12</v>
      </c>
      <c r="B92" s="174">
        <v>42264</v>
      </c>
      <c r="C92" s="195" t="s">
        <v>4667</v>
      </c>
      <c r="D92" s="173" t="s">
        <v>3958</v>
      </c>
      <c r="E92" s="173" t="s">
        <v>2626</v>
      </c>
      <c r="F92" s="173" t="s">
        <v>2657</v>
      </c>
      <c r="G92" s="173" t="s">
        <v>4668</v>
      </c>
      <c r="H92" s="176">
        <v>2892.5619834710747</v>
      </c>
      <c r="I92" s="176">
        <v>607.43801652892569</v>
      </c>
      <c r="J92" s="173"/>
      <c r="K92" s="176">
        <v>3500.0000000000005</v>
      </c>
      <c r="L92" s="173" t="s">
        <v>4839</v>
      </c>
      <c r="M92" s="173" t="s">
        <v>4725</v>
      </c>
      <c r="N92" s="173"/>
      <c r="O92" s="173"/>
      <c r="P92" s="173" t="s">
        <v>4735</v>
      </c>
      <c r="Q92" s="174">
        <v>42282</v>
      </c>
      <c r="R92" s="173"/>
      <c r="S92" s="173"/>
    </row>
    <row r="93" spans="1:19" x14ac:dyDescent="0.25">
      <c r="A93" s="173" t="s">
        <v>12</v>
      </c>
      <c r="B93" s="174">
        <v>42195</v>
      </c>
      <c r="C93" s="195" t="s">
        <v>944</v>
      </c>
      <c r="D93" s="173" t="s">
        <v>4619</v>
      </c>
      <c r="E93" s="173" t="s">
        <v>4620</v>
      </c>
      <c r="F93" s="173" t="s">
        <v>4530</v>
      </c>
      <c r="G93" s="173" t="s">
        <v>4531</v>
      </c>
      <c r="H93" s="173"/>
      <c r="I93" s="173"/>
      <c r="J93" s="173" t="s">
        <v>21</v>
      </c>
      <c r="K93" s="173">
        <v>4000</v>
      </c>
      <c r="L93" s="173" t="s">
        <v>4413</v>
      </c>
      <c r="M93" s="173"/>
      <c r="N93" s="173"/>
      <c r="O93" s="173"/>
      <c r="P93" s="173" t="s">
        <v>4735</v>
      </c>
      <c r="Q93" s="174">
        <v>42282</v>
      </c>
      <c r="R93" s="173"/>
      <c r="S93" s="173"/>
    </row>
    <row r="94" spans="1:19" x14ac:dyDescent="0.25">
      <c r="A94" s="173" t="s">
        <v>12</v>
      </c>
      <c r="B94" s="174">
        <v>42212</v>
      </c>
      <c r="C94" s="195" t="s">
        <v>4669</v>
      </c>
      <c r="D94" s="173" t="s">
        <v>4041</v>
      </c>
      <c r="E94" s="173" t="s">
        <v>4042</v>
      </c>
      <c r="F94" s="173" t="s">
        <v>4120</v>
      </c>
      <c r="G94" s="173" t="s">
        <v>4670</v>
      </c>
      <c r="H94" s="173"/>
      <c r="I94" s="173"/>
      <c r="J94" s="173" t="s">
        <v>21</v>
      </c>
      <c r="K94" s="173">
        <v>3646</v>
      </c>
      <c r="L94" s="173" t="s">
        <v>4839</v>
      </c>
      <c r="M94" s="173" t="s">
        <v>4723</v>
      </c>
      <c r="N94" s="173"/>
      <c r="O94" s="173"/>
      <c r="P94" s="173" t="s">
        <v>4735</v>
      </c>
      <c r="Q94" s="174">
        <v>42282</v>
      </c>
      <c r="R94" s="173"/>
      <c r="S94" s="173"/>
    </row>
    <row r="95" spans="1:19" x14ac:dyDescent="0.25">
      <c r="A95" s="173" t="s">
        <v>12</v>
      </c>
      <c r="B95" s="174">
        <v>42212</v>
      </c>
      <c r="C95" s="195" t="s">
        <v>4671</v>
      </c>
      <c r="D95" s="173" t="s">
        <v>4041</v>
      </c>
      <c r="E95" s="173" t="s">
        <v>4042</v>
      </c>
      <c r="F95" s="173" t="s">
        <v>693</v>
      </c>
      <c r="G95" s="173" t="s">
        <v>4672</v>
      </c>
      <c r="H95" s="173"/>
      <c r="I95" s="173"/>
      <c r="J95" s="173" t="s">
        <v>21</v>
      </c>
      <c r="K95" s="173">
        <v>6746</v>
      </c>
      <c r="L95" s="173" t="s">
        <v>4839</v>
      </c>
      <c r="M95" s="173" t="s">
        <v>4723</v>
      </c>
      <c r="N95" s="173"/>
      <c r="O95" s="173"/>
      <c r="P95" s="173" t="s">
        <v>4735</v>
      </c>
      <c r="Q95" s="174">
        <v>42282</v>
      </c>
      <c r="R95" s="173"/>
      <c r="S95" s="173" t="s">
        <v>3186</v>
      </c>
    </row>
    <row r="96" spans="1:19" x14ac:dyDescent="0.25">
      <c r="A96" s="173" t="s">
        <v>12</v>
      </c>
      <c r="B96" s="174">
        <v>42261</v>
      </c>
      <c r="C96" s="195" t="s">
        <v>4673</v>
      </c>
      <c r="D96" s="173" t="s">
        <v>4539</v>
      </c>
      <c r="E96" s="173" t="s">
        <v>4540</v>
      </c>
      <c r="F96" s="173" t="s">
        <v>4674</v>
      </c>
      <c r="G96" s="173" t="s">
        <v>4675</v>
      </c>
      <c r="H96" s="176">
        <v>12272.727272727274</v>
      </c>
      <c r="I96" s="176">
        <v>2577.2727272727275</v>
      </c>
      <c r="J96" s="176"/>
      <c r="K96" s="176">
        <v>14850.000000000002</v>
      </c>
      <c r="L96" s="173" t="s">
        <v>4413</v>
      </c>
      <c r="M96" s="173" t="s">
        <v>4724</v>
      </c>
      <c r="N96" s="173"/>
      <c r="O96" s="173"/>
      <c r="P96" s="173" t="s">
        <v>4735</v>
      </c>
      <c r="Q96" s="174">
        <v>42282</v>
      </c>
      <c r="R96" s="173"/>
      <c r="S96" s="173"/>
    </row>
    <row r="97" spans="1:19" x14ac:dyDescent="0.25">
      <c r="A97" s="173" t="s">
        <v>408</v>
      </c>
      <c r="B97" s="174">
        <v>42194</v>
      </c>
      <c r="C97" s="195" t="s">
        <v>4676</v>
      </c>
      <c r="D97" s="173" t="s">
        <v>4678</v>
      </c>
      <c r="E97" s="173" t="s">
        <v>4677</v>
      </c>
      <c r="F97" s="173" t="s">
        <v>4547</v>
      </c>
      <c r="G97" s="173" t="s">
        <v>4548</v>
      </c>
      <c r="H97" s="173"/>
      <c r="I97" s="173"/>
      <c r="J97" s="173" t="s">
        <v>21</v>
      </c>
      <c r="K97" s="173">
        <v>7300</v>
      </c>
      <c r="L97" s="173" t="s">
        <v>4679</v>
      </c>
      <c r="M97" s="173" t="s">
        <v>4924</v>
      </c>
      <c r="N97" s="173"/>
      <c r="O97" s="173"/>
      <c r="P97" s="173" t="s">
        <v>4735</v>
      </c>
      <c r="Q97" s="174">
        <v>42282</v>
      </c>
      <c r="R97" s="173"/>
      <c r="S97" s="173"/>
    </row>
    <row r="98" spans="1:19" x14ac:dyDescent="0.25">
      <c r="A98" s="173" t="s">
        <v>408</v>
      </c>
      <c r="B98" s="174">
        <v>42186</v>
      </c>
      <c r="C98" s="195" t="s">
        <v>4680</v>
      </c>
      <c r="D98" s="173" t="s">
        <v>4681</v>
      </c>
      <c r="E98" s="173" t="s">
        <v>4682</v>
      </c>
      <c r="F98" s="173" t="s">
        <v>4232</v>
      </c>
      <c r="G98" s="173" t="s">
        <v>4536</v>
      </c>
      <c r="H98" s="173"/>
      <c r="I98" s="173"/>
      <c r="J98" s="173" t="s">
        <v>21</v>
      </c>
      <c r="K98" s="173">
        <v>2800</v>
      </c>
      <c r="L98" s="173" t="s">
        <v>4621</v>
      </c>
      <c r="M98" s="173" t="s">
        <v>4915</v>
      </c>
      <c r="N98" s="173"/>
      <c r="O98" s="173"/>
      <c r="P98" s="173" t="s">
        <v>4735</v>
      </c>
      <c r="Q98" s="174">
        <v>42282</v>
      </c>
      <c r="R98" s="173"/>
      <c r="S98" s="173"/>
    </row>
    <row r="99" spans="1:19" x14ac:dyDescent="0.25">
      <c r="A99" s="173" t="s">
        <v>408</v>
      </c>
      <c r="B99" s="174">
        <v>42187</v>
      </c>
      <c r="C99" s="195" t="s">
        <v>4683</v>
      </c>
      <c r="D99" s="173" t="s">
        <v>4684</v>
      </c>
      <c r="E99" s="173" t="s">
        <v>4685</v>
      </c>
      <c r="F99" s="173" t="s">
        <v>4255</v>
      </c>
      <c r="G99" s="173" t="s">
        <v>4256</v>
      </c>
      <c r="H99" s="176">
        <v>3140.495867768595</v>
      </c>
      <c r="I99" s="176">
        <v>659.50413223140492</v>
      </c>
      <c r="J99" s="176"/>
      <c r="K99" s="176">
        <v>3800</v>
      </c>
      <c r="L99" s="173" t="s">
        <v>4489</v>
      </c>
      <c r="M99" s="173" t="s">
        <v>4935</v>
      </c>
      <c r="N99" s="173"/>
      <c r="O99" s="173"/>
      <c r="P99" s="173" t="s">
        <v>4735</v>
      </c>
      <c r="Q99" s="174">
        <v>42282</v>
      </c>
      <c r="R99" s="173"/>
      <c r="S99" s="173"/>
    </row>
    <row r="100" spans="1:19" x14ac:dyDescent="0.25">
      <c r="A100" s="173" t="s">
        <v>408</v>
      </c>
      <c r="B100" s="174">
        <v>42222</v>
      </c>
      <c r="C100" s="195" t="s">
        <v>4686</v>
      </c>
      <c r="D100" s="173" t="s">
        <v>4687</v>
      </c>
      <c r="E100" s="173" t="s">
        <v>4688</v>
      </c>
      <c r="F100" s="173" t="s">
        <v>4393</v>
      </c>
      <c r="G100" s="173" t="s">
        <v>4394</v>
      </c>
      <c r="H100" s="176">
        <v>3884.2975206611573</v>
      </c>
      <c r="I100" s="176">
        <v>815.70247933884298</v>
      </c>
      <c r="J100" s="173"/>
      <c r="K100" s="176">
        <v>4700</v>
      </c>
      <c r="L100" s="173" t="s">
        <v>4477</v>
      </c>
      <c r="M100" s="173" t="s">
        <v>4898</v>
      </c>
      <c r="N100" s="173"/>
      <c r="O100" s="173"/>
      <c r="P100" s="173" t="s">
        <v>4735</v>
      </c>
      <c r="Q100" s="174">
        <v>42282</v>
      </c>
      <c r="R100" s="173"/>
      <c r="S100" s="173" t="s">
        <v>3791</v>
      </c>
    </row>
    <row r="101" spans="1:19" x14ac:dyDescent="0.25">
      <c r="A101" s="173" t="s">
        <v>408</v>
      </c>
      <c r="B101" s="174">
        <v>42198</v>
      </c>
      <c r="C101" s="195" t="s">
        <v>4689</v>
      </c>
      <c r="D101" s="173" t="s">
        <v>4690</v>
      </c>
      <c r="E101" s="173" t="s">
        <v>4691</v>
      </c>
      <c r="F101" s="173" t="s">
        <v>4571</v>
      </c>
      <c r="G101" s="173" t="s">
        <v>4572</v>
      </c>
      <c r="H101" s="173"/>
      <c r="I101" s="173"/>
      <c r="J101" s="173" t="s">
        <v>21</v>
      </c>
      <c r="K101" s="173">
        <v>1800</v>
      </c>
      <c r="L101" s="173" t="s">
        <v>4692</v>
      </c>
      <c r="M101" s="173"/>
      <c r="N101" s="173"/>
      <c r="O101" s="173"/>
      <c r="P101" s="173" t="s">
        <v>4735</v>
      </c>
      <c r="Q101" s="174">
        <v>42282</v>
      </c>
      <c r="R101" s="173"/>
      <c r="S101" s="173"/>
    </row>
    <row r="102" spans="1:19" x14ac:dyDescent="0.25">
      <c r="A102" s="173" t="s">
        <v>408</v>
      </c>
      <c r="B102" s="174">
        <v>42195</v>
      </c>
      <c r="C102" s="195" t="s">
        <v>4693</v>
      </c>
      <c r="D102" s="173" t="s">
        <v>4619</v>
      </c>
      <c r="E102" s="173" t="s">
        <v>4620</v>
      </c>
      <c r="F102" s="173" t="s">
        <v>2681</v>
      </c>
      <c r="G102" s="173" t="s">
        <v>4661</v>
      </c>
      <c r="H102" s="173"/>
      <c r="I102" s="173"/>
      <c r="J102" s="173" t="s">
        <v>21</v>
      </c>
      <c r="K102" s="173">
        <v>6100</v>
      </c>
      <c r="L102" s="173" t="s">
        <v>4694</v>
      </c>
      <c r="M102" s="173" t="s">
        <v>4912</v>
      </c>
      <c r="N102" s="173"/>
      <c r="O102" s="173"/>
      <c r="P102" s="173" t="s">
        <v>4735</v>
      </c>
      <c r="Q102" s="174">
        <v>42282</v>
      </c>
      <c r="R102" s="173"/>
      <c r="S102" s="173"/>
    </row>
    <row r="103" spans="1:19" x14ac:dyDescent="0.25">
      <c r="A103" s="173" t="s">
        <v>12</v>
      </c>
      <c r="B103" s="174">
        <v>42130</v>
      </c>
      <c r="C103" s="195" t="s">
        <v>944</v>
      </c>
      <c r="D103" s="173" t="s">
        <v>4695</v>
      </c>
      <c r="E103" s="173" t="s">
        <v>4696</v>
      </c>
      <c r="F103" s="173" t="s">
        <v>2932</v>
      </c>
      <c r="G103" s="173" t="s">
        <v>4697</v>
      </c>
      <c r="H103" s="173"/>
      <c r="I103" s="173"/>
      <c r="J103" s="173" t="s">
        <v>21</v>
      </c>
      <c r="K103" s="173">
        <v>2000</v>
      </c>
      <c r="L103" s="173" t="s">
        <v>4413</v>
      </c>
      <c r="M103" s="173" t="s">
        <v>3947</v>
      </c>
      <c r="N103" s="173"/>
      <c r="O103" s="173"/>
      <c r="P103" s="173" t="s">
        <v>4735</v>
      </c>
      <c r="Q103" s="174">
        <v>42282</v>
      </c>
      <c r="R103" s="173"/>
      <c r="S103" s="173"/>
    </row>
    <row r="104" spans="1:19" x14ac:dyDescent="0.25">
      <c r="A104" s="173" t="s">
        <v>408</v>
      </c>
      <c r="B104" s="174">
        <v>42192</v>
      </c>
      <c r="C104" s="195" t="s">
        <v>4698</v>
      </c>
      <c r="D104" s="173" t="s">
        <v>4699</v>
      </c>
      <c r="E104" s="173" t="s">
        <v>4700</v>
      </c>
      <c r="F104" s="173" t="s">
        <v>2932</v>
      </c>
      <c r="G104" s="173" t="s">
        <v>4697</v>
      </c>
      <c r="H104" s="173"/>
      <c r="I104" s="173"/>
      <c r="J104" s="173" t="s">
        <v>21</v>
      </c>
      <c r="K104" s="173">
        <v>2400</v>
      </c>
      <c r="L104" s="173" t="s">
        <v>4701</v>
      </c>
      <c r="M104" s="173" t="s">
        <v>4889</v>
      </c>
      <c r="N104" s="173"/>
      <c r="O104" s="173"/>
      <c r="P104" s="173" t="s">
        <v>4735</v>
      </c>
      <c r="Q104" s="174">
        <v>42282</v>
      </c>
      <c r="R104" s="173"/>
      <c r="S104" s="173"/>
    </row>
    <row r="105" spans="1:19" x14ac:dyDescent="0.25">
      <c r="A105" s="173" t="s">
        <v>408</v>
      </c>
      <c r="B105" s="174">
        <v>42265</v>
      </c>
      <c r="C105" s="195" t="s">
        <v>4702</v>
      </c>
      <c r="D105" s="173" t="s">
        <v>4703</v>
      </c>
      <c r="E105" s="173" t="s">
        <v>4704</v>
      </c>
      <c r="F105" s="173" t="s">
        <v>4530</v>
      </c>
      <c r="G105" s="173" t="s">
        <v>4531</v>
      </c>
      <c r="H105" s="173"/>
      <c r="I105" s="173"/>
      <c r="J105" s="173" t="s">
        <v>21</v>
      </c>
      <c r="K105" s="173">
        <v>3000</v>
      </c>
      <c r="L105" s="173" t="s">
        <v>4705</v>
      </c>
      <c r="M105" s="173" t="s">
        <v>4922</v>
      </c>
      <c r="N105" s="173"/>
      <c r="O105" s="173"/>
      <c r="P105" s="173" t="s">
        <v>4735</v>
      </c>
      <c r="Q105" s="174">
        <v>42282</v>
      </c>
      <c r="R105" s="173"/>
      <c r="S105" s="173"/>
    </row>
    <row r="106" spans="1:19" x14ac:dyDescent="0.25">
      <c r="A106" s="173" t="s">
        <v>408</v>
      </c>
      <c r="B106" s="174">
        <v>42241</v>
      </c>
      <c r="C106" s="195" t="s">
        <v>4706</v>
      </c>
      <c r="D106" s="173" t="s">
        <v>4707</v>
      </c>
      <c r="E106" s="173" t="s">
        <v>4708</v>
      </c>
      <c r="F106" s="173" t="s">
        <v>3679</v>
      </c>
      <c r="G106" s="173" t="s">
        <v>4543</v>
      </c>
      <c r="H106" s="176">
        <v>3719.0082644628101</v>
      </c>
      <c r="I106" s="176">
        <v>780.99173553719004</v>
      </c>
      <c r="J106" s="173"/>
      <c r="K106" s="176">
        <v>4500</v>
      </c>
      <c r="L106" s="173" t="s">
        <v>4709</v>
      </c>
      <c r="M106" s="173" t="s">
        <v>4923</v>
      </c>
      <c r="N106" s="173"/>
      <c r="O106" s="173"/>
      <c r="P106" s="173" t="s">
        <v>4735</v>
      </c>
      <c r="Q106" s="174">
        <v>42282</v>
      </c>
      <c r="R106" s="173"/>
      <c r="S106" s="173"/>
    </row>
    <row r="107" spans="1:19" x14ac:dyDescent="0.25">
      <c r="A107" s="173" t="s">
        <v>408</v>
      </c>
      <c r="B107" s="174">
        <v>42226</v>
      </c>
      <c r="C107" s="195" t="s">
        <v>4710</v>
      </c>
      <c r="D107" s="173" t="s">
        <v>4711</v>
      </c>
      <c r="E107" s="173" t="s">
        <v>4712</v>
      </c>
      <c r="F107" s="173" t="s">
        <v>4410</v>
      </c>
      <c r="G107" s="173" t="s">
        <v>4411</v>
      </c>
      <c r="H107" s="173"/>
      <c r="I107" s="173"/>
      <c r="J107" s="173" t="s">
        <v>21</v>
      </c>
      <c r="K107" s="173">
        <v>3500</v>
      </c>
      <c r="L107" s="173" t="s">
        <v>4713</v>
      </c>
      <c r="M107" s="173" t="s">
        <v>4899</v>
      </c>
      <c r="N107" s="173"/>
      <c r="O107" s="173"/>
      <c r="P107" s="173" t="s">
        <v>4735</v>
      </c>
      <c r="Q107" s="174">
        <v>42282</v>
      </c>
      <c r="R107" s="173"/>
      <c r="S107" s="173"/>
    </row>
    <row r="108" spans="1:19" x14ac:dyDescent="0.25">
      <c r="A108" s="173" t="s">
        <v>408</v>
      </c>
      <c r="B108" s="174">
        <v>42226</v>
      </c>
      <c r="C108" s="195" t="s">
        <v>4714</v>
      </c>
      <c r="D108" s="173" t="s">
        <v>4715</v>
      </c>
      <c r="E108" s="173" t="s">
        <v>4716</v>
      </c>
      <c r="F108" s="173" t="s">
        <v>913</v>
      </c>
      <c r="G108" s="173" t="s">
        <v>4654</v>
      </c>
      <c r="H108" s="173"/>
      <c r="I108" s="173"/>
      <c r="J108" s="173" t="s">
        <v>21</v>
      </c>
      <c r="K108" s="173">
        <v>2450</v>
      </c>
      <c r="L108" s="173" t="s">
        <v>4717</v>
      </c>
      <c r="M108" s="173"/>
      <c r="N108" s="173"/>
      <c r="O108" s="173"/>
      <c r="P108" s="173" t="s">
        <v>4735</v>
      </c>
      <c r="Q108" s="174">
        <v>42282</v>
      </c>
      <c r="R108" s="173"/>
      <c r="S108" s="173"/>
    </row>
    <row r="109" spans="1:19" x14ac:dyDescent="0.25">
      <c r="A109" s="173" t="s">
        <v>408</v>
      </c>
      <c r="B109" s="174">
        <v>42251</v>
      </c>
      <c r="C109" s="195" t="s">
        <v>4718</v>
      </c>
      <c r="D109" s="173" t="s">
        <v>4719</v>
      </c>
      <c r="E109" s="173" t="s">
        <v>4720</v>
      </c>
      <c r="F109" s="173" t="s">
        <v>4533</v>
      </c>
      <c r="G109" s="173" t="s">
        <v>4534</v>
      </c>
      <c r="H109" s="173"/>
      <c r="I109" s="173"/>
      <c r="J109" s="173" t="s">
        <v>21</v>
      </c>
      <c r="K109" s="173">
        <v>6000</v>
      </c>
      <c r="L109" s="173" t="s">
        <v>4721</v>
      </c>
      <c r="M109" s="173" t="s">
        <v>4904</v>
      </c>
      <c r="N109" s="173"/>
      <c r="O109" s="173"/>
      <c r="P109" s="173" t="s">
        <v>4735</v>
      </c>
      <c r="Q109" s="174">
        <v>42282</v>
      </c>
      <c r="R109" s="173"/>
      <c r="S109" s="173"/>
    </row>
    <row r="110" spans="1:19" x14ac:dyDescent="0.25">
      <c r="A110" s="173" t="s">
        <v>408</v>
      </c>
      <c r="B110" s="174">
        <v>42177</v>
      </c>
      <c r="C110" s="195" t="s">
        <v>4728</v>
      </c>
      <c r="D110" s="173" t="s">
        <v>4727</v>
      </c>
      <c r="E110" s="173" t="s">
        <v>4729</v>
      </c>
      <c r="F110" s="173" t="s">
        <v>3807</v>
      </c>
      <c r="G110" s="173" t="s">
        <v>4545</v>
      </c>
      <c r="H110" s="176">
        <v>3719.0082644628101</v>
      </c>
      <c r="I110" s="176">
        <v>780.99173553719004</v>
      </c>
      <c r="J110" s="173"/>
      <c r="K110" s="176">
        <v>4500</v>
      </c>
      <c r="L110" s="173" t="s">
        <v>4709</v>
      </c>
      <c r="M110" s="173" t="s">
        <v>4888</v>
      </c>
      <c r="N110" s="173"/>
      <c r="O110" s="173"/>
      <c r="P110" s="173" t="s">
        <v>4735</v>
      </c>
      <c r="Q110" s="174">
        <v>42282</v>
      </c>
      <c r="R110" s="173"/>
      <c r="S110" s="173" t="s">
        <v>3791</v>
      </c>
    </row>
    <row r="111" spans="1:19" x14ac:dyDescent="0.25">
      <c r="A111" s="173" t="s">
        <v>408</v>
      </c>
      <c r="B111" s="174">
        <v>42269</v>
      </c>
      <c r="C111" s="195" t="s">
        <v>4730</v>
      </c>
      <c r="D111" s="173" t="s">
        <v>4731</v>
      </c>
      <c r="E111" s="173" t="s">
        <v>4732</v>
      </c>
      <c r="F111" s="173" t="s">
        <v>693</v>
      </c>
      <c r="G111" s="173" t="s">
        <v>4581</v>
      </c>
      <c r="H111" s="173"/>
      <c r="I111" s="173"/>
      <c r="J111" s="173" t="s">
        <v>21</v>
      </c>
      <c r="K111" s="173">
        <v>11500</v>
      </c>
      <c r="L111" s="173" t="s">
        <v>4733</v>
      </c>
      <c r="M111" s="173" t="s">
        <v>4890</v>
      </c>
      <c r="N111" s="173"/>
      <c r="O111" s="173"/>
      <c r="P111" s="173" t="s">
        <v>4735</v>
      </c>
      <c r="Q111" s="174">
        <v>42282</v>
      </c>
      <c r="R111" s="173"/>
      <c r="S111" s="173" t="s">
        <v>3791</v>
      </c>
    </row>
    <row r="112" spans="1:19" x14ac:dyDescent="0.25">
      <c r="A112" s="173" t="s">
        <v>408</v>
      </c>
      <c r="B112" s="174">
        <v>42103</v>
      </c>
      <c r="C112" s="195" t="s">
        <v>176</v>
      </c>
      <c r="D112" s="173" t="s">
        <v>4734</v>
      </c>
      <c r="E112" s="173" t="s">
        <v>186</v>
      </c>
      <c r="F112" s="173" t="s">
        <v>4393</v>
      </c>
      <c r="G112" s="173" t="s">
        <v>4516</v>
      </c>
      <c r="H112" s="176">
        <v>3818.1818181818185</v>
      </c>
      <c r="I112" s="176">
        <v>801.81818181818187</v>
      </c>
      <c r="J112" s="173"/>
      <c r="K112" s="176">
        <v>4620</v>
      </c>
      <c r="L112" s="173" t="s">
        <v>4528</v>
      </c>
      <c r="M112" s="173" t="s">
        <v>4905</v>
      </c>
      <c r="N112" s="173"/>
      <c r="O112" s="173"/>
      <c r="P112" s="173" t="s">
        <v>4735</v>
      </c>
      <c r="Q112" s="174">
        <v>42282</v>
      </c>
      <c r="R112" s="173"/>
      <c r="S112" s="173"/>
    </row>
    <row r="113" spans="1:19" x14ac:dyDescent="0.25">
      <c r="A113" s="173" t="s">
        <v>12</v>
      </c>
      <c r="B113" s="174">
        <v>42325</v>
      </c>
      <c r="C113" s="197">
        <v>15106515</v>
      </c>
      <c r="D113" s="173" t="s">
        <v>2902</v>
      </c>
      <c r="E113" s="173" t="s">
        <v>2903</v>
      </c>
      <c r="F113" s="173" t="s">
        <v>4736</v>
      </c>
      <c r="G113" s="173" t="s">
        <v>4737</v>
      </c>
      <c r="H113" s="173"/>
      <c r="I113" s="173"/>
      <c r="J113" s="173" t="s">
        <v>21</v>
      </c>
      <c r="K113" s="173">
        <v>8750</v>
      </c>
      <c r="L113" s="173" t="s">
        <v>4413</v>
      </c>
      <c r="M113" s="173"/>
      <c r="N113" s="173"/>
      <c r="O113" s="173"/>
      <c r="P113" s="173" t="s">
        <v>4812</v>
      </c>
      <c r="Q113" s="174">
        <v>42387</v>
      </c>
      <c r="R113" s="173"/>
      <c r="S113" s="173"/>
    </row>
    <row r="114" spans="1:19" x14ac:dyDescent="0.25">
      <c r="A114" s="173" t="s">
        <v>12</v>
      </c>
      <c r="B114" s="174">
        <v>42325</v>
      </c>
      <c r="C114" s="197">
        <v>15106514</v>
      </c>
      <c r="D114" s="173" t="s">
        <v>2902</v>
      </c>
      <c r="E114" s="173" t="s">
        <v>2903</v>
      </c>
      <c r="F114" s="173" t="s">
        <v>4738</v>
      </c>
      <c r="G114" s="173" t="s">
        <v>4739</v>
      </c>
      <c r="H114" s="173"/>
      <c r="I114" s="173"/>
      <c r="J114" s="173" t="s">
        <v>21</v>
      </c>
      <c r="K114" s="176">
        <v>12750</v>
      </c>
      <c r="L114" s="173" t="s">
        <v>4839</v>
      </c>
      <c r="M114" s="173"/>
      <c r="N114" s="173"/>
      <c r="O114" s="173"/>
      <c r="P114" s="173" t="s">
        <v>4812</v>
      </c>
      <c r="Q114" s="174">
        <v>42387</v>
      </c>
      <c r="R114" s="173"/>
      <c r="S114" s="173"/>
    </row>
    <row r="115" spans="1:19" x14ac:dyDescent="0.25">
      <c r="A115" s="173" t="s">
        <v>12</v>
      </c>
      <c r="B115" s="174">
        <v>42278</v>
      </c>
      <c r="C115" s="195" t="s">
        <v>4740</v>
      </c>
      <c r="D115" s="173" t="s">
        <v>4741</v>
      </c>
      <c r="E115" s="173" t="s">
        <v>4742</v>
      </c>
      <c r="F115" s="173" t="s">
        <v>4743</v>
      </c>
      <c r="G115" s="173" t="s">
        <v>4744</v>
      </c>
      <c r="H115" s="176">
        <v>2000</v>
      </c>
      <c r="I115" s="176">
        <f>+H115*0.21</f>
        <v>420</v>
      </c>
      <c r="J115" s="176"/>
      <c r="K115" s="176">
        <f>+H115+I115</f>
        <v>2420</v>
      </c>
      <c r="L115" s="173" t="s">
        <v>4413</v>
      </c>
      <c r="M115" s="173"/>
      <c r="N115" s="173"/>
      <c r="O115" s="173"/>
      <c r="P115" s="173" t="s">
        <v>4812</v>
      </c>
      <c r="Q115" s="174">
        <v>42387</v>
      </c>
      <c r="R115" s="173"/>
      <c r="S115" s="173"/>
    </row>
    <row r="116" spans="1:19" x14ac:dyDescent="0.25">
      <c r="A116" s="173" t="s">
        <v>12</v>
      </c>
      <c r="B116" s="174">
        <v>42283</v>
      </c>
      <c r="C116" s="197">
        <v>586</v>
      </c>
      <c r="D116" s="173" t="s">
        <v>4579</v>
      </c>
      <c r="E116" s="173" t="s">
        <v>4580</v>
      </c>
      <c r="F116" s="173" t="s">
        <v>4745</v>
      </c>
      <c r="G116" s="173" t="s">
        <v>4746</v>
      </c>
      <c r="H116" s="173"/>
      <c r="I116" s="173"/>
      <c r="J116" s="173" t="s">
        <v>21</v>
      </c>
      <c r="K116" s="176">
        <v>3000</v>
      </c>
      <c r="L116" s="173" t="s">
        <v>4413</v>
      </c>
      <c r="M116" s="173"/>
      <c r="N116" s="173"/>
      <c r="O116" s="173"/>
      <c r="P116" s="173" t="s">
        <v>4812</v>
      </c>
      <c r="Q116" s="174">
        <v>42387</v>
      </c>
      <c r="R116" s="173"/>
      <c r="S116" s="173"/>
    </row>
    <row r="117" spans="1:19" x14ac:dyDescent="0.25">
      <c r="A117" s="173" t="s">
        <v>12</v>
      </c>
      <c r="B117" s="174">
        <v>42325</v>
      </c>
      <c r="C117" s="197" t="s">
        <v>944</v>
      </c>
      <c r="D117" s="173" t="s">
        <v>4747</v>
      </c>
      <c r="E117" s="173" t="s">
        <v>4748</v>
      </c>
      <c r="F117" s="173" t="s">
        <v>929</v>
      </c>
      <c r="G117" s="173" t="s">
        <v>4749</v>
      </c>
      <c r="H117" s="173"/>
      <c r="I117" s="173"/>
      <c r="J117" s="173" t="s">
        <v>21</v>
      </c>
      <c r="K117" s="176">
        <v>500</v>
      </c>
      <c r="L117" s="173" t="s">
        <v>4413</v>
      </c>
      <c r="M117" s="173"/>
      <c r="N117" s="173"/>
      <c r="O117" s="173"/>
      <c r="P117" s="173" t="s">
        <v>4812</v>
      </c>
      <c r="Q117" s="174">
        <v>42387</v>
      </c>
      <c r="R117" s="173"/>
      <c r="S117" s="173"/>
    </row>
    <row r="118" spans="1:19" x14ac:dyDescent="0.25">
      <c r="A118" s="173" t="s">
        <v>12</v>
      </c>
      <c r="B118" s="174">
        <v>42251</v>
      </c>
      <c r="C118" s="197" t="s">
        <v>944</v>
      </c>
      <c r="D118" s="173" t="s">
        <v>4719</v>
      </c>
      <c r="E118" s="173" t="s">
        <v>4720</v>
      </c>
      <c r="F118" s="173" t="s">
        <v>2932</v>
      </c>
      <c r="G118" s="173" t="s">
        <v>4750</v>
      </c>
      <c r="H118" s="173"/>
      <c r="I118" s="173"/>
      <c r="J118" s="173" t="s">
        <v>21</v>
      </c>
      <c r="K118" s="176">
        <v>1800</v>
      </c>
      <c r="L118" s="173" t="s">
        <v>4413</v>
      </c>
      <c r="M118" s="173"/>
      <c r="N118" s="173"/>
      <c r="O118" s="173"/>
      <c r="P118" s="173" t="s">
        <v>4812</v>
      </c>
      <c r="Q118" s="174">
        <v>42387</v>
      </c>
      <c r="R118" s="173"/>
      <c r="S118" s="173"/>
    </row>
    <row r="119" spans="1:19" x14ac:dyDescent="0.25">
      <c r="A119" s="173" t="s">
        <v>12</v>
      </c>
      <c r="B119" s="174">
        <v>42296</v>
      </c>
      <c r="C119" s="197" t="s">
        <v>944</v>
      </c>
      <c r="D119" s="173" t="s">
        <v>4751</v>
      </c>
      <c r="E119" s="173" t="s">
        <v>4752</v>
      </c>
      <c r="F119" s="173" t="s">
        <v>2932</v>
      </c>
      <c r="G119" s="173" t="s">
        <v>4753</v>
      </c>
      <c r="H119" s="173"/>
      <c r="I119" s="173"/>
      <c r="J119" s="173" t="s">
        <v>21</v>
      </c>
      <c r="K119" s="176">
        <v>700</v>
      </c>
      <c r="L119" s="173" t="s">
        <v>4413</v>
      </c>
      <c r="M119" s="173"/>
      <c r="N119" s="173"/>
      <c r="O119" s="173"/>
      <c r="P119" s="173" t="s">
        <v>4812</v>
      </c>
      <c r="Q119" s="174">
        <v>42387</v>
      </c>
      <c r="R119" s="173"/>
      <c r="S119" s="173"/>
    </row>
    <row r="120" spans="1:19" x14ac:dyDescent="0.25">
      <c r="A120" s="173" t="s">
        <v>408</v>
      </c>
      <c r="B120" s="174">
        <v>42306</v>
      </c>
      <c r="C120" s="197" t="s">
        <v>4754</v>
      </c>
      <c r="D120" s="173" t="s">
        <v>4755</v>
      </c>
      <c r="E120" s="173" t="s">
        <v>4756</v>
      </c>
      <c r="F120" s="173" t="s">
        <v>2932</v>
      </c>
      <c r="G120" s="173" t="s">
        <v>4753</v>
      </c>
      <c r="H120" s="173"/>
      <c r="I120" s="173"/>
      <c r="J120" s="173" t="s">
        <v>21</v>
      </c>
      <c r="K120" s="176">
        <v>1000</v>
      </c>
      <c r="L120" s="173" t="s">
        <v>4757</v>
      </c>
      <c r="M120" s="173" t="s">
        <v>4940</v>
      </c>
      <c r="N120" s="173"/>
      <c r="O120" s="173"/>
      <c r="P120" s="173" t="s">
        <v>4812</v>
      </c>
      <c r="Q120" s="174">
        <v>42387</v>
      </c>
      <c r="R120" s="173"/>
      <c r="S120" s="173"/>
    </row>
    <row r="121" spans="1:19" x14ac:dyDescent="0.25">
      <c r="A121" s="173" t="s">
        <v>408</v>
      </c>
      <c r="B121" s="174">
        <v>42306</v>
      </c>
      <c r="C121" s="197" t="s">
        <v>4759</v>
      </c>
      <c r="D121" s="173" t="s">
        <v>4760</v>
      </c>
      <c r="E121" s="173" t="s">
        <v>4761</v>
      </c>
      <c r="F121" s="173" t="s">
        <v>2932</v>
      </c>
      <c r="G121" s="173" t="s">
        <v>4750</v>
      </c>
      <c r="H121" s="173"/>
      <c r="I121" s="173"/>
      <c r="J121" s="173" t="s">
        <v>21</v>
      </c>
      <c r="K121" s="176">
        <v>2000</v>
      </c>
      <c r="L121" s="173" t="s">
        <v>4758</v>
      </c>
      <c r="M121" s="173" t="s">
        <v>4941</v>
      </c>
      <c r="N121" s="173"/>
      <c r="O121" s="173"/>
      <c r="P121" s="173" t="s">
        <v>4812</v>
      </c>
      <c r="Q121" s="174">
        <v>42387</v>
      </c>
      <c r="R121" s="173"/>
      <c r="S121" s="173"/>
    </row>
    <row r="122" spans="1:19" x14ac:dyDescent="0.25">
      <c r="A122" s="173" t="s">
        <v>408</v>
      </c>
      <c r="B122" s="174">
        <v>42341</v>
      </c>
      <c r="C122" s="197" t="s">
        <v>4762</v>
      </c>
      <c r="D122" s="173" t="s">
        <v>4763</v>
      </c>
      <c r="E122" s="173" t="s">
        <v>4764</v>
      </c>
      <c r="F122" s="173" t="s">
        <v>929</v>
      </c>
      <c r="G122" s="173" t="s">
        <v>4749</v>
      </c>
      <c r="H122" s="173"/>
      <c r="I122" s="173"/>
      <c r="J122" s="173" t="s">
        <v>21</v>
      </c>
      <c r="K122" s="176">
        <v>800</v>
      </c>
      <c r="L122" s="173" t="s">
        <v>4765</v>
      </c>
      <c r="M122" s="173"/>
      <c r="N122" s="173"/>
      <c r="O122" s="173"/>
      <c r="P122" s="173" t="s">
        <v>4812</v>
      </c>
      <c r="Q122" s="174">
        <v>42387</v>
      </c>
      <c r="R122" s="173"/>
      <c r="S122" s="173"/>
    </row>
    <row r="123" spans="1:19" x14ac:dyDescent="0.25">
      <c r="A123" s="173" t="s">
        <v>408</v>
      </c>
      <c r="B123" s="174">
        <v>42362</v>
      </c>
      <c r="C123" s="197" t="s">
        <v>4766</v>
      </c>
      <c r="D123" s="173" t="s">
        <v>4482</v>
      </c>
      <c r="E123" s="173" t="s">
        <v>4483</v>
      </c>
      <c r="F123" s="173" t="s">
        <v>4743</v>
      </c>
      <c r="G123" s="173" t="s">
        <v>4744</v>
      </c>
      <c r="H123" s="176">
        <f>2490/1.21</f>
        <v>2057.8512396694214</v>
      </c>
      <c r="I123" s="176">
        <f>+H123*0.21</f>
        <v>432.14876033057845</v>
      </c>
      <c r="J123" s="176"/>
      <c r="K123" s="176">
        <f>+H123+I123</f>
        <v>2490</v>
      </c>
      <c r="L123" s="173" t="s">
        <v>4767</v>
      </c>
      <c r="M123" s="173"/>
      <c r="N123" s="173"/>
      <c r="O123" s="173"/>
      <c r="P123" s="173" t="s">
        <v>4812</v>
      </c>
      <c r="Q123" s="174">
        <v>42387</v>
      </c>
      <c r="R123" s="173"/>
      <c r="S123" s="173"/>
    </row>
    <row r="124" spans="1:19" x14ac:dyDescent="0.25">
      <c r="A124" s="173" t="s">
        <v>408</v>
      </c>
      <c r="B124" s="174">
        <v>42338</v>
      </c>
      <c r="C124" s="197" t="s">
        <v>4768</v>
      </c>
      <c r="D124" s="173" t="s">
        <v>4769</v>
      </c>
      <c r="E124" s="173" t="s">
        <v>4770</v>
      </c>
      <c r="F124" s="173" t="s">
        <v>4736</v>
      </c>
      <c r="G124" s="173" t="s">
        <v>4737</v>
      </c>
      <c r="H124" s="173"/>
      <c r="I124" s="173"/>
      <c r="J124" s="173" t="s">
        <v>21</v>
      </c>
      <c r="K124" s="173">
        <v>9300</v>
      </c>
      <c r="L124" s="173" t="s">
        <v>4771</v>
      </c>
      <c r="M124" s="173" t="s">
        <v>4931</v>
      </c>
      <c r="N124" s="173"/>
      <c r="O124" s="173"/>
      <c r="P124" s="173" t="s">
        <v>4812</v>
      </c>
      <c r="Q124" s="174">
        <v>42387</v>
      </c>
      <c r="R124" s="173"/>
      <c r="S124" s="173"/>
    </row>
    <row r="125" spans="1:19" x14ac:dyDescent="0.25">
      <c r="A125" s="173" t="s">
        <v>408</v>
      </c>
      <c r="B125" s="174">
        <v>42321</v>
      </c>
      <c r="C125" s="197" t="s">
        <v>4772</v>
      </c>
      <c r="D125" s="173" t="s">
        <v>4773</v>
      </c>
      <c r="E125" s="173" t="s">
        <v>4774</v>
      </c>
      <c r="F125" s="173" t="s">
        <v>4553</v>
      </c>
      <c r="G125" s="173" t="s">
        <v>4554</v>
      </c>
      <c r="H125" s="173"/>
      <c r="I125" s="173"/>
      <c r="J125" s="173" t="s">
        <v>21</v>
      </c>
      <c r="K125" s="173">
        <v>5200</v>
      </c>
      <c r="L125" s="173" t="s">
        <v>4775</v>
      </c>
      <c r="M125" s="173" t="s">
        <v>4902</v>
      </c>
      <c r="N125" s="173"/>
      <c r="O125" s="173"/>
      <c r="P125" s="173" t="s">
        <v>4812</v>
      </c>
      <c r="Q125" s="174">
        <v>42387</v>
      </c>
      <c r="R125" s="173"/>
      <c r="S125" s="173"/>
    </row>
    <row r="126" spans="1:19" x14ac:dyDescent="0.25">
      <c r="A126" s="173" t="s">
        <v>408</v>
      </c>
      <c r="B126" s="174">
        <v>42307</v>
      </c>
      <c r="C126" s="197" t="s">
        <v>4776</v>
      </c>
      <c r="D126" s="173" t="s">
        <v>4777</v>
      </c>
      <c r="E126" s="173" t="s">
        <v>4778</v>
      </c>
      <c r="F126" s="173" t="s">
        <v>4533</v>
      </c>
      <c r="G126" s="173" t="s">
        <v>4551</v>
      </c>
      <c r="H126" s="176">
        <f>6700/1.21</f>
        <v>5537.1900826446281</v>
      </c>
      <c r="I126" s="176">
        <f>+H126*0.21</f>
        <v>1162.8099173553719</v>
      </c>
      <c r="J126" s="173"/>
      <c r="K126" s="176">
        <f>+H126+I126</f>
        <v>6700</v>
      </c>
      <c r="L126" s="173" t="s">
        <v>4613</v>
      </c>
      <c r="M126" s="173" t="s">
        <v>4928</v>
      </c>
      <c r="N126" s="173"/>
      <c r="O126" s="173"/>
      <c r="P126" s="173" t="s">
        <v>4812</v>
      </c>
      <c r="Q126" s="174">
        <v>42387</v>
      </c>
      <c r="R126" s="173"/>
      <c r="S126" s="173"/>
    </row>
    <row r="127" spans="1:19" x14ac:dyDescent="0.25">
      <c r="A127" s="173" t="s">
        <v>408</v>
      </c>
      <c r="B127" s="174">
        <v>42311</v>
      </c>
      <c r="C127" s="197" t="s">
        <v>4779</v>
      </c>
      <c r="D127" s="173" t="s">
        <v>4780</v>
      </c>
      <c r="E127" s="173" t="s">
        <v>4781</v>
      </c>
      <c r="F127" s="173" t="s">
        <v>4745</v>
      </c>
      <c r="G127" s="173" t="s">
        <v>4746</v>
      </c>
      <c r="H127" s="173"/>
      <c r="I127" s="173"/>
      <c r="J127" s="173" t="s">
        <v>21</v>
      </c>
      <c r="K127" s="176">
        <v>3300</v>
      </c>
      <c r="L127" s="173" t="s">
        <v>4782</v>
      </c>
      <c r="M127" s="173" t="s">
        <v>4918</v>
      </c>
      <c r="N127" s="173"/>
      <c r="O127" s="173"/>
      <c r="P127" s="173" t="s">
        <v>4812</v>
      </c>
      <c r="Q127" s="174">
        <v>42387</v>
      </c>
      <c r="R127" s="173"/>
      <c r="S127" s="173"/>
    </row>
    <row r="128" spans="1:19" x14ac:dyDescent="0.25">
      <c r="A128" s="173" t="s">
        <v>408</v>
      </c>
      <c r="B128" s="174">
        <v>42290</v>
      </c>
      <c r="C128" s="197" t="s">
        <v>4783</v>
      </c>
      <c r="D128" s="173" t="s">
        <v>4784</v>
      </c>
      <c r="E128" s="173" t="s">
        <v>4785</v>
      </c>
      <c r="F128" s="173" t="s">
        <v>3679</v>
      </c>
      <c r="G128" s="173" t="s">
        <v>4593</v>
      </c>
      <c r="H128" s="173"/>
      <c r="I128" s="173"/>
      <c r="J128" s="173" t="s">
        <v>21</v>
      </c>
      <c r="K128" s="173">
        <v>4600</v>
      </c>
      <c r="L128" s="173" t="s">
        <v>4786</v>
      </c>
      <c r="M128" s="173" t="s">
        <v>4921</v>
      </c>
      <c r="N128" s="173"/>
      <c r="O128" s="173"/>
      <c r="P128" s="173" t="s">
        <v>4812</v>
      </c>
      <c r="Q128" s="174">
        <v>42387</v>
      </c>
      <c r="R128" s="173"/>
      <c r="S128" s="173"/>
    </row>
    <row r="129" spans="1:19" x14ac:dyDescent="0.25">
      <c r="A129" s="173" t="s">
        <v>408</v>
      </c>
      <c r="B129" s="174">
        <v>42284</v>
      </c>
      <c r="C129" s="197" t="s">
        <v>4787</v>
      </c>
      <c r="D129" s="173" t="s">
        <v>4788</v>
      </c>
      <c r="E129" s="173" t="s">
        <v>4789</v>
      </c>
      <c r="F129" s="173" t="s">
        <v>4562</v>
      </c>
      <c r="G129" s="173" t="s">
        <v>4563</v>
      </c>
      <c r="H129" s="173"/>
      <c r="I129" s="173"/>
      <c r="J129" s="173" t="s">
        <v>21</v>
      </c>
      <c r="K129" s="173">
        <v>4500</v>
      </c>
      <c r="L129" s="173" t="s">
        <v>4790</v>
      </c>
      <c r="M129" s="173" t="s">
        <v>4936</v>
      </c>
      <c r="N129" s="173"/>
      <c r="O129" s="173"/>
      <c r="P129" s="173" t="s">
        <v>4812</v>
      </c>
      <c r="Q129" s="174">
        <v>42387</v>
      </c>
      <c r="R129" s="173"/>
      <c r="S129" s="173"/>
    </row>
    <row r="130" spans="1:19" x14ac:dyDescent="0.25">
      <c r="A130" s="190" t="s">
        <v>4791</v>
      </c>
      <c r="B130" s="191">
        <v>42278</v>
      </c>
      <c r="C130" s="198" t="s">
        <v>4792</v>
      </c>
      <c r="D130" s="190" t="s">
        <v>4793</v>
      </c>
      <c r="E130" s="190" t="s">
        <v>4794</v>
      </c>
      <c r="F130" s="190" t="s">
        <v>4562</v>
      </c>
      <c r="G130" s="190" t="s">
        <v>4563</v>
      </c>
      <c r="H130" s="192">
        <v>300</v>
      </c>
      <c r="I130" s="192">
        <f>+H130*0.21</f>
        <v>63</v>
      </c>
      <c r="J130" s="190"/>
      <c r="K130" s="192">
        <f>+H130+I130</f>
        <v>363</v>
      </c>
      <c r="L130" s="190" t="s">
        <v>4795</v>
      </c>
      <c r="M130" s="190"/>
      <c r="N130" s="190"/>
      <c r="O130" s="190"/>
      <c r="P130" s="190" t="s">
        <v>4812</v>
      </c>
      <c r="Q130" s="191">
        <v>42387</v>
      </c>
      <c r="R130" s="173"/>
      <c r="S130" s="190"/>
    </row>
    <row r="131" spans="1:19" x14ac:dyDescent="0.25">
      <c r="A131" s="173" t="s">
        <v>12</v>
      </c>
      <c r="B131" s="174">
        <v>42320</v>
      </c>
      <c r="C131" s="197" t="s">
        <v>4796</v>
      </c>
      <c r="D131" s="173" t="s">
        <v>4583</v>
      </c>
      <c r="E131" s="173" t="s">
        <v>4797</v>
      </c>
      <c r="F131" s="173" t="s">
        <v>3888</v>
      </c>
      <c r="G131" s="173" t="s">
        <v>4798</v>
      </c>
      <c r="H131" s="173"/>
      <c r="I131" s="173"/>
      <c r="J131" s="173" t="s">
        <v>21</v>
      </c>
      <c r="K131" s="173">
        <v>1250</v>
      </c>
      <c r="L131" s="173" t="s">
        <v>4413</v>
      </c>
      <c r="M131" s="173" t="s">
        <v>4946</v>
      </c>
      <c r="N131" s="173"/>
      <c r="O131" s="173"/>
      <c r="P131" s="173" t="s">
        <v>4812</v>
      </c>
      <c r="Q131" s="174">
        <v>42025</v>
      </c>
      <c r="R131" s="188"/>
      <c r="S131" s="173"/>
    </row>
    <row r="132" spans="1:19" x14ac:dyDescent="0.25">
      <c r="A132" s="185" t="s">
        <v>12</v>
      </c>
      <c r="B132" s="183">
        <v>42311</v>
      </c>
      <c r="C132" s="194" t="s">
        <v>4802</v>
      </c>
      <c r="D132" s="185" t="s">
        <v>4799</v>
      </c>
      <c r="E132" s="185" t="s">
        <v>4800</v>
      </c>
      <c r="F132" s="185" t="s">
        <v>4856</v>
      </c>
      <c r="G132" s="185" t="s">
        <v>4801</v>
      </c>
      <c r="H132" s="185">
        <f>2000/1.21</f>
        <v>1652.8925619834711</v>
      </c>
      <c r="I132" s="186">
        <f>+H132*0.21</f>
        <v>347.10743801652893</v>
      </c>
      <c r="J132" s="185"/>
      <c r="K132" s="186">
        <f>+H132+I132</f>
        <v>2000</v>
      </c>
      <c r="L132" s="173" t="s">
        <v>4839</v>
      </c>
      <c r="M132" s="185"/>
      <c r="N132" s="185"/>
      <c r="O132" s="185"/>
      <c r="P132" s="185" t="s">
        <v>4812</v>
      </c>
      <c r="Q132" s="183">
        <v>42025</v>
      </c>
      <c r="R132" s="173"/>
      <c r="S132" s="185"/>
    </row>
    <row r="133" spans="1:19" x14ac:dyDescent="0.25">
      <c r="A133" s="173" t="s">
        <v>12</v>
      </c>
      <c r="B133" s="174">
        <v>42348</v>
      </c>
      <c r="C133" s="197" t="s">
        <v>4822</v>
      </c>
      <c r="D133" s="173" t="s">
        <v>3958</v>
      </c>
      <c r="E133" s="173" t="s">
        <v>2626</v>
      </c>
      <c r="F133" s="173" t="s">
        <v>4803</v>
      </c>
      <c r="G133" s="173" t="s">
        <v>4804</v>
      </c>
      <c r="H133" s="173">
        <f>800/1.21</f>
        <v>661.15702479338847</v>
      </c>
      <c r="I133" s="176">
        <f>+H133*0.21</f>
        <v>138.84297520661158</v>
      </c>
      <c r="J133" s="173"/>
      <c r="K133" s="176">
        <f>+H133+I133</f>
        <v>800</v>
      </c>
      <c r="L133" s="173" t="s">
        <v>4839</v>
      </c>
      <c r="M133" s="173"/>
      <c r="N133" s="173"/>
      <c r="O133" s="173"/>
      <c r="P133" s="173" t="s">
        <v>4812</v>
      </c>
      <c r="Q133" s="174">
        <v>42025</v>
      </c>
      <c r="R133" s="173"/>
      <c r="S133" s="173"/>
    </row>
    <row r="134" spans="1:19" x14ac:dyDescent="0.25">
      <c r="A134" s="173" t="s">
        <v>12</v>
      </c>
      <c r="B134" s="174">
        <v>42355</v>
      </c>
      <c r="C134" s="197" t="s">
        <v>4807</v>
      </c>
      <c r="D134" s="173" t="s">
        <v>4539</v>
      </c>
      <c r="E134" s="173" t="s">
        <v>4540</v>
      </c>
      <c r="F134" s="173" t="s">
        <v>4806</v>
      </c>
      <c r="G134" s="173" t="s">
        <v>4805</v>
      </c>
      <c r="H134" s="173"/>
      <c r="I134" s="173"/>
      <c r="J134" s="173" t="s">
        <v>21</v>
      </c>
      <c r="K134" s="173">
        <v>2550</v>
      </c>
      <c r="L134" s="173" t="s">
        <v>4839</v>
      </c>
      <c r="M134" s="173"/>
      <c r="N134" s="173"/>
      <c r="O134" s="173"/>
      <c r="P134" s="173" t="s">
        <v>4812</v>
      </c>
      <c r="Q134" s="174">
        <v>42025</v>
      </c>
      <c r="R134" s="173"/>
      <c r="S134" s="173"/>
    </row>
    <row r="135" spans="1:19" x14ac:dyDescent="0.25">
      <c r="A135" s="173" t="s">
        <v>408</v>
      </c>
      <c r="B135" s="174">
        <v>42333</v>
      </c>
      <c r="C135" s="197" t="s">
        <v>4808</v>
      </c>
      <c r="D135" s="173" t="s">
        <v>4809</v>
      </c>
      <c r="E135" s="173" t="s">
        <v>4810</v>
      </c>
      <c r="F135" s="173" t="s">
        <v>3888</v>
      </c>
      <c r="G135" s="173" t="s">
        <v>4798</v>
      </c>
      <c r="H135" s="173"/>
      <c r="I135" s="173"/>
      <c r="J135" s="173" t="s">
        <v>21</v>
      </c>
      <c r="K135" s="173">
        <v>1500</v>
      </c>
      <c r="L135" s="173" t="s">
        <v>4811</v>
      </c>
      <c r="M135" s="173" t="s">
        <v>4919</v>
      </c>
      <c r="N135" s="173"/>
      <c r="O135" s="173"/>
      <c r="P135" s="173" t="s">
        <v>4812</v>
      </c>
      <c r="Q135" s="174">
        <v>42025</v>
      </c>
      <c r="R135" s="173"/>
      <c r="S135" s="173"/>
    </row>
    <row r="136" spans="1:19" x14ac:dyDescent="0.25">
      <c r="A136" s="173" t="s">
        <v>12</v>
      </c>
      <c r="B136" s="174">
        <v>42338</v>
      </c>
      <c r="C136" s="197" t="s">
        <v>4813</v>
      </c>
      <c r="D136" s="173" t="s">
        <v>4400</v>
      </c>
      <c r="E136" s="173" t="s">
        <v>4401</v>
      </c>
      <c r="F136" s="173" t="s">
        <v>4847</v>
      </c>
      <c r="G136" s="173" t="s">
        <v>4814</v>
      </c>
      <c r="H136" s="173"/>
      <c r="I136" s="173"/>
      <c r="J136" s="173" t="s">
        <v>21</v>
      </c>
      <c r="K136" s="206">
        <v>1850</v>
      </c>
      <c r="L136" s="173" t="s">
        <v>4839</v>
      </c>
      <c r="M136" s="173"/>
      <c r="N136" s="173"/>
      <c r="O136" s="173"/>
      <c r="P136" s="173" t="s">
        <v>4881</v>
      </c>
      <c r="Q136" s="174">
        <v>42471</v>
      </c>
      <c r="R136" s="173"/>
      <c r="S136" s="173"/>
    </row>
    <row r="137" spans="1:19" x14ac:dyDescent="0.25">
      <c r="A137" s="173" t="s">
        <v>12</v>
      </c>
      <c r="B137" s="174">
        <v>42353</v>
      </c>
      <c r="C137" s="197" t="s">
        <v>944</v>
      </c>
      <c r="D137" s="173" t="s">
        <v>4815</v>
      </c>
      <c r="E137" s="173" t="s">
        <v>4816</v>
      </c>
      <c r="F137" s="173" t="s">
        <v>346</v>
      </c>
      <c r="G137" s="173" t="s">
        <v>4817</v>
      </c>
      <c r="H137" s="173"/>
      <c r="I137" s="173"/>
      <c r="J137" s="173" t="s">
        <v>21</v>
      </c>
      <c r="K137" s="173">
        <v>1300</v>
      </c>
      <c r="L137" s="173" t="s">
        <v>4839</v>
      </c>
      <c r="M137" s="173"/>
      <c r="N137" s="173"/>
      <c r="O137" s="173"/>
      <c r="P137" s="173" t="s">
        <v>4881</v>
      </c>
      <c r="Q137" s="174">
        <v>42471</v>
      </c>
      <c r="R137" s="173"/>
      <c r="S137" s="173"/>
    </row>
    <row r="138" spans="1:19" x14ac:dyDescent="0.25">
      <c r="A138" s="173" t="s">
        <v>12</v>
      </c>
      <c r="B138" s="174">
        <v>42384</v>
      </c>
      <c r="C138" s="197" t="s">
        <v>944</v>
      </c>
      <c r="D138" s="173" t="s">
        <v>4818</v>
      </c>
      <c r="E138" s="173" t="s">
        <v>4819</v>
      </c>
      <c r="F138" s="173" t="s">
        <v>4820</v>
      </c>
      <c r="G138" s="173" t="s">
        <v>4821</v>
      </c>
      <c r="H138" s="173"/>
      <c r="I138" s="173"/>
      <c r="J138" s="173" t="s">
        <v>21</v>
      </c>
      <c r="K138" s="173">
        <v>600</v>
      </c>
      <c r="L138" s="173" t="s">
        <v>4839</v>
      </c>
      <c r="M138" s="173"/>
      <c r="N138" s="173"/>
      <c r="O138" s="173"/>
      <c r="P138" s="173" t="s">
        <v>4881</v>
      </c>
      <c r="Q138" s="174">
        <v>42471</v>
      </c>
      <c r="R138" s="173"/>
      <c r="S138" s="173"/>
    </row>
    <row r="139" spans="1:19" x14ac:dyDescent="0.25">
      <c r="A139" s="173" t="s">
        <v>12</v>
      </c>
      <c r="B139" s="174">
        <v>42432</v>
      </c>
      <c r="C139" s="195" t="s">
        <v>4823</v>
      </c>
      <c r="D139" s="173" t="s">
        <v>3958</v>
      </c>
      <c r="E139" s="173" t="s">
        <v>2626</v>
      </c>
      <c r="F139" s="173" t="s">
        <v>4824</v>
      </c>
      <c r="G139" s="173" t="s">
        <v>4825</v>
      </c>
      <c r="H139" s="173">
        <f>4700/1.21</f>
        <v>3884.2975206611573</v>
      </c>
      <c r="I139" s="176">
        <f t="shared" ref="I139:I144" si="0">+H139*0.21</f>
        <v>815.70247933884298</v>
      </c>
      <c r="J139" s="173"/>
      <c r="K139" s="176">
        <f t="shared" ref="K139:K144" si="1">+H139+I139</f>
        <v>4700</v>
      </c>
      <c r="L139" s="173" t="s">
        <v>4839</v>
      </c>
      <c r="M139" s="173"/>
      <c r="N139" s="173"/>
      <c r="O139" s="173"/>
      <c r="P139" s="173" t="s">
        <v>4881</v>
      </c>
      <c r="Q139" s="174">
        <v>42471</v>
      </c>
      <c r="R139" s="173"/>
      <c r="S139" s="173"/>
    </row>
    <row r="140" spans="1:19" x14ac:dyDescent="0.25">
      <c r="A140" s="173" t="s">
        <v>12</v>
      </c>
      <c r="B140" s="174">
        <v>42432</v>
      </c>
      <c r="C140" s="195" t="s">
        <v>4826</v>
      </c>
      <c r="D140" s="173" t="s">
        <v>3958</v>
      </c>
      <c r="E140" s="173" t="s">
        <v>2626</v>
      </c>
      <c r="F140" s="173" t="s">
        <v>3959</v>
      </c>
      <c r="G140" s="173" t="s">
        <v>4827</v>
      </c>
      <c r="H140" s="173">
        <f>4000/1.21</f>
        <v>3305.7851239669421</v>
      </c>
      <c r="I140" s="176">
        <f t="shared" si="0"/>
        <v>694.21487603305786</v>
      </c>
      <c r="J140" s="173"/>
      <c r="K140" s="176">
        <f t="shared" si="1"/>
        <v>4000</v>
      </c>
      <c r="L140" s="173" t="s">
        <v>4839</v>
      </c>
      <c r="M140" s="173"/>
      <c r="N140" s="173"/>
      <c r="O140" s="173"/>
      <c r="P140" s="173" t="s">
        <v>4881</v>
      </c>
      <c r="Q140" s="174">
        <v>42471</v>
      </c>
      <c r="R140" s="173"/>
      <c r="S140" s="173"/>
    </row>
    <row r="141" spans="1:19" x14ac:dyDescent="0.25">
      <c r="A141" s="173" t="s">
        <v>12</v>
      </c>
      <c r="B141" s="174">
        <v>42432</v>
      </c>
      <c r="C141" s="195" t="s">
        <v>4828</v>
      </c>
      <c r="D141" s="173" t="s">
        <v>3958</v>
      </c>
      <c r="E141" s="173" t="s">
        <v>2626</v>
      </c>
      <c r="F141" s="173" t="s">
        <v>3959</v>
      </c>
      <c r="G141" s="173" t="s">
        <v>4829</v>
      </c>
      <c r="H141" s="173">
        <f>4000/1.21</f>
        <v>3305.7851239669421</v>
      </c>
      <c r="I141" s="176">
        <f t="shared" si="0"/>
        <v>694.21487603305786</v>
      </c>
      <c r="J141" s="173"/>
      <c r="K141" s="176">
        <f t="shared" si="1"/>
        <v>4000</v>
      </c>
      <c r="L141" s="173" t="s">
        <v>4839</v>
      </c>
      <c r="M141" s="173"/>
      <c r="N141" s="173"/>
      <c r="O141" s="173"/>
      <c r="P141" s="173" t="s">
        <v>4881</v>
      </c>
      <c r="Q141" s="174">
        <v>42471</v>
      </c>
      <c r="R141" s="173"/>
      <c r="S141" s="173"/>
    </row>
    <row r="142" spans="1:19" x14ac:dyDescent="0.25">
      <c r="A142" s="173" t="s">
        <v>12</v>
      </c>
      <c r="B142" s="174">
        <v>42413</v>
      </c>
      <c r="C142" s="195" t="s">
        <v>4830</v>
      </c>
      <c r="D142" s="173" t="s">
        <v>3958</v>
      </c>
      <c r="E142" s="173" t="s">
        <v>2626</v>
      </c>
      <c r="F142" s="173" t="s">
        <v>4831</v>
      </c>
      <c r="G142" s="173" t="s">
        <v>4832</v>
      </c>
      <c r="H142" s="173">
        <f>4200/1.21</f>
        <v>3471.0743801652893</v>
      </c>
      <c r="I142" s="176">
        <f t="shared" si="0"/>
        <v>728.92561983471069</v>
      </c>
      <c r="J142" s="173"/>
      <c r="K142" s="176">
        <f t="shared" si="1"/>
        <v>4200</v>
      </c>
      <c r="L142" s="173" t="s">
        <v>4839</v>
      </c>
      <c r="M142" s="173"/>
      <c r="N142" s="173"/>
      <c r="O142" s="173"/>
      <c r="P142" s="173" t="s">
        <v>4881</v>
      </c>
      <c r="Q142" s="174">
        <v>42471</v>
      </c>
      <c r="R142" s="173"/>
      <c r="S142" s="173"/>
    </row>
    <row r="143" spans="1:19" x14ac:dyDescent="0.25">
      <c r="A143" s="173" t="s">
        <v>12</v>
      </c>
      <c r="B143" s="174">
        <v>42413</v>
      </c>
      <c r="C143" s="195" t="s">
        <v>4833</v>
      </c>
      <c r="D143" s="173" t="s">
        <v>3958</v>
      </c>
      <c r="E143" s="173" t="s">
        <v>2626</v>
      </c>
      <c r="F143" s="173" t="s">
        <v>4323</v>
      </c>
      <c r="G143" s="173" t="s">
        <v>4834</v>
      </c>
      <c r="H143" s="173">
        <f>3100/1.21</f>
        <v>2561.9834710743803</v>
      </c>
      <c r="I143" s="176">
        <f t="shared" si="0"/>
        <v>538.01652892561981</v>
      </c>
      <c r="J143" s="173"/>
      <c r="K143" s="176">
        <f t="shared" si="1"/>
        <v>3100</v>
      </c>
      <c r="L143" s="173" t="s">
        <v>4839</v>
      </c>
      <c r="M143" s="173"/>
      <c r="N143" s="173"/>
      <c r="O143" s="173"/>
      <c r="P143" s="173" t="s">
        <v>4881</v>
      </c>
      <c r="Q143" s="174">
        <v>42471</v>
      </c>
      <c r="R143" s="173"/>
      <c r="S143" s="173"/>
    </row>
    <row r="144" spans="1:19" x14ac:dyDescent="0.25">
      <c r="A144" s="173" t="s">
        <v>12</v>
      </c>
      <c r="B144" s="174">
        <v>42413</v>
      </c>
      <c r="C144" s="195" t="s">
        <v>4835</v>
      </c>
      <c r="D144" s="173" t="s">
        <v>3958</v>
      </c>
      <c r="E144" s="173" t="s">
        <v>2626</v>
      </c>
      <c r="F144" s="173" t="s">
        <v>472</v>
      </c>
      <c r="G144" s="173" t="s">
        <v>4836</v>
      </c>
      <c r="H144" s="173">
        <f>4200/1.21</f>
        <v>3471.0743801652893</v>
      </c>
      <c r="I144" s="176">
        <f t="shared" si="0"/>
        <v>728.92561983471069</v>
      </c>
      <c r="J144" s="173"/>
      <c r="K144" s="176">
        <f t="shared" si="1"/>
        <v>4200</v>
      </c>
      <c r="L144" s="173" t="s">
        <v>4839</v>
      </c>
      <c r="M144" s="173"/>
      <c r="N144" s="173"/>
      <c r="O144" s="173"/>
      <c r="P144" s="173" t="s">
        <v>4881</v>
      </c>
      <c r="Q144" s="174">
        <v>42471</v>
      </c>
      <c r="R144" s="173"/>
      <c r="S144" s="173"/>
    </row>
    <row r="145" spans="1:19" x14ac:dyDescent="0.25">
      <c r="A145" s="173" t="s">
        <v>408</v>
      </c>
      <c r="B145" s="174">
        <v>42384</v>
      </c>
      <c r="C145" s="197" t="s">
        <v>4837</v>
      </c>
      <c r="D145" s="173" t="s">
        <v>4818</v>
      </c>
      <c r="E145" s="173" t="s">
        <v>4819</v>
      </c>
      <c r="F145" s="173" t="s">
        <v>693</v>
      </c>
      <c r="G145" s="173" t="s">
        <v>4672</v>
      </c>
      <c r="H145" s="173"/>
      <c r="I145" s="173"/>
      <c r="J145" s="173" t="s">
        <v>21</v>
      </c>
      <c r="K145" s="173">
        <v>9200</v>
      </c>
      <c r="L145" s="173" t="s">
        <v>4838</v>
      </c>
      <c r="M145" s="173" t="s">
        <v>4884</v>
      </c>
      <c r="N145" s="173"/>
      <c r="O145" s="173"/>
      <c r="P145" s="173" t="s">
        <v>4881</v>
      </c>
      <c r="Q145" s="174">
        <v>42471</v>
      </c>
      <c r="R145" s="173"/>
      <c r="S145" s="173" t="s">
        <v>3186</v>
      </c>
    </row>
    <row r="146" spans="1:19" x14ac:dyDescent="0.25">
      <c r="A146" s="173" t="s">
        <v>408</v>
      </c>
      <c r="B146" s="174">
        <v>42405</v>
      </c>
      <c r="C146" s="197" t="s">
        <v>4840</v>
      </c>
      <c r="D146" s="173" t="s">
        <v>4841</v>
      </c>
      <c r="E146" s="173" t="s">
        <v>4882</v>
      </c>
      <c r="F146" s="173" t="s">
        <v>4433</v>
      </c>
      <c r="G146" s="173" t="s">
        <v>4541</v>
      </c>
      <c r="H146" s="173"/>
      <c r="I146" s="173"/>
      <c r="J146" s="173" t="s">
        <v>21</v>
      </c>
      <c r="K146" s="173">
        <v>10500</v>
      </c>
      <c r="L146" s="173" t="s">
        <v>4842</v>
      </c>
      <c r="M146" s="173" t="s">
        <v>4930</v>
      </c>
      <c r="N146" s="173"/>
      <c r="O146" s="173"/>
      <c r="P146" s="173" t="s">
        <v>4881</v>
      </c>
      <c r="Q146" s="174">
        <v>42471</v>
      </c>
      <c r="R146" s="173"/>
      <c r="S146" s="173"/>
    </row>
    <row r="147" spans="1:19" x14ac:dyDescent="0.25">
      <c r="A147" s="173" t="s">
        <v>408</v>
      </c>
      <c r="B147" s="174">
        <v>42408</v>
      </c>
      <c r="C147" s="197" t="s">
        <v>4843</v>
      </c>
      <c r="D147" s="173" t="s">
        <v>4844</v>
      </c>
      <c r="E147" s="173" t="s">
        <v>4845</v>
      </c>
      <c r="F147" s="173" t="s">
        <v>4806</v>
      </c>
      <c r="G147" s="173" t="s">
        <v>4805</v>
      </c>
      <c r="H147" s="173"/>
      <c r="I147" s="173"/>
      <c r="J147" s="173" t="s">
        <v>21</v>
      </c>
      <c r="K147" s="173">
        <v>3200</v>
      </c>
      <c r="L147" s="173" t="s">
        <v>4846</v>
      </c>
      <c r="M147" s="173" t="s">
        <v>4925</v>
      </c>
      <c r="N147" s="173"/>
      <c r="O147" s="173"/>
      <c r="P147" s="173" t="s">
        <v>4881</v>
      </c>
      <c r="Q147" s="174">
        <v>42471</v>
      </c>
      <c r="R147" s="173"/>
      <c r="S147" s="173"/>
    </row>
    <row r="148" spans="1:19" x14ac:dyDescent="0.25">
      <c r="A148" s="173" t="s">
        <v>408</v>
      </c>
      <c r="B148" s="174">
        <v>42404</v>
      </c>
      <c r="C148" s="197" t="s">
        <v>4848</v>
      </c>
      <c r="D148" s="173" t="s">
        <v>4849</v>
      </c>
      <c r="E148" s="173" t="s">
        <v>4850</v>
      </c>
      <c r="F148" s="173" t="s">
        <v>4847</v>
      </c>
      <c r="G148" s="173" t="s">
        <v>4814</v>
      </c>
      <c r="H148" s="173"/>
      <c r="I148" s="173"/>
      <c r="J148" s="173" t="s">
        <v>21</v>
      </c>
      <c r="K148" s="173">
        <v>2300</v>
      </c>
      <c r="L148" s="173" t="s">
        <v>4851</v>
      </c>
      <c r="M148" s="173"/>
      <c r="N148" s="173"/>
      <c r="O148" s="173"/>
      <c r="P148" s="173" t="s">
        <v>4881</v>
      </c>
      <c r="Q148" s="174">
        <v>42471</v>
      </c>
      <c r="R148" s="173"/>
      <c r="S148" s="173"/>
    </row>
    <row r="149" spans="1:19" x14ac:dyDescent="0.25">
      <c r="A149" s="173" t="s">
        <v>408</v>
      </c>
      <c r="B149" s="174">
        <v>42404</v>
      </c>
      <c r="C149" s="197" t="s">
        <v>4852</v>
      </c>
      <c r="D149" s="173" t="s">
        <v>4853</v>
      </c>
      <c r="E149" s="173" t="s">
        <v>4854</v>
      </c>
      <c r="F149" s="173" t="s">
        <v>4820</v>
      </c>
      <c r="G149" s="173" t="s">
        <v>4821</v>
      </c>
      <c r="H149" s="173"/>
      <c r="I149" s="173"/>
      <c r="J149" s="173" t="s">
        <v>21</v>
      </c>
      <c r="K149" s="173">
        <v>800</v>
      </c>
      <c r="L149" s="173" t="s">
        <v>4855</v>
      </c>
      <c r="M149" s="173"/>
      <c r="N149" s="173"/>
      <c r="O149" s="173"/>
      <c r="P149" s="173" t="s">
        <v>4881</v>
      </c>
      <c r="Q149" s="174">
        <v>42471</v>
      </c>
      <c r="R149" s="173"/>
      <c r="S149" s="173"/>
    </row>
    <row r="150" spans="1:19" x14ac:dyDescent="0.25">
      <c r="A150" s="173" t="s">
        <v>408</v>
      </c>
      <c r="B150" s="174">
        <v>42444</v>
      </c>
      <c r="C150" s="197" t="s">
        <v>4857</v>
      </c>
      <c r="D150" s="173" t="s">
        <v>4858</v>
      </c>
      <c r="E150" s="173" t="s">
        <v>2352</v>
      </c>
      <c r="F150" s="173" t="s">
        <v>4856</v>
      </c>
      <c r="G150" s="173" t="s">
        <v>4801</v>
      </c>
      <c r="H150" s="173">
        <f>3100/1.21</f>
        <v>2561.9834710743803</v>
      </c>
      <c r="I150" s="176">
        <f>+H150*0.21</f>
        <v>538.01652892561981</v>
      </c>
      <c r="J150" s="173"/>
      <c r="K150" s="176">
        <f>+H150+I150</f>
        <v>3100</v>
      </c>
      <c r="L150" s="173" t="s">
        <v>4859</v>
      </c>
      <c r="M150" s="173"/>
      <c r="N150" s="173"/>
      <c r="O150" s="173"/>
      <c r="P150" s="173" t="s">
        <v>4881</v>
      </c>
      <c r="Q150" s="174">
        <v>42471</v>
      </c>
      <c r="R150" s="173"/>
      <c r="S150" s="173"/>
    </row>
    <row r="151" spans="1:19" x14ac:dyDescent="0.25">
      <c r="A151" s="173" t="s">
        <v>408</v>
      </c>
      <c r="B151" s="174">
        <v>42408</v>
      </c>
      <c r="C151" s="197" t="s">
        <v>4860</v>
      </c>
      <c r="D151" s="173" t="s">
        <v>4861</v>
      </c>
      <c r="E151" s="173" t="s">
        <v>4862</v>
      </c>
      <c r="F151" s="173" t="s">
        <v>4803</v>
      </c>
      <c r="G151" s="173" t="s">
        <v>4804</v>
      </c>
      <c r="H151" s="173">
        <f>1500/1.21</f>
        <v>1239.6694214876034</v>
      </c>
      <c r="I151" s="176">
        <f>+H151*0.21</f>
        <v>260.3305785123967</v>
      </c>
      <c r="J151" s="173"/>
      <c r="K151" s="176">
        <f>+H151+I151</f>
        <v>1500</v>
      </c>
      <c r="L151" s="173" t="s">
        <v>4863</v>
      </c>
      <c r="M151" s="173"/>
      <c r="N151" s="173"/>
      <c r="O151" s="173"/>
      <c r="P151" s="173" t="s">
        <v>4881</v>
      </c>
      <c r="Q151" s="174">
        <v>42471</v>
      </c>
      <c r="R151" s="173"/>
      <c r="S151" s="173"/>
    </row>
    <row r="152" spans="1:19" x14ac:dyDescent="0.25">
      <c r="A152" s="173" t="s">
        <v>408</v>
      </c>
      <c r="B152" s="174">
        <v>42390</v>
      </c>
      <c r="C152" s="197" t="s">
        <v>4864</v>
      </c>
      <c r="D152" s="173" t="s">
        <v>4865</v>
      </c>
      <c r="E152" s="173" t="s">
        <v>4866</v>
      </c>
      <c r="F152" s="173" t="s">
        <v>377</v>
      </c>
      <c r="G152" s="173" t="s">
        <v>4664</v>
      </c>
      <c r="H152" s="176">
        <f>3300/1.21</f>
        <v>2727.2727272727275</v>
      </c>
      <c r="I152" s="176">
        <f>+H152*0.21</f>
        <v>572.72727272727275</v>
      </c>
      <c r="J152" s="173"/>
      <c r="K152" s="176">
        <f>+H152+I152</f>
        <v>3300</v>
      </c>
      <c r="L152" s="173" t="s">
        <v>4867</v>
      </c>
      <c r="M152" s="173" t="s">
        <v>4886</v>
      </c>
      <c r="N152" s="173"/>
      <c r="O152" s="173"/>
      <c r="P152" s="173" t="s">
        <v>4881</v>
      </c>
      <c r="Q152" s="174">
        <v>42471</v>
      </c>
      <c r="R152" s="173"/>
      <c r="S152" s="173"/>
    </row>
    <row r="153" spans="1:19" x14ac:dyDescent="0.25">
      <c r="A153" s="173" t="s">
        <v>12</v>
      </c>
      <c r="B153" s="174">
        <v>42341</v>
      </c>
      <c r="C153" s="197" t="s">
        <v>944</v>
      </c>
      <c r="D153" s="173" t="s">
        <v>4868</v>
      </c>
      <c r="E153" s="173" t="s">
        <v>4869</v>
      </c>
      <c r="F153" s="173" t="s">
        <v>4870</v>
      </c>
      <c r="G153" s="173" t="s">
        <v>4871</v>
      </c>
      <c r="H153" s="173"/>
      <c r="I153" s="173"/>
      <c r="J153" s="173" t="s">
        <v>21</v>
      </c>
      <c r="K153" s="173">
        <v>2600</v>
      </c>
      <c r="L153" s="173" t="s">
        <v>4839</v>
      </c>
      <c r="M153" s="173" t="s">
        <v>4872</v>
      </c>
      <c r="N153" s="173"/>
      <c r="O153" s="173"/>
      <c r="P153" s="173" t="s">
        <v>4881</v>
      </c>
      <c r="Q153" s="174">
        <v>42471</v>
      </c>
      <c r="R153" s="173"/>
      <c r="S153" s="173"/>
    </row>
    <row r="154" spans="1:19" x14ac:dyDescent="0.25">
      <c r="A154" s="173" t="s">
        <v>408</v>
      </c>
      <c r="B154" s="174">
        <v>42394</v>
      </c>
      <c r="C154" s="197" t="s">
        <v>4873</v>
      </c>
      <c r="D154" s="173" t="s">
        <v>4874</v>
      </c>
      <c r="E154" s="173" t="s">
        <v>4875</v>
      </c>
      <c r="F154" s="173" t="s">
        <v>4870</v>
      </c>
      <c r="G154" s="173" t="s">
        <v>4871</v>
      </c>
      <c r="H154" s="173"/>
      <c r="I154" s="173"/>
      <c r="J154" s="173" t="s">
        <v>21</v>
      </c>
      <c r="K154" s="173">
        <v>3000</v>
      </c>
      <c r="L154" s="173" t="s">
        <v>4876</v>
      </c>
      <c r="M154" s="173" t="s">
        <v>4914</v>
      </c>
      <c r="N154" s="173"/>
      <c r="O154" s="173"/>
      <c r="P154" s="173" t="s">
        <v>4881</v>
      </c>
      <c r="Q154" s="174">
        <v>42471</v>
      </c>
      <c r="R154" s="173"/>
      <c r="S154" s="173"/>
    </row>
    <row r="155" spans="1:19" x14ac:dyDescent="0.25">
      <c r="A155" s="173" t="s">
        <v>408</v>
      </c>
      <c r="B155" s="174">
        <v>42418</v>
      </c>
      <c r="C155" s="197" t="s">
        <v>4877</v>
      </c>
      <c r="D155" s="173" t="s">
        <v>4878</v>
      </c>
      <c r="E155" s="173" t="s">
        <v>4879</v>
      </c>
      <c r="F155" s="173" t="s">
        <v>346</v>
      </c>
      <c r="G155" s="173" t="s">
        <v>4817</v>
      </c>
      <c r="H155" s="173"/>
      <c r="I155" s="173"/>
      <c r="J155" s="173" t="s">
        <v>21</v>
      </c>
      <c r="K155" s="173">
        <v>1400</v>
      </c>
      <c r="L155" s="173" t="s">
        <v>4880</v>
      </c>
      <c r="M155" s="173"/>
      <c r="N155" s="173"/>
      <c r="O155" s="173"/>
      <c r="P155" s="173" t="s">
        <v>4881</v>
      </c>
      <c r="Q155" s="174">
        <v>42471</v>
      </c>
      <c r="R155" s="173"/>
      <c r="S155" s="173"/>
    </row>
    <row r="156" spans="1:19" x14ac:dyDescent="0.25">
      <c r="A156" s="173" t="s">
        <v>408</v>
      </c>
      <c r="B156" s="174">
        <v>42279</v>
      </c>
      <c r="C156" s="197" t="s">
        <v>4906</v>
      </c>
      <c r="D156" s="173" t="s">
        <v>4741</v>
      </c>
      <c r="E156" s="173" t="s">
        <v>4742</v>
      </c>
      <c r="F156" s="173" t="s">
        <v>4907</v>
      </c>
      <c r="G156" s="173" t="s">
        <v>4675</v>
      </c>
      <c r="H156" s="176">
        <f>15500/1.21</f>
        <v>12809.917355371901</v>
      </c>
      <c r="I156" s="176">
        <f>H156*0.21</f>
        <v>2690.0826446280989</v>
      </c>
      <c r="J156" s="176"/>
      <c r="K156" s="176">
        <f t="shared" ref="K156:K166" si="2">+H156+I156</f>
        <v>15500</v>
      </c>
      <c r="L156" s="173" t="s">
        <v>4908</v>
      </c>
      <c r="M156" s="173" t="s">
        <v>4910</v>
      </c>
      <c r="N156" s="173"/>
      <c r="O156" s="173"/>
      <c r="P156" s="173" t="s">
        <v>4909</v>
      </c>
      <c r="Q156" s="174">
        <v>42489</v>
      </c>
      <c r="R156" s="173"/>
      <c r="S156" s="173"/>
    </row>
    <row r="157" spans="1:19" x14ac:dyDescent="0.25">
      <c r="A157" s="190" t="s">
        <v>408</v>
      </c>
      <c r="B157" s="191">
        <v>42457</v>
      </c>
      <c r="C157" s="198" t="s">
        <v>833</v>
      </c>
      <c r="D157" s="190" t="s">
        <v>4952</v>
      </c>
      <c r="E157" s="190" t="s">
        <v>4953</v>
      </c>
      <c r="F157" s="190" t="s">
        <v>4323</v>
      </c>
      <c r="G157" s="190" t="s">
        <v>4834</v>
      </c>
      <c r="H157" s="190">
        <f>3650/1.21</f>
        <v>3016.5289256198348</v>
      </c>
      <c r="I157" s="192">
        <f t="shared" ref="I157:I166" si="3">+H157*0.21</f>
        <v>633.47107438016531</v>
      </c>
      <c r="J157" s="190"/>
      <c r="K157" s="192">
        <f t="shared" si="2"/>
        <v>3650</v>
      </c>
      <c r="L157" s="190" t="s">
        <v>4954</v>
      </c>
      <c r="M157" s="190" t="s">
        <v>5241</v>
      </c>
      <c r="N157" s="190"/>
      <c r="O157" s="190"/>
      <c r="P157" s="190" t="s">
        <v>4997</v>
      </c>
      <c r="Q157" s="191" t="s">
        <v>4494</v>
      </c>
      <c r="R157" s="173"/>
      <c r="S157" s="190" t="s">
        <v>3186</v>
      </c>
    </row>
    <row r="158" spans="1:19" x14ac:dyDescent="0.25">
      <c r="A158" s="173" t="s">
        <v>12</v>
      </c>
      <c r="B158" s="174">
        <v>42517</v>
      </c>
      <c r="C158" s="197" t="s">
        <v>4955</v>
      </c>
      <c r="D158" s="173" t="s">
        <v>4583</v>
      </c>
      <c r="E158" s="173" t="s">
        <v>4797</v>
      </c>
      <c r="F158" s="173" t="s">
        <v>4956</v>
      </c>
      <c r="G158" s="173" t="s">
        <v>4957</v>
      </c>
      <c r="H158" s="173">
        <f>10350/1.21</f>
        <v>8553.7190082644629</v>
      </c>
      <c r="I158" s="173">
        <f t="shared" si="3"/>
        <v>1796.2809917355371</v>
      </c>
      <c r="J158" s="173"/>
      <c r="K158" s="173">
        <f t="shared" si="2"/>
        <v>10350</v>
      </c>
      <c r="L158" s="173" t="s">
        <v>4839</v>
      </c>
      <c r="M158" s="173"/>
      <c r="N158" s="173"/>
      <c r="O158" s="173"/>
      <c r="P158" s="173" t="s">
        <v>4996</v>
      </c>
      <c r="Q158" s="174">
        <v>42545</v>
      </c>
      <c r="R158" s="188"/>
      <c r="S158" s="173"/>
    </row>
    <row r="159" spans="1:19" x14ac:dyDescent="0.25">
      <c r="A159" s="185" t="s">
        <v>12</v>
      </c>
      <c r="B159" s="183">
        <v>42471</v>
      </c>
      <c r="C159" s="194" t="s">
        <v>4958</v>
      </c>
      <c r="D159" s="185" t="s">
        <v>3958</v>
      </c>
      <c r="E159" s="185" t="s">
        <v>2626</v>
      </c>
      <c r="F159" s="185" t="s">
        <v>4803</v>
      </c>
      <c r="G159" s="185" t="s">
        <v>4959</v>
      </c>
      <c r="H159" s="185">
        <f>1600/1.21</f>
        <v>1322.3140495867769</v>
      </c>
      <c r="I159" s="186">
        <f t="shared" si="3"/>
        <v>277.68595041322317</v>
      </c>
      <c r="J159" s="185"/>
      <c r="K159" s="186">
        <f t="shared" si="2"/>
        <v>1600</v>
      </c>
      <c r="L159" s="173" t="s">
        <v>4839</v>
      </c>
      <c r="M159" s="185"/>
      <c r="N159" s="185"/>
      <c r="O159" s="185"/>
      <c r="P159" s="185" t="s">
        <v>4996</v>
      </c>
      <c r="Q159" s="183">
        <v>42545</v>
      </c>
      <c r="R159" s="173"/>
      <c r="S159" s="185"/>
    </row>
    <row r="160" spans="1:19" x14ac:dyDescent="0.25">
      <c r="A160" s="173" t="s">
        <v>12</v>
      </c>
      <c r="B160" s="174">
        <v>42471</v>
      </c>
      <c r="C160" s="195" t="s">
        <v>4960</v>
      </c>
      <c r="D160" s="173" t="s">
        <v>3958</v>
      </c>
      <c r="E160" s="173" t="s">
        <v>2626</v>
      </c>
      <c r="F160" s="173" t="s">
        <v>4803</v>
      </c>
      <c r="G160" s="173" t="s">
        <v>4961</v>
      </c>
      <c r="H160" s="173">
        <f>1600/1.21</f>
        <v>1322.3140495867769</v>
      </c>
      <c r="I160" s="176">
        <f t="shared" si="3"/>
        <v>277.68595041322317</v>
      </c>
      <c r="J160" s="173"/>
      <c r="K160" s="176">
        <f t="shared" si="2"/>
        <v>1600</v>
      </c>
      <c r="L160" s="173" t="s">
        <v>4839</v>
      </c>
      <c r="M160" s="173"/>
      <c r="N160" s="173"/>
      <c r="O160" s="173"/>
      <c r="P160" s="173" t="s">
        <v>4996</v>
      </c>
      <c r="Q160" s="174">
        <v>42545</v>
      </c>
      <c r="R160" s="173"/>
      <c r="S160" s="173"/>
    </row>
    <row r="161" spans="1:19" x14ac:dyDescent="0.25">
      <c r="A161" s="173" t="s">
        <v>12</v>
      </c>
      <c r="B161" s="174">
        <v>42471</v>
      </c>
      <c r="C161" s="195" t="s">
        <v>4962</v>
      </c>
      <c r="D161" s="173" t="s">
        <v>3958</v>
      </c>
      <c r="E161" s="173" t="s">
        <v>2626</v>
      </c>
      <c r="F161" s="173" t="s">
        <v>4803</v>
      </c>
      <c r="G161" s="173" t="s">
        <v>4963</v>
      </c>
      <c r="H161" s="173">
        <f>1500/1.21</f>
        <v>1239.6694214876034</v>
      </c>
      <c r="I161" s="176">
        <f t="shared" si="3"/>
        <v>260.3305785123967</v>
      </c>
      <c r="J161" s="173"/>
      <c r="K161" s="176">
        <f t="shared" si="2"/>
        <v>1500</v>
      </c>
      <c r="L161" s="173" t="s">
        <v>4839</v>
      </c>
      <c r="M161" s="173"/>
      <c r="N161" s="173"/>
      <c r="O161" s="173"/>
      <c r="P161" s="173" t="s">
        <v>4996</v>
      </c>
      <c r="Q161" s="174">
        <v>42545</v>
      </c>
      <c r="R161" s="187"/>
      <c r="S161" s="173"/>
    </row>
    <row r="162" spans="1:19" x14ac:dyDescent="0.25">
      <c r="A162" s="185" t="s">
        <v>12</v>
      </c>
      <c r="B162" s="183">
        <v>42466</v>
      </c>
      <c r="C162" s="199" t="s">
        <v>4964</v>
      </c>
      <c r="D162" s="185" t="s">
        <v>4057</v>
      </c>
      <c r="E162" s="185" t="s">
        <v>4058</v>
      </c>
      <c r="F162" s="185" t="s">
        <v>4965</v>
      </c>
      <c r="G162" s="185" t="s">
        <v>4966</v>
      </c>
      <c r="H162" s="185">
        <f>10800/1.21</f>
        <v>8925.6198347107438</v>
      </c>
      <c r="I162" s="185">
        <f t="shared" si="3"/>
        <v>1874.3801652892562</v>
      </c>
      <c r="J162" s="185"/>
      <c r="K162" s="185">
        <f t="shared" si="2"/>
        <v>10800</v>
      </c>
      <c r="L162" s="173" t="s">
        <v>4839</v>
      </c>
      <c r="M162" s="185"/>
      <c r="N162" s="185"/>
      <c r="O162" s="185"/>
      <c r="P162" s="185" t="s">
        <v>4996</v>
      </c>
      <c r="Q162" s="183">
        <v>42545</v>
      </c>
      <c r="R162" s="173"/>
      <c r="S162" s="173"/>
    </row>
    <row r="163" spans="1:19" x14ac:dyDescent="0.25">
      <c r="A163" s="173" t="s">
        <v>408</v>
      </c>
      <c r="B163" s="174">
        <v>42531</v>
      </c>
      <c r="C163" s="197" t="s">
        <v>4967</v>
      </c>
      <c r="D163" s="173" t="s">
        <v>4968</v>
      </c>
      <c r="E163" s="173" t="s">
        <v>4969</v>
      </c>
      <c r="F163" s="173" t="s">
        <v>4965</v>
      </c>
      <c r="G163" s="173" t="s">
        <v>4966</v>
      </c>
      <c r="H163" s="173">
        <f>12900/1.21</f>
        <v>10661.157024793389</v>
      </c>
      <c r="I163" s="173">
        <f t="shared" si="3"/>
        <v>2238.8429752066118</v>
      </c>
      <c r="J163" s="173"/>
      <c r="K163" s="173">
        <f t="shared" si="2"/>
        <v>12900</v>
      </c>
      <c r="L163" s="173" t="s">
        <v>4970</v>
      </c>
      <c r="M163" s="173" t="s">
        <v>5106</v>
      </c>
      <c r="N163" s="173"/>
      <c r="O163" s="173"/>
      <c r="P163" s="173" t="s">
        <v>4996</v>
      </c>
      <c r="Q163" s="174">
        <v>42545</v>
      </c>
      <c r="R163" s="173"/>
      <c r="S163" s="173" t="s">
        <v>3186</v>
      </c>
    </row>
    <row r="164" spans="1:19" x14ac:dyDescent="0.25">
      <c r="A164" s="173" t="s">
        <v>408</v>
      </c>
      <c r="B164" s="174">
        <v>42520</v>
      </c>
      <c r="C164" s="197" t="s">
        <v>4971</v>
      </c>
      <c r="D164" s="173" t="s">
        <v>4972</v>
      </c>
      <c r="E164" s="173" t="s">
        <v>4973</v>
      </c>
      <c r="F164" s="173" t="s">
        <v>4956</v>
      </c>
      <c r="G164" s="173" t="s">
        <v>4957</v>
      </c>
      <c r="H164" s="173">
        <f>12000/1.21</f>
        <v>9917.3553719008269</v>
      </c>
      <c r="I164" s="173">
        <f t="shared" si="3"/>
        <v>2082.6446280991736</v>
      </c>
      <c r="J164" s="173"/>
      <c r="K164" s="173">
        <f t="shared" si="2"/>
        <v>12000</v>
      </c>
      <c r="L164" s="173" t="s">
        <v>4974</v>
      </c>
      <c r="M164" s="173" t="s">
        <v>5239</v>
      </c>
      <c r="N164" s="173"/>
      <c r="O164" s="173"/>
      <c r="P164" s="173" t="s">
        <v>4996</v>
      </c>
      <c r="Q164" s="174">
        <v>42545</v>
      </c>
      <c r="R164" s="173"/>
      <c r="S164" s="173" t="s">
        <v>3186</v>
      </c>
    </row>
    <row r="165" spans="1:19" x14ac:dyDescent="0.25">
      <c r="A165" s="173" t="s">
        <v>408</v>
      </c>
      <c r="B165" s="174">
        <v>42509</v>
      </c>
      <c r="C165" s="197" t="s">
        <v>4975</v>
      </c>
      <c r="D165" s="173" t="s">
        <v>4976</v>
      </c>
      <c r="E165" s="173" t="s">
        <v>4977</v>
      </c>
      <c r="F165" s="173" t="s">
        <v>472</v>
      </c>
      <c r="G165" s="173" t="s">
        <v>4836</v>
      </c>
      <c r="H165" s="173">
        <f>4500/1.21</f>
        <v>3719.0082644628101</v>
      </c>
      <c r="I165" s="176">
        <f t="shared" si="3"/>
        <v>780.99173553719004</v>
      </c>
      <c r="J165" s="173"/>
      <c r="K165" s="176">
        <f t="shared" si="2"/>
        <v>4500</v>
      </c>
      <c r="L165" s="173" t="s">
        <v>4954</v>
      </c>
      <c r="M165" s="173" t="s">
        <v>5228</v>
      </c>
      <c r="N165" s="173"/>
      <c r="O165" s="173"/>
      <c r="P165" s="173" t="s">
        <v>4996</v>
      </c>
      <c r="Q165" s="174">
        <v>42545</v>
      </c>
      <c r="R165" s="173"/>
      <c r="S165" s="173" t="s">
        <v>3186</v>
      </c>
    </row>
    <row r="166" spans="1:19" x14ac:dyDescent="0.25">
      <c r="A166" s="173" t="s">
        <v>408</v>
      </c>
      <c r="B166" s="174">
        <v>42507</v>
      </c>
      <c r="C166" s="197" t="s">
        <v>4978</v>
      </c>
      <c r="D166" s="173" t="s">
        <v>4979</v>
      </c>
      <c r="E166" s="173" t="s">
        <v>4980</v>
      </c>
      <c r="F166" s="173" t="s">
        <v>3959</v>
      </c>
      <c r="G166" s="173" t="s">
        <v>4829</v>
      </c>
      <c r="H166" s="173">
        <f>4500/1.21</f>
        <v>3719.0082644628101</v>
      </c>
      <c r="I166" s="176">
        <f t="shared" si="3"/>
        <v>780.99173553719004</v>
      </c>
      <c r="J166" s="173"/>
      <c r="K166" s="176">
        <f t="shared" si="2"/>
        <v>4500</v>
      </c>
      <c r="L166" s="173" t="s">
        <v>4981</v>
      </c>
      <c r="M166" s="173" t="s">
        <v>5223</v>
      </c>
      <c r="N166" s="173"/>
      <c r="O166" s="173"/>
      <c r="P166" s="173" t="s">
        <v>4996</v>
      </c>
      <c r="Q166" s="174">
        <v>42545</v>
      </c>
      <c r="R166" s="173"/>
      <c r="S166" s="173" t="s">
        <v>3186</v>
      </c>
    </row>
    <row r="167" spans="1:19" x14ac:dyDescent="0.25">
      <c r="A167" s="173" t="s">
        <v>408</v>
      </c>
      <c r="B167" s="174">
        <v>42466</v>
      </c>
      <c r="C167" s="197" t="s">
        <v>4982</v>
      </c>
      <c r="D167" s="173" t="s">
        <v>4858</v>
      </c>
      <c r="E167" s="173" t="s">
        <v>2352</v>
      </c>
      <c r="F167" s="173" t="s">
        <v>4738</v>
      </c>
      <c r="G167" s="173" t="s">
        <v>4739</v>
      </c>
      <c r="H167" s="173"/>
      <c r="I167" s="173"/>
      <c r="J167" s="173" t="s">
        <v>21</v>
      </c>
      <c r="K167" s="176">
        <v>12700</v>
      </c>
      <c r="L167" s="173" t="s">
        <v>4771</v>
      </c>
      <c r="M167" s="173"/>
      <c r="N167" s="173"/>
      <c r="O167" s="173"/>
      <c r="P167" s="173" t="s">
        <v>4996</v>
      </c>
      <c r="Q167" s="174">
        <v>42545</v>
      </c>
      <c r="R167" s="173"/>
      <c r="S167" s="173"/>
    </row>
    <row r="168" spans="1:19" x14ac:dyDescent="0.25">
      <c r="A168" s="173" t="s">
        <v>408</v>
      </c>
      <c r="B168" s="174">
        <v>42487</v>
      </c>
      <c r="C168" s="197" t="s">
        <v>4983</v>
      </c>
      <c r="D168" s="173" t="s">
        <v>4984</v>
      </c>
      <c r="E168" s="173" t="s">
        <v>4985</v>
      </c>
      <c r="F168" s="173" t="s">
        <v>3959</v>
      </c>
      <c r="G168" s="173" t="s">
        <v>4827</v>
      </c>
      <c r="H168" s="173">
        <f>7500/1.21</f>
        <v>6198.3471074380168</v>
      </c>
      <c r="I168" s="176">
        <f>+H168*0.21</f>
        <v>1301.6528925619834</v>
      </c>
      <c r="J168" s="173"/>
      <c r="K168" s="176">
        <f>+H168+I168</f>
        <v>7500</v>
      </c>
      <c r="L168" s="173" t="s">
        <v>4981</v>
      </c>
      <c r="M168" s="173" t="s">
        <v>5235</v>
      </c>
      <c r="N168" s="173"/>
      <c r="O168" s="173"/>
      <c r="P168" s="173" t="s">
        <v>4996</v>
      </c>
      <c r="Q168" s="174">
        <v>42545</v>
      </c>
      <c r="R168" s="173"/>
      <c r="S168" s="173" t="s">
        <v>3186</v>
      </c>
    </row>
    <row r="169" spans="1:19" x14ac:dyDescent="0.25">
      <c r="A169" s="173" t="s">
        <v>408</v>
      </c>
      <c r="B169" s="174">
        <v>42495</v>
      </c>
      <c r="C169" s="197" t="s">
        <v>4986</v>
      </c>
      <c r="D169" s="173" t="s">
        <v>4987</v>
      </c>
      <c r="E169" s="173" t="s">
        <v>4998</v>
      </c>
      <c r="F169" s="173" t="s">
        <v>4803</v>
      </c>
      <c r="G169" s="173" t="s">
        <v>4959</v>
      </c>
      <c r="H169" s="173">
        <f>2000/1.21</f>
        <v>1652.8925619834711</v>
      </c>
      <c r="I169" s="176">
        <f>+H169*0.21</f>
        <v>347.10743801652893</v>
      </c>
      <c r="J169" s="173"/>
      <c r="K169" s="176">
        <f>+H169+I169</f>
        <v>2000</v>
      </c>
      <c r="L169" s="173" t="s">
        <v>4988</v>
      </c>
      <c r="M169" s="173" t="s">
        <v>5102</v>
      </c>
      <c r="N169" s="173"/>
      <c r="O169" s="173"/>
      <c r="P169" s="173" t="s">
        <v>4996</v>
      </c>
      <c r="Q169" s="174">
        <v>42545</v>
      </c>
      <c r="R169" s="173"/>
      <c r="S169" s="173" t="s">
        <v>3791</v>
      </c>
    </row>
    <row r="170" spans="1:19" x14ac:dyDescent="0.25">
      <c r="A170" s="173" t="s">
        <v>408</v>
      </c>
      <c r="B170" s="174">
        <v>42503</v>
      </c>
      <c r="C170" s="197" t="s">
        <v>4989</v>
      </c>
      <c r="D170" s="173" t="s">
        <v>4990</v>
      </c>
      <c r="E170" s="173" t="s">
        <v>4991</v>
      </c>
      <c r="F170" s="173" t="s">
        <v>4120</v>
      </c>
      <c r="G170" s="173" t="s">
        <v>4670</v>
      </c>
      <c r="H170" s="173"/>
      <c r="I170" s="173"/>
      <c r="J170" s="173" t="s">
        <v>21</v>
      </c>
      <c r="K170" s="173">
        <v>4600</v>
      </c>
      <c r="L170" s="173" t="s">
        <v>4838</v>
      </c>
      <c r="M170" s="173" t="s">
        <v>5223</v>
      </c>
      <c r="N170" s="173"/>
      <c r="O170" s="173"/>
      <c r="P170" s="173" t="s">
        <v>4996</v>
      </c>
      <c r="Q170" s="174">
        <v>42545</v>
      </c>
      <c r="R170" s="173"/>
      <c r="S170" s="173" t="s">
        <v>3186</v>
      </c>
    </row>
    <row r="171" spans="1:19" x14ac:dyDescent="0.25">
      <c r="A171" s="173" t="s">
        <v>408</v>
      </c>
      <c r="B171" s="174">
        <v>42464</v>
      </c>
      <c r="C171" s="197" t="s">
        <v>4992</v>
      </c>
      <c r="D171" s="173" t="s">
        <v>3010</v>
      </c>
      <c r="E171" s="173" t="s">
        <v>3011</v>
      </c>
      <c r="F171" s="173" t="s">
        <v>4824</v>
      </c>
      <c r="G171" s="173" t="s">
        <v>4825</v>
      </c>
      <c r="H171" s="173">
        <f>5200/1.21</f>
        <v>4297.5206611570247</v>
      </c>
      <c r="I171" s="176">
        <f>+H171*0.21</f>
        <v>902.47933884297515</v>
      </c>
      <c r="J171" s="173"/>
      <c r="K171" s="176">
        <f>+H171+I171</f>
        <v>5200</v>
      </c>
      <c r="L171" s="173" t="s">
        <v>4981</v>
      </c>
      <c r="M171" s="173" t="s">
        <v>5222</v>
      </c>
      <c r="N171" s="173"/>
      <c r="O171" s="173"/>
      <c r="P171" s="173" t="s">
        <v>4996</v>
      </c>
      <c r="Q171" s="174">
        <v>42545</v>
      </c>
      <c r="R171" s="173"/>
      <c r="S171" s="173" t="s">
        <v>3186</v>
      </c>
    </row>
    <row r="172" spans="1:19" x14ac:dyDescent="0.25">
      <c r="A172" s="173" t="s">
        <v>408</v>
      </c>
      <c r="B172" s="174">
        <v>42462</v>
      </c>
      <c r="C172" s="197" t="s">
        <v>4993</v>
      </c>
      <c r="D172" s="173" t="s">
        <v>4994</v>
      </c>
      <c r="E172" s="173" t="s">
        <v>4995</v>
      </c>
      <c r="F172" s="173" t="s">
        <v>2657</v>
      </c>
      <c r="G172" s="173" t="s">
        <v>4666</v>
      </c>
      <c r="H172" s="176">
        <f>7500/1.21</f>
        <v>6198.3471074380168</v>
      </c>
      <c r="I172" s="176">
        <f>+H172*0.21</f>
        <v>1301.6528925619834</v>
      </c>
      <c r="J172" s="173"/>
      <c r="K172" s="176">
        <f>+H172+I172</f>
        <v>7500</v>
      </c>
      <c r="L172" s="173" t="s">
        <v>4867</v>
      </c>
      <c r="M172" s="173" t="s">
        <v>5227</v>
      </c>
      <c r="N172" s="173"/>
      <c r="O172" s="173"/>
      <c r="P172" s="173" t="s">
        <v>4996</v>
      </c>
      <c r="Q172" s="174">
        <v>42545</v>
      </c>
      <c r="R172" s="173"/>
      <c r="S172" s="173" t="s">
        <v>3186</v>
      </c>
    </row>
    <row r="173" spans="1:19" x14ac:dyDescent="0.25">
      <c r="A173" s="173" t="s">
        <v>12</v>
      </c>
      <c r="B173" s="174">
        <v>42510</v>
      </c>
      <c r="C173" s="197" t="s">
        <v>4999</v>
      </c>
      <c r="D173" s="173" t="s">
        <v>5000</v>
      </c>
      <c r="E173" s="173" t="s">
        <v>5001</v>
      </c>
      <c r="F173" s="173" t="s">
        <v>4111</v>
      </c>
      <c r="G173" s="173" t="s">
        <v>5002</v>
      </c>
      <c r="H173" s="173"/>
      <c r="I173" s="173"/>
      <c r="J173" s="173" t="s">
        <v>21</v>
      </c>
      <c r="K173" s="173">
        <v>3000</v>
      </c>
      <c r="L173" s="173" t="s">
        <v>4839</v>
      </c>
      <c r="M173" s="173"/>
      <c r="N173" s="173"/>
      <c r="O173" s="173"/>
      <c r="P173" s="173" t="s">
        <v>4996</v>
      </c>
      <c r="Q173" s="174">
        <v>42558</v>
      </c>
      <c r="R173" s="173"/>
      <c r="S173" s="173"/>
    </row>
    <row r="174" spans="1:19" x14ac:dyDescent="0.25">
      <c r="A174" s="173" t="s">
        <v>12</v>
      </c>
      <c r="B174" s="174">
        <v>42510</v>
      </c>
      <c r="C174" s="197" t="s">
        <v>5003</v>
      </c>
      <c r="D174" s="173" t="s">
        <v>5000</v>
      </c>
      <c r="E174" s="173" t="s">
        <v>5001</v>
      </c>
      <c r="F174" s="173" t="s">
        <v>5004</v>
      </c>
      <c r="G174" s="173" t="s">
        <v>5005</v>
      </c>
      <c r="H174" s="173"/>
      <c r="I174" s="173"/>
      <c r="J174" s="173" t="s">
        <v>21</v>
      </c>
      <c r="K174" s="173">
        <v>5200</v>
      </c>
      <c r="L174" s="173" t="s">
        <v>4839</v>
      </c>
      <c r="M174" s="173"/>
      <c r="N174" s="173"/>
      <c r="O174" s="173"/>
      <c r="P174" s="173" t="s">
        <v>4996</v>
      </c>
      <c r="Q174" s="174">
        <v>42558</v>
      </c>
      <c r="R174" s="173"/>
      <c r="S174" s="173"/>
    </row>
    <row r="175" spans="1:19" x14ac:dyDescent="0.25">
      <c r="A175" s="173" t="s">
        <v>12</v>
      </c>
      <c r="B175" s="174">
        <v>42515</v>
      </c>
      <c r="C175" s="197" t="s">
        <v>5006</v>
      </c>
      <c r="D175" s="173" t="s">
        <v>5000</v>
      </c>
      <c r="E175" s="173" t="s">
        <v>5001</v>
      </c>
      <c r="F175" s="173" t="s">
        <v>4870</v>
      </c>
      <c r="G175" s="173" t="s">
        <v>5007</v>
      </c>
      <c r="H175" s="173"/>
      <c r="I175" s="173"/>
      <c r="J175" s="173" t="s">
        <v>21</v>
      </c>
      <c r="K175" s="173">
        <v>3000</v>
      </c>
      <c r="L175" s="173" t="s">
        <v>4839</v>
      </c>
      <c r="M175" s="173"/>
      <c r="N175" s="173"/>
      <c r="O175" s="173"/>
      <c r="P175" s="173" t="s">
        <v>4996</v>
      </c>
      <c r="Q175" s="174">
        <v>42558</v>
      </c>
      <c r="R175" s="173"/>
      <c r="S175" s="173"/>
    </row>
    <row r="176" spans="1:19" x14ac:dyDescent="0.25">
      <c r="A176" s="173" t="s">
        <v>408</v>
      </c>
      <c r="B176" s="174">
        <v>42541</v>
      </c>
      <c r="C176" s="197" t="s">
        <v>5008</v>
      </c>
      <c r="D176" s="173" t="s">
        <v>691</v>
      </c>
      <c r="E176" s="173" t="s">
        <v>692</v>
      </c>
      <c r="F176" s="173" t="s">
        <v>5004</v>
      </c>
      <c r="G176" s="173" t="s">
        <v>5005</v>
      </c>
      <c r="H176" s="173"/>
      <c r="I176" s="173"/>
      <c r="J176" s="173" t="s">
        <v>21</v>
      </c>
      <c r="K176" s="173">
        <v>5700</v>
      </c>
      <c r="L176" s="173" t="s">
        <v>5009</v>
      </c>
      <c r="M176" s="173" t="s">
        <v>5221</v>
      </c>
      <c r="N176" s="173"/>
      <c r="O176" s="173"/>
      <c r="P176" s="173" t="s">
        <v>4996</v>
      </c>
      <c r="Q176" s="174">
        <v>42558</v>
      </c>
      <c r="R176" s="173"/>
      <c r="S176" s="173" t="s">
        <v>3186</v>
      </c>
    </row>
    <row r="177" spans="1:19" x14ac:dyDescent="0.25">
      <c r="A177" s="173" t="s">
        <v>408</v>
      </c>
      <c r="B177" s="174">
        <v>42550</v>
      </c>
      <c r="C177" s="197" t="s">
        <v>5010</v>
      </c>
      <c r="D177" s="173" t="s">
        <v>5011</v>
      </c>
      <c r="E177" s="173" t="s">
        <v>5012</v>
      </c>
      <c r="F177" s="173" t="s">
        <v>4111</v>
      </c>
      <c r="G177" s="173" t="s">
        <v>5002</v>
      </c>
      <c r="H177" s="173"/>
      <c r="I177" s="173"/>
      <c r="J177" s="173" t="s">
        <v>21</v>
      </c>
      <c r="K177" s="173">
        <v>3100</v>
      </c>
      <c r="L177" s="173" t="s">
        <v>5009</v>
      </c>
      <c r="M177" s="173" t="s">
        <v>5225</v>
      </c>
      <c r="N177" s="173"/>
      <c r="O177" s="173"/>
      <c r="P177" s="173" t="s">
        <v>4996</v>
      </c>
      <c r="Q177" s="174">
        <v>42558</v>
      </c>
      <c r="R177" s="173"/>
      <c r="S177" s="173" t="s">
        <v>3186</v>
      </c>
    </row>
    <row r="178" spans="1:19" x14ac:dyDescent="0.25">
      <c r="A178" s="173" t="s">
        <v>12</v>
      </c>
      <c r="B178" s="174">
        <v>42534</v>
      </c>
      <c r="C178" s="195" t="s">
        <v>5013</v>
      </c>
      <c r="D178" s="173" t="s">
        <v>3958</v>
      </c>
      <c r="E178" s="173" t="s">
        <v>2626</v>
      </c>
      <c r="F178" s="173" t="s">
        <v>5014</v>
      </c>
      <c r="G178" s="173" t="s">
        <v>5015</v>
      </c>
      <c r="H178" s="173">
        <f>15000/1.21</f>
        <v>12396.694214876034</v>
      </c>
      <c r="I178" s="176">
        <f>+H178*0.21</f>
        <v>2603.3057851239669</v>
      </c>
      <c r="J178" s="173"/>
      <c r="K178" s="176">
        <f>+H178+I178</f>
        <v>15000</v>
      </c>
      <c r="L178" s="173" t="s">
        <v>4839</v>
      </c>
      <c r="M178" s="173"/>
      <c r="N178" s="173"/>
      <c r="O178" s="173"/>
      <c r="P178" s="173" t="s">
        <v>4996</v>
      </c>
      <c r="Q178" s="174">
        <v>42558</v>
      </c>
      <c r="R178" s="173"/>
      <c r="S178" s="173"/>
    </row>
    <row r="179" spans="1:19" x14ac:dyDescent="0.25">
      <c r="A179" s="190" t="s">
        <v>12</v>
      </c>
      <c r="B179" s="191">
        <v>42534</v>
      </c>
      <c r="C179" s="196" t="s">
        <v>5016</v>
      </c>
      <c r="D179" s="190" t="s">
        <v>3958</v>
      </c>
      <c r="E179" s="190" t="s">
        <v>2626</v>
      </c>
      <c r="F179" s="190" t="s">
        <v>5014</v>
      </c>
      <c r="G179" s="190" t="s">
        <v>5017</v>
      </c>
      <c r="H179" s="190">
        <f>16000/1.21</f>
        <v>13223.140495867769</v>
      </c>
      <c r="I179" s="192">
        <f>+H179*0.21</f>
        <v>2776.8595041322315</v>
      </c>
      <c r="J179" s="190"/>
      <c r="K179" s="192">
        <f>+H179+I179</f>
        <v>16000</v>
      </c>
      <c r="L179" s="173" t="s">
        <v>4839</v>
      </c>
      <c r="M179" s="190"/>
      <c r="N179" s="190"/>
      <c r="O179" s="190"/>
      <c r="P179" s="190" t="s">
        <v>4996</v>
      </c>
      <c r="Q179" s="191">
        <v>42558</v>
      </c>
      <c r="R179" s="173"/>
      <c r="S179" s="190"/>
    </row>
    <row r="180" spans="1:19" x14ac:dyDescent="0.25">
      <c r="A180" s="173" t="s">
        <v>12</v>
      </c>
      <c r="B180" s="174">
        <v>42570</v>
      </c>
      <c r="C180" s="197" t="s">
        <v>5018</v>
      </c>
      <c r="D180" s="173" t="s">
        <v>5000</v>
      </c>
      <c r="E180" s="173" t="s">
        <v>5001</v>
      </c>
      <c r="F180" s="173" t="s">
        <v>906</v>
      </c>
      <c r="G180" s="173" t="s">
        <v>5019</v>
      </c>
      <c r="H180" s="173"/>
      <c r="I180" s="173"/>
      <c r="J180" s="173" t="s">
        <v>21</v>
      </c>
      <c r="K180" s="173">
        <v>2000</v>
      </c>
      <c r="L180" s="173" t="s">
        <v>4839</v>
      </c>
      <c r="M180" s="173"/>
      <c r="N180" s="173"/>
      <c r="O180" s="173"/>
      <c r="P180" s="173" t="s">
        <v>5091</v>
      </c>
      <c r="Q180" s="174">
        <v>42647</v>
      </c>
      <c r="R180" s="188"/>
      <c r="S180" s="173"/>
    </row>
    <row r="181" spans="1:19" x14ac:dyDescent="0.25">
      <c r="A181" s="185" t="s">
        <v>12</v>
      </c>
      <c r="B181" s="183">
        <v>42570</v>
      </c>
      <c r="C181" s="199" t="s">
        <v>5020</v>
      </c>
      <c r="D181" s="185" t="s">
        <v>5000</v>
      </c>
      <c r="E181" s="185" t="s">
        <v>5001</v>
      </c>
      <c r="F181" s="185" t="s">
        <v>4255</v>
      </c>
      <c r="G181" s="185" t="s">
        <v>5021</v>
      </c>
      <c r="H181" s="185"/>
      <c r="I181" s="185"/>
      <c r="J181" s="185" t="s">
        <v>21</v>
      </c>
      <c r="K181" s="185">
        <v>4900</v>
      </c>
      <c r="L181" s="173" t="s">
        <v>4839</v>
      </c>
      <c r="M181" s="185"/>
      <c r="N181" s="185"/>
      <c r="O181" s="185"/>
      <c r="P181" s="185" t="s">
        <v>5091</v>
      </c>
      <c r="Q181" s="183">
        <v>42647</v>
      </c>
      <c r="R181" s="173"/>
      <c r="S181" s="185"/>
    </row>
    <row r="182" spans="1:19" x14ac:dyDescent="0.25">
      <c r="A182" s="173" t="s">
        <v>12</v>
      </c>
      <c r="B182" s="174">
        <v>42570</v>
      </c>
      <c r="C182" s="197" t="s">
        <v>5022</v>
      </c>
      <c r="D182" s="173" t="s">
        <v>5000</v>
      </c>
      <c r="E182" s="173" t="s">
        <v>5001</v>
      </c>
      <c r="F182" s="173" t="s">
        <v>3156</v>
      </c>
      <c r="G182" s="173" t="s">
        <v>5023</v>
      </c>
      <c r="H182" s="173"/>
      <c r="I182" s="173"/>
      <c r="J182" s="173" t="s">
        <v>21</v>
      </c>
      <c r="K182" s="173">
        <v>2700</v>
      </c>
      <c r="L182" s="173"/>
      <c r="M182" s="173"/>
      <c r="N182" s="173"/>
      <c r="O182" s="173"/>
      <c r="P182" s="173" t="s">
        <v>5091</v>
      </c>
      <c r="Q182" s="174">
        <v>42647</v>
      </c>
      <c r="R182" s="188"/>
      <c r="S182" s="173"/>
    </row>
    <row r="183" spans="1:19" x14ac:dyDescent="0.25">
      <c r="A183" s="202" t="s">
        <v>12</v>
      </c>
      <c r="B183" s="203">
        <v>42548</v>
      </c>
      <c r="C183" s="204" t="s">
        <v>5024</v>
      </c>
      <c r="D183" s="202" t="s">
        <v>5000</v>
      </c>
      <c r="E183" s="202" t="s">
        <v>5001</v>
      </c>
      <c r="F183" s="202" t="s">
        <v>5004</v>
      </c>
      <c r="G183" s="202" t="s">
        <v>5025</v>
      </c>
      <c r="H183" s="202"/>
      <c r="I183" s="202"/>
      <c r="J183" s="202" t="s">
        <v>21</v>
      </c>
      <c r="K183" s="202">
        <v>5000</v>
      </c>
      <c r="L183" s="185" t="s">
        <v>4839</v>
      </c>
      <c r="M183" s="202"/>
      <c r="N183" s="202"/>
      <c r="O183" s="202"/>
      <c r="P183" s="202" t="s">
        <v>5091</v>
      </c>
      <c r="Q183" s="203">
        <v>42647</v>
      </c>
      <c r="R183" s="173"/>
      <c r="S183" s="202"/>
    </row>
    <row r="184" spans="1:19" x14ac:dyDescent="0.25">
      <c r="A184" s="173" t="s">
        <v>12</v>
      </c>
      <c r="B184" s="174">
        <v>42569</v>
      </c>
      <c r="C184" s="197" t="s">
        <v>5026</v>
      </c>
      <c r="D184" s="173" t="s">
        <v>4583</v>
      </c>
      <c r="E184" s="173" t="s">
        <v>4797</v>
      </c>
      <c r="F184" s="173" t="s">
        <v>400</v>
      </c>
      <c r="G184" s="173" t="s">
        <v>5027</v>
      </c>
      <c r="H184" s="173"/>
      <c r="I184" s="173"/>
      <c r="J184" s="173" t="s">
        <v>303</v>
      </c>
      <c r="K184" s="173">
        <v>850</v>
      </c>
      <c r="L184" s="173" t="s">
        <v>4839</v>
      </c>
      <c r="M184" s="173"/>
      <c r="N184" s="173"/>
      <c r="O184" s="173"/>
      <c r="P184" s="173" t="s">
        <v>5091</v>
      </c>
      <c r="Q184" s="174">
        <v>42647</v>
      </c>
      <c r="R184" s="188"/>
      <c r="S184" s="173"/>
    </row>
    <row r="185" spans="1:19" x14ac:dyDescent="0.25">
      <c r="A185" s="173" t="s">
        <v>12</v>
      </c>
      <c r="B185" s="174">
        <v>42570</v>
      </c>
      <c r="C185" s="197" t="s">
        <v>5028</v>
      </c>
      <c r="D185" s="173" t="s">
        <v>4583</v>
      </c>
      <c r="E185" s="173" t="s">
        <v>4797</v>
      </c>
      <c r="F185" s="173" t="s">
        <v>5029</v>
      </c>
      <c r="G185" s="173" t="s">
        <v>5030</v>
      </c>
      <c r="H185" s="173"/>
      <c r="I185" s="173"/>
      <c r="J185" s="173" t="s">
        <v>21</v>
      </c>
      <c r="K185" s="173">
        <v>9500</v>
      </c>
      <c r="L185" s="173" t="s">
        <v>4839</v>
      </c>
      <c r="M185" s="173"/>
      <c r="N185" s="173"/>
      <c r="O185" s="173"/>
      <c r="P185" s="173" t="s">
        <v>5091</v>
      </c>
      <c r="Q185" s="174">
        <v>42647</v>
      </c>
      <c r="R185" s="188"/>
      <c r="S185" s="173"/>
    </row>
    <row r="186" spans="1:19" x14ac:dyDescent="0.25">
      <c r="A186" s="185" t="s">
        <v>12</v>
      </c>
      <c r="B186" s="183">
        <v>42563</v>
      </c>
      <c r="C186" s="199" t="s">
        <v>5031</v>
      </c>
      <c r="D186" s="185" t="s">
        <v>5032</v>
      </c>
      <c r="E186" s="185" t="s">
        <v>5033</v>
      </c>
      <c r="F186" s="185" t="s">
        <v>346</v>
      </c>
      <c r="G186" s="185" t="s">
        <v>890</v>
      </c>
      <c r="H186" s="193">
        <v>82.65</v>
      </c>
      <c r="I186" s="193">
        <f>+H186*0.21</f>
        <v>17.3565</v>
      </c>
      <c r="J186" s="193"/>
      <c r="K186" s="193">
        <f>+H186+I186</f>
        <v>100.0065</v>
      </c>
      <c r="L186" s="173" t="s">
        <v>4839</v>
      </c>
      <c r="M186" s="185"/>
      <c r="N186" s="185"/>
      <c r="O186" s="185"/>
      <c r="P186" s="185" t="s">
        <v>5091</v>
      </c>
      <c r="Q186" s="183">
        <v>42647</v>
      </c>
      <c r="R186" s="173"/>
      <c r="S186" s="185"/>
    </row>
    <row r="187" spans="1:19" x14ac:dyDescent="0.25">
      <c r="A187" s="173" t="s">
        <v>12</v>
      </c>
      <c r="B187" s="174">
        <v>42577</v>
      </c>
      <c r="C187" s="197" t="s">
        <v>5034</v>
      </c>
      <c r="D187" s="173" t="s">
        <v>5035</v>
      </c>
      <c r="E187" s="173" t="s">
        <v>5036</v>
      </c>
      <c r="F187" s="173" t="s">
        <v>3807</v>
      </c>
      <c r="G187" s="173" t="s">
        <v>5037</v>
      </c>
      <c r="H187" s="173">
        <f>605/1.21</f>
        <v>500</v>
      </c>
      <c r="I187" s="176">
        <f>+H187*0.21</f>
        <v>105</v>
      </c>
      <c r="J187" s="173"/>
      <c r="K187" s="176">
        <f>+H187+I187</f>
        <v>605</v>
      </c>
      <c r="L187" s="173" t="s">
        <v>4839</v>
      </c>
      <c r="M187" s="173"/>
      <c r="N187" s="173"/>
      <c r="O187" s="173"/>
      <c r="P187" s="173" t="s">
        <v>5091</v>
      </c>
      <c r="Q187" s="174">
        <v>42647</v>
      </c>
      <c r="R187" s="173"/>
      <c r="S187" s="173"/>
    </row>
    <row r="188" spans="1:19" x14ac:dyDescent="0.25">
      <c r="A188" s="173" t="s">
        <v>12</v>
      </c>
      <c r="B188" s="174">
        <v>42605</v>
      </c>
      <c r="C188" s="197" t="s">
        <v>5038</v>
      </c>
      <c r="D188" s="173" t="s">
        <v>5000</v>
      </c>
      <c r="E188" s="173" t="s">
        <v>5001</v>
      </c>
      <c r="F188" s="173" t="s">
        <v>693</v>
      </c>
      <c r="G188" s="173" t="s">
        <v>5039</v>
      </c>
      <c r="H188" s="173"/>
      <c r="I188" s="173"/>
      <c r="J188" s="173" t="s">
        <v>21</v>
      </c>
      <c r="K188" s="173">
        <v>7200</v>
      </c>
      <c r="L188" s="173" t="s">
        <v>4839</v>
      </c>
      <c r="M188" s="173"/>
      <c r="N188" s="173"/>
      <c r="O188" s="173"/>
      <c r="P188" s="173" t="s">
        <v>5091</v>
      </c>
      <c r="Q188" s="174">
        <v>42647</v>
      </c>
      <c r="R188" s="173"/>
      <c r="S188" s="173"/>
    </row>
    <row r="189" spans="1:19" x14ac:dyDescent="0.25">
      <c r="A189" s="173" t="s">
        <v>12</v>
      </c>
      <c r="B189" s="174">
        <v>42605</v>
      </c>
      <c r="C189" s="197" t="s">
        <v>5040</v>
      </c>
      <c r="D189" s="173" t="s">
        <v>5000</v>
      </c>
      <c r="E189" s="173" t="s">
        <v>5001</v>
      </c>
      <c r="F189" s="173" t="s">
        <v>5041</v>
      </c>
      <c r="G189" s="173" t="s">
        <v>5042</v>
      </c>
      <c r="H189" s="173"/>
      <c r="I189" s="173"/>
      <c r="J189" s="173" t="s">
        <v>21</v>
      </c>
      <c r="K189" s="173">
        <v>11700</v>
      </c>
      <c r="L189" s="173" t="s">
        <v>4839</v>
      </c>
      <c r="M189" s="173"/>
      <c r="N189" s="173"/>
      <c r="O189" s="173"/>
      <c r="P189" s="173" t="s">
        <v>5091</v>
      </c>
      <c r="Q189" s="174">
        <v>42647</v>
      </c>
      <c r="R189" s="173"/>
      <c r="S189" s="173"/>
    </row>
    <row r="190" spans="1:19" x14ac:dyDescent="0.25">
      <c r="A190" s="173" t="s">
        <v>12</v>
      </c>
      <c r="B190" s="174">
        <v>42605</v>
      </c>
      <c r="C190" s="197" t="s">
        <v>5043</v>
      </c>
      <c r="D190" s="173" t="s">
        <v>5000</v>
      </c>
      <c r="E190" s="173" t="s">
        <v>5001</v>
      </c>
      <c r="F190" s="173" t="s">
        <v>4232</v>
      </c>
      <c r="G190" s="173" t="s">
        <v>5044</v>
      </c>
      <c r="H190" s="173"/>
      <c r="I190" s="173"/>
      <c r="J190" s="173" t="s">
        <v>21</v>
      </c>
      <c r="K190" s="173">
        <v>3040</v>
      </c>
      <c r="L190" s="173" t="s">
        <v>4839</v>
      </c>
      <c r="M190" s="173"/>
      <c r="N190" s="173"/>
      <c r="O190" s="173"/>
      <c r="P190" s="173" t="s">
        <v>5091</v>
      </c>
      <c r="Q190" s="174">
        <v>42647</v>
      </c>
      <c r="R190" s="173"/>
      <c r="S190" s="173"/>
    </row>
    <row r="191" spans="1:19" x14ac:dyDescent="0.25">
      <c r="A191" s="173" t="s">
        <v>408</v>
      </c>
      <c r="B191" s="174">
        <v>42634</v>
      </c>
      <c r="C191" s="197" t="s">
        <v>5045</v>
      </c>
      <c r="D191" s="173" t="s">
        <v>5046</v>
      </c>
      <c r="E191" s="173" t="s">
        <v>5047</v>
      </c>
      <c r="F191" s="173" t="s">
        <v>4232</v>
      </c>
      <c r="G191" s="173" t="s">
        <v>5044</v>
      </c>
      <c r="H191" s="173"/>
      <c r="I191" s="173"/>
      <c r="J191" s="173" t="s">
        <v>21</v>
      </c>
      <c r="K191" s="173">
        <v>3500</v>
      </c>
      <c r="L191" s="173" t="s">
        <v>5048</v>
      </c>
      <c r="M191" s="173" t="s">
        <v>5231</v>
      </c>
      <c r="N191" s="173"/>
      <c r="O191" s="173"/>
      <c r="P191" s="173" t="s">
        <v>5091</v>
      </c>
      <c r="Q191" s="174">
        <v>42647</v>
      </c>
      <c r="R191" s="173"/>
      <c r="S191" s="173" t="s">
        <v>3186</v>
      </c>
    </row>
    <row r="192" spans="1:19" x14ac:dyDescent="0.25">
      <c r="A192" s="173" t="s">
        <v>408</v>
      </c>
      <c r="B192" s="174">
        <v>42627</v>
      </c>
      <c r="C192" s="197" t="s">
        <v>5049</v>
      </c>
      <c r="D192" s="173" t="s">
        <v>5050</v>
      </c>
      <c r="E192" s="173" t="s">
        <v>5051</v>
      </c>
      <c r="F192" s="173" t="s">
        <v>3807</v>
      </c>
      <c r="G192" s="173" t="s">
        <v>5037</v>
      </c>
      <c r="H192" s="173">
        <f>4235/1.21</f>
        <v>3500</v>
      </c>
      <c r="I192" s="176">
        <f t="shared" ref="I192:I197" si="4">+H192*0.21</f>
        <v>735</v>
      </c>
      <c r="J192" s="173"/>
      <c r="K192" s="176">
        <f t="shared" ref="K192:K197" si="5">+H192+I192</f>
        <v>4235</v>
      </c>
      <c r="L192" s="173" t="s">
        <v>5052</v>
      </c>
      <c r="M192" s="173" t="s">
        <v>5216</v>
      </c>
      <c r="N192" s="173"/>
      <c r="O192" s="173"/>
      <c r="P192" s="173" t="s">
        <v>5091</v>
      </c>
      <c r="Q192" s="174">
        <v>42647</v>
      </c>
      <c r="R192" s="173"/>
      <c r="S192" s="173" t="s">
        <v>3186</v>
      </c>
    </row>
    <row r="193" spans="1:19" x14ac:dyDescent="0.25">
      <c r="A193" s="173" t="s">
        <v>408</v>
      </c>
      <c r="B193" s="174">
        <v>42615</v>
      </c>
      <c r="C193" s="197" t="s">
        <v>5053</v>
      </c>
      <c r="D193" s="173" t="s">
        <v>5054</v>
      </c>
      <c r="E193" s="173" t="s">
        <v>5055</v>
      </c>
      <c r="F193" s="173" t="s">
        <v>4831</v>
      </c>
      <c r="G193" s="173" t="s">
        <v>4832</v>
      </c>
      <c r="H193" s="173">
        <f>4700/1.21</f>
        <v>3884.2975206611573</v>
      </c>
      <c r="I193" s="176">
        <f t="shared" si="4"/>
        <v>815.70247933884298</v>
      </c>
      <c r="J193" s="173"/>
      <c r="K193" s="176">
        <f t="shared" si="5"/>
        <v>4700</v>
      </c>
      <c r="L193" s="173" t="s">
        <v>4954</v>
      </c>
      <c r="M193" s="173" t="s">
        <v>5234</v>
      </c>
      <c r="N193" s="173"/>
      <c r="O193" s="173"/>
      <c r="P193" s="173" t="s">
        <v>5091</v>
      </c>
      <c r="Q193" s="174">
        <v>42647</v>
      </c>
      <c r="R193" s="173"/>
      <c r="S193" s="173" t="s">
        <v>3186</v>
      </c>
    </row>
    <row r="194" spans="1:19" x14ac:dyDescent="0.25">
      <c r="A194" s="173" t="s">
        <v>408</v>
      </c>
      <c r="B194" s="174">
        <v>42558</v>
      </c>
      <c r="C194" s="197" t="s">
        <v>5056</v>
      </c>
      <c r="D194" s="173" t="s">
        <v>5057</v>
      </c>
      <c r="E194" s="173" t="s">
        <v>5058</v>
      </c>
      <c r="F194" s="173" t="s">
        <v>2657</v>
      </c>
      <c r="G194" s="173" t="s">
        <v>4668</v>
      </c>
      <c r="H194" s="176">
        <f>4000/1.21</f>
        <v>3305.7851239669421</v>
      </c>
      <c r="I194" s="176">
        <f t="shared" si="4"/>
        <v>694.21487603305786</v>
      </c>
      <c r="J194" s="173"/>
      <c r="K194" s="176">
        <f t="shared" si="5"/>
        <v>4000</v>
      </c>
      <c r="L194" s="173" t="s">
        <v>4867</v>
      </c>
      <c r="M194" s="173" t="s">
        <v>5107</v>
      </c>
      <c r="N194" s="173"/>
      <c r="O194" s="173"/>
      <c r="P194" s="173" t="s">
        <v>5091</v>
      </c>
      <c r="Q194" s="174">
        <v>42647</v>
      </c>
      <c r="R194" s="173"/>
      <c r="S194" s="173" t="s">
        <v>3791</v>
      </c>
    </row>
    <row r="195" spans="1:19" x14ac:dyDescent="0.25">
      <c r="A195" s="173" t="s">
        <v>408</v>
      </c>
      <c r="B195" s="174">
        <v>42636</v>
      </c>
      <c r="C195" s="197" t="s">
        <v>5059</v>
      </c>
      <c r="D195" s="173" t="s">
        <v>5060</v>
      </c>
      <c r="E195" s="173" t="s">
        <v>5061</v>
      </c>
      <c r="F195" s="173" t="s">
        <v>4803</v>
      </c>
      <c r="G195" s="173" t="s">
        <v>4963</v>
      </c>
      <c r="H195" s="173">
        <f>2420/1.21</f>
        <v>2000</v>
      </c>
      <c r="I195" s="176">
        <f t="shared" si="4"/>
        <v>420</v>
      </c>
      <c r="J195" s="173"/>
      <c r="K195" s="176">
        <f t="shared" si="5"/>
        <v>2420</v>
      </c>
      <c r="L195" s="173" t="s">
        <v>4988</v>
      </c>
      <c r="M195" s="173" t="s">
        <v>5219</v>
      </c>
      <c r="N195" s="173"/>
      <c r="O195" s="173"/>
      <c r="P195" s="173" t="s">
        <v>5091</v>
      </c>
      <c r="Q195" s="174">
        <v>42647</v>
      </c>
      <c r="R195" s="187"/>
      <c r="S195" s="173" t="s">
        <v>3186</v>
      </c>
    </row>
    <row r="196" spans="1:19" x14ac:dyDescent="0.25">
      <c r="A196" s="185" t="s">
        <v>408</v>
      </c>
      <c r="B196" s="183">
        <v>42560</v>
      </c>
      <c r="C196" s="199" t="s">
        <v>5062</v>
      </c>
      <c r="D196" s="185" t="s">
        <v>5063</v>
      </c>
      <c r="E196" s="185" t="s">
        <v>5064</v>
      </c>
      <c r="F196" s="185" t="s">
        <v>5014</v>
      </c>
      <c r="G196" s="185" t="s">
        <v>5015</v>
      </c>
      <c r="H196" s="185">
        <f>16000/1.21</f>
        <v>13223.140495867769</v>
      </c>
      <c r="I196" s="186">
        <f t="shared" si="4"/>
        <v>2776.8595041322315</v>
      </c>
      <c r="J196" s="185"/>
      <c r="K196" s="186">
        <f t="shared" si="5"/>
        <v>16000</v>
      </c>
      <c r="L196" s="185" t="s">
        <v>5065</v>
      </c>
      <c r="M196" s="185" t="s">
        <v>5103</v>
      </c>
      <c r="N196" s="185"/>
      <c r="O196" s="185"/>
      <c r="P196" s="185" t="s">
        <v>5091</v>
      </c>
      <c r="Q196" s="183">
        <v>42647</v>
      </c>
      <c r="R196" s="173"/>
      <c r="S196" s="173" t="s">
        <v>3186</v>
      </c>
    </row>
    <row r="197" spans="1:19" x14ac:dyDescent="0.25">
      <c r="A197" s="173" t="s">
        <v>408</v>
      </c>
      <c r="B197" s="174">
        <v>42545</v>
      </c>
      <c r="C197" s="197" t="s">
        <v>5066</v>
      </c>
      <c r="D197" s="173" t="s">
        <v>5067</v>
      </c>
      <c r="E197" s="173" t="s">
        <v>5068</v>
      </c>
      <c r="F197" s="173" t="s">
        <v>5014</v>
      </c>
      <c r="G197" s="173" t="s">
        <v>5017</v>
      </c>
      <c r="H197" s="173">
        <f>17000/1.21</f>
        <v>14049.586776859505</v>
      </c>
      <c r="I197" s="176">
        <f t="shared" si="4"/>
        <v>2950.413223140496</v>
      </c>
      <c r="J197" s="173"/>
      <c r="K197" s="176">
        <f t="shared" si="5"/>
        <v>17000</v>
      </c>
      <c r="L197" s="173" t="s">
        <v>5065</v>
      </c>
      <c r="M197" s="173" t="s">
        <v>5069</v>
      </c>
      <c r="N197" s="173"/>
      <c r="O197" s="173"/>
      <c r="P197" s="173" t="s">
        <v>5091</v>
      </c>
      <c r="Q197" s="174">
        <v>42647</v>
      </c>
      <c r="R197" s="173"/>
      <c r="S197" s="173" t="s">
        <v>3186</v>
      </c>
    </row>
    <row r="198" spans="1:19" x14ac:dyDescent="0.25">
      <c r="A198" s="173" t="s">
        <v>408</v>
      </c>
      <c r="B198" s="174">
        <v>42564</v>
      </c>
      <c r="C198" s="197" t="s">
        <v>5070</v>
      </c>
      <c r="D198" s="173" t="s">
        <v>5071</v>
      </c>
      <c r="E198" s="173" t="s">
        <v>5072</v>
      </c>
      <c r="F198" s="173" t="s">
        <v>4120</v>
      </c>
      <c r="G198" s="173" t="s">
        <v>4591</v>
      </c>
      <c r="H198" s="173"/>
      <c r="I198" s="173"/>
      <c r="J198" s="173" t="s">
        <v>21</v>
      </c>
      <c r="K198" s="173">
        <v>5000</v>
      </c>
      <c r="L198" s="173" t="s">
        <v>4786</v>
      </c>
      <c r="M198" s="173" t="s">
        <v>5230</v>
      </c>
      <c r="N198" s="173"/>
      <c r="O198" s="173"/>
      <c r="P198" s="173" t="s">
        <v>5091</v>
      </c>
      <c r="Q198" s="174">
        <v>42647</v>
      </c>
      <c r="R198" s="187"/>
      <c r="S198" s="173" t="s">
        <v>3186</v>
      </c>
    </row>
    <row r="199" spans="1:19" x14ac:dyDescent="0.25">
      <c r="A199" s="173" t="s">
        <v>408</v>
      </c>
      <c r="B199" s="174">
        <v>42579</v>
      </c>
      <c r="C199" s="197" t="s">
        <v>5073</v>
      </c>
      <c r="D199" s="173" t="s">
        <v>5074</v>
      </c>
      <c r="E199" s="173" t="s">
        <v>5075</v>
      </c>
      <c r="F199" s="173" t="s">
        <v>4255</v>
      </c>
      <c r="G199" s="173" t="s">
        <v>5021</v>
      </c>
      <c r="H199" s="173"/>
      <c r="I199" s="173"/>
      <c r="J199" s="173" t="s">
        <v>21</v>
      </c>
      <c r="K199" s="173">
        <v>5400</v>
      </c>
      <c r="L199" s="173" t="s">
        <v>5076</v>
      </c>
      <c r="M199" s="173" t="s">
        <v>5233</v>
      </c>
      <c r="N199" s="173"/>
      <c r="O199" s="173"/>
      <c r="P199" s="173" t="s">
        <v>5091</v>
      </c>
      <c r="Q199" s="174">
        <v>42647</v>
      </c>
      <c r="R199" s="173"/>
      <c r="S199" s="173" t="s">
        <v>3186</v>
      </c>
    </row>
    <row r="200" spans="1:19" x14ac:dyDescent="0.25">
      <c r="A200" s="173" t="s">
        <v>408</v>
      </c>
      <c r="B200" s="174">
        <v>42571</v>
      </c>
      <c r="C200" s="197" t="s">
        <v>5077</v>
      </c>
      <c r="D200" s="173" t="s">
        <v>5078</v>
      </c>
      <c r="E200" s="173" t="s">
        <v>5079</v>
      </c>
      <c r="F200" s="173" t="s">
        <v>400</v>
      </c>
      <c r="G200" s="173" t="s">
        <v>5027</v>
      </c>
      <c r="H200" s="173"/>
      <c r="I200" s="173"/>
      <c r="J200" s="173" t="s">
        <v>303</v>
      </c>
      <c r="K200" s="173">
        <v>1000</v>
      </c>
      <c r="L200" s="173" t="s">
        <v>5080</v>
      </c>
      <c r="M200" s="173"/>
      <c r="N200" s="173"/>
      <c r="O200" s="173"/>
      <c r="P200" s="173" t="s">
        <v>5091</v>
      </c>
      <c r="Q200" s="174">
        <v>42647</v>
      </c>
      <c r="R200" s="173"/>
      <c r="S200" s="173"/>
    </row>
    <row r="201" spans="1:19" x14ac:dyDescent="0.25">
      <c r="A201" s="173" t="s">
        <v>12</v>
      </c>
      <c r="B201" s="174">
        <v>42569</v>
      </c>
      <c r="C201" s="197" t="s">
        <v>5081</v>
      </c>
      <c r="D201" s="173" t="s">
        <v>4583</v>
      </c>
      <c r="E201" s="173" t="s">
        <v>4797</v>
      </c>
      <c r="F201" s="173" t="s">
        <v>400</v>
      </c>
      <c r="G201" s="173" t="s">
        <v>5082</v>
      </c>
      <c r="H201" s="173"/>
      <c r="I201" s="173"/>
      <c r="J201" s="173" t="s">
        <v>21</v>
      </c>
      <c r="K201" s="173">
        <v>2400</v>
      </c>
      <c r="L201" s="173" t="s">
        <v>4839</v>
      </c>
      <c r="M201" s="173"/>
      <c r="N201" s="173"/>
      <c r="O201" s="173"/>
      <c r="P201" s="173" t="s">
        <v>5091</v>
      </c>
      <c r="Q201" s="174">
        <v>42647</v>
      </c>
      <c r="R201" s="188"/>
      <c r="S201" s="173"/>
    </row>
    <row r="202" spans="1:19" x14ac:dyDescent="0.25">
      <c r="A202" s="185" t="s">
        <v>408</v>
      </c>
      <c r="B202" s="183">
        <v>42590</v>
      </c>
      <c r="C202" s="199" t="s">
        <v>5083</v>
      </c>
      <c r="D202" s="185" t="s">
        <v>5084</v>
      </c>
      <c r="E202" s="185" t="s">
        <v>5085</v>
      </c>
      <c r="F202" s="185" t="s">
        <v>400</v>
      </c>
      <c r="G202" s="185" t="s">
        <v>5082</v>
      </c>
      <c r="H202" s="185"/>
      <c r="I202" s="185"/>
      <c r="J202" s="185" t="s">
        <v>21</v>
      </c>
      <c r="K202" s="185">
        <v>2800</v>
      </c>
      <c r="L202" s="185" t="s">
        <v>5080</v>
      </c>
      <c r="M202" s="185" t="s">
        <v>5232</v>
      </c>
      <c r="N202" s="185"/>
      <c r="O202" s="185"/>
      <c r="P202" s="185" t="s">
        <v>5091</v>
      </c>
      <c r="Q202" s="183">
        <v>42647</v>
      </c>
      <c r="R202" s="173"/>
      <c r="S202" s="185" t="s">
        <v>3186</v>
      </c>
    </row>
    <row r="203" spans="1:19" x14ac:dyDescent="0.25">
      <c r="A203" s="173" t="s">
        <v>12</v>
      </c>
      <c r="B203" s="174">
        <v>42550</v>
      </c>
      <c r="C203" s="197" t="s">
        <v>944</v>
      </c>
      <c r="D203" s="173" t="s">
        <v>5011</v>
      </c>
      <c r="E203" s="173" t="s">
        <v>5012</v>
      </c>
      <c r="F203" s="173" t="s">
        <v>4803</v>
      </c>
      <c r="G203" s="173" t="s">
        <v>5086</v>
      </c>
      <c r="H203" s="173"/>
      <c r="I203" s="173"/>
      <c r="J203" s="173" t="s">
        <v>21</v>
      </c>
      <c r="K203" s="173">
        <v>1000</v>
      </c>
      <c r="L203" s="173" t="s">
        <v>4839</v>
      </c>
      <c r="M203" s="173" t="s">
        <v>5226</v>
      </c>
      <c r="N203" s="173"/>
      <c r="O203" s="173"/>
      <c r="P203" s="173" t="s">
        <v>5091</v>
      </c>
      <c r="Q203" s="174">
        <v>42647</v>
      </c>
      <c r="R203" s="173"/>
      <c r="S203" s="173"/>
    </row>
    <row r="204" spans="1:19" x14ac:dyDescent="0.25">
      <c r="A204" s="173" t="s">
        <v>408</v>
      </c>
      <c r="B204" s="174">
        <v>42605</v>
      </c>
      <c r="C204" s="197" t="s">
        <v>5087</v>
      </c>
      <c r="D204" s="173" t="s">
        <v>5088</v>
      </c>
      <c r="E204" s="173" t="s">
        <v>5089</v>
      </c>
      <c r="F204" s="173" t="s">
        <v>4803</v>
      </c>
      <c r="G204" s="173" t="s">
        <v>5086</v>
      </c>
      <c r="H204" s="173"/>
      <c r="I204" s="173"/>
      <c r="J204" s="173" t="s">
        <v>21</v>
      </c>
      <c r="K204" s="173">
        <v>1300</v>
      </c>
      <c r="L204" s="173" t="s">
        <v>5090</v>
      </c>
      <c r="M204" s="173"/>
      <c r="N204" s="173"/>
      <c r="O204" s="173"/>
      <c r="P204" s="173" t="s">
        <v>5091</v>
      </c>
      <c r="Q204" s="174">
        <v>42647</v>
      </c>
      <c r="R204" s="173"/>
      <c r="S204" s="173"/>
    </row>
    <row r="205" spans="1:19" x14ac:dyDescent="0.25">
      <c r="A205" s="173" t="s">
        <v>12</v>
      </c>
      <c r="B205" s="174">
        <v>42479</v>
      </c>
      <c r="C205" s="197">
        <v>597</v>
      </c>
      <c r="D205" s="173" t="s">
        <v>4579</v>
      </c>
      <c r="E205" s="173" t="s">
        <v>4580</v>
      </c>
      <c r="F205" s="173" t="s">
        <v>5092</v>
      </c>
      <c r="G205" s="173" t="s">
        <v>5093</v>
      </c>
      <c r="H205" s="173"/>
      <c r="I205" s="173"/>
      <c r="J205" s="173" t="s">
        <v>21</v>
      </c>
      <c r="K205" s="173">
        <v>6500</v>
      </c>
      <c r="L205" s="173" t="s">
        <v>4839</v>
      </c>
      <c r="M205" s="173"/>
      <c r="N205" s="173"/>
      <c r="O205" s="173"/>
      <c r="P205" s="173" t="s">
        <v>5091</v>
      </c>
      <c r="Q205" s="174">
        <v>42655</v>
      </c>
      <c r="R205" s="173"/>
      <c r="S205" s="173"/>
    </row>
    <row r="206" spans="1:19" x14ac:dyDescent="0.25">
      <c r="A206" s="173" t="s">
        <v>408</v>
      </c>
      <c r="B206" s="174">
        <v>42572</v>
      </c>
      <c r="C206" s="197" t="s">
        <v>5094</v>
      </c>
      <c r="D206" s="173" t="s">
        <v>5095</v>
      </c>
      <c r="E206" s="173" t="s">
        <v>5096</v>
      </c>
      <c r="F206" s="173" t="s">
        <v>5092</v>
      </c>
      <c r="G206" s="173" t="s">
        <v>5093</v>
      </c>
      <c r="H206" s="173"/>
      <c r="I206" s="173"/>
      <c r="J206" s="173" t="s">
        <v>21</v>
      </c>
      <c r="K206" s="173">
        <v>7000</v>
      </c>
      <c r="L206" s="173" t="s">
        <v>5097</v>
      </c>
      <c r="M206" s="173" t="s">
        <v>5104</v>
      </c>
      <c r="N206" s="173"/>
      <c r="O206" s="173"/>
      <c r="P206" s="173" t="s">
        <v>5091</v>
      </c>
      <c r="Q206" s="174">
        <v>42655</v>
      </c>
      <c r="R206" s="173"/>
      <c r="S206" s="173" t="s">
        <v>5105</v>
      </c>
    </row>
    <row r="207" spans="1:19" x14ac:dyDescent="0.25">
      <c r="A207" s="173" t="s">
        <v>12</v>
      </c>
      <c r="B207" s="174">
        <v>42632</v>
      </c>
      <c r="C207" s="197" t="s">
        <v>944</v>
      </c>
      <c r="D207" s="173" t="s">
        <v>5098</v>
      </c>
      <c r="E207" s="173" t="s">
        <v>5099</v>
      </c>
      <c r="F207" s="173" t="s">
        <v>5100</v>
      </c>
      <c r="G207" s="173" t="s">
        <v>5101</v>
      </c>
      <c r="H207" s="173"/>
      <c r="I207" s="173"/>
      <c r="J207" s="173" t="s">
        <v>21</v>
      </c>
      <c r="K207" s="173">
        <v>10425</v>
      </c>
      <c r="L207" s="173" t="s">
        <v>4839</v>
      </c>
      <c r="M207" s="173" t="s">
        <v>3553</v>
      </c>
      <c r="N207" s="173"/>
      <c r="O207" s="173"/>
      <c r="P207" s="173" t="s">
        <v>5091</v>
      </c>
      <c r="Q207" s="174">
        <v>42655</v>
      </c>
      <c r="R207" s="173"/>
      <c r="S207" s="173"/>
    </row>
    <row r="208" spans="1:19" x14ac:dyDescent="0.25">
      <c r="A208" s="173" t="s">
        <v>12</v>
      </c>
      <c r="B208" s="174">
        <v>42657</v>
      </c>
      <c r="C208" s="197" t="s">
        <v>5108</v>
      </c>
      <c r="D208" s="173" t="s">
        <v>5000</v>
      </c>
      <c r="E208" s="173" t="s">
        <v>5001</v>
      </c>
      <c r="F208" s="173" t="s">
        <v>5109</v>
      </c>
      <c r="G208" s="173" t="s">
        <v>5110</v>
      </c>
      <c r="H208" s="173"/>
      <c r="I208" s="173"/>
      <c r="J208" s="173" t="s">
        <v>21</v>
      </c>
      <c r="K208" s="173">
        <v>4400</v>
      </c>
      <c r="L208" s="173" t="s">
        <v>4839</v>
      </c>
      <c r="M208" s="173"/>
      <c r="N208" s="173"/>
      <c r="O208" s="173"/>
      <c r="P208" s="173" t="s">
        <v>5206</v>
      </c>
      <c r="Q208" s="174">
        <v>42744</v>
      </c>
      <c r="R208" s="187"/>
      <c r="S208" s="173"/>
    </row>
    <row r="209" spans="1:19" x14ac:dyDescent="0.25">
      <c r="A209" s="173" t="s">
        <v>12</v>
      </c>
      <c r="B209" s="174">
        <v>42657</v>
      </c>
      <c r="C209" s="197" t="s">
        <v>5111</v>
      </c>
      <c r="D209" s="173" t="s">
        <v>5000</v>
      </c>
      <c r="E209" s="173" t="s">
        <v>5001</v>
      </c>
      <c r="F209" s="173" t="s">
        <v>5112</v>
      </c>
      <c r="G209" s="173" t="s">
        <v>5113</v>
      </c>
      <c r="H209" s="173"/>
      <c r="I209" s="173"/>
      <c r="J209" s="173" t="s">
        <v>21</v>
      </c>
      <c r="K209" s="173">
        <v>6300</v>
      </c>
      <c r="L209" s="173" t="s">
        <v>4839</v>
      </c>
      <c r="M209" s="173"/>
      <c r="N209" s="173"/>
      <c r="O209" s="173"/>
      <c r="P209" s="173" t="s">
        <v>5206</v>
      </c>
      <c r="Q209" s="174">
        <v>42744</v>
      </c>
      <c r="R209" s="187"/>
      <c r="S209" s="173"/>
    </row>
    <row r="210" spans="1:19" x14ac:dyDescent="0.25">
      <c r="A210" s="173" t="s">
        <v>12</v>
      </c>
      <c r="B210" s="174">
        <v>42689</v>
      </c>
      <c r="C210" s="197" t="s">
        <v>5114</v>
      </c>
      <c r="D210" s="173" t="s">
        <v>5000</v>
      </c>
      <c r="E210" s="173" t="s">
        <v>5001</v>
      </c>
      <c r="F210" s="173" t="s">
        <v>5115</v>
      </c>
      <c r="G210" s="173" t="s">
        <v>5116</v>
      </c>
      <c r="H210" s="173"/>
      <c r="I210" s="173"/>
      <c r="J210" s="173" t="s">
        <v>21</v>
      </c>
      <c r="K210" s="173">
        <v>3500</v>
      </c>
      <c r="L210" s="173"/>
      <c r="M210" s="173"/>
      <c r="N210" s="173"/>
      <c r="O210" s="173"/>
      <c r="P210" s="173" t="s">
        <v>5206</v>
      </c>
      <c r="Q210" s="174">
        <v>42744</v>
      </c>
      <c r="R210" s="188"/>
      <c r="S210" s="173"/>
    </row>
    <row r="211" spans="1:19" x14ac:dyDescent="0.25">
      <c r="A211" s="173" t="s">
        <v>12</v>
      </c>
      <c r="B211" s="174">
        <v>42681</v>
      </c>
      <c r="C211" s="197">
        <v>605</v>
      </c>
      <c r="D211" s="173" t="s">
        <v>4579</v>
      </c>
      <c r="E211" s="173" t="s">
        <v>4580</v>
      </c>
      <c r="F211" s="173" t="s">
        <v>5117</v>
      </c>
      <c r="G211" s="173" t="s">
        <v>5118</v>
      </c>
      <c r="H211" s="173"/>
      <c r="I211" s="173"/>
      <c r="J211" s="173" t="s">
        <v>21</v>
      </c>
      <c r="K211" s="173">
        <v>1500</v>
      </c>
      <c r="L211" s="173"/>
      <c r="M211" s="173"/>
      <c r="N211" s="173"/>
      <c r="O211" s="173"/>
      <c r="P211" s="173" t="s">
        <v>5206</v>
      </c>
      <c r="Q211" s="174">
        <v>42744</v>
      </c>
      <c r="R211" s="188"/>
      <c r="S211" s="173"/>
    </row>
    <row r="212" spans="1:19" x14ac:dyDescent="0.25">
      <c r="A212" s="185" t="s">
        <v>12</v>
      </c>
      <c r="B212" s="183">
        <v>42670</v>
      </c>
      <c r="C212" s="199">
        <v>604</v>
      </c>
      <c r="D212" s="185" t="s">
        <v>4579</v>
      </c>
      <c r="E212" s="185" t="s">
        <v>4580</v>
      </c>
      <c r="F212" s="185" t="s">
        <v>2932</v>
      </c>
      <c r="G212" s="185" t="s">
        <v>5119</v>
      </c>
      <c r="H212" s="185"/>
      <c r="I212" s="185"/>
      <c r="J212" s="185" t="s">
        <v>21</v>
      </c>
      <c r="K212" s="185">
        <v>1500</v>
      </c>
      <c r="L212" s="185" t="s">
        <v>4839</v>
      </c>
      <c r="M212" s="185"/>
      <c r="N212" s="185"/>
      <c r="O212" s="185"/>
      <c r="P212" s="185" t="s">
        <v>5206</v>
      </c>
      <c r="Q212" s="183">
        <v>42744</v>
      </c>
      <c r="R212" s="187"/>
      <c r="S212" s="185"/>
    </row>
    <row r="213" spans="1:19" x14ac:dyDescent="0.25">
      <c r="A213" s="173" t="s">
        <v>12</v>
      </c>
      <c r="B213" s="174">
        <v>42654</v>
      </c>
      <c r="C213" s="197" t="s">
        <v>5120</v>
      </c>
      <c r="D213" s="173" t="s">
        <v>5121</v>
      </c>
      <c r="E213" s="173" t="s">
        <v>5122</v>
      </c>
      <c r="F213" s="173" t="s">
        <v>5112</v>
      </c>
      <c r="G213" s="173" t="s">
        <v>5123</v>
      </c>
      <c r="H213" s="173"/>
      <c r="I213" s="173"/>
      <c r="J213" s="173" t="s">
        <v>21</v>
      </c>
      <c r="K213" s="173">
        <v>5900</v>
      </c>
      <c r="L213" s="173"/>
      <c r="M213" s="173"/>
      <c r="N213" s="173"/>
      <c r="O213" s="173"/>
      <c r="P213" s="173" t="s">
        <v>5206</v>
      </c>
      <c r="Q213" s="174">
        <v>42744</v>
      </c>
      <c r="R213" s="188"/>
      <c r="S213" s="173"/>
    </row>
    <row r="214" spans="1:19" x14ac:dyDescent="0.25">
      <c r="A214" s="185" t="s">
        <v>12</v>
      </c>
      <c r="B214" s="183">
        <v>42674</v>
      </c>
      <c r="C214" s="199" t="s">
        <v>5124</v>
      </c>
      <c r="D214" s="185" t="s">
        <v>4583</v>
      </c>
      <c r="E214" s="185" t="s">
        <v>4797</v>
      </c>
      <c r="F214" s="185" t="s">
        <v>4576</v>
      </c>
      <c r="G214" s="185" t="s">
        <v>5125</v>
      </c>
      <c r="H214" s="185"/>
      <c r="I214" s="185"/>
      <c r="J214" s="185" t="s">
        <v>21</v>
      </c>
      <c r="K214" s="185">
        <v>4000</v>
      </c>
      <c r="L214" s="185" t="s">
        <v>4839</v>
      </c>
      <c r="M214" s="185"/>
      <c r="N214" s="185"/>
      <c r="O214" s="185"/>
      <c r="P214" s="185" t="s">
        <v>5206</v>
      </c>
      <c r="Q214" s="183">
        <v>42744</v>
      </c>
      <c r="R214" s="187"/>
      <c r="S214" s="185"/>
    </row>
    <row r="215" spans="1:19" x14ac:dyDescent="0.25">
      <c r="A215" s="173" t="s">
        <v>12</v>
      </c>
      <c r="B215" s="174">
        <v>42674</v>
      </c>
      <c r="C215" s="197" t="s">
        <v>5127</v>
      </c>
      <c r="D215" s="173" t="s">
        <v>4583</v>
      </c>
      <c r="E215" s="173" t="s">
        <v>4797</v>
      </c>
      <c r="F215" s="173" t="s">
        <v>4223</v>
      </c>
      <c r="G215" s="173" t="s">
        <v>5126</v>
      </c>
      <c r="H215" s="173"/>
      <c r="I215" s="173"/>
      <c r="J215" s="173" t="s">
        <v>21</v>
      </c>
      <c r="K215" s="173">
        <v>10000</v>
      </c>
      <c r="L215" s="173" t="s">
        <v>4839</v>
      </c>
      <c r="M215" s="173"/>
      <c r="N215" s="173"/>
      <c r="O215" s="173"/>
      <c r="P215" s="173" t="s">
        <v>5206</v>
      </c>
      <c r="Q215" s="174">
        <v>42744</v>
      </c>
      <c r="R215" s="187"/>
      <c r="S215" s="173"/>
    </row>
    <row r="216" spans="1:19" x14ac:dyDescent="0.25">
      <c r="A216" s="173" t="s">
        <v>408</v>
      </c>
      <c r="B216" s="174">
        <v>42702</v>
      </c>
      <c r="C216" s="197" t="s">
        <v>5128</v>
      </c>
      <c r="D216" s="173" t="s">
        <v>5129</v>
      </c>
      <c r="E216" s="173" t="s">
        <v>5130</v>
      </c>
      <c r="F216" s="173" t="s">
        <v>2932</v>
      </c>
      <c r="G216" s="173" t="s">
        <v>5119</v>
      </c>
      <c r="H216" s="173"/>
      <c r="I216" s="173"/>
      <c r="J216" s="173" t="s">
        <v>21</v>
      </c>
      <c r="K216" s="173">
        <v>2000</v>
      </c>
      <c r="L216" s="173" t="s">
        <v>5131</v>
      </c>
      <c r="M216" s="173" t="s">
        <v>5214</v>
      </c>
      <c r="N216" s="173"/>
      <c r="O216" s="173"/>
      <c r="P216" s="173" t="s">
        <v>5206</v>
      </c>
      <c r="Q216" s="174">
        <v>42744</v>
      </c>
      <c r="R216" s="187"/>
      <c r="S216" s="173" t="s">
        <v>3186</v>
      </c>
    </row>
    <row r="217" spans="1:19" x14ac:dyDescent="0.25">
      <c r="A217" s="173" t="s">
        <v>408</v>
      </c>
      <c r="B217" s="174">
        <v>42702</v>
      </c>
      <c r="C217" s="197" t="s">
        <v>5132</v>
      </c>
      <c r="D217" s="173" t="s">
        <v>5133</v>
      </c>
      <c r="E217" s="173" t="s">
        <v>5134</v>
      </c>
      <c r="F217" s="173" t="s">
        <v>906</v>
      </c>
      <c r="G217" s="173" t="s">
        <v>5019</v>
      </c>
      <c r="H217" s="173"/>
      <c r="I217" s="173"/>
      <c r="J217" s="173" t="s">
        <v>21</v>
      </c>
      <c r="K217" s="173">
        <v>2400</v>
      </c>
      <c r="L217" s="173" t="s">
        <v>5135</v>
      </c>
      <c r="M217" s="173" t="s">
        <v>5214</v>
      </c>
      <c r="N217" s="173"/>
      <c r="O217" s="173"/>
      <c r="P217" s="173" t="s">
        <v>5206</v>
      </c>
      <c r="Q217" s="174">
        <v>42744</v>
      </c>
      <c r="R217" s="187"/>
      <c r="S217" s="173" t="s">
        <v>3186</v>
      </c>
    </row>
    <row r="218" spans="1:19" x14ac:dyDescent="0.25">
      <c r="A218" s="173" t="s">
        <v>12</v>
      </c>
      <c r="B218" s="174">
        <v>42682</v>
      </c>
      <c r="C218" s="197" t="s">
        <v>5136</v>
      </c>
      <c r="D218" s="173" t="s">
        <v>4583</v>
      </c>
      <c r="E218" s="173" t="s">
        <v>4797</v>
      </c>
      <c r="F218" s="173" t="s">
        <v>2681</v>
      </c>
      <c r="G218" s="173" t="s">
        <v>5137</v>
      </c>
      <c r="H218" s="173"/>
      <c r="I218" s="173"/>
      <c r="J218" s="173" t="s">
        <v>21</v>
      </c>
      <c r="K218" s="173">
        <v>2000</v>
      </c>
      <c r="L218" s="173"/>
      <c r="M218" s="173"/>
      <c r="N218" s="173"/>
      <c r="O218" s="173"/>
      <c r="P218" s="173" t="s">
        <v>5206</v>
      </c>
      <c r="Q218" s="174">
        <v>42744</v>
      </c>
      <c r="R218" s="188"/>
      <c r="S218" s="173"/>
    </row>
    <row r="219" spans="1:19" x14ac:dyDescent="0.25">
      <c r="A219" s="173" t="s">
        <v>12</v>
      </c>
      <c r="B219" s="174">
        <v>42731</v>
      </c>
      <c r="C219" s="197">
        <v>15102297</v>
      </c>
      <c r="D219" s="173" t="s">
        <v>5139</v>
      </c>
      <c r="E219" s="173" t="s">
        <v>5138</v>
      </c>
      <c r="F219" s="173" t="s">
        <v>3335</v>
      </c>
      <c r="G219" s="173" t="s">
        <v>5140</v>
      </c>
      <c r="H219" s="173"/>
      <c r="I219" s="173"/>
      <c r="J219" s="173" t="s">
        <v>21</v>
      </c>
      <c r="K219" s="173">
        <v>3100</v>
      </c>
      <c r="L219" s="173"/>
      <c r="M219" s="173"/>
      <c r="N219" s="173"/>
      <c r="O219" s="173"/>
      <c r="P219" s="173" t="s">
        <v>5206</v>
      </c>
      <c r="Q219" s="174">
        <v>42744</v>
      </c>
      <c r="R219" s="188"/>
      <c r="S219" s="173"/>
    </row>
    <row r="220" spans="1:19" x14ac:dyDescent="0.25">
      <c r="A220" s="173" t="s">
        <v>12</v>
      </c>
      <c r="B220" s="174">
        <v>42734</v>
      </c>
      <c r="C220" s="197">
        <v>15102352</v>
      </c>
      <c r="D220" s="173" t="s">
        <v>5139</v>
      </c>
      <c r="E220" s="173" t="s">
        <v>5138</v>
      </c>
      <c r="F220" s="173" t="s">
        <v>5141</v>
      </c>
      <c r="G220" s="173" t="s">
        <v>5142</v>
      </c>
      <c r="H220" s="173"/>
      <c r="I220" s="173"/>
      <c r="J220" s="173" t="s">
        <v>21</v>
      </c>
      <c r="K220" s="173">
        <v>1600</v>
      </c>
      <c r="L220" s="173"/>
      <c r="M220" s="173"/>
      <c r="N220" s="173"/>
      <c r="O220" s="173"/>
      <c r="P220" s="173" t="s">
        <v>5206</v>
      </c>
      <c r="Q220" s="174">
        <v>42744</v>
      </c>
      <c r="R220" s="188"/>
      <c r="S220" s="173"/>
    </row>
    <row r="221" spans="1:19" x14ac:dyDescent="0.25">
      <c r="A221" s="185" t="s">
        <v>12</v>
      </c>
      <c r="B221" s="183">
        <v>42709</v>
      </c>
      <c r="C221" s="199">
        <v>15100139</v>
      </c>
      <c r="D221" s="185" t="s">
        <v>5143</v>
      </c>
      <c r="E221" s="185" t="s">
        <v>5144</v>
      </c>
      <c r="F221" s="185" t="s">
        <v>3967</v>
      </c>
      <c r="G221" s="185" t="s">
        <v>5145</v>
      </c>
      <c r="H221" s="185"/>
      <c r="I221" s="185"/>
      <c r="J221" s="185" t="s">
        <v>21</v>
      </c>
      <c r="K221" s="185">
        <v>8600</v>
      </c>
      <c r="L221" s="185" t="s">
        <v>4839</v>
      </c>
      <c r="M221" s="185"/>
      <c r="N221" s="185"/>
      <c r="O221" s="185"/>
      <c r="P221" s="185" t="s">
        <v>5206</v>
      </c>
      <c r="Q221" s="183">
        <v>42744</v>
      </c>
      <c r="S221" s="185"/>
    </row>
    <row r="222" spans="1:19" x14ac:dyDescent="0.25">
      <c r="A222" s="173" t="s">
        <v>408</v>
      </c>
      <c r="B222" s="174">
        <v>42695</v>
      </c>
      <c r="C222" s="197" t="s">
        <v>5146</v>
      </c>
      <c r="D222" s="173" t="s">
        <v>5147</v>
      </c>
      <c r="E222" s="173" t="s">
        <v>5148</v>
      </c>
      <c r="F222" s="173" t="s">
        <v>4576</v>
      </c>
      <c r="G222" s="173" t="s">
        <v>5125</v>
      </c>
      <c r="H222" s="173"/>
      <c r="I222" s="173"/>
      <c r="J222" s="173" t="s">
        <v>21</v>
      </c>
      <c r="K222" s="173">
        <v>4500</v>
      </c>
      <c r="L222" s="173" t="s">
        <v>5149</v>
      </c>
      <c r="M222" s="173" t="s">
        <v>5224</v>
      </c>
      <c r="N222" s="173"/>
      <c r="O222" s="173"/>
      <c r="P222" s="173" t="s">
        <v>5206</v>
      </c>
      <c r="Q222" s="174">
        <v>42744</v>
      </c>
      <c r="S222" s="173" t="s">
        <v>3186</v>
      </c>
    </row>
    <row r="223" spans="1:19" x14ac:dyDescent="0.25">
      <c r="A223" s="173" t="s">
        <v>408</v>
      </c>
      <c r="B223" s="174">
        <v>42733</v>
      </c>
      <c r="C223" s="197" t="s">
        <v>5150</v>
      </c>
      <c r="D223" s="173" t="s">
        <v>4858</v>
      </c>
      <c r="E223" s="173" t="s">
        <v>2352</v>
      </c>
      <c r="F223" s="173" t="s">
        <v>346</v>
      </c>
      <c r="G223" s="173" t="s">
        <v>890</v>
      </c>
      <c r="H223" s="201">
        <f>600/1.21</f>
        <v>495.86776859504135</v>
      </c>
      <c r="I223" s="201">
        <f>+H223*0.21</f>
        <v>104.13223140495867</v>
      </c>
      <c r="J223" s="201"/>
      <c r="K223" s="201">
        <f>+H223+I223</f>
        <v>600</v>
      </c>
      <c r="L223" s="173" t="s">
        <v>5151</v>
      </c>
      <c r="M223" s="173"/>
      <c r="N223" s="173"/>
      <c r="O223" s="173"/>
      <c r="P223" s="173" t="s">
        <v>5206</v>
      </c>
      <c r="Q223" s="174">
        <v>42744</v>
      </c>
      <c r="S223" s="173"/>
    </row>
    <row r="224" spans="1:19" x14ac:dyDescent="0.25">
      <c r="A224" s="173" t="s">
        <v>408</v>
      </c>
      <c r="B224" s="174">
        <v>42724</v>
      </c>
      <c r="C224" s="197" t="s">
        <v>5154</v>
      </c>
      <c r="D224" s="173" t="s">
        <v>5155</v>
      </c>
      <c r="E224" s="173" t="s">
        <v>5156</v>
      </c>
      <c r="F224" s="173" t="s">
        <v>3967</v>
      </c>
      <c r="G224" s="173" t="s">
        <v>5145</v>
      </c>
      <c r="H224" s="173"/>
      <c r="I224" s="173"/>
      <c r="J224" s="173" t="s">
        <v>21</v>
      </c>
      <c r="K224" s="173">
        <v>9100</v>
      </c>
      <c r="L224" s="173" t="s">
        <v>5157</v>
      </c>
      <c r="M224" s="173" t="s">
        <v>5244</v>
      </c>
      <c r="N224" s="173"/>
      <c r="O224" s="173"/>
      <c r="P224" s="173" t="s">
        <v>5206</v>
      </c>
      <c r="Q224" s="174">
        <v>42744</v>
      </c>
      <c r="S224" s="173" t="s">
        <v>3186</v>
      </c>
    </row>
    <row r="225" spans="1:19" x14ac:dyDescent="0.25">
      <c r="A225" s="173" t="s">
        <v>408</v>
      </c>
      <c r="B225" s="174">
        <v>42724</v>
      </c>
      <c r="C225" s="197" t="s">
        <v>5158</v>
      </c>
      <c r="D225" s="173" t="s">
        <v>5159</v>
      </c>
      <c r="E225" s="173" t="s">
        <v>5160</v>
      </c>
      <c r="F225" s="173" t="s">
        <v>2681</v>
      </c>
      <c r="G225" s="173" t="s">
        <v>5113</v>
      </c>
      <c r="H225" s="173"/>
      <c r="I225" s="173"/>
      <c r="J225" s="173" t="s">
        <v>21</v>
      </c>
      <c r="K225" s="173">
        <v>7500</v>
      </c>
      <c r="L225" s="173" t="s">
        <v>5161</v>
      </c>
      <c r="M225" s="173" t="s">
        <v>5217</v>
      </c>
      <c r="N225" s="173"/>
      <c r="O225" s="173"/>
      <c r="P225" s="173" t="s">
        <v>5206</v>
      </c>
      <c r="Q225" s="174">
        <v>42744</v>
      </c>
      <c r="S225" s="173" t="s">
        <v>3186</v>
      </c>
    </row>
    <row r="226" spans="1:19" x14ac:dyDescent="0.25">
      <c r="A226" s="173" t="s">
        <v>408</v>
      </c>
      <c r="B226" s="174">
        <v>42685</v>
      </c>
      <c r="C226" s="197" t="s">
        <v>5162</v>
      </c>
      <c r="D226" s="173" t="s">
        <v>5163</v>
      </c>
      <c r="E226" s="173" t="s">
        <v>5164</v>
      </c>
      <c r="F226" s="173" t="s">
        <v>5004</v>
      </c>
      <c r="G226" s="173" t="s">
        <v>5025</v>
      </c>
      <c r="H226" s="173"/>
      <c r="I226" s="173"/>
      <c r="J226" s="173" t="s">
        <v>21</v>
      </c>
      <c r="K226" s="173">
        <v>5500</v>
      </c>
      <c r="L226" s="173" t="s">
        <v>5165</v>
      </c>
      <c r="M226" s="173" t="s">
        <v>5218</v>
      </c>
      <c r="N226" s="173"/>
      <c r="O226" s="173"/>
      <c r="P226" s="173" t="s">
        <v>5206</v>
      </c>
      <c r="Q226" s="174">
        <v>42744</v>
      </c>
      <c r="S226" s="173" t="s">
        <v>3186</v>
      </c>
    </row>
    <row r="227" spans="1:19" x14ac:dyDescent="0.25">
      <c r="A227" s="173" t="s">
        <v>408</v>
      </c>
      <c r="B227" s="174">
        <v>42689</v>
      </c>
      <c r="C227" s="197" t="s">
        <v>5166</v>
      </c>
      <c r="D227" s="173" t="s">
        <v>5167</v>
      </c>
      <c r="E227" s="173" t="s">
        <v>5168</v>
      </c>
      <c r="F227" s="173" t="s">
        <v>5029</v>
      </c>
      <c r="G227" s="173" t="s">
        <v>5030</v>
      </c>
      <c r="H227" s="173"/>
      <c r="I227" s="173"/>
      <c r="J227" s="173" t="s">
        <v>21</v>
      </c>
      <c r="K227" s="173">
        <v>10000</v>
      </c>
      <c r="L227" s="173" t="s">
        <v>5169</v>
      </c>
      <c r="M227" s="173" t="s">
        <v>5242</v>
      </c>
      <c r="N227" s="173"/>
      <c r="O227" s="173"/>
      <c r="P227" s="173" t="s">
        <v>5206</v>
      </c>
      <c r="Q227" s="174">
        <v>42744</v>
      </c>
      <c r="S227" s="173" t="s">
        <v>3186</v>
      </c>
    </row>
    <row r="228" spans="1:19" x14ac:dyDescent="0.25">
      <c r="A228" s="173" t="s">
        <v>408</v>
      </c>
      <c r="B228" s="174">
        <v>42647</v>
      </c>
      <c r="C228" s="197" t="s">
        <v>5170</v>
      </c>
      <c r="D228" s="173" t="s">
        <v>5171</v>
      </c>
      <c r="E228" s="173" t="s">
        <v>5172</v>
      </c>
      <c r="F228" s="173" t="s">
        <v>5100</v>
      </c>
      <c r="G228" s="173" t="s">
        <v>5101</v>
      </c>
      <c r="H228" s="173"/>
      <c r="I228" s="173"/>
      <c r="J228" s="173" t="s">
        <v>21</v>
      </c>
      <c r="K228" s="173">
        <v>11000</v>
      </c>
      <c r="L228" s="173" t="s">
        <v>5173</v>
      </c>
      <c r="M228" s="173" t="s">
        <v>5215</v>
      </c>
      <c r="N228" s="173"/>
      <c r="O228" s="173"/>
      <c r="P228" s="173" t="s">
        <v>5206</v>
      </c>
      <c r="Q228" s="174">
        <v>42744</v>
      </c>
      <c r="S228" s="173" t="s">
        <v>3186</v>
      </c>
    </row>
    <row r="229" spans="1:19" x14ac:dyDescent="0.25">
      <c r="A229" s="173" t="s">
        <v>408</v>
      </c>
      <c r="B229" s="174">
        <v>42650</v>
      </c>
      <c r="C229" s="197" t="s">
        <v>5174</v>
      </c>
      <c r="D229" s="173" t="s">
        <v>5175</v>
      </c>
      <c r="E229" s="173" t="s">
        <v>5176</v>
      </c>
      <c r="F229" s="173" t="s">
        <v>693</v>
      </c>
      <c r="G229" s="173" t="s">
        <v>5039</v>
      </c>
      <c r="H229" s="173"/>
      <c r="I229" s="173"/>
      <c r="J229" s="173" t="s">
        <v>21</v>
      </c>
      <c r="K229" s="173">
        <v>7700</v>
      </c>
      <c r="L229" s="173" t="s">
        <v>5048</v>
      </c>
      <c r="M229" s="173" t="s">
        <v>5243</v>
      </c>
      <c r="N229" s="173"/>
      <c r="O229" s="173"/>
      <c r="P229" s="173" t="s">
        <v>5206</v>
      </c>
      <c r="Q229" s="174">
        <v>42744</v>
      </c>
      <c r="S229" s="173" t="s">
        <v>3186</v>
      </c>
    </row>
    <row r="230" spans="1:19" x14ac:dyDescent="0.25">
      <c r="A230" s="173" t="s">
        <v>408</v>
      </c>
      <c r="B230" s="174">
        <v>42646</v>
      </c>
      <c r="C230" s="197" t="s">
        <v>5132</v>
      </c>
      <c r="D230" s="173" t="s">
        <v>5177</v>
      </c>
      <c r="E230" s="173" t="s">
        <v>5178</v>
      </c>
      <c r="F230" s="173" t="s">
        <v>5041</v>
      </c>
      <c r="G230" s="173" t="s">
        <v>5042</v>
      </c>
      <c r="H230" s="173"/>
      <c r="I230" s="173"/>
      <c r="J230" s="173" t="s">
        <v>21</v>
      </c>
      <c r="K230" s="173">
        <v>12200</v>
      </c>
      <c r="L230" s="173" t="s">
        <v>5179</v>
      </c>
      <c r="M230" s="173" t="s">
        <v>5240</v>
      </c>
      <c r="N230" s="173"/>
      <c r="O230" s="173"/>
      <c r="P230" s="173" t="s">
        <v>5206</v>
      </c>
      <c r="Q230" s="174">
        <v>42744</v>
      </c>
      <c r="S230" s="173" t="s">
        <v>3186</v>
      </c>
    </row>
    <row r="231" spans="1:19" x14ac:dyDescent="0.25">
      <c r="A231" s="173" t="s">
        <v>408</v>
      </c>
      <c r="B231" s="174">
        <v>42677</v>
      </c>
      <c r="C231" s="197" t="s">
        <v>5180</v>
      </c>
      <c r="D231" s="173" t="s">
        <v>5181</v>
      </c>
      <c r="E231" s="173" t="s">
        <v>5182</v>
      </c>
      <c r="F231" s="173" t="s">
        <v>5109</v>
      </c>
      <c r="G231" s="173" t="s">
        <v>5110</v>
      </c>
      <c r="H231" s="173"/>
      <c r="I231" s="173"/>
      <c r="J231" s="173" t="s">
        <v>21</v>
      </c>
      <c r="K231" s="173">
        <v>4900</v>
      </c>
      <c r="L231" s="173" t="s">
        <v>5161</v>
      </c>
      <c r="M231" s="173" t="s">
        <v>5236</v>
      </c>
      <c r="N231" s="173"/>
      <c r="O231" s="173"/>
      <c r="P231" s="173" t="s">
        <v>5206</v>
      </c>
      <c r="Q231" s="174">
        <v>42744</v>
      </c>
      <c r="S231" s="173" t="s">
        <v>3186</v>
      </c>
    </row>
    <row r="232" spans="1:19" x14ac:dyDescent="0.25">
      <c r="A232" s="173" t="s">
        <v>408</v>
      </c>
      <c r="B232" s="174">
        <v>42684</v>
      </c>
      <c r="C232" s="197" t="s">
        <v>5183</v>
      </c>
      <c r="D232" s="173" t="s">
        <v>5184</v>
      </c>
      <c r="E232" s="173" t="s">
        <v>5185</v>
      </c>
      <c r="F232" s="173" t="s">
        <v>4223</v>
      </c>
      <c r="G232" s="173" t="s">
        <v>5126</v>
      </c>
      <c r="H232" s="173"/>
      <c r="I232" s="173"/>
      <c r="J232" s="173" t="s">
        <v>21</v>
      </c>
      <c r="K232" s="173">
        <v>10500</v>
      </c>
      <c r="L232" s="173" t="s">
        <v>5149</v>
      </c>
      <c r="M232" s="173" t="s">
        <v>5238</v>
      </c>
      <c r="N232" s="173"/>
      <c r="O232" s="173"/>
      <c r="P232" s="173" t="s">
        <v>5206</v>
      </c>
      <c r="Q232" s="174">
        <v>42744</v>
      </c>
      <c r="S232" s="173" t="s">
        <v>3186</v>
      </c>
    </row>
    <row r="233" spans="1:19" x14ac:dyDescent="0.25">
      <c r="A233" s="173" t="s">
        <v>408</v>
      </c>
      <c r="B233" s="174">
        <v>42664</v>
      </c>
      <c r="C233" s="197" t="s">
        <v>5186</v>
      </c>
      <c r="D233" s="173" t="s">
        <v>5187</v>
      </c>
      <c r="E233" s="173" t="s">
        <v>5188</v>
      </c>
      <c r="F233" s="173" t="s">
        <v>4870</v>
      </c>
      <c r="G233" s="173" t="s">
        <v>5007</v>
      </c>
      <c r="H233" s="173"/>
      <c r="I233" s="173"/>
      <c r="J233" s="173" t="s">
        <v>21</v>
      </c>
      <c r="K233" s="173">
        <v>3500</v>
      </c>
      <c r="L233" s="173" t="s">
        <v>5189</v>
      </c>
      <c r="M233" s="173" t="s">
        <v>5229</v>
      </c>
      <c r="N233" s="173"/>
      <c r="O233" s="173"/>
      <c r="P233" s="173" t="s">
        <v>5206</v>
      </c>
      <c r="Q233" s="174">
        <v>42744</v>
      </c>
      <c r="S233" s="173" t="s">
        <v>3186</v>
      </c>
    </row>
    <row r="234" spans="1:19" x14ac:dyDescent="0.25">
      <c r="A234" s="173" t="s">
        <v>408</v>
      </c>
      <c r="B234" s="174">
        <v>42563</v>
      </c>
      <c r="C234" s="197" t="s">
        <v>835</v>
      </c>
      <c r="D234" s="173" t="s">
        <v>5190</v>
      </c>
      <c r="E234" s="173" t="s">
        <v>5033</v>
      </c>
      <c r="F234" s="173" t="s">
        <v>4803</v>
      </c>
      <c r="G234" s="173" t="s">
        <v>4961</v>
      </c>
      <c r="H234" s="173">
        <f>2000/1.21</f>
        <v>1652.8925619834711</v>
      </c>
      <c r="I234" s="176">
        <f>+H234*0.21</f>
        <v>347.10743801652893</v>
      </c>
      <c r="J234" s="173"/>
      <c r="K234" s="176">
        <f>+H234+I234</f>
        <v>2000</v>
      </c>
      <c r="L234" s="173" t="s">
        <v>5191</v>
      </c>
      <c r="M234" s="173" t="s">
        <v>5237</v>
      </c>
      <c r="N234" s="173"/>
      <c r="O234" s="173"/>
      <c r="P234" s="173" t="s">
        <v>5206</v>
      </c>
      <c r="Q234" s="174">
        <v>42744</v>
      </c>
      <c r="S234" s="173" t="s">
        <v>3186</v>
      </c>
    </row>
    <row r="235" spans="1:19" x14ac:dyDescent="0.25">
      <c r="A235" s="173" t="s">
        <v>12</v>
      </c>
      <c r="B235" s="174">
        <v>42727</v>
      </c>
      <c r="C235" s="197" t="s">
        <v>5192</v>
      </c>
      <c r="D235" s="173" t="s">
        <v>5000</v>
      </c>
      <c r="E235" s="173" t="s">
        <v>5001</v>
      </c>
      <c r="F235" s="173" t="s">
        <v>5193</v>
      </c>
      <c r="G235" s="173" t="s">
        <v>5194</v>
      </c>
      <c r="H235" s="173"/>
      <c r="I235" s="173"/>
      <c r="J235" s="173" t="s">
        <v>21</v>
      </c>
      <c r="K235" s="173">
        <v>11000</v>
      </c>
      <c r="L235" s="173"/>
      <c r="M235" s="173"/>
      <c r="N235" s="173"/>
      <c r="O235" s="173"/>
      <c r="P235" s="173" t="s">
        <v>5206</v>
      </c>
      <c r="Q235" s="174">
        <v>42744</v>
      </c>
      <c r="S235" s="173"/>
    </row>
    <row r="236" spans="1:19" x14ac:dyDescent="0.25">
      <c r="A236" s="185" t="s">
        <v>12</v>
      </c>
      <c r="B236" s="183">
        <v>42685</v>
      </c>
      <c r="C236" s="199" t="s">
        <v>944</v>
      </c>
      <c r="D236" s="185" t="s">
        <v>5195</v>
      </c>
      <c r="E236" s="185" t="s">
        <v>5196</v>
      </c>
      <c r="F236" s="185" t="s">
        <v>5153</v>
      </c>
      <c r="G236" s="185" t="s">
        <v>5152</v>
      </c>
      <c r="H236" s="185"/>
      <c r="I236" s="185"/>
      <c r="J236" s="185" t="s">
        <v>21</v>
      </c>
      <c r="K236" s="185">
        <v>1000</v>
      </c>
      <c r="L236" s="185" t="s">
        <v>4839</v>
      </c>
      <c r="M236" s="185"/>
      <c r="N236" s="185"/>
      <c r="O236" s="185"/>
      <c r="P236" s="185" t="s">
        <v>5206</v>
      </c>
      <c r="Q236" s="183">
        <v>42744</v>
      </c>
      <c r="S236" s="185"/>
    </row>
    <row r="237" spans="1:19" x14ac:dyDescent="0.25">
      <c r="A237" s="173" t="s">
        <v>12</v>
      </c>
      <c r="B237" s="174">
        <v>42645</v>
      </c>
      <c r="C237" s="197" t="s">
        <v>944</v>
      </c>
      <c r="D237" s="173" t="s">
        <v>5197</v>
      </c>
      <c r="E237" s="173" t="s">
        <v>5178</v>
      </c>
      <c r="F237" s="173" t="s">
        <v>906</v>
      </c>
      <c r="G237" s="173" t="s">
        <v>5198</v>
      </c>
      <c r="H237" s="173"/>
      <c r="I237" s="173"/>
      <c r="J237" s="173" t="s">
        <v>21</v>
      </c>
      <c r="K237" s="173">
        <v>2000</v>
      </c>
      <c r="L237" s="173" t="s">
        <v>4839</v>
      </c>
      <c r="M237" s="173"/>
      <c r="N237" s="173"/>
      <c r="O237" s="173"/>
      <c r="P237" s="173" t="s">
        <v>5206</v>
      </c>
      <c r="Q237" s="174">
        <v>42744</v>
      </c>
      <c r="S237" s="173"/>
    </row>
    <row r="238" spans="1:19" x14ac:dyDescent="0.25">
      <c r="A238" s="173" t="s">
        <v>408</v>
      </c>
      <c r="B238" s="174">
        <v>42716</v>
      </c>
      <c r="C238" s="197" t="s">
        <v>5199</v>
      </c>
      <c r="D238" s="173" t="s">
        <v>5200</v>
      </c>
      <c r="E238" s="173" t="s">
        <v>5201</v>
      </c>
      <c r="F238" s="173" t="s">
        <v>5153</v>
      </c>
      <c r="G238" s="173" t="s">
        <v>5152</v>
      </c>
      <c r="H238" s="173"/>
      <c r="I238" s="173"/>
      <c r="J238" s="173" t="s">
        <v>21</v>
      </c>
      <c r="K238" s="173">
        <v>1300</v>
      </c>
      <c r="L238" s="173" t="s">
        <v>5202</v>
      </c>
      <c r="M238" s="173"/>
      <c r="N238" s="173"/>
      <c r="O238" s="173"/>
      <c r="P238" s="173" t="s">
        <v>5206</v>
      </c>
      <c r="Q238" s="174">
        <v>42744</v>
      </c>
      <c r="S238" s="173"/>
    </row>
    <row r="239" spans="1:19" x14ac:dyDescent="0.25">
      <c r="A239" s="173" t="s">
        <v>408</v>
      </c>
      <c r="B239" s="174">
        <v>42667</v>
      </c>
      <c r="C239" s="197" t="s">
        <v>5203</v>
      </c>
      <c r="D239" s="173" t="s">
        <v>5204</v>
      </c>
      <c r="E239" s="173" t="s">
        <v>5209</v>
      </c>
      <c r="F239" s="173" t="s">
        <v>906</v>
      </c>
      <c r="G239" s="173" t="s">
        <v>5198</v>
      </c>
      <c r="H239" s="173"/>
      <c r="I239" s="173"/>
      <c r="J239" s="173" t="s">
        <v>21</v>
      </c>
      <c r="K239" s="173">
        <v>2450</v>
      </c>
      <c r="L239" s="173" t="s">
        <v>5205</v>
      </c>
      <c r="M239" s="173" t="s">
        <v>5220</v>
      </c>
      <c r="N239" s="173"/>
      <c r="O239" s="173"/>
      <c r="P239" s="173" t="s">
        <v>5206</v>
      </c>
      <c r="Q239" s="174">
        <v>42744</v>
      </c>
      <c r="S239" s="173" t="s">
        <v>3186</v>
      </c>
    </row>
    <row r="240" spans="1:19" x14ac:dyDescent="0.25">
      <c r="A240" s="173" t="s">
        <v>12</v>
      </c>
      <c r="B240" s="174">
        <v>42732</v>
      </c>
      <c r="C240" s="197" t="s">
        <v>5207</v>
      </c>
      <c r="D240" s="173" t="s">
        <v>4583</v>
      </c>
      <c r="E240" s="173" t="s">
        <v>4797</v>
      </c>
      <c r="F240" s="173" t="s">
        <v>4232</v>
      </c>
      <c r="G240" s="173" t="s">
        <v>5208</v>
      </c>
      <c r="H240" s="173"/>
      <c r="I240" s="173"/>
      <c r="J240" s="173" t="s">
        <v>21</v>
      </c>
      <c r="K240" s="173">
        <v>9000</v>
      </c>
      <c r="L240" s="173"/>
      <c r="M240" s="173"/>
      <c r="N240" s="173"/>
      <c r="O240" s="173"/>
      <c r="P240" s="173" t="s">
        <v>5213</v>
      </c>
      <c r="Q240" s="174">
        <v>42746</v>
      </c>
      <c r="S240" s="173"/>
    </row>
    <row r="241" spans="1:19" x14ac:dyDescent="0.25">
      <c r="A241" s="173" t="s">
        <v>12</v>
      </c>
      <c r="B241" s="174">
        <v>42734</v>
      </c>
      <c r="C241" s="197" t="s">
        <v>5210</v>
      </c>
      <c r="D241" s="173" t="s">
        <v>4057</v>
      </c>
      <c r="E241" s="173" t="s">
        <v>4058</v>
      </c>
      <c r="F241" s="173" t="s">
        <v>5211</v>
      </c>
      <c r="G241" s="173" t="s">
        <v>5212</v>
      </c>
      <c r="H241" s="173"/>
      <c r="I241" s="173"/>
      <c r="J241" s="173" t="s">
        <v>21</v>
      </c>
      <c r="K241" s="173">
        <v>11000</v>
      </c>
      <c r="L241" s="173"/>
      <c r="M241" s="173"/>
      <c r="N241" s="173"/>
      <c r="O241" s="173"/>
      <c r="P241" s="173" t="s">
        <v>5213</v>
      </c>
      <c r="Q241" s="174">
        <v>42746</v>
      </c>
      <c r="S241" s="173"/>
    </row>
  </sheetData>
  <autoFilter ref="A1:S241" xr:uid="{00000000-0009-0000-0000-000005000000}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5"/>
  <dimension ref="A1:S125"/>
  <sheetViews>
    <sheetView workbookViewId="0">
      <pane ySplit="1" topLeftCell="A42" activePane="bottomLeft" state="frozen"/>
      <selection pane="bottomLeft" activeCell="E52" sqref="E52"/>
    </sheetView>
  </sheetViews>
  <sheetFormatPr baseColWidth="10" defaultColWidth="11.42578125" defaultRowHeight="15" x14ac:dyDescent="0.25"/>
  <cols>
    <col min="1" max="1" width="11" customWidth="1"/>
    <col min="3" max="3" width="18.7109375" style="177" customWidth="1"/>
    <col min="4" max="4" width="22.5703125" customWidth="1"/>
    <col min="6" max="6" width="16.140625" customWidth="1"/>
    <col min="8" max="8" width="10.85546875" customWidth="1"/>
    <col min="10" max="10" width="12.85546875" customWidth="1"/>
    <col min="12" max="12" width="26" customWidth="1"/>
    <col min="13" max="13" width="22.5703125" customWidth="1"/>
    <col min="16" max="16" width="16.5703125" customWidth="1"/>
  </cols>
  <sheetData>
    <row r="1" spans="1:19" x14ac:dyDescent="0.25">
      <c r="A1" s="178" t="s">
        <v>0</v>
      </c>
      <c r="B1" s="179" t="s">
        <v>1</v>
      </c>
      <c r="C1" s="179" t="s">
        <v>2</v>
      </c>
      <c r="D1" s="180" t="s">
        <v>3</v>
      </c>
      <c r="E1" s="181" t="s">
        <v>4</v>
      </c>
      <c r="F1" s="180" t="s">
        <v>5</v>
      </c>
      <c r="G1" s="180" t="s">
        <v>6</v>
      </c>
      <c r="H1" s="180" t="s">
        <v>7</v>
      </c>
      <c r="I1" s="180" t="s">
        <v>3503</v>
      </c>
      <c r="J1" s="180" t="s">
        <v>1630</v>
      </c>
      <c r="K1" s="180" t="s">
        <v>9</v>
      </c>
      <c r="L1" s="180" t="s">
        <v>3508</v>
      </c>
      <c r="M1" s="180" t="s">
        <v>83</v>
      </c>
      <c r="N1" s="181" t="s">
        <v>85</v>
      </c>
      <c r="O1" s="180" t="s">
        <v>86</v>
      </c>
      <c r="P1" s="180" t="s">
        <v>11</v>
      </c>
      <c r="Q1" s="178" t="s">
        <v>30</v>
      </c>
      <c r="R1" s="178" t="s">
        <v>3185</v>
      </c>
      <c r="S1" s="178" t="s">
        <v>3784</v>
      </c>
    </row>
    <row r="2" spans="1:19" x14ac:dyDescent="0.25">
      <c r="A2" s="185" t="s">
        <v>12</v>
      </c>
      <c r="B2" s="183">
        <v>41640</v>
      </c>
      <c r="C2" s="184">
        <v>1012014</v>
      </c>
      <c r="D2" s="185" t="s">
        <v>3948</v>
      </c>
      <c r="E2" s="185" t="s">
        <v>3949</v>
      </c>
      <c r="F2" s="185" t="s">
        <v>3950</v>
      </c>
      <c r="G2" s="185" t="s">
        <v>3951</v>
      </c>
      <c r="H2" s="186">
        <v>5785.13</v>
      </c>
      <c r="I2" s="186">
        <f>+H2*0.21</f>
        <v>1214.8772999999999</v>
      </c>
      <c r="J2" s="186"/>
      <c r="K2" s="186">
        <f>+H2+I2</f>
        <v>7000.0073000000002</v>
      </c>
      <c r="L2" s="185" t="s">
        <v>3971</v>
      </c>
      <c r="M2" s="185" t="s">
        <v>3328</v>
      </c>
      <c r="N2" s="185"/>
      <c r="O2" s="185"/>
      <c r="P2" s="185" t="s">
        <v>4000</v>
      </c>
      <c r="Q2" s="183">
        <v>41726</v>
      </c>
      <c r="R2" s="185"/>
      <c r="S2" s="185"/>
    </row>
    <row r="3" spans="1:19" x14ac:dyDescent="0.25">
      <c r="A3" s="173" t="s">
        <v>12</v>
      </c>
      <c r="B3" s="174">
        <v>41661</v>
      </c>
      <c r="C3" s="175" t="s">
        <v>3954</v>
      </c>
      <c r="D3" s="173" t="s">
        <v>3839</v>
      </c>
      <c r="E3" s="173" t="s">
        <v>3840</v>
      </c>
      <c r="F3" s="173" t="s">
        <v>3955</v>
      </c>
      <c r="G3" s="173" t="s">
        <v>3956</v>
      </c>
      <c r="H3" s="176">
        <v>9338.84</v>
      </c>
      <c r="I3" s="176">
        <f>+H3*0.21</f>
        <v>1961.1563999999998</v>
      </c>
      <c r="J3" s="176"/>
      <c r="K3" s="176">
        <f>+H3+I3</f>
        <v>11299.9964</v>
      </c>
      <c r="L3" s="173" t="s">
        <v>3971</v>
      </c>
      <c r="M3" s="173" t="s">
        <v>4013</v>
      </c>
      <c r="N3" s="173"/>
      <c r="O3" s="173"/>
      <c r="P3" s="173" t="s">
        <v>4000</v>
      </c>
      <c r="Q3" s="174">
        <v>41726</v>
      </c>
      <c r="R3" s="173"/>
      <c r="S3" s="173"/>
    </row>
    <row r="4" spans="1:19" x14ac:dyDescent="0.25">
      <c r="A4" s="173" t="s">
        <v>12</v>
      </c>
      <c r="B4" s="174">
        <v>41668</v>
      </c>
      <c r="C4" s="175" t="s">
        <v>3957</v>
      </c>
      <c r="D4" s="173" t="s">
        <v>3958</v>
      </c>
      <c r="E4" s="173" t="s">
        <v>2626</v>
      </c>
      <c r="F4" s="173" t="s">
        <v>3959</v>
      </c>
      <c r="G4" s="173" t="s">
        <v>3960</v>
      </c>
      <c r="H4" s="176">
        <v>2892.56</v>
      </c>
      <c r="I4" s="176">
        <f>+H4*0.21</f>
        <v>607.43759999999997</v>
      </c>
      <c r="J4" s="176"/>
      <c r="K4" s="176">
        <f>+H4+I4</f>
        <v>3499.9975999999997</v>
      </c>
      <c r="L4" s="173" t="s">
        <v>3971</v>
      </c>
      <c r="M4" s="173" t="s">
        <v>3328</v>
      </c>
      <c r="N4" s="173"/>
      <c r="O4" s="173"/>
      <c r="P4" s="173" t="s">
        <v>4000</v>
      </c>
      <c r="Q4" s="174">
        <v>41726</v>
      </c>
      <c r="R4" s="173"/>
      <c r="S4" s="173"/>
    </row>
    <row r="5" spans="1:19" x14ac:dyDescent="0.25">
      <c r="A5" s="173" t="s">
        <v>12</v>
      </c>
      <c r="B5" s="174">
        <v>41674</v>
      </c>
      <c r="C5" s="175" t="s">
        <v>944</v>
      </c>
      <c r="D5" s="173" t="s">
        <v>3964</v>
      </c>
      <c r="E5" s="173" t="s">
        <v>3961</v>
      </c>
      <c r="F5" s="173" t="s">
        <v>3962</v>
      </c>
      <c r="G5" s="173" t="s">
        <v>3963</v>
      </c>
      <c r="H5" s="176"/>
      <c r="I5" s="176"/>
      <c r="J5" s="176" t="s">
        <v>21</v>
      </c>
      <c r="K5" s="176">
        <v>1000</v>
      </c>
      <c r="L5" s="173" t="s">
        <v>3971</v>
      </c>
      <c r="M5" s="173" t="s">
        <v>3947</v>
      </c>
      <c r="N5" s="173"/>
      <c r="O5" s="173"/>
      <c r="P5" s="173" t="s">
        <v>4000</v>
      </c>
      <c r="Q5" s="174">
        <v>41726</v>
      </c>
      <c r="R5" s="173"/>
      <c r="S5" s="173"/>
    </row>
    <row r="6" spans="1:19" x14ac:dyDescent="0.25">
      <c r="A6" s="173" t="s">
        <v>12</v>
      </c>
      <c r="B6" s="174">
        <v>41646</v>
      </c>
      <c r="C6" s="175" t="s">
        <v>944</v>
      </c>
      <c r="D6" s="173" t="s">
        <v>3965</v>
      </c>
      <c r="E6" s="173" t="s">
        <v>3966</v>
      </c>
      <c r="F6" s="173" t="s">
        <v>3967</v>
      </c>
      <c r="G6" s="173" t="s">
        <v>3968</v>
      </c>
      <c r="H6" s="176"/>
      <c r="I6" s="176"/>
      <c r="J6" s="176" t="s">
        <v>21</v>
      </c>
      <c r="K6" s="176">
        <v>1000</v>
      </c>
      <c r="L6" s="173" t="s">
        <v>3971</v>
      </c>
      <c r="M6" s="173" t="s">
        <v>3947</v>
      </c>
      <c r="N6" s="173"/>
      <c r="O6" s="173"/>
      <c r="P6" s="173" t="s">
        <v>4000</v>
      </c>
      <c r="Q6" s="174">
        <v>41726</v>
      </c>
      <c r="R6" s="173"/>
      <c r="S6" s="173"/>
    </row>
    <row r="7" spans="1:19" x14ac:dyDescent="0.25">
      <c r="A7" s="173" t="s">
        <v>408</v>
      </c>
      <c r="B7" s="174">
        <v>41647</v>
      </c>
      <c r="C7" s="175" t="s">
        <v>2992</v>
      </c>
      <c r="D7" s="173" t="s">
        <v>3891</v>
      </c>
      <c r="E7" s="173" t="s">
        <v>3892</v>
      </c>
      <c r="F7" s="173" t="s">
        <v>3967</v>
      </c>
      <c r="G7" s="173" t="s">
        <v>3968</v>
      </c>
      <c r="H7" s="176"/>
      <c r="I7" s="176"/>
      <c r="J7" s="176" t="s">
        <v>21</v>
      </c>
      <c r="K7" s="176">
        <v>1300</v>
      </c>
      <c r="L7" s="173" t="s">
        <v>3972</v>
      </c>
      <c r="M7" s="173" t="s">
        <v>3947</v>
      </c>
      <c r="N7" s="173"/>
      <c r="O7" s="173"/>
      <c r="P7" s="173" t="s">
        <v>4000</v>
      </c>
      <c r="Q7" s="174">
        <v>41726</v>
      </c>
      <c r="R7" s="173"/>
      <c r="S7" s="173"/>
    </row>
    <row r="8" spans="1:19" x14ac:dyDescent="0.25">
      <c r="A8" s="173" t="s">
        <v>408</v>
      </c>
      <c r="B8" s="174">
        <v>41678</v>
      </c>
      <c r="C8" s="175" t="s">
        <v>3004</v>
      </c>
      <c r="D8" s="173" t="s">
        <v>3969</v>
      </c>
      <c r="E8" s="173" t="s">
        <v>3970</v>
      </c>
      <c r="F8" s="173" t="s">
        <v>3962</v>
      </c>
      <c r="G8" s="173" t="s">
        <v>3963</v>
      </c>
      <c r="H8" s="176"/>
      <c r="I8" s="176"/>
      <c r="J8" s="176" t="s">
        <v>21</v>
      </c>
      <c r="K8" s="176">
        <v>1400</v>
      </c>
      <c r="L8" s="173" t="s">
        <v>3973</v>
      </c>
      <c r="M8" s="173" t="s">
        <v>3947</v>
      </c>
      <c r="N8" s="173"/>
      <c r="O8" s="173"/>
      <c r="P8" s="173" t="s">
        <v>4000</v>
      </c>
      <c r="Q8" s="174">
        <v>41726</v>
      </c>
      <c r="R8" s="173"/>
      <c r="S8" s="173"/>
    </row>
    <row r="9" spans="1:19" x14ac:dyDescent="0.25">
      <c r="A9" s="173" t="s">
        <v>408</v>
      </c>
      <c r="B9" s="174">
        <v>41682</v>
      </c>
      <c r="C9" s="175" t="s">
        <v>3974</v>
      </c>
      <c r="D9" s="173" t="s">
        <v>3975</v>
      </c>
      <c r="E9" s="173" t="s">
        <v>3976</v>
      </c>
      <c r="F9" s="173" t="s">
        <v>2718</v>
      </c>
      <c r="G9" s="173" t="s">
        <v>3833</v>
      </c>
      <c r="H9" s="176"/>
      <c r="I9" s="176"/>
      <c r="J9" s="176" t="s">
        <v>21</v>
      </c>
      <c r="K9" s="176">
        <v>700</v>
      </c>
      <c r="L9" s="173" t="s">
        <v>3977</v>
      </c>
      <c r="M9" s="173" t="s">
        <v>3947</v>
      </c>
      <c r="N9" s="173"/>
      <c r="O9" s="173"/>
      <c r="P9" s="173" t="s">
        <v>4000</v>
      </c>
      <c r="Q9" s="174">
        <v>41726</v>
      </c>
      <c r="R9" s="173"/>
      <c r="S9" s="173"/>
    </row>
    <row r="10" spans="1:19" x14ac:dyDescent="0.25">
      <c r="A10" s="173" t="s">
        <v>408</v>
      </c>
      <c r="B10" s="174">
        <v>41680</v>
      </c>
      <c r="C10" s="175" t="s">
        <v>3007</v>
      </c>
      <c r="D10" s="173" t="s">
        <v>3978</v>
      </c>
      <c r="E10" s="173" t="s">
        <v>3979</v>
      </c>
      <c r="F10" s="173" t="s">
        <v>3847</v>
      </c>
      <c r="G10" s="173" t="s">
        <v>3848</v>
      </c>
      <c r="H10" s="176">
        <f>6000/1.21</f>
        <v>4958.6776859504134</v>
      </c>
      <c r="I10" s="176">
        <f>+H10*0.21</f>
        <v>1041.3223140495868</v>
      </c>
      <c r="J10" s="176"/>
      <c r="K10" s="176">
        <f>+H10+I10</f>
        <v>6000</v>
      </c>
      <c r="L10" s="173" t="s">
        <v>3980</v>
      </c>
      <c r="M10" s="173" t="s">
        <v>4358</v>
      </c>
      <c r="N10" s="173"/>
      <c r="O10" s="173"/>
      <c r="P10" s="173" t="s">
        <v>4000</v>
      </c>
      <c r="Q10" s="174">
        <v>41726</v>
      </c>
      <c r="R10" s="173"/>
      <c r="S10" s="173" t="s">
        <v>3186</v>
      </c>
    </row>
    <row r="11" spans="1:19" x14ac:dyDescent="0.25">
      <c r="A11" s="173" t="s">
        <v>408</v>
      </c>
      <c r="B11" s="174">
        <v>41689</v>
      </c>
      <c r="C11" s="175" t="s">
        <v>3981</v>
      </c>
      <c r="D11" s="173" t="s">
        <v>3982</v>
      </c>
      <c r="E11" s="173" t="s">
        <v>3983</v>
      </c>
      <c r="F11" s="173" t="s">
        <v>2636</v>
      </c>
      <c r="G11" s="173" t="s">
        <v>3900</v>
      </c>
      <c r="H11" s="176">
        <f>5100/1.21</f>
        <v>4214.8760330578516</v>
      </c>
      <c r="I11" s="176">
        <f>+H11*0.21</f>
        <v>885.12396694214885</v>
      </c>
      <c r="J11" s="176"/>
      <c r="K11" s="176">
        <f>+H11+I11</f>
        <v>5100</v>
      </c>
      <c r="L11" s="173" t="s">
        <v>3984</v>
      </c>
      <c r="M11" s="173" t="s">
        <v>4181</v>
      </c>
      <c r="N11" s="173"/>
      <c r="O11" s="173"/>
      <c r="P11" s="173" t="s">
        <v>4000</v>
      </c>
      <c r="Q11" s="174">
        <v>41726</v>
      </c>
      <c r="R11" s="173"/>
      <c r="S11" s="173" t="s">
        <v>3186</v>
      </c>
    </row>
    <row r="12" spans="1:19" x14ac:dyDescent="0.25">
      <c r="A12" s="173" t="s">
        <v>408</v>
      </c>
      <c r="B12" s="174">
        <v>41668</v>
      </c>
      <c r="C12" s="175" t="s">
        <v>2995</v>
      </c>
      <c r="D12" s="173" t="s">
        <v>3986</v>
      </c>
      <c r="E12" s="173" t="s">
        <v>3987</v>
      </c>
      <c r="F12" s="173" t="s">
        <v>3843</v>
      </c>
      <c r="G12" s="173" t="s">
        <v>3844</v>
      </c>
      <c r="H12" s="176"/>
      <c r="I12" s="176"/>
      <c r="J12" s="176" t="s">
        <v>21</v>
      </c>
      <c r="K12" s="176">
        <v>10000</v>
      </c>
      <c r="L12" s="173" t="s">
        <v>3985</v>
      </c>
      <c r="M12" s="173" t="s">
        <v>4350</v>
      </c>
      <c r="N12" s="173"/>
      <c r="O12" s="173"/>
      <c r="P12" s="173" t="s">
        <v>4000</v>
      </c>
      <c r="Q12" s="174">
        <v>41726</v>
      </c>
      <c r="R12" s="173"/>
      <c r="S12" s="173" t="s">
        <v>3186</v>
      </c>
    </row>
    <row r="13" spans="1:19" x14ac:dyDescent="0.25">
      <c r="A13" s="173" t="s">
        <v>408</v>
      </c>
      <c r="B13" s="174">
        <v>41640</v>
      </c>
      <c r="C13" s="175" t="s">
        <v>2990</v>
      </c>
      <c r="D13" s="173" t="s">
        <v>3989</v>
      </c>
      <c r="E13" s="173" t="s">
        <v>3990</v>
      </c>
      <c r="F13" s="173" t="s">
        <v>3932</v>
      </c>
      <c r="G13" s="173" t="s">
        <v>3933</v>
      </c>
      <c r="H13" s="176"/>
      <c r="I13" s="176"/>
      <c r="J13" s="176"/>
      <c r="K13" s="176">
        <v>350</v>
      </c>
      <c r="L13" s="173" t="s">
        <v>3988</v>
      </c>
      <c r="M13" s="173" t="s">
        <v>3947</v>
      </c>
      <c r="N13" s="173"/>
      <c r="O13" s="173"/>
      <c r="P13" s="173" t="s">
        <v>4000</v>
      </c>
      <c r="Q13" s="174">
        <v>41726</v>
      </c>
      <c r="R13" s="173"/>
      <c r="S13" s="173"/>
    </row>
    <row r="14" spans="1:19" x14ac:dyDescent="0.25">
      <c r="A14" s="173" t="s">
        <v>408</v>
      </c>
      <c r="B14" s="174">
        <v>41673</v>
      </c>
      <c r="C14" s="175" t="s">
        <v>3992</v>
      </c>
      <c r="D14" s="173" t="s">
        <v>3993</v>
      </c>
      <c r="E14" s="173" t="s">
        <v>3994</v>
      </c>
      <c r="F14" s="173" t="s">
        <v>875</v>
      </c>
      <c r="G14" s="173" t="s">
        <v>3897</v>
      </c>
      <c r="H14" s="176">
        <f>4000/1.21</f>
        <v>3305.7851239669421</v>
      </c>
      <c r="I14" s="176">
        <f>+H14*0.21</f>
        <v>694.21487603305786</v>
      </c>
      <c r="J14" s="176"/>
      <c r="K14" s="176">
        <f>+H14+I14</f>
        <v>4000</v>
      </c>
      <c r="L14" s="173" t="s">
        <v>3991</v>
      </c>
      <c r="M14" s="173" t="s">
        <v>4351</v>
      </c>
      <c r="N14" s="173"/>
      <c r="O14" s="173"/>
      <c r="P14" s="173" t="s">
        <v>4000</v>
      </c>
      <c r="Q14" s="174">
        <v>41726</v>
      </c>
      <c r="R14" s="173"/>
      <c r="S14" s="173" t="s">
        <v>3186</v>
      </c>
    </row>
    <row r="15" spans="1:19" x14ac:dyDescent="0.25">
      <c r="A15" s="173" t="s">
        <v>408</v>
      </c>
      <c r="B15" s="174">
        <v>41674</v>
      </c>
      <c r="C15" s="175" t="s">
        <v>3001</v>
      </c>
      <c r="D15" s="173" t="s">
        <v>3995</v>
      </c>
      <c r="E15" s="173" t="s">
        <v>3996</v>
      </c>
      <c r="F15" s="173" t="s">
        <v>3847</v>
      </c>
      <c r="G15" s="173" t="s">
        <v>3851</v>
      </c>
      <c r="H15" s="176">
        <f>6000/1.21</f>
        <v>4958.6776859504134</v>
      </c>
      <c r="I15" s="176">
        <f>+H15*0.21</f>
        <v>1041.3223140495868</v>
      </c>
      <c r="J15" s="176"/>
      <c r="K15" s="176">
        <f>+H15+I15</f>
        <v>6000</v>
      </c>
      <c r="L15" s="173" t="s">
        <v>3980</v>
      </c>
      <c r="M15" s="173" t="s">
        <v>4014</v>
      </c>
      <c r="N15" s="173"/>
      <c r="O15" s="173"/>
      <c r="P15" s="173" t="s">
        <v>4000</v>
      </c>
      <c r="Q15" s="174">
        <v>41726</v>
      </c>
      <c r="R15" s="173"/>
      <c r="S15" s="173" t="s">
        <v>3186</v>
      </c>
    </row>
    <row r="16" spans="1:19" x14ac:dyDescent="0.25">
      <c r="A16" s="173" t="s">
        <v>408</v>
      </c>
      <c r="B16" s="174">
        <v>41660</v>
      </c>
      <c r="C16" s="175" t="s">
        <v>2993</v>
      </c>
      <c r="D16" s="173" t="s">
        <v>3997</v>
      </c>
      <c r="E16" s="173" t="s">
        <v>3999</v>
      </c>
      <c r="F16" s="173" t="s">
        <v>3950</v>
      </c>
      <c r="G16" s="173" t="s">
        <v>3951</v>
      </c>
      <c r="H16" s="176">
        <f>7500/1.21</f>
        <v>6198.3471074380168</v>
      </c>
      <c r="I16" s="176">
        <f>+H16*0.21</f>
        <v>1301.6528925619834</v>
      </c>
      <c r="J16" s="176"/>
      <c r="K16" s="176">
        <f>+H16+I16</f>
        <v>7500</v>
      </c>
      <c r="L16" s="173" t="s">
        <v>3998</v>
      </c>
      <c r="M16" s="173" t="s">
        <v>4331</v>
      </c>
      <c r="N16" s="173"/>
      <c r="O16" s="173"/>
      <c r="P16" s="173" t="s">
        <v>4000</v>
      </c>
      <c r="Q16" s="174">
        <v>41726</v>
      </c>
      <c r="R16" s="173"/>
      <c r="S16" s="173" t="s">
        <v>3186</v>
      </c>
    </row>
    <row r="17" spans="1:19" x14ac:dyDescent="0.25">
      <c r="A17" s="173" t="s">
        <v>12</v>
      </c>
      <c r="B17" s="174">
        <v>41668</v>
      </c>
      <c r="C17" s="175" t="s">
        <v>944</v>
      </c>
      <c r="D17" s="173" t="s">
        <v>4001</v>
      </c>
      <c r="E17" s="173" t="s">
        <v>4002</v>
      </c>
      <c r="F17" s="173" t="s">
        <v>4003</v>
      </c>
      <c r="G17" s="173" t="s">
        <v>4004</v>
      </c>
      <c r="H17" s="173"/>
      <c r="I17" s="173"/>
      <c r="J17" s="173" t="s">
        <v>21</v>
      </c>
      <c r="K17" s="173">
        <v>7500</v>
      </c>
      <c r="L17" s="173" t="s">
        <v>3971</v>
      </c>
      <c r="M17" s="173" t="s">
        <v>4095</v>
      </c>
      <c r="N17" s="173"/>
      <c r="O17" s="173"/>
      <c r="P17" s="173" t="s">
        <v>4000</v>
      </c>
      <c r="Q17" s="174">
        <v>41736</v>
      </c>
      <c r="R17" s="173"/>
      <c r="S17" s="173" t="s">
        <v>3186</v>
      </c>
    </row>
    <row r="18" spans="1:19" x14ac:dyDescent="0.25">
      <c r="A18" s="173" t="s">
        <v>12</v>
      </c>
      <c r="B18" s="174">
        <v>41696</v>
      </c>
      <c r="C18" s="175" t="s">
        <v>944</v>
      </c>
      <c r="D18" s="173" t="s">
        <v>4005</v>
      </c>
      <c r="E18" s="173" t="s">
        <v>4006</v>
      </c>
      <c r="F18" s="173" t="s">
        <v>4007</v>
      </c>
      <c r="G18" s="173" t="s">
        <v>4008</v>
      </c>
      <c r="H18" s="173"/>
      <c r="I18" s="173"/>
      <c r="J18" s="173" t="s">
        <v>21</v>
      </c>
      <c r="K18" s="173">
        <v>8750</v>
      </c>
      <c r="L18" s="173" t="s">
        <v>3971</v>
      </c>
      <c r="M18" s="173" t="s">
        <v>4096</v>
      </c>
      <c r="N18" s="173"/>
      <c r="O18" s="173"/>
      <c r="P18" s="173" t="s">
        <v>4000</v>
      </c>
      <c r="Q18" s="174">
        <v>41736</v>
      </c>
      <c r="R18" s="173"/>
      <c r="S18" s="173" t="s">
        <v>3186</v>
      </c>
    </row>
    <row r="19" spans="1:19" x14ac:dyDescent="0.25">
      <c r="A19" s="173" t="s">
        <v>408</v>
      </c>
      <c r="B19" s="174">
        <v>41717</v>
      </c>
      <c r="C19" s="175" t="s">
        <v>3013</v>
      </c>
      <c r="D19" s="173" t="s">
        <v>4009</v>
      </c>
      <c r="E19" s="173" t="s">
        <v>4010</v>
      </c>
      <c r="F19" s="173" t="s">
        <v>4011</v>
      </c>
      <c r="G19" s="173" t="s">
        <v>4012</v>
      </c>
      <c r="H19" s="176">
        <f>14500/1.21</f>
        <v>11983.471074380166</v>
      </c>
      <c r="I19" s="176">
        <f>+H19*0.21</f>
        <v>2516.5289256198348</v>
      </c>
      <c r="J19" s="176"/>
      <c r="K19" s="176">
        <f>+H19+I19</f>
        <v>14500</v>
      </c>
      <c r="L19" s="173" t="s">
        <v>4017</v>
      </c>
      <c r="M19" s="173" t="s">
        <v>4329</v>
      </c>
      <c r="N19" s="173"/>
      <c r="O19" s="173"/>
      <c r="P19" s="173" t="s">
        <v>4000</v>
      </c>
      <c r="Q19" s="174">
        <v>41736</v>
      </c>
      <c r="R19" s="173"/>
      <c r="S19" s="173" t="s">
        <v>3186</v>
      </c>
    </row>
    <row r="20" spans="1:19" x14ac:dyDescent="0.25">
      <c r="A20" s="173" t="s">
        <v>12</v>
      </c>
      <c r="B20" s="174">
        <v>41662</v>
      </c>
      <c r="C20" s="175" t="s">
        <v>4015</v>
      </c>
      <c r="D20" s="173" t="s">
        <v>4016</v>
      </c>
      <c r="E20" s="173" t="s">
        <v>3338</v>
      </c>
      <c r="F20" s="173" t="s">
        <v>4011</v>
      </c>
      <c r="G20" s="173" t="s">
        <v>4012</v>
      </c>
      <c r="H20" s="176">
        <f>13900/1.21</f>
        <v>11487.603305785124</v>
      </c>
      <c r="I20" s="176">
        <f>+H20*0.21</f>
        <v>2412.3966942148759</v>
      </c>
      <c r="J20" s="176"/>
      <c r="K20" s="176">
        <f>+H20+I20</f>
        <v>13900</v>
      </c>
      <c r="L20" s="173" t="s">
        <v>3971</v>
      </c>
      <c r="M20" s="173"/>
      <c r="N20" s="173"/>
      <c r="O20" s="173"/>
      <c r="P20" s="173" t="s">
        <v>4000</v>
      </c>
      <c r="Q20" s="174">
        <v>41738</v>
      </c>
      <c r="R20" s="173"/>
      <c r="S20" s="173"/>
    </row>
    <row r="21" spans="1:19" x14ac:dyDescent="0.25">
      <c r="A21" s="173" t="s">
        <v>12</v>
      </c>
      <c r="B21" s="174">
        <v>41736</v>
      </c>
      <c r="C21" s="175" t="s">
        <v>4018</v>
      </c>
      <c r="D21" s="173" t="s">
        <v>4019</v>
      </c>
      <c r="E21" s="173" t="s">
        <v>4020</v>
      </c>
      <c r="F21" s="173" t="s">
        <v>4021</v>
      </c>
      <c r="G21" s="173" t="s">
        <v>4022</v>
      </c>
      <c r="H21" s="176"/>
      <c r="I21" s="176"/>
      <c r="J21" s="176" t="s">
        <v>21</v>
      </c>
      <c r="K21" s="176">
        <v>10000</v>
      </c>
      <c r="L21" s="173" t="s">
        <v>3971</v>
      </c>
      <c r="M21" s="173" t="s">
        <v>4098</v>
      </c>
      <c r="N21" s="173"/>
      <c r="O21" s="173"/>
      <c r="P21" s="173" t="s">
        <v>4106</v>
      </c>
      <c r="Q21" s="174">
        <v>41830</v>
      </c>
      <c r="R21" s="173"/>
      <c r="S21" s="173"/>
    </row>
    <row r="22" spans="1:19" x14ac:dyDescent="0.25">
      <c r="A22" s="173" t="s">
        <v>12</v>
      </c>
      <c r="B22" s="174">
        <v>41698</v>
      </c>
      <c r="C22" s="175" t="s">
        <v>944</v>
      </c>
      <c r="D22" s="173" t="s">
        <v>4023</v>
      </c>
      <c r="E22" s="173" t="s">
        <v>4024</v>
      </c>
      <c r="F22" s="173" t="s">
        <v>4061</v>
      </c>
      <c r="G22" s="173" t="s">
        <v>4025</v>
      </c>
      <c r="H22" s="173"/>
      <c r="I22" s="173"/>
      <c r="J22" s="173" t="s">
        <v>21</v>
      </c>
      <c r="K22" s="176">
        <v>1700</v>
      </c>
      <c r="L22" s="173" t="s">
        <v>3971</v>
      </c>
      <c r="M22" s="173"/>
      <c r="N22" s="173"/>
      <c r="O22" s="173"/>
      <c r="P22" s="173" t="s">
        <v>4106</v>
      </c>
      <c r="Q22" s="174">
        <v>41830</v>
      </c>
      <c r="R22" s="173"/>
      <c r="S22" s="173"/>
    </row>
    <row r="23" spans="1:19" x14ac:dyDescent="0.25">
      <c r="A23" s="173" t="s">
        <v>12</v>
      </c>
      <c r="B23" s="174">
        <v>41731</v>
      </c>
      <c r="C23" s="175" t="s">
        <v>944</v>
      </c>
      <c r="D23" s="173" t="s">
        <v>4026</v>
      </c>
      <c r="E23" s="173" t="s">
        <v>4027</v>
      </c>
      <c r="F23" s="173" t="s">
        <v>4028</v>
      </c>
      <c r="G23" s="173" t="s">
        <v>4029</v>
      </c>
      <c r="H23" s="173"/>
      <c r="I23" s="173"/>
      <c r="J23" s="173" t="s">
        <v>21</v>
      </c>
      <c r="K23" s="176">
        <v>2400</v>
      </c>
      <c r="L23" s="173" t="s">
        <v>3971</v>
      </c>
      <c r="M23" s="173"/>
      <c r="N23" s="173"/>
      <c r="O23" s="173"/>
      <c r="P23" s="173" t="s">
        <v>4106</v>
      </c>
      <c r="Q23" s="174">
        <v>41830</v>
      </c>
      <c r="R23" s="173"/>
      <c r="S23" s="173"/>
    </row>
    <row r="24" spans="1:19" x14ac:dyDescent="0.25">
      <c r="A24" s="173" t="s">
        <v>12</v>
      </c>
      <c r="B24" s="174">
        <v>41722</v>
      </c>
      <c r="C24" s="175" t="s">
        <v>944</v>
      </c>
      <c r="D24" s="173" t="s">
        <v>4030</v>
      </c>
      <c r="E24" s="173" t="s">
        <v>4031</v>
      </c>
      <c r="F24" s="173" t="s">
        <v>3210</v>
      </c>
      <c r="G24" s="173" t="s">
        <v>4032</v>
      </c>
      <c r="H24" s="173"/>
      <c r="I24" s="173"/>
      <c r="J24" s="176" t="s">
        <v>21</v>
      </c>
      <c r="K24" s="176">
        <v>4000</v>
      </c>
      <c r="L24" s="173" t="s">
        <v>3971</v>
      </c>
      <c r="M24" s="173" t="s">
        <v>4097</v>
      </c>
      <c r="N24" s="173"/>
      <c r="O24" s="173"/>
      <c r="P24" s="173" t="s">
        <v>4106</v>
      </c>
      <c r="Q24" s="174">
        <v>41830</v>
      </c>
      <c r="R24" s="173"/>
      <c r="S24" s="173" t="s">
        <v>3186</v>
      </c>
    </row>
    <row r="25" spans="1:19" x14ac:dyDescent="0.25">
      <c r="A25" s="173" t="s">
        <v>12</v>
      </c>
      <c r="B25" s="174">
        <v>41790</v>
      </c>
      <c r="C25" s="175" t="s">
        <v>4033</v>
      </c>
      <c r="D25" s="173" t="s">
        <v>973</v>
      </c>
      <c r="E25" s="173" t="s">
        <v>974</v>
      </c>
      <c r="F25" s="173" t="s">
        <v>4034</v>
      </c>
      <c r="G25" s="173" t="s">
        <v>4035</v>
      </c>
      <c r="H25" s="173"/>
      <c r="I25" s="173"/>
      <c r="J25" s="176" t="s">
        <v>21</v>
      </c>
      <c r="K25" s="176">
        <v>3500</v>
      </c>
      <c r="L25" s="173" t="s">
        <v>3971</v>
      </c>
      <c r="M25" s="173" t="s">
        <v>4099</v>
      </c>
      <c r="N25" s="173"/>
      <c r="O25" s="173"/>
      <c r="P25" s="173" t="s">
        <v>4106</v>
      </c>
      <c r="Q25" s="174">
        <v>41830</v>
      </c>
      <c r="R25" s="173"/>
      <c r="S25" s="173"/>
    </row>
    <row r="26" spans="1:19" x14ac:dyDescent="0.25">
      <c r="A26" s="173" t="s">
        <v>12</v>
      </c>
      <c r="B26" s="174">
        <v>41795</v>
      </c>
      <c r="C26" s="175" t="s">
        <v>4036</v>
      </c>
      <c r="D26" s="173" t="s">
        <v>3958</v>
      </c>
      <c r="E26" s="173" t="s">
        <v>2626</v>
      </c>
      <c r="F26" s="173" t="s">
        <v>3194</v>
      </c>
      <c r="G26" s="173" t="s">
        <v>4037</v>
      </c>
      <c r="H26" s="173">
        <v>2479.34</v>
      </c>
      <c r="I26" s="176">
        <f>+H26*0.21</f>
        <v>520.66139999999996</v>
      </c>
      <c r="J26" s="176"/>
      <c r="K26" s="176">
        <f>+H26+I26</f>
        <v>3000.0014000000001</v>
      </c>
      <c r="L26" s="173" t="s">
        <v>3971</v>
      </c>
      <c r="M26" s="173" t="s">
        <v>4102</v>
      </c>
      <c r="N26" s="173"/>
      <c r="O26" s="173"/>
      <c r="P26" s="173" t="s">
        <v>4106</v>
      </c>
      <c r="Q26" s="174">
        <v>41830</v>
      </c>
      <c r="R26" s="173"/>
      <c r="S26" s="173"/>
    </row>
    <row r="27" spans="1:19" x14ac:dyDescent="0.25">
      <c r="A27" s="173" t="s">
        <v>12</v>
      </c>
      <c r="B27" s="174">
        <v>41808</v>
      </c>
      <c r="C27" s="175" t="s">
        <v>4038</v>
      </c>
      <c r="D27" s="173" t="s">
        <v>3958</v>
      </c>
      <c r="E27" s="173" t="s">
        <v>2626</v>
      </c>
      <c r="F27" s="173" t="s">
        <v>3194</v>
      </c>
      <c r="G27" s="173" t="s">
        <v>4039</v>
      </c>
      <c r="H27" s="173">
        <v>3140.5</v>
      </c>
      <c r="I27" s="176">
        <f>+H27*0.21</f>
        <v>659.505</v>
      </c>
      <c r="J27" s="176"/>
      <c r="K27" s="176">
        <f>+H27+I27</f>
        <v>3800.0050000000001</v>
      </c>
      <c r="L27" s="173" t="s">
        <v>3971</v>
      </c>
      <c r="M27" s="173" t="s">
        <v>4105</v>
      </c>
      <c r="N27" s="173"/>
      <c r="O27" s="173"/>
      <c r="P27" s="173" t="s">
        <v>4106</v>
      </c>
      <c r="Q27" s="174">
        <v>41830</v>
      </c>
      <c r="R27" s="173"/>
      <c r="S27" s="173"/>
    </row>
    <row r="28" spans="1:19" x14ac:dyDescent="0.25">
      <c r="A28" s="173" t="s">
        <v>12</v>
      </c>
      <c r="B28" s="174">
        <v>41807</v>
      </c>
      <c r="C28" s="175" t="s">
        <v>4040</v>
      </c>
      <c r="D28" s="173" t="s">
        <v>4041</v>
      </c>
      <c r="E28" s="173" t="s">
        <v>4042</v>
      </c>
      <c r="F28" s="173" t="s">
        <v>4043</v>
      </c>
      <c r="G28" s="173" t="s">
        <v>4044</v>
      </c>
      <c r="H28" s="173">
        <v>10699.17</v>
      </c>
      <c r="I28" s="176">
        <f>+H28*0.21</f>
        <v>2246.8256999999999</v>
      </c>
      <c r="J28" s="176"/>
      <c r="K28" s="176">
        <f>+H28+I28</f>
        <v>12945.995699999999</v>
      </c>
      <c r="L28" s="173" t="s">
        <v>3971</v>
      </c>
      <c r="M28" s="173" t="s">
        <v>4104</v>
      </c>
      <c r="N28" s="173"/>
      <c r="O28" s="173"/>
      <c r="P28" s="173" t="s">
        <v>4106</v>
      </c>
      <c r="Q28" s="174">
        <v>41830</v>
      </c>
      <c r="R28" s="173"/>
      <c r="S28" s="173"/>
    </row>
    <row r="29" spans="1:19" x14ac:dyDescent="0.25">
      <c r="A29" s="173" t="s">
        <v>12</v>
      </c>
      <c r="B29" s="174">
        <v>41799</v>
      </c>
      <c r="C29" s="175" t="s">
        <v>4045</v>
      </c>
      <c r="D29" s="173" t="s">
        <v>4016</v>
      </c>
      <c r="E29" s="173" t="s">
        <v>3338</v>
      </c>
      <c r="F29" s="173" t="s">
        <v>4046</v>
      </c>
      <c r="G29" s="173" t="s">
        <v>4047</v>
      </c>
      <c r="H29" s="176"/>
      <c r="I29" s="176">
        <v>0</v>
      </c>
      <c r="J29" s="176" t="s">
        <v>21</v>
      </c>
      <c r="K29" s="176">
        <v>4300</v>
      </c>
      <c r="L29" s="173" t="s">
        <v>3971</v>
      </c>
      <c r="M29" s="173" t="s">
        <v>4103</v>
      </c>
      <c r="N29" s="173"/>
      <c r="O29" s="173"/>
      <c r="P29" s="173" t="s">
        <v>4106</v>
      </c>
      <c r="Q29" s="174">
        <v>41830</v>
      </c>
      <c r="R29" s="173"/>
      <c r="S29" s="173"/>
    </row>
    <row r="30" spans="1:19" x14ac:dyDescent="0.25">
      <c r="A30" s="173" t="s">
        <v>12</v>
      </c>
      <c r="B30" s="174">
        <v>41794</v>
      </c>
      <c r="C30" s="175" t="s">
        <v>944</v>
      </c>
      <c r="D30" s="173" t="s">
        <v>4048</v>
      </c>
      <c r="E30" s="173" t="s">
        <v>4049</v>
      </c>
      <c r="F30" s="173" t="s">
        <v>706</v>
      </c>
      <c r="G30" s="173" t="s">
        <v>4050</v>
      </c>
      <c r="H30" s="173"/>
      <c r="I30" s="173"/>
      <c r="J30" s="173" t="s">
        <v>21</v>
      </c>
      <c r="K30" s="173">
        <v>3500</v>
      </c>
      <c r="L30" s="173" t="s">
        <v>4413</v>
      </c>
      <c r="M30" s="173" t="s">
        <v>4101</v>
      </c>
      <c r="N30" s="173"/>
      <c r="O30" s="173"/>
      <c r="P30" s="173" t="s">
        <v>4106</v>
      </c>
      <c r="Q30" s="174">
        <v>41830</v>
      </c>
      <c r="R30" s="173"/>
      <c r="S30" s="173" t="s">
        <v>3791</v>
      </c>
    </row>
    <row r="31" spans="1:19" x14ac:dyDescent="0.25">
      <c r="A31" s="173" t="s">
        <v>12</v>
      </c>
      <c r="B31" s="174">
        <v>41795</v>
      </c>
      <c r="C31" s="175" t="s">
        <v>4051</v>
      </c>
      <c r="D31" s="173" t="s">
        <v>3958</v>
      </c>
      <c r="E31" s="173" t="s">
        <v>2626</v>
      </c>
      <c r="F31" s="173" t="s">
        <v>3194</v>
      </c>
      <c r="G31" s="173" t="s">
        <v>4052</v>
      </c>
      <c r="H31" s="173">
        <v>2479.34</v>
      </c>
      <c r="I31" s="176">
        <f>+H31*0.21</f>
        <v>520.66139999999996</v>
      </c>
      <c r="J31" s="176"/>
      <c r="K31" s="176">
        <f>+H31+I31</f>
        <v>3000.0014000000001</v>
      </c>
      <c r="L31" s="173" t="s">
        <v>3971</v>
      </c>
      <c r="M31" s="173" t="s">
        <v>4102</v>
      </c>
      <c r="N31" s="173"/>
      <c r="O31" s="173"/>
      <c r="P31" s="173" t="s">
        <v>4106</v>
      </c>
      <c r="Q31" s="174">
        <v>41830</v>
      </c>
      <c r="R31" s="173"/>
      <c r="S31" s="173"/>
    </row>
    <row r="32" spans="1:19" x14ac:dyDescent="0.25">
      <c r="A32" s="173" t="s">
        <v>12</v>
      </c>
      <c r="B32" s="174">
        <v>41788</v>
      </c>
      <c r="C32" s="175" t="s">
        <v>4053</v>
      </c>
      <c r="D32" s="173" t="s">
        <v>3530</v>
      </c>
      <c r="E32" s="173" t="s">
        <v>20</v>
      </c>
      <c r="F32" s="173" t="s">
        <v>4054</v>
      </c>
      <c r="G32" s="173" t="s">
        <v>4055</v>
      </c>
      <c r="H32" s="173"/>
      <c r="I32" s="173"/>
      <c r="J32" s="173" t="s">
        <v>21</v>
      </c>
      <c r="K32" s="173">
        <v>5000</v>
      </c>
      <c r="L32" s="173" t="s">
        <v>3971</v>
      </c>
      <c r="M32" s="173" t="s">
        <v>4100</v>
      </c>
      <c r="N32" s="173"/>
      <c r="O32" s="173"/>
      <c r="P32" s="173" t="s">
        <v>4106</v>
      </c>
      <c r="Q32" s="174">
        <v>41830</v>
      </c>
      <c r="R32" s="173"/>
      <c r="S32" s="173"/>
    </row>
    <row r="33" spans="1:19" x14ac:dyDescent="0.25">
      <c r="A33" s="173" t="s">
        <v>12</v>
      </c>
      <c r="B33" s="174">
        <v>41752</v>
      </c>
      <c r="C33" s="175" t="s">
        <v>4056</v>
      </c>
      <c r="D33" s="173" t="s">
        <v>4057</v>
      </c>
      <c r="E33" s="173" t="s">
        <v>4058</v>
      </c>
      <c r="F33" s="173" t="s">
        <v>4059</v>
      </c>
      <c r="G33" s="173" t="s">
        <v>4060</v>
      </c>
      <c r="H33" s="173"/>
      <c r="I33" s="173"/>
      <c r="J33" s="176" t="s">
        <v>21</v>
      </c>
      <c r="K33" s="176">
        <v>4100</v>
      </c>
      <c r="L33" s="173" t="s">
        <v>3971</v>
      </c>
      <c r="M33" s="173" t="s">
        <v>4109</v>
      </c>
      <c r="N33" s="173"/>
      <c r="O33" s="173"/>
      <c r="P33" s="173" t="s">
        <v>4106</v>
      </c>
      <c r="Q33" s="174">
        <v>41830</v>
      </c>
      <c r="R33" s="173"/>
      <c r="S33" s="173"/>
    </row>
    <row r="34" spans="1:19" x14ac:dyDescent="0.25">
      <c r="A34" s="173" t="s">
        <v>408</v>
      </c>
      <c r="B34" s="174">
        <v>41740</v>
      </c>
      <c r="C34" s="175" t="s">
        <v>2841</v>
      </c>
      <c r="D34" s="173" t="s">
        <v>4062</v>
      </c>
      <c r="E34" s="173" t="s">
        <v>4063</v>
      </c>
      <c r="F34" s="173" t="s">
        <v>4061</v>
      </c>
      <c r="G34" s="173" t="s">
        <v>4025</v>
      </c>
      <c r="H34" s="173"/>
      <c r="I34" s="173"/>
      <c r="J34" s="173" t="s">
        <v>21</v>
      </c>
      <c r="K34" s="173">
        <v>2000</v>
      </c>
      <c r="L34" s="173" t="s">
        <v>4064</v>
      </c>
      <c r="M34" s="173" t="s">
        <v>3947</v>
      </c>
      <c r="N34" s="173"/>
      <c r="O34" s="173"/>
      <c r="P34" s="173" t="s">
        <v>4106</v>
      </c>
      <c r="Q34" s="174">
        <v>41830</v>
      </c>
      <c r="R34" s="173"/>
      <c r="S34" s="173"/>
    </row>
    <row r="35" spans="1:19" x14ac:dyDescent="0.25">
      <c r="A35" s="173" t="s">
        <v>408</v>
      </c>
      <c r="B35" s="174">
        <v>41750</v>
      </c>
      <c r="C35" s="175" t="s">
        <v>2846</v>
      </c>
      <c r="D35" s="173" t="s">
        <v>4065</v>
      </c>
      <c r="E35" s="173" t="s">
        <v>4066</v>
      </c>
      <c r="F35" s="164" t="s">
        <v>3847</v>
      </c>
      <c r="G35" s="164" t="s">
        <v>3852</v>
      </c>
      <c r="H35" s="176">
        <f>4500/1.21</f>
        <v>3719.0082644628101</v>
      </c>
      <c r="I35" s="176">
        <f>+H35*0.21</f>
        <v>780.99173553719004</v>
      </c>
      <c r="J35" s="176"/>
      <c r="K35" s="176">
        <f>+H35+I35</f>
        <v>4500</v>
      </c>
      <c r="L35" s="173" t="s">
        <v>4067</v>
      </c>
      <c r="M35" s="173" t="s">
        <v>4180</v>
      </c>
      <c r="N35" s="173"/>
      <c r="O35" s="173"/>
      <c r="P35" s="173" t="s">
        <v>4106</v>
      </c>
      <c r="Q35" s="174">
        <v>41830</v>
      </c>
      <c r="R35" s="173"/>
      <c r="S35" s="173" t="s">
        <v>3186</v>
      </c>
    </row>
    <row r="36" spans="1:19" x14ac:dyDescent="0.25">
      <c r="A36" s="173" t="s">
        <v>408</v>
      </c>
      <c r="B36" s="174">
        <v>41731</v>
      </c>
      <c r="C36" s="175" t="s">
        <v>3016</v>
      </c>
      <c r="D36" s="173" t="s">
        <v>4068</v>
      </c>
      <c r="E36" s="173" t="s">
        <v>4069</v>
      </c>
      <c r="F36" s="173" t="s">
        <v>3959</v>
      </c>
      <c r="G36" s="173" t="s">
        <v>3960</v>
      </c>
      <c r="H36" s="176">
        <f>3800/1.21</f>
        <v>3140.495867768595</v>
      </c>
      <c r="I36" s="176">
        <f>+H36*0.21</f>
        <v>659.50413223140492</v>
      </c>
      <c r="J36" s="176"/>
      <c r="K36" s="176">
        <f>+H36+I36</f>
        <v>3800</v>
      </c>
      <c r="L36" s="173" t="s">
        <v>4070</v>
      </c>
      <c r="M36" s="173" t="s">
        <v>4345</v>
      </c>
      <c r="N36" s="173"/>
      <c r="O36" s="173"/>
      <c r="P36" s="173" t="s">
        <v>4106</v>
      </c>
      <c r="Q36" s="174">
        <v>41830</v>
      </c>
      <c r="R36" s="173"/>
      <c r="S36" s="173" t="s">
        <v>4344</v>
      </c>
    </row>
    <row r="37" spans="1:19" x14ac:dyDescent="0.25">
      <c r="A37" s="173" t="s">
        <v>408</v>
      </c>
      <c r="B37" s="174">
        <v>41736</v>
      </c>
      <c r="C37" s="175" t="s">
        <v>4071</v>
      </c>
      <c r="D37" s="173" t="s">
        <v>4072</v>
      </c>
      <c r="E37" s="173" t="s">
        <v>4073</v>
      </c>
      <c r="F37" s="173" t="s">
        <v>4028</v>
      </c>
      <c r="G37" s="173" t="s">
        <v>4029</v>
      </c>
      <c r="H37" s="173"/>
      <c r="I37" s="173"/>
      <c r="J37" s="173" t="s">
        <v>21</v>
      </c>
      <c r="K37" s="176">
        <v>2700</v>
      </c>
      <c r="L37" s="173" t="s">
        <v>4074</v>
      </c>
      <c r="M37" s="173" t="s">
        <v>4332</v>
      </c>
      <c r="N37" s="173"/>
      <c r="O37" s="173"/>
      <c r="P37" s="173" t="s">
        <v>4106</v>
      </c>
      <c r="Q37" s="174">
        <v>41830</v>
      </c>
      <c r="R37" s="173"/>
      <c r="S37" s="173" t="s">
        <v>3186</v>
      </c>
    </row>
    <row r="38" spans="1:19" x14ac:dyDescent="0.25">
      <c r="A38" s="173" t="s">
        <v>408</v>
      </c>
      <c r="B38" s="174">
        <v>41793</v>
      </c>
      <c r="C38" s="175" t="s">
        <v>3396</v>
      </c>
      <c r="D38" s="173" t="s">
        <v>4075</v>
      </c>
      <c r="E38" s="173" t="s">
        <v>4076</v>
      </c>
      <c r="F38" s="173" t="s">
        <v>3955</v>
      </c>
      <c r="G38" s="173" t="s">
        <v>3956</v>
      </c>
      <c r="H38" s="176">
        <f>12500/1.21</f>
        <v>10330.578512396694</v>
      </c>
      <c r="I38" s="176">
        <f>+H38*0.21</f>
        <v>2169.4214876033056</v>
      </c>
      <c r="J38" s="176"/>
      <c r="K38" s="176">
        <f>+H38+I38</f>
        <v>12500</v>
      </c>
      <c r="L38" s="173" t="s">
        <v>4077</v>
      </c>
      <c r="M38" s="173" t="s">
        <v>4108</v>
      </c>
      <c r="N38" s="173"/>
      <c r="O38" s="173"/>
      <c r="P38" s="173" t="s">
        <v>4106</v>
      </c>
      <c r="Q38" s="174">
        <v>41830</v>
      </c>
      <c r="R38" s="173"/>
      <c r="S38" s="173" t="s">
        <v>3186</v>
      </c>
    </row>
    <row r="39" spans="1:19" x14ac:dyDescent="0.25">
      <c r="A39" s="173" t="s">
        <v>408</v>
      </c>
      <c r="B39" s="174">
        <v>41814</v>
      </c>
      <c r="C39" s="175" t="s">
        <v>3400</v>
      </c>
      <c r="D39" s="173" t="s">
        <v>4078</v>
      </c>
      <c r="E39" s="173" t="s">
        <v>4079</v>
      </c>
      <c r="F39" s="173" t="s">
        <v>3194</v>
      </c>
      <c r="G39" s="173" t="s">
        <v>4037</v>
      </c>
      <c r="H39" s="176">
        <f>6500/1.21</f>
        <v>5371.9008264462809</v>
      </c>
      <c r="I39" s="176">
        <f>+H39*0.21</f>
        <v>1128.0991735537189</v>
      </c>
      <c r="J39" s="176"/>
      <c r="K39" s="176">
        <f>+H39+I39</f>
        <v>6500</v>
      </c>
      <c r="L39" s="173" t="s">
        <v>4107</v>
      </c>
      <c r="M39" s="173" t="s">
        <v>4336</v>
      </c>
      <c r="N39" s="173"/>
      <c r="O39" s="173"/>
      <c r="P39" s="173" t="s">
        <v>4106</v>
      </c>
      <c r="Q39" s="174">
        <v>41830</v>
      </c>
      <c r="R39" s="173"/>
      <c r="S39" s="173" t="s">
        <v>3186</v>
      </c>
    </row>
    <row r="40" spans="1:19" x14ac:dyDescent="0.25">
      <c r="A40" s="173" t="s">
        <v>408</v>
      </c>
      <c r="B40" s="174">
        <v>41775</v>
      </c>
      <c r="C40" s="175" t="s">
        <v>2853</v>
      </c>
      <c r="D40" s="173" t="s">
        <v>4080</v>
      </c>
      <c r="E40" s="173" t="s">
        <v>4081</v>
      </c>
      <c r="F40" s="173" t="s">
        <v>4003</v>
      </c>
      <c r="G40" s="173" t="s">
        <v>4004</v>
      </c>
      <c r="H40" s="173"/>
      <c r="I40" s="173"/>
      <c r="J40" s="173" t="s">
        <v>21</v>
      </c>
      <c r="K40" s="173">
        <v>8000</v>
      </c>
      <c r="L40" s="173" t="s">
        <v>4082</v>
      </c>
      <c r="M40" s="173" t="s">
        <v>4360</v>
      </c>
      <c r="N40" s="173"/>
      <c r="O40" s="173"/>
      <c r="P40" s="173" t="s">
        <v>4106</v>
      </c>
      <c r="Q40" s="174">
        <v>41830</v>
      </c>
      <c r="R40" s="173"/>
      <c r="S40" s="173" t="s">
        <v>3186</v>
      </c>
    </row>
    <row r="41" spans="1:19" x14ac:dyDescent="0.25">
      <c r="A41" s="173" t="s">
        <v>408</v>
      </c>
      <c r="B41" s="174">
        <v>41790</v>
      </c>
      <c r="C41" s="175" t="s">
        <v>4083</v>
      </c>
      <c r="D41" s="173" t="s">
        <v>4084</v>
      </c>
      <c r="E41" s="173" t="s">
        <v>4085</v>
      </c>
      <c r="F41" s="173" t="s">
        <v>4007</v>
      </c>
      <c r="G41" s="173" t="s">
        <v>4008</v>
      </c>
      <c r="H41" s="173"/>
      <c r="I41" s="173"/>
      <c r="J41" s="173" t="s">
        <v>21</v>
      </c>
      <c r="K41" s="173">
        <v>9800</v>
      </c>
      <c r="L41" s="173" t="s">
        <v>4086</v>
      </c>
      <c r="M41" s="173" t="s">
        <v>4359</v>
      </c>
      <c r="N41" s="173"/>
      <c r="O41" s="173"/>
      <c r="P41" s="173" t="s">
        <v>4106</v>
      </c>
      <c r="Q41" s="174">
        <v>41830</v>
      </c>
      <c r="R41" s="173"/>
      <c r="S41" s="173" t="s">
        <v>3186</v>
      </c>
    </row>
    <row r="42" spans="1:19" x14ac:dyDescent="0.25">
      <c r="A42" s="173" t="s">
        <v>408</v>
      </c>
      <c r="B42" s="174">
        <v>41789</v>
      </c>
      <c r="C42" s="175" t="s">
        <v>4087</v>
      </c>
      <c r="D42" s="173" t="s">
        <v>4088</v>
      </c>
      <c r="E42" s="173" t="s">
        <v>4089</v>
      </c>
      <c r="F42" s="173" t="s">
        <v>4059</v>
      </c>
      <c r="G42" s="173" t="s">
        <v>4060</v>
      </c>
      <c r="H42" s="173"/>
      <c r="I42" s="173"/>
      <c r="J42" s="173" t="s">
        <v>21</v>
      </c>
      <c r="K42" s="173">
        <v>4400</v>
      </c>
      <c r="L42" s="173" t="s">
        <v>4090</v>
      </c>
      <c r="M42" s="173" t="s">
        <v>4361</v>
      </c>
      <c r="N42" s="173"/>
      <c r="O42" s="173"/>
      <c r="P42" s="173" t="s">
        <v>4106</v>
      </c>
      <c r="Q42" s="174">
        <v>41830</v>
      </c>
      <c r="R42" s="173"/>
      <c r="S42" s="173" t="s">
        <v>3186</v>
      </c>
    </row>
    <row r="43" spans="1:19" x14ac:dyDescent="0.25">
      <c r="A43" s="173" t="s">
        <v>408</v>
      </c>
      <c r="B43" s="174">
        <v>41766</v>
      </c>
      <c r="C43" s="175" t="s">
        <v>4091</v>
      </c>
      <c r="D43" s="173" t="s">
        <v>4092</v>
      </c>
      <c r="E43" s="173" t="s">
        <v>4093</v>
      </c>
      <c r="F43" s="173" t="s">
        <v>3210</v>
      </c>
      <c r="G43" s="173" t="s">
        <v>4032</v>
      </c>
      <c r="H43" s="173"/>
      <c r="I43" s="173"/>
      <c r="J43" s="173" t="s">
        <v>21</v>
      </c>
      <c r="K43" s="173">
        <v>4500</v>
      </c>
      <c r="L43" s="173" t="s">
        <v>4094</v>
      </c>
      <c r="M43" s="173" t="s">
        <v>4352</v>
      </c>
      <c r="N43" s="173"/>
      <c r="O43" s="173"/>
      <c r="P43" s="173" t="s">
        <v>4106</v>
      </c>
      <c r="Q43" s="174">
        <v>41830</v>
      </c>
      <c r="R43" s="173"/>
      <c r="S43" s="173" t="s">
        <v>3186</v>
      </c>
    </row>
    <row r="44" spans="1:19" x14ac:dyDescent="0.25">
      <c r="A44" s="173" t="s">
        <v>12</v>
      </c>
      <c r="B44" s="174">
        <v>41845</v>
      </c>
      <c r="C44" s="175" t="s">
        <v>4110</v>
      </c>
      <c r="D44" s="173" t="s">
        <v>4057</v>
      </c>
      <c r="E44" s="173" t="s">
        <v>4058</v>
      </c>
      <c r="F44" s="173" t="s">
        <v>4111</v>
      </c>
      <c r="G44" s="173" t="s">
        <v>4112</v>
      </c>
      <c r="H44" s="173"/>
      <c r="I44" s="173"/>
      <c r="J44" s="173" t="s">
        <v>21</v>
      </c>
      <c r="K44" s="176">
        <v>3700</v>
      </c>
      <c r="L44" s="173" t="s">
        <v>3971</v>
      </c>
      <c r="M44" s="173" t="s">
        <v>4140</v>
      </c>
      <c r="N44" s="173"/>
      <c r="O44" s="173"/>
      <c r="P44" s="173" t="s">
        <v>4182</v>
      </c>
      <c r="Q44" s="174">
        <v>41893</v>
      </c>
      <c r="R44" s="173"/>
      <c r="S44" s="173"/>
    </row>
    <row r="45" spans="1:19" x14ac:dyDescent="0.25">
      <c r="A45" s="173" t="s">
        <v>12</v>
      </c>
      <c r="B45" s="174">
        <v>41848</v>
      </c>
      <c r="C45" s="175" t="s">
        <v>4113</v>
      </c>
      <c r="D45" s="173" t="s">
        <v>4057</v>
      </c>
      <c r="E45" s="173" t="s">
        <v>4058</v>
      </c>
      <c r="F45" s="173" t="s">
        <v>693</v>
      </c>
      <c r="G45" s="173" t="s">
        <v>4114</v>
      </c>
      <c r="H45" s="173"/>
      <c r="I45" s="173"/>
      <c r="J45" s="173" t="s">
        <v>21</v>
      </c>
      <c r="K45" s="173">
        <v>2000</v>
      </c>
      <c r="L45" s="173" t="s">
        <v>3971</v>
      </c>
      <c r="M45" s="173" t="s">
        <v>4141</v>
      </c>
      <c r="N45" s="173"/>
      <c r="O45" s="173"/>
      <c r="P45" s="173" t="s">
        <v>4182</v>
      </c>
      <c r="Q45" s="174">
        <v>41893</v>
      </c>
      <c r="R45" s="173"/>
      <c r="S45" s="173"/>
    </row>
    <row r="46" spans="1:19" x14ac:dyDescent="0.25">
      <c r="A46" s="173" t="s">
        <v>12</v>
      </c>
      <c r="B46" s="174">
        <v>41845</v>
      </c>
      <c r="C46" s="175" t="s">
        <v>4115</v>
      </c>
      <c r="D46" s="173" t="s">
        <v>4057</v>
      </c>
      <c r="E46" s="173" t="s">
        <v>4058</v>
      </c>
      <c r="F46" s="173" t="s">
        <v>3210</v>
      </c>
      <c r="G46" s="173" t="s">
        <v>4116</v>
      </c>
      <c r="H46" s="176">
        <f>6500/1.21</f>
        <v>5371.9008264462809</v>
      </c>
      <c r="I46" s="176">
        <f>+H46*0.21</f>
        <v>1128.0991735537189</v>
      </c>
      <c r="J46" s="176"/>
      <c r="K46" s="176">
        <f>+H46+I46</f>
        <v>6500</v>
      </c>
      <c r="L46" s="173" t="s">
        <v>3971</v>
      </c>
      <c r="M46" s="173" t="s">
        <v>4140</v>
      </c>
      <c r="N46" s="173"/>
      <c r="O46" s="173"/>
      <c r="P46" s="173" t="s">
        <v>4182</v>
      </c>
      <c r="Q46" s="174">
        <v>41893</v>
      </c>
      <c r="R46" s="173"/>
      <c r="S46" s="173"/>
    </row>
    <row r="47" spans="1:19" x14ac:dyDescent="0.25">
      <c r="A47" s="173" t="s">
        <v>12</v>
      </c>
      <c r="B47" s="174">
        <v>41828</v>
      </c>
      <c r="C47" s="175" t="s">
        <v>4117</v>
      </c>
      <c r="D47" s="173" t="s">
        <v>4041</v>
      </c>
      <c r="E47" s="173" t="s">
        <v>4042</v>
      </c>
      <c r="F47" s="173" t="s">
        <v>368</v>
      </c>
      <c r="G47" s="173" t="s">
        <v>4118</v>
      </c>
      <c r="H47" s="173"/>
      <c r="I47" s="173"/>
      <c r="J47" s="173" t="s">
        <v>21</v>
      </c>
      <c r="K47" s="173">
        <v>646</v>
      </c>
      <c r="L47" s="173" t="s">
        <v>3971</v>
      </c>
      <c r="M47" s="173" t="s">
        <v>4136</v>
      </c>
      <c r="N47" s="173"/>
      <c r="O47" s="173"/>
      <c r="P47" s="173" t="s">
        <v>4182</v>
      </c>
      <c r="Q47" s="174">
        <v>41893</v>
      </c>
      <c r="R47" s="173"/>
      <c r="S47" s="173"/>
    </row>
    <row r="48" spans="1:19" x14ac:dyDescent="0.25">
      <c r="A48" s="173" t="s">
        <v>12</v>
      </c>
      <c r="B48" s="174">
        <v>41828</v>
      </c>
      <c r="C48" s="175" t="s">
        <v>4119</v>
      </c>
      <c r="D48" s="173" t="s">
        <v>4041</v>
      </c>
      <c r="E48" s="173" t="s">
        <v>4042</v>
      </c>
      <c r="F48" s="173" t="s">
        <v>4120</v>
      </c>
      <c r="G48" s="173" t="s">
        <v>4121</v>
      </c>
      <c r="H48" s="173"/>
      <c r="I48" s="173"/>
      <c r="J48" s="173" t="s">
        <v>21</v>
      </c>
      <c r="K48" s="173">
        <v>1346</v>
      </c>
      <c r="L48" s="173" t="s">
        <v>3971</v>
      </c>
      <c r="M48" s="173" t="s">
        <v>4136</v>
      </c>
      <c r="N48" s="173"/>
      <c r="O48" s="173"/>
      <c r="P48" s="173" t="s">
        <v>4182</v>
      </c>
      <c r="Q48" s="174">
        <v>41893</v>
      </c>
      <c r="R48" s="173"/>
      <c r="S48" s="173"/>
    </row>
    <row r="49" spans="1:19" x14ac:dyDescent="0.25">
      <c r="A49" s="173" t="s">
        <v>12</v>
      </c>
      <c r="B49" s="174">
        <v>41828</v>
      </c>
      <c r="C49" s="175" t="s">
        <v>4122</v>
      </c>
      <c r="D49" s="173" t="s">
        <v>4041</v>
      </c>
      <c r="E49" s="173" t="s">
        <v>4042</v>
      </c>
      <c r="F49" s="173" t="s">
        <v>4123</v>
      </c>
      <c r="G49" s="173" t="s">
        <v>4124</v>
      </c>
      <c r="H49" s="173"/>
      <c r="I49" s="173"/>
      <c r="J49" s="173" t="s">
        <v>21</v>
      </c>
      <c r="K49" s="173">
        <v>1046</v>
      </c>
      <c r="L49" s="173" t="s">
        <v>3971</v>
      </c>
      <c r="M49" s="173" t="s">
        <v>4136</v>
      </c>
      <c r="N49" s="173"/>
      <c r="O49" s="173"/>
      <c r="P49" s="173" t="s">
        <v>4182</v>
      </c>
      <c r="Q49" s="174">
        <v>41893</v>
      </c>
      <c r="R49" s="173"/>
      <c r="S49" s="173"/>
    </row>
    <row r="50" spans="1:19" x14ac:dyDescent="0.25">
      <c r="A50" s="173" t="s">
        <v>12</v>
      </c>
      <c r="B50" s="174">
        <v>41828</v>
      </c>
      <c r="C50" s="175" t="s">
        <v>4125</v>
      </c>
      <c r="D50" s="173" t="s">
        <v>4041</v>
      </c>
      <c r="E50" s="173" t="s">
        <v>4042</v>
      </c>
      <c r="F50" s="173" t="s">
        <v>4126</v>
      </c>
      <c r="G50" s="173" t="s">
        <v>4127</v>
      </c>
      <c r="H50" s="176">
        <f>2846/1.21</f>
        <v>2352.0661157024792</v>
      </c>
      <c r="I50" s="176">
        <f>+H50*0.21</f>
        <v>493.93388429752065</v>
      </c>
      <c r="J50" s="176"/>
      <c r="K50" s="176">
        <f>+H50+I50</f>
        <v>2846</v>
      </c>
      <c r="L50" s="173" t="s">
        <v>3971</v>
      </c>
      <c r="M50" s="173" t="s">
        <v>4136</v>
      </c>
      <c r="N50" s="173"/>
      <c r="O50" s="173"/>
      <c r="P50" s="173" t="s">
        <v>4182</v>
      </c>
      <c r="Q50" s="174">
        <v>41893</v>
      </c>
      <c r="R50" s="173"/>
      <c r="S50" s="173"/>
    </row>
    <row r="51" spans="1:19" x14ac:dyDescent="0.25">
      <c r="A51" s="173" t="s">
        <v>12</v>
      </c>
      <c r="B51" s="174">
        <v>41872</v>
      </c>
      <c r="C51" s="175" t="s">
        <v>4128</v>
      </c>
      <c r="D51" s="173" t="s">
        <v>3958</v>
      </c>
      <c r="E51" s="173" t="s">
        <v>2626</v>
      </c>
      <c r="F51" s="173" t="s">
        <v>4061</v>
      </c>
      <c r="G51" s="173" t="s">
        <v>4196</v>
      </c>
      <c r="H51" s="173">
        <v>4462.8100000000004</v>
      </c>
      <c r="I51" s="176">
        <f>+H51*0.21</f>
        <v>937.19010000000003</v>
      </c>
      <c r="J51" s="176"/>
      <c r="K51" s="176">
        <f>+H51+I51</f>
        <v>5400.0001000000002</v>
      </c>
      <c r="L51" s="173" t="s">
        <v>3971</v>
      </c>
      <c r="M51" s="173" t="s">
        <v>4139</v>
      </c>
      <c r="N51" s="173"/>
      <c r="O51" s="173"/>
      <c r="P51" s="173" t="s">
        <v>4182</v>
      </c>
      <c r="Q51" s="174">
        <v>41893</v>
      </c>
      <c r="R51" s="173"/>
      <c r="S51" s="173"/>
    </row>
    <row r="52" spans="1:19" x14ac:dyDescent="0.25">
      <c r="A52" s="173" t="s">
        <v>12</v>
      </c>
      <c r="B52" s="174">
        <v>41872</v>
      </c>
      <c r="C52" s="175" t="s">
        <v>4051</v>
      </c>
      <c r="D52" s="173" t="s">
        <v>3958</v>
      </c>
      <c r="E52" s="173" t="s">
        <v>2626</v>
      </c>
      <c r="F52" s="173" t="s">
        <v>3624</v>
      </c>
      <c r="G52" s="173" t="s">
        <v>4129</v>
      </c>
      <c r="H52" s="176">
        <v>4545.4549999999999</v>
      </c>
      <c r="I52" s="176">
        <f>+H52*0.21</f>
        <v>954.54554999999993</v>
      </c>
      <c r="J52" s="176"/>
      <c r="K52" s="176">
        <f>+H52+I52</f>
        <v>5500.0005499999997</v>
      </c>
      <c r="L52" s="173" t="s">
        <v>3971</v>
      </c>
      <c r="M52" s="173" t="s">
        <v>4139</v>
      </c>
      <c r="N52" s="173"/>
      <c r="O52" s="173"/>
      <c r="P52" s="173" t="s">
        <v>4182</v>
      </c>
      <c r="Q52" s="174">
        <v>41893</v>
      </c>
      <c r="R52" s="173"/>
      <c r="S52" s="173"/>
    </row>
    <row r="53" spans="1:19" x14ac:dyDescent="0.25">
      <c r="A53" s="173" t="s">
        <v>12</v>
      </c>
      <c r="B53" s="174">
        <v>41878</v>
      </c>
      <c r="C53" s="175" t="s">
        <v>4051</v>
      </c>
      <c r="D53" s="173" t="s">
        <v>3958</v>
      </c>
      <c r="E53" s="173" t="s">
        <v>2626</v>
      </c>
      <c r="F53" s="173" t="s">
        <v>2932</v>
      </c>
      <c r="G53" s="173" t="s">
        <v>4130</v>
      </c>
      <c r="H53" s="173">
        <v>2892.56</v>
      </c>
      <c r="I53" s="176">
        <f>+H53*0.21</f>
        <v>607.43759999999997</v>
      </c>
      <c r="J53" s="176"/>
      <c r="K53" s="176">
        <f>+H53+I53</f>
        <v>3499.9975999999997</v>
      </c>
      <c r="L53" s="173" t="s">
        <v>3971</v>
      </c>
      <c r="M53" s="173"/>
      <c r="N53" s="173"/>
      <c r="O53" s="173"/>
      <c r="P53" s="173" t="s">
        <v>4182</v>
      </c>
      <c r="Q53" s="174">
        <v>41893</v>
      </c>
      <c r="R53" s="173"/>
      <c r="S53" s="173"/>
    </row>
    <row r="54" spans="1:19" x14ac:dyDescent="0.25">
      <c r="A54" s="173" t="s">
        <v>12</v>
      </c>
      <c r="B54" s="174">
        <v>41823</v>
      </c>
      <c r="C54" s="175" t="s">
        <v>4131</v>
      </c>
      <c r="D54" s="173" t="s">
        <v>4132</v>
      </c>
      <c r="E54" s="173" t="s">
        <v>4133</v>
      </c>
      <c r="F54" s="173" t="s">
        <v>4134</v>
      </c>
      <c r="G54" s="173" t="s">
        <v>4135</v>
      </c>
      <c r="H54" s="173"/>
      <c r="I54" s="173"/>
      <c r="J54" s="173" t="s">
        <v>21</v>
      </c>
      <c r="K54" s="173">
        <v>2600</v>
      </c>
      <c r="L54" s="173" t="s">
        <v>3971</v>
      </c>
      <c r="M54" s="173" t="s">
        <v>4138</v>
      </c>
      <c r="N54" s="173"/>
      <c r="O54" s="173"/>
      <c r="P54" s="173" t="s">
        <v>4182</v>
      </c>
      <c r="Q54" s="174">
        <v>41893</v>
      </c>
      <c r="R54" s="173"/>
      <c r="S54" s="173"/>
    </row>
    <row r="55" spans="1:19" x14ac:dyDescent="0.25">
      <c r="A55" s="173" t="s">
        <v>12</v>
      </c>
      <c r="B55" s="174">
        <v>41821</v>
      </c>
      <c r="C55" s="175" t="s">
        <v>4212</v>
      </c>
      <c r="D55" s="173" t="s">
        <v>3530</v>
      </c>
      <c r="E55" s="173" t="s">
        <v>20</v>
      </c>
      <c r="F55" s="173" t="s">
        <v>4152</v>
      </c>
      <c r="G55" s="173" t="s">
        <v>4137</v>
      </c>
      <c r="H55" s="173"/>
      <c r="I55" s="173"/>
      <c r="J55" s="173" t="s">
        <v>21</v>
      </c>
      <c r="K55" s="173">
        <v>4500</v>
      </c>
      <c r="L55" s="173" t="s">
        <v>3971</v>
      </c>
      <c r="M55" s="173"/>
      <c r="N55" s="173"/>
      <c r="O55" s="173"/>
      <c r="P55" s="173" t="s">
        <v>4182</v>
      </c>
      <c r="Q55" s="174">
        <v>41927</v>
      </c>
      <c r="R55" s="173"/>
      <c r="S55" s="173"/>
    </row>
    <row r="56" spans="1:19" x14ac:dyDescent="0.25">
      <c r="A56" s="173" t="s">
        <v>408</v>
      </c>
      <c r="B56" s="174">
        <v>41857</v>
      </c>
      <c r="C56" s="175" t="s">
        <v>3427</v>
      </c>
      <c r="D56" s="173" t="s">
        <v>4142</v>
      </c>
      <c r="E56" s="173" t="s">
        <v>4143</v>
      </c>
      <c r="F56" s="173" t="s">
        <v>368</v>
      </c>
      <c r="G56" s="173" t="s">
        <v>4118</v>
      </c>
      <c r="H56" s="173"/>
      <c r="I56" s="173"/>
      <c r="J56" s="173" t="s">
        <v>21</v>
      </c>
      <c r="K56" s="173">
        <v>1400</v>
      </c>
      <c r="L56" s="173" t="s">
        <v>4144</v>
      </c>
      <c r="M56" s="173" t="s">
        <v>3947</v>
      </c>
      <c r="N56" s="173"/>
      <c r="O56" s="173"/>
      <c r="P56" s="173" t="s">
        <v>4182</v>
      </c>
      <c r="Q56" s="174">
        <v>41893</v>
      </c>
      <c r="R56" s="173"/>
      <c r="S56" s="173"/>
    </row>
    <row r="57" spans="1:19" x14ac:dyDescent="0.25">
      <c r="A57" s="173" t="s">
        <v>408</v>
      </c>
      <c r="B57" s="174">
        <v>41859</v>
      </c>
      <c r="C57" s="175" t="s">
        <v>4145</v>
      </c>
      <c r="D57" s="173" t="s">
        <v>4146</v>
      </c>
      <c r="E57" s="173" t="s">
        <v>4147</v>
      </c>
      <c r="F57" s="173" t="s">
        <v>2681</v>
      </c>
      <c r="G57" s="173" t="s">
        <v>4047</v>
      </c>
      <c r="H57" s="173"/>
      <c r="I57" s="173"/>
      <c r="J57" s="173" t="s">
        <v>21</v>
      </c>
      <c r="K57" s="173">
        <v>4950</v>
      </c>
      <c r="L57" s="173" t="s">
        <v>4148</v>
      </c>
      <c r="M57" s="173" t="s">
        <v>4355</v>
      </c>
      <c r="N57" s="173"/>
      <c r="O57" s="173"/>
      <c r="P57" s="173" t="s">
        <v>4182</v>
      </c>
      <c r="Q57" s="174">
        <v>41893</v>
      </c>
      <c r="R57" s="173"/>
      <c r="S57" s="173" t="s">
        <v>3186</v>
      </c>
    </row>
    <row r="58" spans="1:19" x14ac:dyDescent="0.25">
      <c r="A58" s="173" t="s">
        <v>408</v>
      </c>
      <c r="B58" s="174">
        <v>41845</v>
      </c>
      <c r="C58" s="175" t="s">
        <v>4149</v>
      </c>
      <c r="D58" s="173" t="s">
        <v>4150</v>
      </c>
      <c r="E58" s="173" t="s">
        <v>4151</v>
      </c>
      <c r="F58" s="173" t="s">
        <v>4152</v>
      </c>
      <c r="G58" s="173" t="s">
        <v>4137</v>
      </c>
      <c r="H58" s="173"/>
      <c r="I58" s="173"/>
      <c r="J58" s="173" t="s">
        <v>21</v>
      </c>
      <c r="K58" s="173">
        <v>6500</v>
      </c>
      <c r="L58" s="173" t="s">
        <v>4153</v>
      </c>
      <c r="M58" s="173" t="s">
        <v>4337</v>
      </c>
      <c r="N58" s="173"/>
      <c r="O58" s="173"/>
      <c r="P58" s="173" t="s">
        <v>4182</v>
      </c>
      <c r="Q58" s="174">
        <v>41893</v>
      </c>
      <c r="R58" s="173"/>
      <c r="S58" s="173" t="s">
        <v>3186</v>
      </c>
    </row>
    <row r="59" spans="1:19" x14ac:dyDescent="0.25">
      <c r="A59" s="173" t="s">
        <v>408</v>
      </c>
      <c r="B59" s="174">
        <v>41865</v>
      </c>
      <c r="C59" s="175" t="s">
        <v>4154</v>
      </c>
      <c r="D59" s="173" t="s">
        <v>4155</v>
      </c>
      <c r="E59" s="173" t="s">
        <v>4156</v>
      </c>
      <c r="F59" s="173" t="s">
        <v>3624</v>
      </c>
      <c r="G59" s="173" t="s">
        <v>4129</v>
      </c>
      <c r="H59" s="176">
        <v>4958.6750000000002</v>
      </c>
      <c r="I59" s="176">
        <f>+H59*0.21</f>
        <v>1041.3217500000001</v>
      </c>
      <c r="J59" s="176"/>
      <c r="K59" s="176">
        <f>+H59+I59</f>
        <v>5999.9967500000002</v>
      </c>
      <c r="L59" s="173" t="s">
        <v>4157</v>
      </c>
      <c r="M59" s="173" t="s">
        <v>4348</v>
      </c>
      <c r="N59" s="173"/>
      <c r="O59" s="173"/>
      <c r="P59" s="173" t="s">
        <v>4182</v>
      </c>
      <c r="Q59" s="174">
        <v>41893</v>
      </c>
      <c r="R59" s="173"/>
      <c r="S59" s="173" t="s">
        <v>3186</v>
      </c>
    </row>
    <row r="60" spans="1:19" x14ac:dyDescent="0.25">
      <c r="A60" s="173" t="s">
        <v>408</v>
      </c>
      <c r="B60" s="174">
        <v>41851</v>
      </c>
      <c r="C60" s="175" t="s">
        <v>4158</v>
      </c>
      <c r="D60" s="173" t="s">
        <v>3010</v>
      </c>
      <c r="E60" s="173" t="s">
        <v>4159</v>
      </c>
      <c r="F60" s="173" t="s">
        <v>3210</v>
      </c>
      <c r="G60" s="173" t="s">
        <v>4116</v>
      </c>
      <c r="H60" s="176">
        <f>6800/1.21</f>
        <v>5619.8347107438021</v>
      </c>
      <c r="I60" s="176">
        <f>+H60*0.21</f>
        <v>1180.1652892561983</v>
      </c>
      <c r="J60" s="176"/>
      <c r="K60" s="176">
        <f>+H60+I60</f>
        <v>6800</v>
      </c>
      <c r="L60" s="173" t="s">
        <v>4160</v>
      </c>
      <c r="M60" s="173" t="s">
        <v>4340</v>
      </c>
      <c r="N60" s="173"/>
      <c r="O60" s="173"/>
      <c r="P60" s="173" t="s">
        <v>4182</v>
      </c>
      <c r="Q60" s="174">
        <v>41893</v>
      </c>
      <c r="R60" s="173"/>
      <c r="S60" s="173" t="s">
        <v>3186</v>
      </c>
    </row>
    <row r="61" spans="1:19" x14ac:dyDescent="0.25">
      <c r="A61" s="173" t="s">
        <v>408</v>
      </c>
      <c r="B61" s="174">
        <v>41850</v>
      </c>
      <c r="C61" s="175" t="s">
        <v>3413</v>
      </c>
      <c r="D61" s="173" t="s">
        <v>3891</v>
      </c>
      <c r="E61" s="173" t="s">
        <v>3892</v>
      </c>
      <c r="F61" s="173" t="s">
        <v>693</v>
      </c>
      <c r="G61" s="173" t="s">
        <v>4114</v>
      </c>
      <c r="H61" s="173"/>
      <c r="I61" s="173"/>
      <c r="J61" s="173" t="s">
        <v>21</v>
      </c>
      <c r="K61" s="173">
        <v>2400</v>
      </c>
      <c r="L61" s="173" t="s">
        <v>4161</v>
      </c>
      <c r="M61" s="173" t="s">
        <v>3947</v>
      </c>
      <c r="N61" s="173"/>
      <c r="O61" s="173"/>
      <c r="P61" s="173" t="s">
        <v>4182</v>
      </c>
      <c r="Q61" s="174">
        <v>41893</v>
      </c>
      <c r="R61" s="173"/>
      <c r="S61" s="173"/>
    </row>
    <row r="62" spans="1:19" x14ac:dyDescent="0.25">
      <c r="A62" s="173" t="s">
        <v>408</v>
      </c>
      <c r="B62" s="174">
        <v>41838</v>
      </c>
      <c r="C62" s="175" t="s">
        <v>4162</v>
      </c>
      <c r="D62" s="173" t="s">
        <v>4163</v>
      </c>
      <c r="E62" s="173" t="s">
        <v>4164</v>
      </c>
      <c r="F62" s="173" t="s">
        <v>3538</v>
      </c>
      <c r="G62" s="173" t="s">
        <v>4127</v>
      </c>
      <c r="H62" s="176">
        <f>3800/1.21</f>
        <v>3140.495867768595</v>
      </c>
      <c r="I62" s="176">
        <f>+H62*0.21</f>
        <v>659.50413223140492</v>
      </c>
      <c r="J62" s="176"/>
      <c r="K62" s="176">
        <f>+H62+I62</f>
        <v>3800</v>
      </c>
      <c r="L62" s="173" t="s">
        <v>4144</v>
      </c>
      <c r="M62" s="173" t="s">
        <v>4349</v>
      </c>
      <c r="N62" s="173"/>
      <c r="O62" s="173"/>
      <c r="P62" s="173" t="s">
        <v>4182</v>
      </c>
      <c r="Q62" s="174">
        <v>41893</v>
      </c>
      <c r="R62" s="173"/>
      <c r="S62" s="173" t="s">
        <v>4344</v>
      </c>
    </row>
    <row r="63" spans="1:19" x14ac:dyDescent="0.25">
      <c r="A63" s="173" t="s">
        <v>408</v>
      </c>
      <c r="B63" s="174">
        <v>41841</v>
      </c>
      <c r="C63" s="175" t="s">
        <v>3409</v>
      </c>
      <c r="D63" s="173" t="s">
        <v>4165</v>
      </c>
      <c r="E63" s="173" t="s">
        <v>4166</v>
      </c>
      <c r="F63" s="173" t="s">
        <v>3194</v>
      </c>
      <c r="G63" s="173" t="s">
        <v>4052</v>
      </c>
      <c r="H63" s="176">
        <f>3500/1.21</f>
        <v>2892.5619834710747</v>
      </c>
      <c r="I63" s="176">
        <f>+H63*0.21</f>
        <v>607.43801652892569</v>
      </c>
      <c r="J63" s="176"/>
      <c r="K63" s="176">
        <f>+H63+I63</f>
        <v>3500.0000000000005</v>
      </c>
      <c r="L63" s="173" t="s">
        <v>4167</v>
      </c>
      <c r="M63" s="173" t="s">
        <v>4353</v>
      </c>
      <c r="N63" s="173"/>
      <c r="O63" s="173"/>
      <c r="P63" s="173" t="s">
        <v>4182</v>
      </c>
      <c r="Q63" s="174">
        <v>41893</v>
      </c>
      <c r="R63" s="173"/>
      <c r="S63" s="173" t="s">
        <v>4354</v>
      </c>
    </row>
    <row r="64" spans="1:19" x14ac:dyDescent="0.25">
      <c r="A64" s="173" t="s">
        <v>408</v>
      </c>
      <c r="B64" s="174">
        <v>41870</v>
      </c>
      <c r="C64" s="175" t="s">
        <v>3413</v>
      </c>
      <c r="D64" s="173" t="s">
        <v>4168</v>
      </c>
      <c r="E64" s="173" t="s">
        <v>4169</v>
      </c>
      <c r="F64" s="173" t="s">
        <v>4123</v>
      </c>
      <c r="G64" s="173" t="s">
        <v>4124</v>
      </c>
      <c r="H64" s="173"/>
      <c r="I64" s="173"/>
      <c r="J64" s="173" t="s">
        <v>21</v>
      </c>
      <c r="K64" s="173">
        <v>700</v>
      </c>
      <c r="L64" s="173" t="s">
        <v>4144</v>
      </c>
      <c r="M64" s="173" t="s">
        <v>3947</v>
      </c>
      <c r="N64" s="173"/>
      <c r="O64" s="173"/>
      <c r="P64" s="173" t="s">
        <v>4182</v>
      </c>
      <c r="Q64" s="174">
        <v>41893</v>
      </c>
      <c r="R64" s="173"/>
      <c r="S64" s="173"/>
    </row>
    <row r="65" spans="1:19" x14ac:dyDescent="0.25">
      <c r="A65" s="173" t="s">
        <v>408</v>
      </c>
      <c r="B65" s="174">
        <v>41869</v>
      </c>
      <c r="C65" s="175" t="s">
        <v>4170</v>
      </c>
      <c r="D65" s="173" t="s">
        <v>4171</v>
      </c>
      <c r="E65" s="173" t="s">
        <v>4172</v>
      </c>
      <c r="F65" s="173" t="s">
        <v>4043</v>
      </c>
      <c r="G65" s="173" t="s">
        <v>4044</v>
      </c>
      <c r="H65" s="176">
        <f>14995/1.21</f>
        <v>12392.561983471074</v>
      </c>
      <c r="I65" s="176">
        <f>+H65*0.21</f>
        <v>2602.4380165289253</v>
      </c>
      <c r="J65" s="176"/>
      <c r="K65" s="176">
        <f>+H65+I65</f>
        <v>14995</v>
      </c>
      <c r="L65" s="173" t="s">
        <v>4173</v>
      </c>
      <c r="M65" s="173" t="s">
        <v>4335</v>
      </c>
      <c r="N65" s="173"/>
      <c r="O65" s="173"/>
      <c r="P65" s="173" t="s">
        <v>4182</v>
      </c>
      <c r="Q65" s="174">
        <v>41893</v>
      </c>
      <c r="R65" s="173"/>
      <c r="S65" s="173" t="s">
        <v>3186</v>
      </c>
    </row>
    <row r="66" spans="1:19" x14ac:dyDescent="0.25">
      <c r="A66" s="173" t="s">
        <v>408</v>
      </c>
      <c r="B66" s="174">
        <v>41823</v>
      </c>
      <c r="C66" s="175" t="s">
        <v>3393</v>
      </c>
      <c r="D66" s="173" t="s">
        <v>4174</v>
      </c>
      <c r="E66" s="173" t="s">
        <v>4175</v>
      </c>
      <c r="F66" s="173" t="s">
        <v>3194</v>
      </c>
      <c r="G66" s="173" t="s">
        <v>4039</v>
      </c>
      <c r="H66" s="176">
        <f>4500/1.21</f>
        <v>3719.0082644628101</v>
      </c>
      <c r="I66" s="176">
        <f>+H66*0.21</f>
        <v>780.99173553719004</v>
      </c>
      <c r="J66" s="176"/>
      <c r="K66" s="176">
        <f>+H66+I66</f>
        <v>4500</v>
      </c>
      <c r="L66" s="173" t="s">
        <v>4176</v>
      </c>
      <c r="M66" s="173" t="s">
        <v>4346</v>
      </c>
      <c r="N66" s="173"/>
      <c r="O66" s="173"/>
      <c r="P66" s="173" t="s">
        <v>4182</v>
      </c>
      <c r="Q66" s="174">
        <v>41893</v>
      </c>
      <c r="R66" s="173"/>
      <c r="S66" s="173" t="s">
        <v>3186</v>
      </c>
    </row>
    <row r="67" spans="1:19" x14ac:dyDescent="0.25">
      <c r="A67" s="173" t="s">
        <v>408</v>
      </c>
      <c r="B67" s="174">
        <v>41824</v>
      </c>
      <c r="C67" s="175" t="s">
        <v>3404</v>
      </c>
      <c r="D67" s="173" t="s">
        <v>4177</v>
      </c>
      <c r="E67" s="173" t="s">
        <v>4178</v>
      </c>
      <c r="F67" s="173" t="s">
        <v>4054</v>
      </c>
      <c r="G67" s="173" t="s">
        <v>4055</v>
      </c>
      <c r="H67" s="173"/>
      <c r="I67" s="173"/>
      <c r="J67" s="173" t="s">
        <v>21</v>
      </c>
      <c r="K67" s="173">
        <v>5500</v>
      </c>
      <c r="L67" s="173" t="s">
        <v>4179</v>
      </c>
      <c r="M67" s="173" t="s">
        <v>4339</v>
      </c>
      <c r="N67" s="173"/>
      <c r="O67" s="173"/>
      <c r="P67" s="173" t="s">
        <v>4182</v>
      </c>
      <c r="Q67" s="174">
        <v>41893</v>
      </c>
      <c r="R67" s="173"/>
      <c r="S67" s="173" t="s">
        <v>3186</v>
      </c>
    </row>
    <row r="68" spans="1:19" x14ac:dyDescent="0.25">
      <c r="A68" s="173" t="s">
        <v>12</v>
      </c>
      <c r="B68" s="174">
        <v>41907</v>
      </c>
      <c r="C68" s="175" t="s">
        <v>4183</v>
      </c>
      <c r="D68" s="173" t="s">
        <v>4057</v>
      </c>
      <c r="E68" s="173" t="s">
        <v>4058</v>
      </c>
      <c r="F68" s="173" t="s">
        <v>362</v>
      </c>
      <c r="G68" s="173" t="s">
        <v>4184</v>
      </c>
      <c r="H68" s="173"/>
      <c r="I68" s="173"/>
      <c r="J68" s="173" t="s">
        <v>21</v>
      </c>
      <c r="K68" s="176">
        <v>1200</v>
      </c>
      <c r="L68" s="173" t="s">
        <v>3971</v>
      </c>
      <c r="M68" s="173"/>
      <c r="N68" s="173"/>
      <c r="O68" s="173"/>
      <c r="P68" s="173" t="s">
        <v>4182</v>
      </c>
      <c r="Q68" s="174">
        <v>41923</v>
      </c>
      <c r="R68" s="173"/>
      <c r="S68" s="173"/>
    </row>
    <row r="69" spans="1:19" x14ac:dyDescent="0.25">
      <c r="A69" s="173" t="s">
        <v>12</v>
      </c>
      <c r="B69" s="174">
        <v>41907</v>
      </c>
      <c r="C69" s="175" t="s">
        <v>4185</v>
      </c>
      <c r="D69" s="173" t="s">
        <v>4057</v>
      </c>
      <c r="E69" s="173" t="s">
        <v>4058</v>
      </c>
      <c r="F69" s="173" t="s">
        <v>362</v>
      </c>
      <c r="G69" s="173" t="s">
        <v>4186</v>
      </c>
      <c r="H69" s="173"/>
      <c r="I69" s="173"/>
      <c r="J69" s="173" t="s">
        <v>21</v>
      </c>
      <c r="K69" s="176">
        <v>3600</v>
      </c>
      <c r="L69" s="173" t="s">
        <v>4413</v>
      </c>
      <c r="M69" s="173"/>
      <c r="N69" s="173"/>
      <c r="O69" s="173"/>
      <c r="P69" s="173" t="s">
        <v>4182</v>
      </c>
      <c r="Q69" s="174">
        <v>41923</v>
      </c>
      <c r="R69" s="173"/>
      <c r="S69" s="173"/>
    </row>
    <row r="70" spans="1:19" x14ac:dyDescent="0.25">
      <c r="A70" s="173" t="s">
        <v>12</v>
      </c>
      <c r="B70" s="174">
        <v>41911</v>
      </c>
      <c r="C70" s="175" t="s">
        <v>4187</v>
      </c>
      <c r="D70" s="173" t="s">
        <v>4057</v>
      </c>
      <c r="E70" s="173" t="s">
        <v>4058</v>
      </c>
      <c r="F70" s="173" t="s">
        <v>4054</v>
      </c>
      <c r="G70" s="173" t="s">
        <v>4188</v>
      </c>
      <c r="H70" s="173"/>
      <c r="I70" s="173"/>
      <c r="J70" s="173" t="s">
        <v>21</v>
      </c>
      <c r="K70" s="176">
        <v>6100</v>
      </c>
      <c r="L70" s="173" t="s">
        <v>3971</v>
      </c>
      <c r="M70" s="173"/>
      <c r="N70" s="173"/>
      <c r="O70" s="173"/>
      <c r="P70" s="173" t="s">
        <v>4182</v>
      </c>
      <c r="Q70" s="174">
        <v>41923</v>
      </c>
      <c r="R70" s="173"/>
      <c r="S70" s="173"/>
    </row>
    <row r="71" spans="1:19" x14ac:dyDescent="0.25">
      <c r="A71" s="173" t="s">
        <v>408</v>
      </c>
      <c r="B71" s="174">
        <v>41899</v>
      </c>
      <c r="C71" s="175" t="s">
        <v>3447</v>
      </c>
      <c r="D71" s="173" t="s">
        <v>4189</v>
      </c>
      <c r="E71" s="173" t="s">
        <v>3559</v>
      </c>
      <c r="F71" s="173" t="s">
        <v>472</v>
      </c>
      <c r="G71" s="173" t="s">
        <v>4190</v>
      </c>
      <c r="H71" s="173"/>
      <c r="I71" s="173"/>
      <c r="J71" s="173" t="s">
        <v>21</v>
      </c>
      <c r="K71" s="176">
        <v>600</v>
      </c>
      <c r="L71" s="173" t="s">
        <v>4213</v>
      </c>
      <c r="M71" s="173" t="s">
        <v>3947</v>
      </c>
      <c r="N71" s="173"/>
      <c r="O71" s="173"/>
      <c r="P71" s="173" t="s">
        <v>4182</v>
      </c>
      <c r="Q71" s="174">
        <v>41923</v>
      </c>
      <c r="R71" s="173"/>
      <c r="S71" s="173"/>
    </row>
    <row r="72" spans="1:19" x14ac:dyDescent="0.25">
      <c r="A72" s="173" t="s">
        <v>408</v>
      </c>
      <c r="B72" s="174">
        <v>41913</v>
      </c>
      <c r="C72" s="175" t="s">
        <v>3598</v>
      </c>
      <c r="D72" s="173" t="s">
        <v>3010</v>
      </c>
      <c r="E72" s="173" t="s">
        <v>3011</v>
      </c>
      <c r="F72" s="173" t="s">
        <v>906</v>
      </c>
      <c r="G72" s="173" t="s">
        <v>4192</v>
      </c>
      <c r="H72" s="176">
        <f>5800/1.21</f>
        <v>4793.3884297520663</v>
      </c>
      <c r="I72" s="176">
        <f>+H72*0.21</f>
        <v>1006.6115702479339</v>
      </c>
      <c r="J72" s="173"/>
      <c r="K72" s="176">
        <f>+H72+I72</f>
        <v>5800</v>
      </c>
      <c r="L72" s="173" t="s">
        <v>4211</v>
      </c>
      <c r="M72" s="173" t="s">
        <v>4341</v>
      </c>
      <c r="N72" s="173"/>
      <c r="O72" s="173"/>
      <c r="P72" s="173" t="s">
        <v>4191</v>
      </c>
      <c r="Q72" s="174">
        <v>42016</v>
      </c>
      <c r="R72" s="173"/>
      <c r="S72" s="173" t="s">
        <v>3186</v>
      </c>
    </row>
    <row r="73" spans="1:19" x14ac:dyDescent="0.25">
      <c r="A73" s="173" t="s">
        <v>408</v>
      </c>
      <c r="B73" s="174">
        <v>41891</v>
      </c>
      <c r="C73" s="175" t="s">
        <v>3756</v>
      </c>
      <c r="D73" s="173" t="s">
        <v>4193</v>
      </c>
      <c r="E73" s="173" t="s">
        <v>4194</v>
      </c>
      <c r="F73" s="173" t="s">
        <v>4034</v>
      </c>
      <c r="G73" s="173" t="s">
        <v>4035</v>
      </c>
      <c r="H73" s="173"/>
      <c r="I73" s="173"/>
      <c r="J73" s="176" t="s">
        <v>21</v>
      </c>
      <c r="K73" s="176">
        <v>3700</v>
      </c>
      <c r="L73" s="173" t="s">
        <v>4195</v>
      </c>
      <c r="M73" s="173" t="s">
        <v>4363</v>
      </c>
      <c r="N73" s="173"/>
      <c r="O73" s="173"/>
      <c r="P73" s="173" t="s">
        <v>4182</v>
      </c>
      <c r="Q73" s="174">
        <v>41923</v>
      </c>
      <c r="R73" s="173"/>
      <c r="S73" s="173" t="s">
        <v>3186</v>
      </c>
    </row>
    <row r="74" spans="1:19" x14ac:dyDescent="0.25">
      <c r="A74" s="173" t="s">
        <v>408</v>
      </c>
      <c r="B74" s="174">
        <v>41894</v>
      </c>
      <c r="C74" s="175" t="s">
        <v>4197</v>
      </c>
      <c r="D74" s="173" t="s">
        <v>4198</v>
      </c>
      <c r="E74" s="173" t="s">
        <v>4199</v>
      </c>
      <c r="F74" s="173" t="s">
        <v>4061</v>
      </c>
      <c r="G74" s="173" t="s">
        <v>4196</v>
      </c>
      <c r="H74" s="176">
        <f>6000/1.21</f>
        <v>4958.6776859504134</v>
      </c>
      <c r="I74" s="176">
        <f>+H74*0.21</f>
        <v>1041.3223140495868</v>
      </c>
      <c r="J74" s="176"/>
      <c r="K74" s="176">
        <f>+H74+I74</f>
        <v>6000</v>
      </c>
      <c r="L74" s="173" t="s">
        <v>4157</v>
      </c>
      <c r="M74" s="173" t="s">
        <v>4364</v>
      </c>
      <c r="N74" s="173"/>
      <c r="O74" s="173"/>
      <c r="P74" s="173" t="s">
        <v>4182</v>
      </c>
      <c r="Q74" s="174">
        <v>41923</v>
      </c>
      <c r="R74" s="173"/>
      <c r="S74" s="173" t="s">
        <v>3186</v>
      </c>
    </row>
    <row r="75" spans="1:19" x14ac:dyDescent="0.25">
      <c r="A75" s="173" t="s">
        <v>408</v>
      </c>
      <c r="B75" s="174">
        <v>41887</v>
      </c>
      <c r="C75" s="175" t="s">
        <v>3444</v>
      </c>
      <c r="D75" s="173" t="s">
        <v>4200</v>
      </c>
      <c r="E75" s="173" t="s">
        <v>4201</v>
      </c>
      <c r="F75" s="173" t="s">
        <v>4111</v>
      </c>
      <c r="G75" s="173" t="s">
        <v>4112</v>
      </c>
      <c r="H75" s="173"/>
      <c r="I75" s="173"/>
      <c r="J75" s="173" t="s">
        <v>21</v>
      </c>
      <c r="K75" s="176">
        <v>4200</v>
      </c>
      <c r="L75" s="173" t="s">
        <v>4202</v>
      </c>
      <c r="M75" s="173" t="s">
        <v>4356</v>
      </c>
      <c r="N75" s="173"/>
      <c r="O75" s="173"/>
      <c r="P75" s="173" t="s">
        <v>4182</v>
      </c>
      <c r="Q75" s="174">
        <v>41923</v>
      </c>
      <c r="R75" s="173"/>
      <c r="S75" s="173" t="s">
        <v>3186</v>
      </c>
    </row>
    <row r="76" spans="1:19" x14ac:dyDescent="0.25">
      <c r="A76" s="173" t="s">
        <v>408</v>
      </c>
      <c r="B76" s="174">
        <v>41886</v>
      </c>
      <c r="C76" s="175" t="s">
        <v>3445</v>
      </c>
      <c r="D76" s="173" t="s">
        <v>4203</v>
      </c>
      <c r="E76" s="173" t="s">
        <v>4204</v>
      </c>
      <c r="F76" s="173" t="s">
        <v>2932</v>
      </c>
      <c r="G76" s="173" t="s">
        <v>4130</v>
      </c>
      <c r="H76" s="176">
        <f>4000/1.21</f>
        <v>3305.7851239669421</v>
      </c>
      <c r="I76" s="176">
        <f>+H76*0.21</f>
        <v>694.21487603305786</v>
      </c>
      <c r="J76" s="176"/>
      <c r="K76" s="176">
        <f>+H76+I76</f>
        <v>4000</v>
      </c>
      <c r="L76" s="173" t="s">
        <v>4205</v>
      </c>
      <c r="M76" s="173" t="s">
        <v>4362</v>
      </c>
      <c r="N76" s="173"/>
      <c r="O76" s="173"/>
      <c r="P76" s="173" t="s">
        <v>4182</v>
      </c>
      <c r="Q76" s="174">
        <v>41923</v>
      </c>
      <c r="R76" s="173"/>
      <c r="S76" s="173" t="s">
        <v>3186</v>
      </c>
    </row>
    <row r="77" spans="1:19" x14ac:dyDescent="0.25">
      <c r="A77" s="173" t="s">
        <v>408</v>
      </c>
      <c r="B77" s="174">
        <v>41885</v>
      </c>
      <c r="C77" s="175" t="s">
        <v>3435</v>
      </c>
      <c r="D77" s="173" t="s">
        <v>3975</v>
      </c>
      <c r="E77" s="173" t="s">
        <v>3976</v>
      </c>
      <c r="F77" s="173" t="s">
        <v>4120</v>
      </c>
      <c r="G77" s="173" t="s">
        <v>4121</v>
      </c>
      <c r="H77" s="173"/>
      <c r="I77" s="173"/>
      <c r="J77" s="173" t="s">
        <v>21</v>
      </c>
      <c r="K77" s="173">
        <v>2300</v>
      </c>
      <c r="L77" s="173" t="s">
        <v>4206</v>
      </c>
      <c r="M77" s="173" t="s">
        <v>3947</v>
      </c>
      <c r="N77" s="173"/>
      <c r="O77" s="173"/>
      <c r="P77" s="173" t="s">
        <v>4182</v>
      </c>
      <c r="Q77" s="174">
        <v>41923</v>
      </c>
      <c r="R77" s="173"/>
      <c r="S77" s="173"/>
    </row>
    <row r="78" spans="1:19" x14ac:dyDescent="0.25">
      <c r="A78" s="173" t="s">
        <v>12</v>
      </c>
      <c r="B78" s="174">
        <v>41900</v>
      </c>
      <c r="C78" s="175" t="s">
        <v>4208</v>
      </c>
      <c r="D78" s="173" t="s">
        <v>3958</v>
      </c>
      <c r="E78" s="173" t="s">
        <v>2626</v>
      </c>
      <c r="F78" s="173" t="s">
        <v>368</v>
      </c>
      <c r="G78" s="173" t="s">
        <v>4207</v>
      </c>
      <c r="H78" s="176">
        <f>3000/1.21</f>
        <v>2479.3388429752067</v>
      </c>
      <c r="I78" s="176">
        <f>+H78*0.21</f>
        <v>520.6611570247934</v>
      </c>
      <c r="J78" s="176"/>
      <c r="K78" s="176">
        <f>+H78+I78</f>
        <v>3000</v>
      </c>
      <c r="L78" s="173" t="s">
        <v>3971</v>
      </c>
      <c r="M78" s="173"/>
      <c r="N78" s="173"/>
      <c r="O78" s="173"/>
      <c r="P78" s="173" t="s">
        <v>4182</v>
      </c>
      <c r="Q78" s="174">
        <v>41923</v>
      </c>
      <c r="R78" s="173"/>
      <c r="S78" s="173"/>
    </row>
    <row r="79" spans="1:19" x14ac:dyDescent="0.25">
      <c r="A79" s="173" t="s">
        <v>12</v>
      </c>
      <c r="B79" s="174">
        <v>41900</v>
      </c>
      <c r="C79" s="175" t="s">
        <v>4209</v>
      </c>
      <c r="D79" s="173" t="s">
        <v>3958</v>
      </c>
      <c r="E79" s="173" t="s">
        <v>2626</v>
      </c>
      <c r="F79" s="173" t="s">
        <v>906</v>
      </c>
      <c r="G79" s="173" t="s">
        <v>4192</v>
      </c>
      <c r="H79" s="176">
        <f>5300/1.21</f>
        <v>4380.1652892561988</v>
      </c>
      <c r="I79" s="176">
        <f>+H79*0.21</f>
        <v>919.83471074380168</v>
      </c>
      <c r="J79" s="176"/>
      <c r="K79" s="176">
        <f>+H79+I79</f>
        <v>5300</v>
      </c>
      <c r="L79" s="173" t="s">
        <v>3971</v>
      </c>
      <c r="M79" s="173"/>
      <c r="N79" s="173"/>
      <c r="O79" s="173"/>
      <c r="P79" s="173" t="s">
        <v>4182</v>
      </c>
      <c r="Q79" s="174">
        <v>41923</v>
      </c>
      <c r="R79" s="173"/>
      <c r="S79" s="173"/>
    </row>
    <row r="80" spans="1:19" x14ac:dyDescent="0.25">
      <c r="A80" s="173" t="s">
        <v>12</v>
      </c>
      <c r="B80" s="174">
        <v>41900</v>
      </c>
      <c r="C80" s="175" t="s">
        <v>4210</v>
      </c>
      <c r="D80" s="173" t="s">
        <v>3958</v>
      </c>
      <c r="E80" s="173" t="s">
        <v>2626</v>
      </c>
      <c r="F80" s="173" t="s">
        <v>906</v>
      </c>
      <c r="G80" s="173" t="s">
        <v>4282</v>
      </c>
      <c r="H80" s="176">
        <f>5300/1.21</f>
        <v>4380.1652892561988</v>
      </c>
      <c r="I80" s="176">
        <f>+H80*0.21</f>
        <v>919.83471074380168</v>
      </c>
      <c r="J80" s="173"/>
      <c r="K80" s="176">
        <f>+H80+I80</f>
        <v>5300</v>
      </c>
      <c r="L80" s="173" t="s">
        <v>3971</v>
      </c>
      <c r="M80" s="173"/>
      <c r="N80" s="173"/>
      <c r="O80" s="173"/>
      <c r="P80" s="173" t="s">
        <v>4182</v>
      </c>
      <c r="Q80" s="174">
        <v>41923</v>
      </c>
      <c r="R80" s="173"/>
      <c r="S80" s="173"/>
    </row>
    <row r="81" spans="1:19" x14ac:dyDescent="0.25">
      <c r="A81" s="173" t="s">
        <v>12</v>
      </c>
      <c r="B81" s="174">
        <v>41887</v>
      </c>
      <c r="C81" s="175" t="s">
        <v>944</v>
      </c>
      <c r="D81" s="173" t="s">
        <v>4200</v>
      </c>
      <c r="E81" s="173" t="s">
        <v>4201</v>
      </c>
      <c r="F81" s="173" t="s">
        <v>472</v>
      </c>
      <c r="G81" s="173" t="s">
        <v>4190</v>
      </c>
      <c r="H81" s="173"/>
      <c r="I81" s="173"/>
      <c r="J81" s="173" t="s">
        <v>21</v>
      </c>
      <c r="K81" s="173">
        <v>400</v>
      </c>
      <c r="L81" s="173" t="s">
        <v>3971</v>
      </c>
      <c r="M81" s="173"/>
      <c r="N81" s="173"/>
      <c r="O81" s="173"/>
      <c r="P81" s="173" t="s">
        <v>4182</v>
      </c>
      <c r="Q81" s="174">
        <v>41927</v>
      </c>
      <c r="R81" s="173"/>
      <c r="S81" s="173"/>
    </row>
    <row r="82" spans="1:19" x14ac:dyDescent="0.25">
      <c r="A82" s="173" t="s">
        <v>12</v>
      </c>
      <c r="B82" s="174">
        <v>41988</v>
      </c>
      <c r="C82" s="175" t="s">
        <v>4214</v>
      </c>
      <c r="D82" s="173" t="s">
        <v>3958</v>
      </c>
      <c r="E82" s="173" t="s">
        <v>2626</v>
      </c>
      <c r="F82" s="173" t="s">
        <v>4215</v>
      </c>
      <c r="G82" s="173" t="s">
        <v>4216</v>
      </c>
      <c r="H82" s="176">
        <f>4000/1.21</f>
        <v>3305.7851239669421</v>
      </c>
      <c r="I82" s="176">
        <f t="shared" ref="I82:I87" si="0">+H82*0.21</f>
        <v>694.21487603305786</v>
      </c>
      <c r="J82" s="173"/>
      <c r="K82" s="176">
        <f t="shared" ref="K82:K87" si="1">+H82+I82</f>
        <v>4000</v>
      </c>
      <c r="L82" s="173" t="s">
        <v>4413</v>
      </c>
      <c r="M82" s="173"/>
      <c r="N82" s="173"/>
      <c r="O82" s="173"/>
      <c r="P82" s="173" t="s">
        <v>4191</v>
      </c>
      <c r="Q82" s="174">
        <v>42016</v>
      </c>
      <c r="R82" s="173"/>
      <c r="S82" s="173"/>
    </row>
    <row r="83" spans="1:19" x14ac:dyDescent="0.25">
      <c r="A83" s="173" t="s">
        <v>12</v>
      </c>
      <c r="B83" s="174">
        <v>41988</v>
      </c>
      <c r="C83" s="175" t="s">
        <v>4217</v>
      </c>
      <c r="D83" s="173" t="s">
        <v>3958</v>
      </c>
      <c r="E83" s="173" t="s">
        <v>2626</v>
      </c>
      <c r="F83" s="173" t="s">
        <v>3194</v>
      </c>
      <c r="G83" s="173" t="s">
        <v>4218</v>
      </c>
      <c r="H83" s="176">
        <f>3500/1.21</f>
        <v>2892.5619834710747</v>
      </c>
      <c r="I83" s="176">
        <f t="shared" si="0"/>
        <v>607.43801652892569</v>
      </c>
      <c r="J83" s="173"/>
      <c r="K83" s="176">
        <f t="shared" si="1"/>
        <v>3500.0000000000005</v>
      </c>
      <c r="L83" s="173" t="s">
        <v>4413</v>
      </c>
      <c r="M83" s="173"/>
      <c r="N83" s="173"/>
      <c r="O83" s="173"/>
      <c r="P83" s="173" t="s">
        <v>4191</v>
      </c>
      <c r="Q83" s="174">
        <v>42016</v>
      </c>
      <c r="R83" s="173"/>
      <c r="S83" s="173"/>
    </row>
    <row r="84" spans="1:19" x14ac:dyDescent="0.25">
      <c r="A84" s="173" t="s">
        <v>12</v>
      </c>
      <c r="B84" s="174">
        <v>41988</v>
      </c>
      <c r="C84" s="175" t="s">
        <v>4219</v>
      </c>
      <c r="D84" s="173" t="s">
        <v>3958</v>
      </c>
      <c r="E84" s="173" t="s">
        <v>2626</v>
      </c>
      <c r="F84" s="173" t="s">
        <v>400</v>
      </c>
      <c r="G84" s="173" t="s">
        <v>4220</v>
      </c>
      <c r="H84" s="176">
        <f>3000/1.21</f>
        <v>2479.3388429752067</v>
      </c>
      <c r="I84" s="176">
        <f t="shared" si="0"/>
        <v>520.6611570247934</v>
      </c>
      <c r="J84" s="173"/>
      <c r="K84" s="176">
        <f t="shared" si="1"/>
        <v>3000</v>
      </c>
      <c r="L84" s="173" t="s">
        <v>4413</v>
      </c>
      <c r="M84" s="173"/>
      <c r="N84" s="173"/>
      <c r="O84" s="173"/>
      <c r="P84" s="173" t="s">
        <v>4191</v>
      </c>
      <c r="Q84" s="174">
        <v>42016</v>
      </c>
      <c r="R84" s="173"/>
      <c r="S84" s="173"/>
    </row>
    <row r="85" spans="1:19" x14ac:dyDescent="0.25">
      <c r="A85" s="173" t="s">
        <v>12</v>
      </c>
      <c r="B85" s="174">
        <v>41918</v>
      </c>
      <c r="C85" s="175" t="s">
        <v>4221</v>
      </c>
      <c r="D85" s="173" t="s">
        <v>4222</v>
      </c>
      <c r="E85" s="173" t="s">
        <v>13</v>
      </c>
      <c r="F85" s="173" t="s">
        <v>4223</v>
      </c>
      <c r="G85" s="173" t="s">
        <v>4224</v>
      </c>
      <c r="H85" s="176">
        <f>3300/1.21</f>
        <v>2727.2727272727275</v>
      </c>
      <c r="I85" s="176">
        <f t="shared" si="0"/>
        <v>572.72727272727275</v>
      </c>
      <c r="J85" s="173"/>
      <c r="K85" s="176">
        <f t="shared" si="1"/>
        <v>3300</v>
      </c>
      <c r="L85" s="173" t="s">
        <v>3971</v>
      </c>
      <c r="M85" s="173" t="s">
        <v>4327</v>
      </c>
      <c r="N85" s="173"/>
      <c r="O85" s="173"/>
      <c r="P85" s="173" t="s">
        <v>4191</v>
      </c>
      <c r="Q85" s="174">
        <v>42016</v>
      </c>
      <c r="R85" s="173"/>
      <c r="S85" s="173" t="s">
        <v>3186</v>
      </c>
    </row>
    <row r="86" spans="1:19" x14ac:dyDescent="0.25">
      <c r="A86" s="173" t="s">
        <v>12</v>
      </c>
      <c r="B86" s="174">
        <v>41918</v>
      </c>
      <c r="C86" s="175" t="s">
        <v>4225</v>
      </c>
      <c r="D86" s="173" t="s">
        <v>4222</v>
      </c>
      <c r="E86" s="173" t="s">
        <v>13</v>
      </c>
      <c r="F86" s="173" t="s">
        <v>4223</v>
      </c>
      <c r="G86" s="173" t="s">
        <v>4226</v>
      </c>
      <c r="H86" s="176">
        <f>3300/1.21</f>
        <v>2727.2727272727275</v>
      </c>
      <c r="I86" s="176">
        <f t="shared" si="0"/>
        <v>572.72727272727275</v>
      </c>
      <c r="J86" s="173"/>
      <c r="K86" s="176">
        <f t="shared" si="1"/>
        <v>3300</v>
      </c>
      <c r="L86" s="173" t="s">
        <v>3971</v>
      </c>
      <c r="M86" s="173" t="s">
        <v>4327</v>
      </c>
      <c r="N86" s="173"/>
      <c r="O86" s="173"/>
      <c r="P86" s="173" t="s">
        <v>4191</v>
      </c>
      <c r="Q86" s="174">
        <v>42016</v>
      </c>
      <c r="R86" s="173"/>
      <c r="S86" s="173" t="s">
        <v>3186</v>
      </c>
    </row>
    <row r="87" spans="1:19" x14ac:dyDescent="0.25">
      <c r="A87" s="173" t="s">
        <v>12</v>
      </c>
      <c r="B87" s="174">
        <v>41918</v>
      </c>
      <c r="C87" s="175" t="s">
        <v>4227</v>
      </c>
      <c r="D87" s="173" t="s">
        <v>4222</v>
      </c>
      <c r="E87" s="173" t="s">
        <v>13</v>
      </c>
      <c r="F87" s="173" t="s">
        <v>4223</v>
      </c>
      <c r="G87" s="173" t="s">
        <v>4228</v>
      </c>
      <c r="H87" s="176">
        <f>3300/1.21</f>
        <v>2727.2727272727275</v>
      </c>
      <c r="I87" s="176">
        <f t="shared" si="0"/>
        <v>572.72727272727275</v>
      </c>
      <c r="J87" s="173"/>
      <c r="K87" s="176">
        <f t="shared" si="1"/>
        <v>3300</v>
      </c>
      <c r="L87" s="173" t="s">
        <v>4413</v>
      </c>
      <c r="M87" s="173" t="s">
        <v>4327</v>
      </c>
      <c r="N87" s="173"/>
      <c r="O87" s="173"/>
      <c r="P87" s="173" t="s">
        <v>4191</v>
      </c>
      <c r="Q87" s="174">
        <v>42016</v>
      </c>
      <c r="R87" s="173"/>
      <c r="S87" s="173" t="s">
        <v>3186</v>
      </c>
    </row>
    <row r="88" spans="1:19" x14ac:dyDescent="0.25">
      <c r="A88" s="173" t="s">
        <v>12</v>
      </c>
      <c r="B88" s="174">
        <v>41939</v>
      </c>
      <c r="C88" s="175" t="s">
        <v>4229</v>
      </c>
      <c r="D88" s="173" t="s">
        <v>4230</v>
      </c>
      <c r="E88" s="173" t="s">
        <v>4231</v>
      </c>
      <c r="F88" s="173" t="s">
        <v>4232</v>
      </c>
      <c r="G88" s="173" t="s">
        <v>4233</v>
      </c>
      <c r="H88" s="173"/>
      <c r="I88" s="173"/>
      <c r="J88" s="173" t="s">
        <v>21</v>
      </c>
      <c r="K88" s="176">
        <v>1550</v>
      </c>
      <c r="L88" s="173" t="s">
        <v>4413</v>
      </c>
      <c r="M88" s="173"/>
      <c r="N88" s="173"/>
      <c r="O88" s="173"/>
      <c r="P88" s="173" t="s">
        <v>4191</v>
      </c>
      <c r="Q88" s="174">
        <v>42016</v>
      </c>
      <c r="R88" s="173"/>
      <c r="S88" s="173"/>
    </row>
    <row r="89" spans="1:19" x14ac:dyDescent="0.25">
      <c r="A89" s="173" t="s">
        <v>12</v>
      </c>
      <c r="B89" s="174">
        <v>41942</v>
      </c>
      <c r="C89" s="175" t="s">
        <v>4234</v>
      </c>
      <c r="D89" s="173" t="s">
        <v>3958</v>
      </c>
      <c r="E89" s="173" t="s">
        <v>2626</v>
      </c>
      <c r="F89" s="173" t="s">
        <v>4235</v>
      </c>
      <c r="G89" s="173" t="s">
        <v>4236</v>
      </c>
      <c r="H89" s="176">
        <f>9200/1.21</f>
        <v>7603.3057851239673</v>
      </c>
      <c r="I89" s="176">
        <f>+H89*0.21</f>
        <v>1596.6942148760331</v>
      </c>
      <c r="J89" s="173"/>
      <c r="K89" s="176">
        <f>+H89+I89</f>
        <v>9200</v>
      </c>
      <c r="L89" s="173" t="s">
        <v>3971</v>
      </c>
      <c r="M89" s="173"/>
      <c r="N89" s="173"/>
      <c r="O89" s="173"/>
      <c r="P89" s="173" t="s">
        <v>4191</v>
      </c>
      <c r="Q89" s="174">
        <v>42016</v>
      </c>
      <c r="R89" s="173"/>
      <c r="S89" s="173"/>
    </row>
    <row r="90" spans="1:19" x14ac:dyDescent="0.25">
      <c r="A90" s="173" t="s">
        <v>12</v>
      </c>
      <c r="B90" s="174">
        <v>41942</v>
      </c>
      <c r="C90" s="175" t="s">
        <v>4237</v>
      </c>
      <c r="D90" s="173" t="s">
        <v>3958</v>
      </c>
      <c r="E90" s="173" t="s">
        <v>2626</v>
      </c>
      <c r="F90" s="173" t="s">
        <v>4238</v>
      </c>
      <c r="G90" s="173" t="s">
        <v>4239</v>
      </c>
      <c r="H90" s="176">
        <f>4500/1.21</f>
        <v>3719.0082644628101</v>
      </c>
      <c r="I90" s="176">
        <f>+H90*0.21</f>
        <v>780.99173553719004</v>
      </c>
      <c r="J90" s="173"/>
      <c r="K90" s="176">
        <f>+H90+I90</f>
        <v>4500</v>
      </c>
      <c r="L90" s="173" t="s">
        <v>3971</v>
      </c>
      <c r="M90" s="173"/>
      <c r="N90" s="173"/>
      <c r="O90" s="173"/>
      <c r="P90" s="173" t="s">
        <v>4191</v>
      </c>
      <c r="Q90" s="174">
        <v>42016</v>
      </c>
      <c r="R90" s="173"/>
      <c r="S90" s="173"/>
    </row>
    <row r="91" spans="1:19" x14ac:dyDescent="0.25">
      <c r="A91" s="173" t="s">
        <v>12</v>
      </c>
      <c r="B91" s="174">
        <v>41942</v>
      </c>
      <c r="C91" s="175" t="s">
        <v>4240</v>
      </c>
      <c r="D91" s="173" t="s">
        <v>3958</v>
      </c>
      <c r="E91" s="173" t="s">
        <v>2626</v>
      </c>
      <c r="F91" s="173" t="s">
        <v>4238</v>
      </c>
      <c r="G91" s="173" t="s">
        <v>4241</v>
      </c>
      <c r="H91" s="176">
        <f>4500/1.21</f>
        <v>3719.0082644628101</v>
      </c>
      <c r="I91" s="176">
        <f>+H91*0.21</f>
        <v>780.99173553719004</v>
      </c>
      <c r="J91" s="173"/>
      <c r="K91" s="176">
        <f>+H91+I91</f>
        <v>4500</v>
      </c>
      <c r="L91" s="173" t="s">
        <v>3971</v>
      </c>
      <c r="M91" s="173"/>
      <c r="N91" s="173"/>
      <c r="O91" s="173"/>
      <c r="P91" s="173" t="s">
        <v>4191</v>
      </c>
      <c r="Q91" s="174">
        <v>42016</v>
      </c>
      <c r="R91" s="173"/>
      <c r="S91" s="173"/>
    </row>
    <row r="92" spans="1:19" x14ac:dyDescent="0.25">
      <c r="A92" s="173" t="s">
        <v>12</v>
      </c>
      <c r="B92" s="174">
        <v>41929</v>
      </c>
      <c r="C92" s="175" t="s">
        <v>944</v>
      </c>
      <c r="D92" s="173" t="s">
        <v>4242</v>
      </c>
      <c r="E92" s="173" t="s">
        <v>4243</v>
      </c>
      <c r="F92" s="173" t="s">
        <v>2718</v>
      </c>
      <c r="G92" s="173" t="s">
        <v>4244</v>
      </c>
      <c r="H92" s="173"/>
      <c r="I92" s="173"/>
      <c r="J92" s="173" t="s">
        <v>21</v>
      </c>
      <c r="K92" s="173">
        <v>350</v>
      </c>
      <c r="L92" s="173" t="s">
        <v>3971</v>
      </c>
      <c r="M92" s="173"/>
      <c r="N92" s="173"/>
      <c r="O92" s="173"/>
      <c r="P92" s="173" t="s">
        <v>4191</v>
      </c>
      <c r="Q92" s="174">
        <v>42016</v>
      </c>
      <c r="R92" s="173"/>
      <c r="S92" s="173"/>
    </row>
    <row r="93" spans="1:19" x14ac:dyDescent="0.25">
      <c r="A93" s="173" t="s">
        <v>12</v>
      </c>
      <c r="B93" s="174">
        <v>41964</v>
      </c>
      <c r="C93" s="175" t="s">
        <v>4245</v>
      </c>
      <c r="D93" s="173" t="s">
        <v>4057</v>
      </c>
      <c r="E93" s="173" t="s">
        <v>4058</v>
      </c>
      <c r="F93" s="173" t="s">
        <v>4246</v>
      </c>
      <c r="G93" s="173" t="s">
        <v>4247</v>
      </c>
      <c r="H93" s="173"/>
      <c r="I93" s="173"/>
      <c r="J93" s="173" t="s">
        <v>21</v>
      </c>
      <c r="K93" s="176">
        <v>2100</v>
      </c>
      <c r="L93" s="173" t="s">
        <v>4413</v>
      </c>
      <c r="M93" s="173"/>
      <c r="N93" s="173"/>
      <c r="O93" s="173"/>
      <c r="P93" s="173" t="s">
        <v>4191</v>
      </c>
      <c r="Q93" s="174">
        <v>42016</v>
      </c>
      <c r="R93" s="173"/>
      <c r="S93" s="173"/>
    </row>
    <row r="94" spans="1:19" x14ac:dyDescent="0.25">
      <c r="A94" s="173" t="s">
        <v>12</v>
      </c>
      <c r="B94" s="174">
        <v>41964</v>
      </c>
      <c r="C94" s="175" t="s">
        <v>4248</v>
      </c>
      <c r="D94" s="173" t="s">
        <v>4057</v>
      </c>
      <c r="E94" s="173" t="s">
        <v>4058</v>
      </c>
      <c r="F94" s="173" t="s">
        <v>693</v>
      </c>
      <c r="G94" s="173" t="s">
        <v>4249</v>
      </c>
      <c r="H94" s="173"/>
      <c r="I94" s="173"/>
      <c r="J94" s="173" t="s">
        <v>21</v>
      </c>
      <c r="K94" s="176">
        <v>1900</v>
      </c>
      <c r="L94" s="173" t="s">
        <v>3971</v>
      </c>
      <c r="M94" s="173"/>
      <c r="N94" s="173"/>
      <c r="O94" s="173"/>
      <c r="P94" s="173" t="s">
        <v>4191</v>
      </c>
      <c r="Q94" s="174">
        <v>42016</v>
      </c>
      <c r="R94" s="173"/>
      <c r="S94" s="173"/>
    </row>
    <row r="95" spans="1:19" x14ac:dyDescent="0.25">
      <c r="A95" s="173" t="s">
        <v>12</v>
      </c>
      <c r="B95" s="174">
        <v>41964</v>
      </c>
      <c r="C95" s="175" t="s">
        <v>4250</v>
      </c>
      <c r="D95" s="173" t="s">
        <v>4057</v>
      </c>
      <c r="E95" s="173" t="s">
        <v>4058</v>
      </c>
      <c r="F95" s="173" t="s">
        <v>3156</v>
      </c>
      <c r="G95" s="173" t="s">
        <v>4251</v>
      </c>
      <c r="H95" s="173"/>
      <c r="I95" s="173"/>
      <c r="J95" s="173" t="s">
        <v>21</v>
      </c>
      <c r="K95" s="176">
        <v>1100</v>
      </c>
      <c r="L95" s="173" t="s">
        <v>4413</v>
      </c>
      <c r="M95" s="173"/>
      <c r="N95" s="173"/>
      <c r="O95" s="173"/>
      <c r="P95" s="173" t="s">
        <v>4191</v>
      </c>
      <c r="Q95" s="174">
        <v>42016</v>
      </c>
      <c r="R95" s="173"/>
      <c r="S95" s="173"/>
    </row>
    <row r="96" spans="1:19" x14ac:dyDescent="0.25">
      <c r="A96" s="173" t="s">
        <v>12</v>
      </c>
      <c r="B96" s="174">
        <v>41961</v>
      </c>
      <c r="C96" s="175" t="s">
        <v>4252</v>
      </c>
      <c r="D96" s="173" t="s">
        <v>4057</v>
      </c>
      <c r="E96" s="173" t="s">
        <v>4058</v>
      </c>
      <c r="F96" s="173" t="s">
        <v>4054</v>
      </c>
      <c r="G96" s="173" t="s">
        <v>4253</v>
      </c>
      <c r="H96" s="173"/>
      <c r="I96" s="173"/>
      <c r="J96" s="173" t="s">
        <v>21</v>
      </c>
      <c r="K96" s="176">
        <v>3246</v>
      </c>
      <c r="L96" s="173" t="s">
        <v>4413</v>
      </c>
      <c r="M96" s="173"/>
      <c r="N96" s="173"/>
      <c r="O96" s="173"/>
      <c r="P96" s="173" t="s">
        <v>4191</v>
      </c>
      <c r="Q96" s="174">
        <v>42016</v>
      </c>
      <c r="R96" s="173"/>
      <c r="S96" s="173"/>
    </row>
    <row r="97" spans="1:19" x14ac:dyDescent="0.25">
      <c r="A97" s="173" t="s">
        <v>12</v>
      </c>
      <c r="B97" s="174">
        <v>41961</v>
      </c>
      <c r="C97" s="175" t="s">
        <v>4254</v>
      </c>
      <c r="D97" s="173" t="s">
        <v>4057</v>
      </c>
      <c r="E97" s="173" t="s">
        <v>4058</v>
      </c>
      <c r="F97" s="173" t="s">
        <v>4255</v>
      </c>
      <c r="G97" s="173" t="s">
        <v>4256</v>
      </c>
      <c r="H97" s="176">
        <f>3545.99/1.21</f>
        <v>2930.5702479338843</v>
      </c>
      <c r="I97" s="176">
        <f>+H97*0.21</f>
        <v>615.41975206611562</v>
      </c>
      <c r="J97" s="176"/>
      <c r="K97" s="176">
        <f>+H97+I97</f>
        <v>3545.99</v>
      </c>
      <c r="L97" s="173" t="s">
        <v>4413</v>
      </c>
      <c r="M97" s="173"/>
      <c r="N97" s="173"/>
      <c r="O97" s="173"/>
      <c r="P97" s="173" t="s">
        <v>4191</v>
      </c>
      <c r="Q97" s="174">
        <v>42016</v>
      </c>
      <c r="R97" s="173"/>
      <c r="S97" s="173"/>
    </row>
    <row r="98" spans="1:19" x14ac:dyDescent="0.25">
      <c r="A98" s="173" t="s">
        <v>12</v>
      </c>
      <c r="B98" s="174">
        <v>41963</v>
      </c>
      <c r="C98" s="175" t="s">
        <v>944</v>
      </c>
      <c r="D98" s="173" t="s">
        <v>4257</v>
      </c>
      <c r="E98" s="173" t="s">
        <v>4258</v>
      </c>
      <c r="F98" s="173" t="s">
        <v>4259</v>
      </c>
      <c r="G98" s="173" t="s">
        <v>4260</v>
      </c>
      <c r="H98" s="173"/>
      <c r="I98" s="173"/>
      <c r="J98" s="173" t="s">
        <v>21</v>
      </c>
      <c r="K98" s="176">
        <v>2000</v>
      </c>
      <c r="L98" s="173" t="s">
        <v>3971</v>
      </c>
      <c r="M98" s="173" t="s">
        <v>4330</v>
      </c>
      <c r="N98" s="173"/>
      <c r="O98" s="173"/>
      <c r="P98" s="173" t="s">
        <v>4191</v>
      </c>
      <c r="Q98" s="174">
        <v>42016</v>
      </c>
      <c r="R98" s="173"/>
      <c r="S98" s="173" t="s">
        <v>3186</v>
      </c>
    </row>
    <row r="99" spans="1:19" x14ac:dyDescent="0.25">
      <c r="A99" s="173" t="s">
        <v>12</v>
      </c>
      <c r="B99" s="174">
        <v>41964</v>
      </c>
      <c r="C99" s="175" t="s">
        <v>4261</v>
      </c>
      <c r="D99" s="173" t="s">
        <v>3958</v>
      </c>
      <c r="E99" s="173" t="s">
        <v>2626</v>
      </c>
      <c r="F99" s="173" t="s">
        <v>4238</v>
      </c>
      <c r="G99" s="173" t="s">
        <v>4262</v>
      </c>
      <c r="H99" s="176">
        <f>4300/1.21</f>
        <v>3553.7190082644629</v>
      </c>
      <c r="I99" s="176">
        <f>+H99*0.21</f>
        <v>746.28099173553721</v>
      </c>
      <c r="J99" s="173"/>
      <c r="K99" s="176">
        <f>+H99+I99</f>
        <v>4300</v>
      </c>
      <c r="L99" s="173" t="s">
        <v>4413</v>
      </c>
      <c r="M99" s="173"/>
      <c r="N99" s="173"/>
      <c r="O99" s="173"/>
      <c r="P99" s="173" t="s">
        <v>4191</v>
      </c>
      <c r="Q99" s="174">
        <v>42016</v>
      </c>
      <c r="R99" s="173"/>
      <c r="S99" s="173"/>
    </row>
    <row r="100" spans="1:19" x14ac:dyDescent="0.25">
      <c r="A100" s="173" t="s">
        <v>12</v>
      </c>
      <c r="B100" s="174">
        <v>41964</v>
      </c>
      <c r="C100" s="175" t="s">
        <v>4263</v>
      </c>
      <c r="D100" s="173" t="s">
        <v>3958</v>
      </c>
      <c r="E100" s="173" t="s">
        <v>2626</v>
      </c>
      <c r="F100" s="173" t="s">
        <v>4238</v>
      </c>
      <c r="G100" s="173" t="s">
        <v>4264</v>
      </c>
      <c r="H100" s="176">
        <f>4300/1.21</f>
        <v>3553.7190082644629</v>
      </c>
      <c r="I100" s="176">
        <f>+H100*0.21</f>
        <v>746.28099173553721</v>
      </c>
      <c r="J100" s="173"/>
      <c r="K100" s="176">
        <f>+H100+I100</f>
        <v>4300</v>
      </c>
      <c r="L100" s="173" t="s">
        <v>3971</v>
      </c>
      <c r="M100" s="173"/>
      <c r="N100" s="173"/>
      <c r="O100" s="173"/>
      <c r="P100" s="173" t="s">
        <v>4191</v>
      </c>
      <c r="Q100" s="174">
        <v>42016</v>
      </c>
      <c r="R100" s="173"/>
      <c r="S100" s="182"/>
    </row>
    <row r="101" spans="1:19" x14ac:dyDescent="0.25">
      <c r="A101" s="173" t="s">
        <v>12</v>
      </c>
      <c r="B101" s="174">
        <v>41974</v>
      </c>
      <c r="C101" s="175" t="s">
        <v>4265</v>
      </c>
      <c r="D101" s="173" t="s">
        <v>4222</v>
      </c>
      <c r="E101" s="173" t="s">
        <v>13</v>
      </c>
      <c r="F101" s="173" t="s">
        <v>2718</v>
      </c>
      <c r="G101" s="173" t="s">
        <v>4266</v>
      </c>
      <c r="H101" s="176">
        <f>7400/1.21</f>
        <v>6115.7024793388427</v>
      </c>
      <c r="I101" s="176">
        <f>+H101*0.21</f>
        <v>1284.297520661157</v>
      </c>
      <c r="J101" s="173"/>
      <c r="K101" s="176">
        <f>+H101+I101</f>
        <v>7400</v>
      </c>
      <c r="L101" s="173" t="s">
        <v>4413</v>
      </c>
      <c r="M101" s="173" t="s">
        <v>4328</v>
      </c>
      <c r="N101" s="173"/>
      <c r="O101" s="173"/>
      <c r="P101" s="173" t="s">
        <v>4191</v>
      </c>
      <c r="Q101" s="174">
        <v>42016</v>
      </c>
      <c r="R101" s="173"/>
      <c r="S101" s="173" t="s">
        <v>3186</v>
      </c>
    </row>
    <row r="102" spans="1:19" x14ac:dyDescent="0.25">
      <c r="A102" s="173" t="s">
        <v>12</v>
      </c>
      <c r="B102" s="174">
        <v>41971</v>
      </c>
      <c r="C102" s="175" t="s">
        <v>4267</v>
      </c>
      <c r="D102" s="173" t="s">
        <v>4057</v>
      </c>
      <c r="E102" s="173" t="s">
        <v>4058</v>
      </c>
      <c r="F102" s="173" t="s">
        <v>4268</v>
      </c>
      <c r="G102" s="173" t="s">
        <v>4269</v>
      </c>
      <c r="H102" s="176">
        <f>6500/1.21</f>
        <v>5371.9008264462809</v>
      </c>
      <c r="I102" s="176">
        <f>+H102*0.21</f>
        <v>1128.0991735537189</v>
      </c>
      <c r="J102" s="176"/>
      <c r="K102" s="176">
        <f>+H102+I102</f>
        <v>6500</v>
      </c>
      <c r="L102" s="173" t="s">
        <v>4413</v>
      </c>
      <c r="M102" s="173"/>
      <c r="N102" s="173"/>
      <c r="O102" s="173"/>
      <c r="P102" s="173" t="s">
        <v>4191</v>
      </c>
      <c r="Q102" s="174">
        <v>42016</v>
      </c>
      <c r="R102" s="173"/>
      <c r="S102" s="173"/>
    </row>
    <row r="103" spans="1:19" x14ac:dyDescent="0.25">
      <c r="A103" s="173" t="s">
        <v>12</v>
      </c>
      <c r="B103" s="174">
        <v>41990</v>
      </c>
      <c r="C103" s="175" t="s">
        <v>944</v>
      </c>
      <c r="D103" s="173" t="s">
        <v>4270</v>
      </c>
      <c r="E103" s="173" t="s">
        <v>4271</v>
      </c>
      <c r="F103" s="173" t="s">
        <v>4272</v>
      </c>
      <c r="G103" s="173" t="s">
        <v>4273</v>
      </c>
      <c r="H103" s="173"/>
      <c r="I103" s="173"/>
      <c r="J103" s="173" t="s">
        <v>21</v>
      </c>
      <c r="K103" s="173">
        <v>2300</v>
      </c>
      <c r="L103" s="173" t="s">
        <v>4413</v>
      </c>
      <c r="M103" s="173"/>
      <c r="N103" s="173"/>
      <c r="O103" s="173"/>
      <c r="P103" s="173" t="s">
        <v>4191</v>
      </c>
      <c r="Q103" s="174">
        <v>42016</v>
      </c>
      <c r="R103" s="173"/>
      <c r="S103" s="173"/>
    </row>
    <row r="104" spans="1:19" x14ac:dyDescent="0.25">
      <c r="A104" s="173" t="s">
        <v>12</v>
      </c>
      <c r="B104" s="174">
        <v>42003</v>
      </c>
      <c r="C104" s="175" t="s">
        <v>4276</v>
      </c>
      <c r="D104" s="173" t="s">
        <v>4274</v>
      </c>
      <c r="E104" s="173" t="s">
        <v>989</v>
      </c>
      <c r="F104" s="173" t="s">
        <v>4120</v>
      </c>
      <c r="G104" s="173" t="s">
        <v>4275</v>
      </c>
      <c r="H104" s="173"/>
      <c r="I104" s="173"/>
      <c r="J104" s="173" t="s">
        <v>21</v>
      </c>
      <c r="K104" s="173">
        <v>3200</v>
      </c>
      <c r="L104" s="173" t="s">
        <v>4413</v>
      </c>
      <c r="M104" s="173"/>
      <c r="N104" s="173"/>
      <c r="O104" s="173"/>
      <c r="P104" s="173" t="s">
        <v>4191</v>
      </c>
      <c r="Q104" s="174">
        <v>42016</v>
      </c>
      <c r="R104" s="173"/>
      <c r="S104" s="173"/>
    </row>
    <row r="105" spans="1:19" x14ac:dyDescent="0.25">
      <c r="A105" s="173" t="s">
        <v>12</v>
      </c>
      <c r="B105" s="174">
        <v>42003</v>
      </c>
      <c r="C105" s="175" t="s">
        <v>4277</v>
      </c>
      <c r="D105" s="173" t="s">
        <v>4274</v>
      </c>
      <c r="E105" s="173" t="s">
        <v>989</v>
      </c>
      <c r="F105" s="173" t="s">
        <v>906</v>
      </c>
      <c r="G105" s="173" t="s">
        <v>4278</v>
      </c>
      <c r="H105" s="173"/>
      <c r="I105" s="173"/>
      <c r="J105" s="173" t="s">
        <v>21</v>
      </c>
      <c r="K105" s="173">
        <v>2500</v>
      </c>
      <c r="L105" s="173" t="s">
        <v>4413</v>
      </c>
      <c r="M105" s="173"/>
      <c r="N105" s="173"/>
      <c r="O105" s="173"/>
      <c r="P105" s="173" t="s">
        <v>4191</v>
      </c>
      <c r="Q105" s="174">
        <v>42016</v>
      </c>
      <c r="R105" s="173"/>
      <c r="S105" s="173"/>
    </row>
    <row r="106" spans="1:19" x14ac:dyDescent="0.25">
      <c r="A106" s="173" t="s">
        <v>408</v>
      </c>
      <c r="B106" s="174">
        <v>41939</v>
      </c>
      <c r="C106" s="175" t="s">
        <v>3591</v>
      </c>
      <c r="D106" s="173" t="s">
        <v>4279</v>
      </c>
      <c r="E106" s="173" t="s">
        <v>4280</v>
      </c>
      <c r="F106" s="173" t="s">
        <v>4223</v>
      </c>
      <c r="G106" s="173" t="s">
        <v>4224</v>
      </c>
      <c r="H106" s="176">
        <f>3800/1.21</f>
        <v>3140.495867768595</v>
      </c>
      <c r="I106" s="176">
        <f>+H106*0.21</f>
        <v>659.50413223140492</v>
      </c>
      <c r="J106" s="173"/>
      <c r="K106" s="176">
        <f>+H106+I106</f>
        <v>3800</v>
      </c>
      <c r="L106" s="173" t="s">
        <v>4281</v>
      </c>
      <c r="M106" s="173" t="s">
        <v>4343</v>
      </c>
      <c r="N106" s="173"/>
      <c r="O106" s="173"/>
      <c r="P106" s="173" t="s">
        <v>4191</v>
      </c>
      <c r="Q106" s="174">
        <v>42016</v>
      </c>
      <c r="R106" s="173"/>
      <c r="S106" s="173" t="s">
        <v>3186</v>
      </c>
    </row>
    <row r="107" spans="1:19" x14ac:dyDescent="0.25">
      <c r="A107" s="173" t="s">
        <v>408</v>
      </c>
      <c r="B107" s="174">
        <v>41945</v>
      </c>
      <c r="C107" s="175" t="s">
        <v>4283</v>
      </c>
      <c r="D107" s="173" t="s">
        <v>4284</v>
      </c>
      <c r="E107" s="173" t="s">
        <v>4285</v>
      </c>
      <c r="F107" s="173" t="s">
        <v>906</v>
      </c>
      <c r="G107" s="173" t="s">
        <v>4282</v>
      </c>
      <c r="H107" s="176">
        <f>5800/1.21</f>
        <v>4793.3884297520663</v>
      </c>
      <c r="I107" s="176">
        <f>+H107*0.21</f>
        <v>1006.6115702479339</v>
      </c>
      <c r="J107" s="173"/>
      <c r="K107" s="176">
        <f>+H107+I107</f>
        <v>5800</v>
      </c>
      <c r="L107" s="173" t="s">
        <v>4286</v>
      </c>
      <c r="M107" s="173" t="s">
        <v>4357</v>
      </c>
      <c r="N107" s="173"/>
      <c r="O107" s="173"/>
      <c r="P107" s="173" t="s">
        <v>4191</v>
      </c>
      <c r="Q107" s="174">
        <v>42016</v>
      </c>
      <c r="R107" s="173"/>
      <c r="S107" s="173" t="s">
        <v>3186</v>
      </c>
    </row>
    <row r="108" spans="1:19" x14ac:dyDescent="0.25">
      <c r="A108" s="173" t="s">
        <v>408</v>
      </c>
      <c r="B108" s="174">
        <v>41967</v>
      </c>
      <c r="C108" s="175" t="s">
        <v>3565</v>
      </c>
      <c r="D108" s="173" t="s">
        <v>4287</v>
      </c>
      <c r="E108" s="173" t="s">
        <v>4288</v>
      </c>
      <c r="F108" s="173" t="s">
        <v>4259</v>
      </c>
      <c r="G108" s="173" t="s">
        <v>4260</v>
      </c>
      <c r="H108" s="173"/>
      <c r="I108" s="173"/>
      <c r="J108" s="173" t="s">
        <v>21</v>
      </c>
      <c r="K108" s="173">
        <v>2300</v>
      </c>
      <c r="L108" s="173" t="s">
        <v>4289</v>
      </c>
      <c r="M108" s="173" t="s">
        <v>4367</v>
      </c>
      <c r="N108" s="173"/>
      <c r="O108" s="173"/>
      <c r="P108" s="173" t="s">
        <v>4191</v>
      </c>
      <c r="Q108" s="174">
        <v>42016</v>
      </c>
      <c r="R108" s="173"/>
      <c r="S108" s="173" t="s">
        <v>3186</v>
      </c>
    </row>
    <row r="109" spans="1:19" x14ac:dyDescent="0.25">
      <c r="A109" s="173" t="s">
        <v>408</v>
      </c>
      <c r="B109" s="174">
        <v>41960</v>
      </c>
      <c r="C109" s="175" t="s">
        <v>3577</v>
      </c>
      <c r="D109" s="173" t="s">
        <v>4290</v>
      </c>
      <c r="E109" s="173" t="s">
        <v>4291</v>
      </c>
      <c r="F109" s="173" t="s">
        <v>2718</v>
      </c>
      <c r="G109" s="173" t="s">
        <v>4244</v>
      </c>
      <c r="H109" s="173"/>
      <c r="I109" s="173"/>
      <c r="J109" s="173" t="s">
        <v>21</v>
      </c>
      <c r="K109" s="173">
        <v>500</v>
      </c>
      <c r="L109" s="173" t="s">
        <v>4292</v>
      </c>
      <c r="M109" s="173" t="s">
        <v>3947</v>
      </c>
      <c r="N109" s="173"/>
      <c r="O109" s="173"/>
      <c r="P109" s="173" t="s">
        <v>4191</v>
      </c>
      <c r="Q109" s="174">
        <v>42016</v>
      </c>
      <c r="R109" s="173"/>
      <c r="S109" s="173"/>
    </row>
    <row r="110" spans="1:19" x14ac:dyDescent="0.25">
      <c r="A110" s="173" t="s">
        <v>408</v>
      </c>
      <c r="B110" s="174">
        <v>41964</v>
      </c>
      <c r="C110" s="175" t="s">
        <v>3585</v>
      </c>
      <c r="D110" s="173" t="s">
        <v>4257</v>
      </c>
      <c r="E110" s="173" t="s">
        <v>4258</v>
      </c>
      <c r="F110" s="173" t="s">
        <v>4021</v>
      </c>
      <c r="G110" s="173" t="s">
        <v>4022</v>
      </c>
      <c r="H110" s="176"/>
      <c r="I110" s="176"/>
      <c r="J110" s="176" t="s">
        <v>21</v>
      </c>
      <c r="K110" s="176">
        <v>10350</v>
      </c>
      <c r="L110" s="173" t="s">
        <v>4293</v>
      </c>
      <c r="M110" s="173" t="s">
        <v>4338</v>
      </c>
      <c r="N110" s="173"/>
      <c r="O110" s="173"/>
      <c r="P110" s="173" t="s">
        <v>4191</v>
      </c>
      <c r="Q110" s="174">
        <v>42016</v>
      </c>
      <c r="R110" s="173"/>
      <c r="S110" s="173" t="s">
        <v>3186</v>
      </c>
    </row>
    <row r="111" spans="1:19" x14ac:dyDescent="0.25">
      <c r="A111" s="173" t="s">
        <v>408</v>
      </c>
      <c r="B111" s="174">
        <v>41929</v>
      </c>
      <c r="C111" s="175" t="s">
        <v>3554</v>
      </c>
      <c r="D111" s="173" t="s">
        <v>4294</v>
      </c>
      <c r="E111" s="173" t="s">
        <v>4295</v>
      </c>
      <c r="F111" s="173" t="s">
        <v>368</v>
      </c>
      <c r="G111" s="173" t="s">
        <v>4207</v>
      </c>
      <c r="H111" s="176">
        <f>3400/1.21</f>
        <v>2809.9173553719011</v>
      </c>
      <c r="I111" s="176">
        <f>+H111*0.21</f>
        <v>590.08264462809916</v>
      </c>
      <c r="J111" s="176"/>
      <c r="K111" s="176">
        <f>+H111+I111</f>
        <v>3400</v>
      </c>
      <c r="L111" s="173" t="s">
        <v>4286</v>
      </c>
      <c r="M111" s="173" t="s">
        <v>4365</v>
      </c>
      <c r="N111" s="173"/>
      <c r="O111" s="173"/>
      <c r="P111" s="173" t="s">
        <v>4191</v>
      </c>
      <c r="Q111" s="174">
        <v>42016</v>
      </c>
      <c r="R111" s="173"/>
      <c r="S111" s="173" t="s">
        <v>3186</v>
      </c>
    </row>
    <row r="112" spans="1:19" x14ac:dyDescent="0.25">
      <c r="A112" s="173" t="s">
        <v>408</v>
      </c>
      <c r="B112" s="174">
        <v>41968</v>
      </c>
      <c r="C112" s="175" t="s">
        <v>3582</v>
      </c>
      <c r="D112" s="173" t="s">
        <v>4296</v>
      </c>
      <c r="E112" s="173" t="s">
        <v>4297</v>
      </c>
      <c r="F112" s="173" t="s">
        <v>4054</v>
      </c>
      <c r="G112" s="173" t="s">
        <v>4188</v>
      </c>
      <c r="H112" s="173"/>
      <c r="I112" s="173"/>
      <c r="J112" s="173" t="s">
        <v>21</v>
      </c>
      <c r="K112" s="173">
        <v>7000</v>
      </c>
      <c r="L112" s="173" t="s">
        <v>4298</v>
      </c>
      <c r="M112" s="173" t="s">
        <v>4342</v>
      </c>
      <c r="N112" s="173"/>
      <c r="O112" s="173"/>
      <c r="P112" s="173" t="s">
        <v>4191</v>
      </c>
      <c r="Q112" s="174">
        <v>42016</v>
      </c>
      <c r="R112" s="173"/>
      <c r="S112" s="173" t="s">
        <v>3186</v>
      </c>
    </row>
    <row r="113" spans="1:19" x14ac:dyDescent="0.25">
      <c r="A113" s="173" t="s">
        <v>408</v>
      </c>
      <c r="B113" s="174">
        <v>41968</v>
      </c>
      <c r="C113" s="175" t="s">
        <v>3610</v>
      </c>
      <c r="D113" s="173" t="s">
        <v>4299</v>
      </c>
      <c r="E113" s="173" t="s">
        <v>4300</v>
      </c>
      <c r="F113" s="173" t="s">
        <v>693</v>
      </c>
      <c r="G113" s="173" t="s">
        <v>4249</v>
      </c>
      <c r="H113" s="173"/>
      <c r="I113" s="173"/>
      <c r="J113" s="173" t="s">
        <v>21</v>
      </c>
      <c r="K113" s="176">
        <v>2200</v>
      </c>
      <c r="L113" s="173" t="s">
        <v>4301</v>
      </c>
      <c r="M113" s="173" t="s">
        <v>3947</v>
      </c>
      <c r="N113" s="173"/>
      <c r="O113" s="173"/>
      <c r="P113" s="173" t="s">
        <v>4191</v>
      </c>
      <c r="Q113" s="174">
        <v>42016</v>
      </c>
      <c r="R113" s="173"/>
      <c r="S113" s="173"/>
    </row>
    <row r="114" spans="1:19" x14ac:dyDescent="0.25">
      <c r="A114" s="173" t="s">
        <v>408</v>
      </c>
      <c r="B114" s="174">
        <v>41990</v>
      </c>
      <c r="C114" s="175" t="s">
        <v>3557</v>
      </c>
      <c r="D114" s="173" t="s">
        <v>4302</v>
      </c>
      <c r="E114" s="173" t="s">
        <v>4303</v>
      </c>
      <c r="F114" s="173" t="s">
        <v>4235</v>
      </c>
      <c r="G114" s="173" t="s">
        <v>4236</v>
      </c>
      <c r="H114" s="176">
        <f>9800/1.21</f>
        <v>8099.1735537190089</v>
      </c>
      <c r="I114" s="176">
        <f>+H114*0.21</f>
        <v>1700.8264462809918</v>
      </c>
      <c r="J114" s="173"/>
      <c r="K114" s="176">
        <f>+H114+I114</f>
        <v>9800</v>
      </c>
      <c r="L114" s="173" t="s">
        <v>4304</v>
      </c>
      <c r="M114" s="173" t="s">
        <v>4334</v>
      </c>
      <c r="N114" s="173"/>
      <c r="O114" s="173"/>
      <c r="P114" s="173" t="s">
        <v>4191</v>
      </c>
      <c r="Q114" s="174">
        <v>42016</v>
      </c>
      <c r="R114" s="173"/>
      <c r="S114" s="173" t="s">
        <v>3186</v>
      </c>
    </row>
    <row r="115" spans="1:19" x14ac:dyDescent="0.25">
      <c r="A115" s="173" t="s">
        <v>408</v>
      </c>
      <c r="B115" s="174">
        <v>41988</v>
      </c>
      <c r="C115" s="175" t="s">
        <v>3576</v>
      </c>
      <c r="D115" s="173" t="s">
        <v>4305</v>
      </c>
      <c r="E115" s="173" t="s">
        <v>4306</v>
      </c>
      <c r="F115" s="173" t="s">
        <v>362</v>
      </c>
      <c r="G115" s="173" t="s">
        <v>4184</v>
      </c>
      <c r="H115" s="173"/>
      <c r="I115" s="173"/>
      <c r="J115" s="173" t="s">
        <v>21</v>
      </c>
      <c r="K115" s="173">
        <v>1500</v>
      </c>
      <c r="L115" s="173" t="s">
        <v>4307</v>
      </c>
      <c r="M115" s="173" t="s">
        <v>3947</v>
      </c>
      <c r="N115" s="173"/>
      <c r="O115" s="173"/>
      <c r="P115" s="173" t="s">
        <v>4191</v>
      </c>
      <c r="Q115" s="174">
        <v>42016</v>
      </c>
      <c r="R115" s="173"/>
      <c r="S115" s="173"/>
    </row>
    <row r="116" spans="1:19" x14ac:dyDescent="0.25">
      <c r="A116" s="173" t="s">
        <v>408</v>
      </c>
      <c r="B116" s="174">
        <v>42000</v>
      </c>
      <c r="C116" s="175" t="s">
        <v>3603</v>
      </c>
      <c r="D116" s="173" t="s">
        <v>4310</v>
      </c>
      <c r="E116" s="173" t="s">
        <v>4308</v>
      </c>
      <c r="F116" s="173" t="s">
        <v>4134</v>
      </c>
      <c r="G116" s="173" t="s">
        <v>4135</v>
      </c>
      <c r="H116" s="173"/>
      <c r="I116" s="173"/>
      <c r="J116" s="173" t="s">
        <v>21</v>
      </c>
      <c r="K116" s="173">
        <v>3000</v>
      </c>
      <c r="L116" s="173" t="s">
        <v>4309</v>
      </c>
      <c r="M116" s="173" t="s">
        <v>4347</v>
      </c>
      <c r="N116" s="173"/>
      <c r="O116" s="173"/>
      <c r="P116" s="173" t="s">
        <v>4191</v>
      </c>
      <c r="Q116" s="174">
        <v>42016</v>
      </c>
      <c r="R116" s="173"/>
      <c r="S116" s="173" t="s">
        <v>3186</v>
      </c>
    </row>
    <row r="117" spans="1:19" x14ac:dyDescent="0.25">
      <c r="A117" s="173" t="s">
        <v>12</v>
      </c>
      <c r="B117" s="174">
        <v>41975</v>
      </c>
      <c r="C117" s="175" t="s">
        <v>4311</v>
      </c>
      <c r="D117" s="173" t="s">
        <v>3958</v>
      </c>
      <c r="E117" s="173" t="s">
        <v>2626</v>
      </c>
      <c r="F117" s="173" t="s">
        <v>4120</v>
      </c>
      <c r="G117" s="173" t="s">
        <v>4312</v>
      </c>
      <c r="H117" s="176">
        <f>6500/1.21</f>
        <v>5371.9008264462809</v>
      </c>
      <c r="I117" s="176">
        <f>+H117*0.21</f>
        <v>1128.0991735537189</v>
      </c>
      <c r="J117" s="173"/>
      <c r="K117" s="176">
        <f>+H117+I117</f>
        <v>6500</v>
      </c>
      <c r="L117" s="173" t="s">
        <v>3971</v>
      </c>
      <c r="M117" s="173"/>
      <c r="N117" s="173"/>
      <c r="O117" s="173"/>
      <c r="P117" s="173" t="s">
        <v>4191</v>
      </c>
      <c r="Q117" s="174">
        <v>42016</v>
      </c>
      <c r="R117" s="173"/>
      <c r="S117" s="173"/>
    </row>
    <row r="118" spans="1:19" x14ac:dyDescent="0.25">
      <c r="A118" s="173" t="s">
        <v>408</v>
      </c>
      <c r="B118" s="174">
        <v>41975</v>
      </c>
      <c r="C118" s="175" t="s">
        <v>3595</v>
      </c>
      <c r="D118" s="173" t="s">
        <v>4313</v>
      </c>
      <c r="E118" s="173">
        <v>447129622</v>
      </c>
      <c r="F118" s="173" t="s">
        <v>4120</v>
      </c>
      <c r="G118" s="173" t="s">
        <v>4312</v>
      </c>
      <c r="H118" s="176">
        <f>8000/1.21</f>
        <v>6611.5702479338843</v>
      </c>
      <c r="I118" s="176">
        <f>+H118*0.21</f>
        <v>1388.4297520661157</v>
      </c>
      <c r="J118" s="173"/>
      <c r="K118" s="176">
        <f>+H118+I118</f>
        <v>8000</v>
      </c>
      <c r="L118" s="173" t="s">
        <v>4314</v>
      </c>
      <c r="M118" s="173" t="s">
        <v>4333</v>
      </c>
      <c r="N118" s="173"/>
      <c r="O118" s="173"/>
      <c r="P118" s="173" t="s">
        <v>4191</v>
      </c>
      <c r="Q118" s="174">
        <v>42016</v>
      </c>
      <c r="R118" s="173"/>
      <c r="S118" s="173" t="s">
        <v>3186</v>
      </c>
    </row>
    <row r="119" spans="1:19" x14ac:dyDescent="0.25">
      <c r="A119" s="173" t="s">
        <v>408</v>
      </c>
      <c r="B119" s="174">
        <v>41943</v>
      </c>
      <c r="C119" s="175" t="s">
        <v>1398</v>
      </c>
      <c r="D119" s="173" t="s">
        <v>4315</v>
      </c>
      <c r="E119" s="173" t="s">
        <v>4316</v>
      </c>
      <c r="F119" s="173" t="s">
        <v>4223</v>
      </c>
      <c r="G119" s="173" t="s">
        <v>4226</v>
      </c>
      <c r="H119" s="176">
        <f>3800/1.21</f>
        <v>3140.495867768595</v>
      </c>
      <c r="I119" s="176">
        <f>+H119*0.21</f>
        <v>659.50413223140492</v>
      </c>
      <c r="J119" s="173"/>
      <c r="K119" s="176">
        <f>+H119+I119</f>
        <v>3800</v>
      </c>
      <c r="L119" s="173" t="s">
        <v>4317</v>
      </c>
      <c r="M119" s="173" t="s">
        <v>4370</v>
      </c>
      <c r="N119" s="173"/>
      <c r="O119" s="173"/>
      <c r="P119" s="173" t="s">
        <v>4191</v>
      </c>
      <c r="Q119" s="174">
        <v>42017</v>
      </c>
      <c r="R119" s="173"/>
      <c r="S119" s="173" t="s">
        <v>3186</v>
      </c>
    </row>
    <row r="120" spans="1:19" x14ac:dyDescent="0.25">
      <c r="A120" s="173" t="s">
        <v>408</v>
      </c>
      <c r="B120" s="174">
        <v>41962</v>
      </c>
      <c r="C120" s="175" t="s">
        <v>1399</v>
      </c>
      <c r="D120" s="173" t="s">
        <v>4318</v>
      </c>
      <c r="E120" s="173" t="s">
        <v>4319</v>
      </c>
      <c r="F120" s="173" t="s">
        <v>4238</v>
      </c>
      <c r="G120" s="173" t="s">
        <v>4239</v>
      </c>
      <c r="H120" s="176">
        <f>5540/1.21</f>
        <v>4578.5123966942147</v>
      </c>
      <c r="I120" s="176">
        <f t="shared" ref="I120:I125" si="2">+H120*0.21</f>
        <v>961.487603305785</v>
      </c>
      <c r="J120" s="173"/>
      <c r="K120" s="176">
        <f t="shared" ref="K120:K125" si="3">+H120+I120</f>
        <v>5540</v>
      </c>
      <c r="L120" s="173" t="s">
        <v>4304</v>
      </c>
      <c r="M120" s="173" t="s">
        <v>4366</v>
      </c>
      <c r="N120" s="173"/>
      <c r="O120" s="173"/>
      <c r="P120" s="173" t="s">
        <v>4191</v>
      </c>
      <c r="Q120" s="174">
        <v>42017</v>
      </c>
      <c r="R120" s="173"/>
      <c r="S120" s="173" t="s">
        <v>3186</v>
      </c>
    </row>
    <row r="121" spans="1:19" x14ac:dyDescent="0.25">
      <c r="A121" s="173" t="s">
        <v>408</v>
      </c>
      <c r="B121" s="174">
        <v>41962</v>
      </c>
      <c r="C121" s="175" t="s">
        <v>1400</v>
      </c>
      <c r="D121" s="173" t="s">
        <v>4318</v>
      </c>
      <c r="E121" s="173" t="s">
        <v>4319</v>
      </c>
      <c r="F121" s="173" t="s">
        <v>4238</v>
      </c>
      <c r="G121" s="173" t="s">
        <v>4241</v>
      </c>
      <c r="H121" s="176">
        <f>5540/1.21</f>
        <v>4578.5123966942147</v>
      </c>
      <c r="I121" s="176">
        <f t="shared" si="2"/>
        <v>961.487603305785</v>
      </c>
      <c r="J121" s="173"/>
      <c r="K121" s="176">
        <f t="shared" si="3"/>
        <v>5540</v>
      </c>
      <c r="L121" s="173" t="s">
        <v>4304</v>
      </c>
      <c r="M121" s="173" t="s">
        <v>4366</v>
      </c>
      <c r="N121" s="173"/>
      <c r="O121" s="173"/>
      <c r="P121" s="173" t="s">
        <v>4191</v>
      </c>
      <c r="Q121" s="174">
        <v>42017</v>
      </c>
      <c r="R121" s="173"/>
      <c r="S121" s="173" t="s">
        <v>3186</v>
      </c>
    </row>
    <row r="122" spans="1:19" x14ac:dyDescent="0.25">
      <c r="A122" s="173" t="s">
        <v>12</v>
      </c>
      <c r="B122" s="174">
        <v>41975</v>
      </c>
      <c r="C122" s="175" t="s">
        <v>4320</v>
      </c>
      <c r="D122" s="173" t="s">
        <v>3958</v>
      </c>
      <c r="E122" s="173" t="s">
        <v>2626</v>
      </c>
      <c r="F122" s="173" t="s">
        <v>368</v>
      </c>
      <c r="G122" s="173" t="s">
        <v>4321</v>
      </c>
      <c r="H122" s="176">
        <f>2300/1.21</f>
        <v>1900.8264462809918</v>
      </c>
      <c r="I122" s="176">
        <f t="shared" si="2"/>
        <v>399.17355371900828</v>
      </c>
      <c r="J122" s="173"/>
      <c r="K122" s="176">
        <f t="shared" si="3"/>
        <v>2300</v>
      </c>
      <c r="L122" s="173" t="s">
        <v>3971</v>
      </c>
      <c r="M122" s="173"/>
      <c r="N122" s="173"/>
      <c r="O122" s="173"/>
      <c r="P122" s="173" t="s">
        <v>4191</v>
      </c>
      <c r="Q122" s="174">
        <v>42017</v>
      </c>
      <c r="R122" s="173"/>
      <c r="S122" s="173"/>
    </row>
    <row r="123" spans="1:19" x14ac:dyDescent="0.25">
      <c r="A123" s="173" t="s">
        <v>12</v>
      </c>
      <c r="B123" s="174">
        <v>41975</v>
      </c>
      <c r="C123" s="175" t="s">
        <v>4322</v>
      </c>
      <c r="D123" s="173" t="s">
        <v>3958</v>
      </c>
      <c r="E123" s="173" t="s">
        <v>2626</v>
      </c>
      <c r="F123" s="173" t="s">
        <v>4323</v>
      </c>
      <c r="G123" s="173" t="s">
        <v>4324</v>
      </c>
      <c r="H123" s="176">
        <f>3000/1.21</f>
        <v>2479.3388429752067</v>
      </c>
      <c r="I123" s="176">
        <f t="shared" si="2"/>
        <v>520.6611570247934</v>
      </c>
      <c r="J123" s="173"/>
      <c r="K123" s="176">
        <f t="shared" si="3"/>
        <v>3000</v>
      </c>
      <c r="L123" s="173" t="s">
        <v>4413</v>
      </c>
      <c r="M123" s="173"/>
      <c r="N123" s="173"/>
      <c r="O123" s="173"/>
      <c r="P123" s="173" t="s">
        <v>4191</v>
      </c>
      <c r="Q123" s="174">
        <v>42017</v>
      </c>
      <c r="R123" s="173"/>
      <c r="S123" s="173"/>
    </row>
    <row r="124" spans="1:19" x14ac:dyDescent="0.25">
      <c r="A124" s="173" t="s">
        <v>408</v>
      </c>
      <c r="B124" s="174">
        <v>41989</v>
      </c>
      <c r="C124" s="175" t="s">
        <v>4368</v>
      </c>
      <c r="D124" s="173" t="s">
        <v>4325</v>
      </c>
      <c r="E124" s="173" t="s">
        <v>4326</v>
      </c>
      <c r="F124" s="173" t="s">
        <v>368</v>
      </c>
      <c r="G124" s="173" t="s">
        <v>4321</v>
      </c>
      <c r="H124" s="176">
        <f>2800/1.21</f>
        <v>2314.0495867768595</v>
      </c>
      <c r="I124" s="176">
        <f t="shared" si="2"/>
        <v>485.95041322314046</v>
      </c>
      <c r="J124" s="173"/>
      <c r="K124" s="176">
        <f t="shared" si="3"/>
        <v>2800</v>
      </c>
      <c r="L124" s="173" t="s">
        <v>4314</v>
      </c>
      <c r="M124" s="173" t="s">
        <v>4369</v>
      </c>
      <c r="N124" s="173"/>
      <c r="O124" s="173"/>
      <c r="P124" s="173" t="s">
        <v>4191</v>
      </c>
      <c r="Q124" s="174">
        <v>42017</v>
      </c>
      <c r="R124" s="173"/>
      <c r="S124" s="173" t="s">
        <v>3186</v>
      </c>
    </row>
    <row r="125" spans="1:19" x14ac:dyDescent="0.25">
      <c r="A125" s="173" t="s">
        <v>408</v>
      </c>
      <c r="B125" s="174">
        <v>41977</v>
      </c>
      <c r="C125" s="175" t="s">
        <v>4449</v>
      </c>
      <c r="D125" s="173" t="s">
        <v>4450</v>
      </c>
      <c r="E125" s="173" t="s">
        <v>4451</v>
      </c>
      <c r="F125" s="173" t="s">
        <v>4238</v>
      </c>
      <c r="G125" s="173" t="s">
        <v>4264</v>
      </c>
      <c r="H125" s="176">
        <f>4800/1.21</f>
        <v>3966.9421487603308</v>
      </c>
      <c r="I125" s="176">
        <f t="shared" si="2"/>
        <v>833.05785123966939</v>
      </c>
      <c r="J125" s="173"/>
      <c r="K125" s="176">
        <f t="shared" si="3"/>
        <v>4800</v>
      </c>
      <c r="L125" s="173" t="s">
        <v>4452</v>
      </c>
      <c r="M125" s="173" t="s">
        <v>4537</v>
      </c>
      <c r="N125" s="173"/>
      <c r="O125" s="173"/>
      <c r="P125" s="173" t="s">
        <v>4191</v>
      </c>
      <c r="Q125" s="174" t="s">
        <v>4494</v>
      </c>
      <c r="R125" s="173"/>
      <c r="S125" s="173"/>
    </row>
  </sheetData>
  <autoFilter ref="A1:S125" xr:uid="{00000000-0009-0000-0000-000006000000}"/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6"/>
  <dimension ref="A1:S122"/>
  <sheetViews>
    <sheetView workbookViewId="0">
      <pane ySplit="1" topLeftCell="A2" activePane="bottomLeft" state="frozen"/>
      <selection pane="bottomLeft" activeCell="I17" sqref="I17"/>
    </sheetView>
  </sheetViews>
  <sheetFormatPr baseColWidth="10" defaultColWidth="11" defaultRowHeight="12.75" x14ac:dyDescent="0.2"/>
  <cols>
    <col min="1" max="1" width="7.5703125" style="160" customWidth="1"/>
    <col min="2" max="2" width="11.28515625" style="160" customWidth="1"/>
    <col min="3" max="3" width="12.85546875" style="160" customWidth="1"/>
    <col min="4" max="4" width="24.7109375" style="160" customWidth="1"/>
    <col min="5" max="5" width="10.42578125" style="160" bestFit="1" customWidth="1"/>
    <col min="6" max="6" width="19.42578125" style="160" bestFit="1" customWidth="1"/>
    <col min="7" max="7" width="10.140625" style="160" customWidth="1"/>
    <col min="8" max="9" width="8.7109375" style="160" customWidth="1"/>
    <col min="10" max="10" width="9.140625" style="160" customWidth="1"/>
    <col min="11" max="11" width="9.7109375" style="160" bestFit="1" customWidth="1"/>
    <col min="12" max="12" width="27.5703125" style="160" customWidth="1"/>
    <col min="13" max="13" width="12.42578125" style="160" customWidth="1"/>
    <col min="14" max="14" width="9.140625" style="160" customWidth="1"/>
    <col min="15" max="15" width="14.7109375" style="160" customWidth="1"/>
    <col min="16" max="16" width="9.140625" style="160" customWidth="1"/>
    <col min="17" max="17" width="10.5703125" style="160" customWidth="1"/>
    <col min="18" max="18" width="3.85546875" style="160" customWidth="1"/>
    <col min="19" max="16384" width="11" style="160"/>
  </cols>
  <sheetData>
    <row r="1" spans="1:19" x14ac:dyDescent="0.2">
      <c r="A1" s="156" t="s">
        <v>0</v>
      </c>
      <c r="B1" s="172" t="s">
        <v>1</v>
      </c>
      <c r="C1" s="157" t="s">
        <v>2</v>
      </c>
      <c r="D1" s="158" t="s">
        <v>3</v>
      </c>
      <c r="E1" s="157" t="s">
        <v>4</v>
      </c>
      <c r="F1" s="158" t="s">
        <v>5</v>
      </c>
      <c r="G1" s="158" t="s">
        <v>6</v>
      </c>
      <c r="H1" s="158" t="s">
        <v>7</v>
      </c>
      <c r="I1" s="158" t="s">
        <v>3503</v>
      </c>
      <c r="J1" s="158" t="s">
        <v>1630</v>
      </c>
      <c r="K1" s="158" t="s">
        <v>9</v>
      </c>
      <c r="L1" s="158" t="s">
        <v>3508</v>
      </c>
      <c r="M1" s="158" t="s">
        <v>83</v>
      </c>
      <c r="N1" s="157" t="s">
        <v>85</v>
      </c>
      <c r="O1" s="158" t="s">
        <v>86</v>
      </c>
      <c r="P1" s="158" t="s">
        <v>11</v>
      </c>
      <c r="Q1" s="159" t="s">
        <v>30</v>
      </c>
      <c r="R1" s="159" t="s">
        <v>3185</v>
      </c>
      <c r="S1" s="164" t="s">
        <v>3784</v>
      </c>
    </row>
    <row r="2" spans="1:19" x14ac:dyDescent="0.2">
      <c r="A2" s="164" t="s">
        <v>408</v>
      </c>
      <c r="B2" s="165">
        <v>41166</v>
      </c>
      <c r="C2" s="164" t="s">
        <v>3512</v>
      </c>
      <c r="D2" s="164" t="s">
        <v>3513</v>
      </c>
      <c r="E2" s="164" t="s">
        <v>3514</v>
      </c>
      <c r="F2" s="164" t="s">
        <v>2652</v>
      </c>
      <c r="G2" s="164" t="s">
        <v>2653</v>
      </c>
      <c r="H2" s="166">
        <f>12000/1.21</f>
        <v>9917.3553719008269</v>
      </c>
      <c r="I2" s="166">
        <f>+H2*0.21</f>
        <v>2082.6446280991736</v>
      </c>
      <c r="J2" s="164"/>
      <c r="K2" s="166">
        <f>+H2+I2</f>
        <v>12000</v>
      </c>
      <c r="L2" s="164" t="s">
        <v>3511</v>
      </c>
      <c r="M2" s="164" t="s">
        <v>31</v>
      </c>
      <c r="N2" s="164"/>
      <c r="O2" s="165">
        <v>41166</v>
      </c>
      <c r="P2" s="164" t="s">
        <v>3518</v>
      </c>
      <c r="Q2" s="164"/>
      <c r="R2" s="164"/>
      <c r="S2" s="164"/>
    </row>
    <row r="3" spans="1:19" x14ac:dyDescent="0.2">
      <c r="A3" s="164" t="s">
        <v>12</v>
      </c>
      <c r="B3" s="165">
        <v>41216</v>
      </c>
      <c r="C3" s="164" t="s">
        <v>944</v>
      </c>
      <c r="D3" s="164" t="s">
        <v>3704</v>
      </c>
      <c r="E3" s="164" t="s">
        <v>3705</v>
      </c>
      <c r="F3" s="164" t="s">
        <v>913</v>
      </c>
      <c r="G3" s="164" t="s">
        <v>3526</v>
      </c>
      <c r="H3" s="164"/>
      <c r="I3" s="164"/>
      <c r="J3" s="164" t="s">
        <v>21</v>
      </c>
      <c r="K3" s="164">
        <v>6000</v>
      </c>
      <c r="L3" s="164" t="s">
        <v>3555</v>
      </c>
      <c r="M3" s="164"/>
      <c r="N3" s="164"/>
      <c r="O3" s="164"/>
      <c r="P3" s="164" t="s">
        <v>348</v>
      </c>
      <c r="Q3" s="165">
        <v>41463</v>
      </c>
      <c r="R3" s="164"/>
      <c r="S3" s="164"/>
    </row>
    <row r="4" spans="1:19" x14ac:dyDescent="0.2">
      <c r="A4" s="164" t="s">
        <v>12</v>
      </c>
      <c r="B4" s="165">
        <v>41269</v>
      </c>
      <c r="C4" s="164" t="s">
        <v>3738</v>
      </c>
      <c r="D4" s="164" t="s">
        <v>3733</v>
      </c>
      <c r="E4" s="164" t="s">
        <v>2626</v>
      </c>
      <c r="F4" s="164" t="s">
        <v>400</v>
      </c>
      <c r="G4" s="164" t="s">
        <v>3588</v>
      </c>
      <c r="H4" s="164">
        <v>2066.12</v>
      </c>
      <c r="I4" s="166">
        <f>+H4*0.21</f>
        <v>433.88519999999994</v>
      </c>
      <c r="J4" s="164"/>
      <c r="K4" s="166">
        <f>+H4+I4</f>
        <v>2500.0051999999996</v>
      </c>
      <c r="L4" s="164" t="s">
        <v>3555</v>
      </c>
      <c r="M4" s="164" t="s">
        <v>3553</v>
      </c>
      <c r="N4" s="164"/>
      <c r="O4" s="164"/>
      <c r="P4" s="164" t="s">
        <v>429</v>
      </c>
      <c r="Q4" s="165">
        <v>41551</v>
      </c>
      <c r="R4" s="164"/>
      <c r="S4" s="164"/>
    </row>
    <row r="5" spans="1:19" x14ac:dyDescent="0.2">
      <c r="A5" s="167" t="s">
        <v>408</v>
      </c>
      <c r="B5" s="169">
        <v>41275</v>
      </c>
      <c r="C5" s="167" t="s">
        <v>3517</v>
      </c>
      <c r="D5" s="167" t="s">
        <v>3718</v>
      </c>
      <c r="E5" s="167" t="s">
        <v>3717</v>
      </c>
      <c r="F5" s="167" t="s">
        <v>3194</v>
      </c>
      <c r="G5" s="167" t="s">
        <v>3197</v>
      </c>
      <c r="H5" s="168">
        <f>6300/1.18</f>
        <v>5338.9830508474579</v>
      </c>
      <c r="I5" s="168">
        <f>+H5*0.18</f>
        <v>961.01694915254234</v>
      </c>
      <c r="J5" s="167"/>
      <c r="K5" s="168">
        <f>+H5+I5</f>
        <v>6300</v>
      </c>
      <c r="L5" s="167" t="s">
        <v>3510</v>
      </c>
      <c r="M5" s="167" t="s">
        <v>31</v>
      </c>
      <c r="N5" s="170"/>
      <c r="O5" s="171">
        <v>41141</v>
      </c>
      <c r="P5" s="170" t="s">
        <v>3504</v>
      </c>
      <c r="Q5" s="164"/>
      <c r="R5" s="164" t="s">
        <v>3716</v>
      </c>
      <c r="S5" s="164"/>
    </row>
    <row r="6" spans="1:19" x14ac:dyDescent="0.2">
      <c r="A6" s="164" t="s">
        <v>408</v>
      </c>
      <c r="B6" s="165">
        <v>41275</v>
      </c>
      <c r="C6" s="164" t="s">
        <v>3516</v>
      </c>
      <c r="D6" s="164" t="s">
        <v>2703</v>
      </c>
      <c r="E6" s="164" t="s">
        <v>2991</v>
      </c>
      <c r="F6" s="164" t="s">
        <v>906</v>
      </c>
      <c r="G6" s="164" t="s">
        <v>3160</v>
      </c>
      <c r="H6" s="166">
        <f>3000/1.21</f>
        <v>2479.3388429752067</v>
      </c>
      <c r="I6" s="166">
        <f>+H6*0.21</f>
        <v>520.6611570247934</v>
      </c>
      <c r="J6" s="164"/>
      <c r="K6" s="166">
        <f>+H6+I6</f>
        <v>3000</v>
      </c>
      <c r="L6" s="164" t="s">
        <v>3515</v>
      </c>
      <c r="M6" s="164" t="s">
        <v>31</v>
      </c>
      <c r="N6" s="164"/>
      <c r="O6" s="165">
        <v>41190</v>
      </c>
      <c r="P6" s="164" t="s">
        <v>3504</v>
      </c>
      <c r="Q6" s="164"/>
      <c r="R6" s="164" t="s">
        <v>3716</v>
      </c>
      <c r="S6" s="164"/>
    </row>
    <row r="7" spans="1:19" x14ac:dyDescent="0.2">
      <c r="A7" s="164" t="s">
        <v>12</v>
      </c>
      <c r="B7" s="165">
        <v>41278</v>
      </c>
      <c r="C7" s="164" t="s">
        <v>944</v>
      </c>
      <c r="D7" s="164" t="s">
        <v>3519</v>
      </c>
      <c r="E7" s="164" t="s">
        <v>3520</v>
      </c>
      <c r="F7" s="164" t="s">
        <v>3521</v>
      </c>
      <c r="G7" s="164" t="s">
        <v>3522</v>
      </c>
      <c r="H7" s="166"/>
      <c r="I7" s="164"/>
      <c r="J7" s="164" t="s">
        <v>21</v>
      </c>
      <c r="K7" s="164">
        <v>5000</v>
      </c>
      <c r="L7" s="164" t="s">
        <v>3555</v>
      </c>
      <c r="M7" s="164" t="s">
        <v>3523</v>
      </c>
      <c r="N7" s="164"/>
      <c r="O7" s="164"/>
      <c r="P7" s="164" t="s">
        <v>961</v>
      </c>
      <c r="Q7" s="165">
        <v>41454</v>
      </c>
      <c r="R7" s="164"/>
      <c r="S7" s="164"/>
    </row>
    <row r="8" spans="1:19" x14ac:dyDescent="0.2">
      <c r="A8" s="164" t="s">
        <v>408</v>
      </c>
      <c r="B8" s="165">
        <v>41278</v>
      </c>
      <c r="C8" s="164" t="s">
        <v>3598</v>
      </c>
      <c r="D8" s="164" t="s">
        <v>3519</v>
      </c>
      <c r="E8" s="164" t="s">
        <v>3520</v>
      </c>
      <c r="F8" s="164" t="s">
        <v>3344</v>
      </c>
      <c r="G8" s="164" t="s">
        <v>3345</v>
      </c>
      <c r="H8" s="166"/>
      <c r="I8" s="164"/>
      <c r="J8" s="164" t="s">
        <v>21</v>
      </c>
      <c r="K8" s="164">
        <v>6300</v>
      </c>
      <c r="L8" s="164" t="s">
        <v>3569</v>
      </c>
      <c r="M8" s="164" t="s">
        <v>3599</v>
      </c>
      <c r="N8" s="164"/>
      <c r="O8" s="164"/>
      <c r="P8" s="164" t="s">
        <v>961</v>
      </c>
      <c r="Q8" s="165">
        <v>41454</v>
      </c>
      <c r="R8" s="164"/>
      <c r="S8" s="164"/>
    </row>
    <row r="9" spans="1:19" x14ac:dyDescent="0.2">
      <c r="A9" s="164" t="s">
        <v>408</v>
      </c>
      <c r="B9" s="165">
        <v>41282</v>
      </c>
      <c r="C9" s="164" t="s">
        <v>3591</v>
      </c>
      <c r="D9" s="164" t="s">
        <v>3592</v>
      </c>
      <c r="E9" s="164" t="s">
        <v>3593</v>
      </c>
      <c r="F9" s="164" t="s">
        <v>3370</v>
      </c>
      <c r="G9" s="164" t="s">
        <v>3371</v>
      </c>
      <c r="H9" s="166">
        <f>6300/1.21</f>
        <v>5206.6115702479337</v>
      </c>
      <c r="I9" s="166">
        <f t="shared" ref="I9:I18" si="0">+H9*0.21</f>
        <v>1093.388429752066</v>
      </c>
      <c r="J9" s="164"/>
      <c r="K9" s="166">
        <f t="shared" ref="K9:K18" si="1">+H9+I9</f>
        <v>6300</v>
      </c>
      <c r="L9" s="164" t="s">
        <v>3590</v>
      </c>
      <c r="M9" s="164" t="s">
        <v>3819</v>
      </c>
      <c r="N9" s="164"/>
      <c r="O9" s="164"/>
      <c r="P9" s="164" t="s">
        <v>961</v>
      </c>
      <c r="Q9" s="165">
        <v>41454</v>
      </c>
      <c r="R9" s="164"/>
      <c r="S9" s="164"/>
    </row>
    <row r="10" spans="1:19" x14ac:dyDescent="0.2">
      <c r="A10" s="164" t="s">
        <v>408</v>
      </c>
      <c r="B10" s="165">
        <v>41282</v>
      </c>
      <c r="C10" s="164" t="s">
        <v>3554</v>
      </c>
      <c r="D10" s="164" t="s">
        <v>2931</v>
      </c>
      <c r="E10" s="164" t="s">
        <v>2352</v>
      </c>
      <c r="F10" s="164" t="s">
        <v>3357</v>
      </c>
      <c r="G10" s="164" t="s">
        <v>3359</v>
      </c>
      <c r="H10" s="166">
        <f>6000/1.21</f>
        <v>4958.6776859504134</v>
      </c>
      <c r="I10" s="166">
        <f t="shared" si="0"/>
        <v>1041.3223140495868</v>
      </c>
      <c r="J10" s="166"/>
      <c r="K10" s="166">
        <f t="shared" si="1"/>
        <v>6000</v>
      </c>
      <c r="L10" s="164" t="s">
        <v>3556</v>
      </c>
      <c r="M10" s="164" t="s">
        <v>3946</v>
      </c>
      <c r="N10" s="164"/>
      <c r="O10" s="164"/>
      <c r="P10" s="164" t="s">
        <v>961</v>
      </c>
      <c r="Q10" s="165">
        <v>41454</v>
      </c>
      <c r="R10" s="164"/>
      <c r="S10" s="164" t="s">
        <v>3186</v>
      </c>
    </row>
    <row r="11" spans="1:19" x14ac:dyDescent="0.2">
      <c r="A11" s="164" t="s">
        <v>12</v>
      </c>
      <c r="B11" s="165">
        <v>41285</v>
      </c>
      <c r="C11" s="164" t="s">
        <v>3686</v>
      </c>
      <c r="D11" s="164" t="s">
        <v>1946</v>
      </c>
      <c r="E11" s="164" t="s">
        <v>26</v>
      </c>
      <c r="F11" s="164" t="s">
        <v>3641</v>
      </c>
      <c r="G11" s="164" t="s">
        <v>3642</v>
      </c>
      <c r="H11" s="166">
        <f>5900/1.21</f>
        <v>4876.0330578512394</v>
      </c>
      <c r="I11" s="166">
        <f t="shared" si="0"/>
        <v>1023.9669421487603</v>
      </c>
      <c r="J11" s="164"/>
      <c r="K11" s="166">
        <f t="shared" si="1"/>
        <v>5900</v>
      </c>
      <c r="L11" s="164" t="s">
        <v>3555</v>
      </c>
      <c r="M11" s="164" t="s">
        <v>3553</v>
      </c>
      <c r="N11" s="164"/>
      <c r="O11" s="164"/>
      <c r="P11" s="164" t="s">
        <v>348</v>
      </c>
      <c r="Q11" s="165">
        <v>41463</v>
      </c>
      <c r="R11" s="164"/>
      <c r="S11" s="164"/>
    </row>
    <row r="12" spans="1:19" x14ac:dyDescent="0.2">
      <c r="A12" s="164" t="s">
        <v>408</v>
      </c>
      <c r="B12" s="165">
        <v>41289</v>
      </c>
      <c r="C12" s="164" t="s">
        <v>3562</v>
      </c>
      <c r="D12" s="164" t="s">
        <v>3563</v>
      </c>
      <c r="E12" s="164" t="s">
        <v>3564</v>
      </c>
      <c r="F12" s="164" t="s">
        <v>3348</v>
      </c>
      <c r="G12" s="164" t="s">
        <v>3349</v>
      </c>
      <c r="H12" s="166">
        <f>750/1.21</f>
        <v>619.83471074380168</v>
      </c>
      <c r="I12" s="166">
        <f t="shared" si="0"/>
        <v>130.16528925619835</v>
      </c>
      <c r="J12" s="166"/>
      <c r="K12" s="166">
        <f t="shared" si="1"/>
        <v>750</v>
      </c>
      <c r="L12" s="164" t="s">
        <v>3561</v>
      </c>
      <c r="M12" s="164" t="s">
        <v>31</v>
      </c>
      <c r="N12" s="164"/>
      <c r="O12" s="164"/>
      <c r="P12" s="164" t="s">
        <v>961</v>
      </c>
      <c r="Q12" s="165">
        <v>41454</v>
      </c>
      <c r="R12" s="164"/>
      <c r="S12" s="164"/>
    </row>
    <row r="13" spans="1:19" x14ac:dyDescent="0.2">
      <c r="A13" s="164" t="s">
        <v>408</v>
      </c>
      <c r="B13" s="165">
        <v>41290</v>
      </c>
      <c r="C13" s="164" t="s">
        <v>3572</v>
      </c>
      <c r="D13" s="164" t="s">
        <v>3571</v>
      </c>
      <c r="E13" s="164" t="s">
        <v>3570</v>
      </c>
      <c r="F13" s="164" t="s">
        <v>362</v>
      </c>
      <c r="G13" s="164" t="s">
        <v>3346</v>
      </c>
      <c r="H13" s="166">
        <f>3300/1.21</f>
        <v>2727.2727272727275</v>
      </c>
      <c r="I13" s="166">
        <f t="shared" si="0"/>
        <v>572.72727272727275</v>
      </c>
      <c r="J13" s="164"/>
      <c r="K13" s="166">
        <f t="shared" si="1"/>
        <v>3300</v>
      </c>
      <c r="L13" s="164" t="s">
        <v>3569</v>
      </c>
      <c r="M13" s="164" t="s">
        <v>3524</v>
      </c>
      <c r="N13" s="164"/>
      <c r="O13" s="164"/>
      <c r="P13" s="164" t="s">
        <v>961</v>
      </c>
      <c r="Q13" s="165">
        <v>41454</v>
      </c>
      <c r="R13" s="164"/>
      <c r="S13" s="164"/>
    </row>
    <row r="14" spans="1:19" x14ac:dyDescent="0.2">
      <c r="A14" s="164" t="s">
        <v>408</v>
      </c>
      <c r="B14" s="165">
        <v>41291</v>
      </c>
      <c r="C14" s="164" t="s">
        <v>3585</v>
      </c>
      <c r="D14" s="164" t="s">
        <v>3586</v>
      </c>
      <c r="E14" s="164" t="s">
        <v>3587</v>
      </c>
      <c r="F14" s="164" t="s">
        <v>400</v>
      </c>
      <c r="G14" s="164" t="s">
        <v>3588</v>
      </c>
      <c r="H14" s="166">
        <f>2800/1.21</f>
        <v>2314.0495867768595</v>
      </c>
      <c r="I14" s="166">
        <f t="shared" si="0"/>
        <v>485.95041322314046</v>
      </c>
      <c r="J14" s="166"/>
      <c r="K14" s="166">
        <f t="shared" si="1"/>
        <v>2800</v>
      </c>
      <c r="L14" s="164" t="s">
        <v>3594</v>
      </c>
      <c r="M14" s="164" t="s">
        <v>3589</v>
      </c>
      <c r="N14" s="164"/>
      <c r="O14" s="164"/>
      <c r="P14" s="164" t="s">
        <v>961</v>
      </c>
      <c r="Q14" s="165">
        <v>41454</v>
      </c>
      <c r="R14" s="164"/>
      <c r="S14" s="164"/>
    </row>
    <row r="15" spans="1:19" ht="12.75" customHeight="1" x14ac:dyDescent="0.2">
      <c r="A15" s="164" t="s">
        <v>12</v>
      </c>
      <c r="B15" s="165">
        <v>41291</v>
      </c>
      <c r="C15" s="164" t="s">
        <v>3623</v>
      </c>
      <c r="D15" s="164" t="s">
        <v>1946</v>
      </c>
      <c r="E15" s="164" t="s">
        <v>26</v>
      </c>
      <c r="F15" s="164" t="s">
        <v>2718</v>
      </c>
      <c r="G15" s="164" t="s">
        <v>3606</v>
      </c>
      <c r="H15" s="166">
        <f>5200/1.21</f>
        <v>4297.5206611570247</v>
      </c>
      <c r="I15" s="166">
        <f t="shared" si="0"/>
        <v>902.47933884297515</v>
      </c>
      <c r="J15" s="166"/>
      <c r="K15" s="166">
        <f t="shared" si="1"/>
        <v>5200</v>
      </c>
      <c r="L15" s="164" t="s">
        <v>3555</v>
      </c>
      <c r="M15" s="164"/>
      <c r="N15" s="164"/>
      <c r="O15" s="164"/>
      <c r="P15" s="164" t="s">
        <v>348</v>
      </c>
      <c r="Q15" s="165">
        <v>41455</v>
      </c>
      <c r="R15" s="164"/>
      <c r="S15" s="164"/>
    </row>
    <row r="16" spans="1:19" x14ac:dyDescent="0.2">
      <c r="A16" s="164" t="s">
        <v>408</v>
      </c>
      <c r="B16" s="165">
        <v>41291</v>
      </c>
      <c r="C16" s="164" t="s">
        <v>3577</v>
      </c>
      <c r="D16" s="164" t="s">
        <v>3578</v>
      </c>
      <c r="E16" s="164" t="s">
        <v>3579</v>
      </c>
      <c r="F16" s="164" t="s">
        <v>929</v>
      </c>
      <c r="G16" s="164" t="s">
        <v>3375</v>
      </c>
      <c r="H16" s="166">
        <f>5600/1.21</f>
        <v>4628.0991735537191</v>
      </c>
      <c r="I16" s="166">
        <f t="shared" si="0"/>
        <v>971.90082644628092</v>
      </c>
      <c r="J16" s="166"/>
      <c r="K16" s="166">
        <f t="shared" si="1"/>
        <v>5600</v>
      </c>
      <c r="L16" s="164" t="s">
        <v>3580</v>
      </c>
      <c r="M16" s="164" t="s">
        <v>3820</v>
      </c>
      <c r="N16" s="164"/>
      <c r="O16" s="164"/>
      <c r="P16" s="164" t="s">
        <v>961</v>
      </c>
      <c r="Q16" s="165">
        <v>41454</v>
      </c>
      <c r="R16" s="164"/>
      <c r="S16" s="164"/>
    </row>
    <row r="17" spans="1:19" ht="12.75" customHeight="1" x14ac:dyDescent="0.2">
      <c r="A17" s="164" t="s">
        <v>408</v>
      </c>
      <c r="B17" s="165">
        <v>41295</v>
      </c>
      <c r="C17" s="164" t="s">
        <v>3565</v>
      </c>
      <c r="D17" s="164" t="s">
        <v>3566</v>
      </c>
      <c r="E17" s="164" t="s">
        <v>3567</v>
      </c>
      <c r="F17" s="164" t="s">
        <v>368</v>
      </c>
      <c r="G17" s="164" t="s">
        <v>3568</v>
      </c>
      <c r="H17" s="166">
        <f>300/1.21</f>
        <v>247.93388429752068</v>
      </c>
      <c r="I17" s="166">
        <f t="shared" si="0"/>
        <v>52.066115702479337</v>
      </c>
      <c r="J17" s="166"/>
      <c r="K17" s="166">
        <f t="shared" si="1"/>
        <v>300</v>
      </c>
      <c r="L17" s="164" t="s">
        <v>3701</v>
      </c>
      <c r="M17" s="164" t="s">
        <v>31</v>
      </c>
      <c r="N17" s="164"/>
      <c r="O17" s="164"/>
      <c r="P17" s="164" t="s">
        <v>961</v>
      </c>
      <c r="Q17" s="165">
        <v>41454</v>
      </c>
      <c r="R17" s="164"/>
      <c r="S17" s="164"/>
    </row>
    <row r="18" spans="1:19" x14ac:dyDescent="0.2">
      <c r="A18" s="164" t="s">
        <v>12</v>
      </c>
      <c r="B18" s="165">
        <v>41306</v>
      </c>
      <c r="C18" s="164" t="s">
        <v>3618</v>
      </c>
      <c r="D18" s="164" t="s">
        <v>1946</v>
      </c>
      <c r="E18" s="164" t="s">
        <v>26</v>
      </c>
      <c r="F18" s="164" t="s">
        <v>913</v>
      </c>
      <c r="G18" s="164" t="s">
        <v>3619</v>
      </c>
      <c r="H18" s="166">
        <f>4600/1.21</f>
        <v>3801.6528925619837</v>
      </c>
      <c r="I18" s="166">
        <f t="shared" si="0"/>
        <v>798.34710743801656</v>
      </c>
      <c r="J18" s="166"/>
      <c r="K18" s="166">
        <f t="shared" si="1"/>
        <v>4600</v>
      </c>
      <c r="L18" s="164" t="s">
        <v>3555</v>
      </c>
      <c r="M18" s="164"/>
      <c r="N18" s="164"/>
      <c r="O18" s="164"/>
      <c r="P18" s="164" t="s">
        <v>348</v>
      </c>
      <c r="Q18" s="165">
        <v>41455</v>
      </c>
      <c r="R18" s="164"/>
      <c r="S18" s="164"/>
    </row>
    <row r="19" spans="1:19" ht="12.75" customHeight="1" x14ac:dyDescent="0.2">
      <c r="A19" s="164" t="s">
        <v>408</v>
      </c>
      <c r="B19" s="165">
        <v>41306</v>
      </c>
      <c r="C19" s="164" t="s">
        <v>3582</v>
      </c>
      <c r="D19" s="164" t="s">
        <v>3583</v>
      </c>
      <c r="E19" s="164" t="s">
        <v>3584</v>
      </c>
      <c r="F19" s="164" t="s">
        <v>706</v>
      </c>
      <c r="G19" s="164" t="s">
        <v>3339</v>
      </c>
      <c r="H19" s="166"/>
      <c r="I19" s="166"/>
      <c r="J19" s="166" t="s">
        <v>21</v>
      </c>
      <c r="K19" s="166">
        <v>2400</v>
      </c>
      <c r="L19" s="164" t="s">
        <v>3581</v>
      </c>
      <c r="M19" s="164" t="s">
        <v>31</v>
      </c>
      <c r="N19" s="164"/>
      <c r="O19" s="164"/>
      <c r="P19" s="164" t="s">
        <v>961</v>
      </c>
      <c r="Q19" s="165">
        <v>41454</v>
      </c>
      <c r="R19" s="164"/>
      <c r="S19" s="164" t="s">
        <v>3947</v>
      </c>
    </row>
    <row r="20" spans="1:19" x14ac:dyDescent="0.2">
      <c r="A20" s="164" t="s">
        <v>408</v>
      </c>
      <c r="B20" s="165">
        <v>41310</v>
      </c>
      <c r="C20" s="164" t="s">
        <v>3595</v>
      </c>
      <c r="D20" s="164" t="s">
        <v>3596</v>
      </c>
      <c r="E20" s="164" t="s">
        <v>3597</v>
      </c>
      <c r="F20" s="164" t="s">
        <v>3348</v>
      </c>
      <c r="G20" s="164" t="s">
        <v>3352</v>
      </c>
      <c r="H20" s="166">
        <f>600/1.21</f>
        <v>495.86776859504135</v>
      </c>
      <c r="I20" s="166">
        <f>+H20*0.21</f>
        <v>104.13223140495867</v>
      </c>
      <c r="J20" s="166"/>
      <c r="K20" s="166">
        <f>+H20+I20</f>
        <v>600</v>
      </c>
      <c r="L20" s="164" t="s">
        <v>3594</v>
      </c>
      <c r="M20" s="164" t="s">
        <v>31</v>
      </c>
      <c r="N20" s="164"/>
      <c r="O20" s="164"/>
      <c r="P20" s="164" t="s">
        <v>961</v>
      </c>
      <c r="Q20" s="165">
        <v>41454</v>
      </c>
      <c r="R20" s="164"/>
      <c r="S20" s="164" t="s">
        <v>3947</v>
      </c>
    </row>
    <row r="21" spans="1:19" x14ac:dyDescent="0.2">
      <c r="A21" s="164" t="s">
        <v>12</v>
      </c>
      <c r="B21" s="165">
        <v>41319</v>
      </c>
      <c r="C21" s="164">
        <v>2013100056</v>
      </c>
      <c r="D21" s="164" t="s">
        <v>14</v>
      </c>
      <c r="E21" s="164" t="s">
        <v>13</v>
      </c>
      <c r="F21" s="164" t="s">
        <v>355</v>
      </c>
      <c r="G21" s="164" t="s">
        <v>3552</v>
      </c>
      <c r="H21" s="166">
        <v>5866.77</v>
      </c>
      <c r="I21" s="166">
        <f>+H21*0.21</f>
        <v>1232.0217</v>
      </c>
      <c r="J21" s="164"/>
      <c r="K21" s="166">
        <f>+H21+I21</f>
        <v>7098.7917000000007</v>
      </c>
      <c r="L21" s="164" t="s">
        <v>3555</v>
      </c>
      <c r="M21" s="164" t="s">
        <v>3553</v>
      </c>
      <c r="N21" s="164"/>
      <c r="O21" s="164"/>
      <c r="P21" s="164" t="s">
        <v>961</v>
      </c>
      <c r="Q21" s="165">
        <v>41454</v>
      </c>
      <c r="R21" s="164"/>
      <c r="S21" s="164"/>
    </row>
    <row r="22" spans="1:19" ht="12.75" customHeight="1" x14ac:dyDescent="0.2">
      <c r="A22" s="164" t="s">
        <v>408</v>
      </c>
      <c r="B22" s="165">
        <v>41325</v>
      </c>
      <c r="C22" s="164" t="s">
        <v>833</v>
      </c>
      <c r="D22" s="164" t="s">
        <v>3669</v>
      </c>
      <c r="E22" s="164" t="s">
        <v>3670</v>
      </c>
      <c r="F22" s="164" t="s">
        <v>355</v>
      </c>
      <c r="G22" s="164" t="s">
        <v>3552</v>
      </c>
      <c r="H22" s="166">
        <v>7438.02</v>
      </c>
      <c r="I22" s="166">
        <f>+H22*0.21</f>
        <v>1561.9842000000001</v>
      </c>
      <c r="J22" s="164"/>
      <c r="K22" s="166">
        <f>+H22+I22</f>
        <v>9000.0042000000012</v>
      </c>
      <c r="L22" s="164" t="s">
        <v>3687</v>
      </c>
      <c r="M22" s="164" t="s">
        <v>3821</v>
      </c>
      <c r="N22" s="164"/>
      <c r="O22" s="164"/>
      <c r="P22" s="164" t="s">
        <v>348</v>
      </c>
      <c r="Q22" s="165">
        <v>41455</v>
      </c>
      <c r="R22" s="164"/>
      <c r="S22" s="164"/>
    </row>
    <row r="23" spans="1:19" ht="12.75" customHeight="1" x14ac:dyDescent="0.2">
      <c r="A23" s="164" t="s">
        <v>408</v>
      </c>
      <c r="B23" s="165">
        <v>41327</v>
      </c>
      <c r="C23" s="164" t="s">
        <v>3576</v>
      </c>
      <c r="D23" s="164" t="s">
        <v>3575</v>
      </c>
      <c r="E23" s="164" t="s">
        <v>3574</v>
      </c>
      <c r="F23" s="164" t="s">
        <v>2629</v>
      </c>
      <c r="G23" s="164" t="s">
        <v>3212</v>
      </c>
      <c r="H23" s="166">
        <f>4000/1.21</f>
        <v>3305.7851239669421</v>
      </c>
      <c r="I23" s="166">
        <f>+H23*0.21</f>
        <v>694.21487603305786</v>
      </c>
      <c r="J23" s="164"/>
      <c r="K23" s="166">
        <f>+H23+I23</f>
        <v>4000</v>
      </c>
      <c r="L23" s="164" t="s">
        <v>3573</v>
      </c>
      <c r="M23" s="164" t="s">
        <v>3525</v>
      </c>
      <c r="N23" s="164"/>
      <c r="O23" s="164"/>
      <c r="P23" s="164" t="s">
        <v>961</v>
      </c>
      <c r="Q23" s="165">
        <v>41454</v>
      </c>
      <c r="R23" s="164"/>
      <c r="S23" s="164"/>
    </row>
    <row r="24" spans="1:19" ht="12.75" customHeight="1" x14ac:dyDescent="0.2">
      <c r="A24" s="164" t="s">
        <v>408</v>
      </c>
      <c r="B24" s="165">
        <v>41331</v>
      </c>
      <c r="C24" s="164" t="s">
        <v>3557</v>
      </c>
      <c r="D24" s="164" t="s">
        <v>3558</v>
      </c>
      <c r="E24" s="164" t="s">
        <v>3559</v>
      </c>
      <c r="F24" s="164" t="s">
        <v>442</v>
      </c>
      <c r="G24" s="164" t="s">
        <v>3389</v>
      </c>
      <c r="H24" s="166">
        <f>6000/1.21</f>
        <v>4958.6776859504134</v>
      </c>
      <c r="I24" s="166">
        <f>+H24*0.21</f>
        <v>1041.3223140495868</v>
      </c>
      <c r="J24" s="166"/>
      <c r="K24" s="166">
        <f>+H24+I24</f>
        <v>6000</v>
      </c>
      <c r="L24" s="164" t="s">
        <v>3560</v>
      </c>
      <c r="M24" s="164" t="s">
        <v>3823</v>
      </c>
      <c r="N24" s="164"/>
      <c r="O24" s="164"/>
      <c r="P24" s="164" t="s">
        <v>961</v>
      </c>
      <c r="Q24" s="165">
        <v>41454</v>
      </c>
      <c r="R24" s="164"/>
      <c r="S24" s="164"/>
    </row>
    <row r="25" spans="1:19" ht="12.75" customHeight="1" x14ac:dyDescent="0.2">
      <c r="A25" s="164" t="s">
        <v>408</v>
      </c>
      <c r="B25" s="165">
        <v>41334</v>
      </c>
      <c r="C25" s="164" t="s">
        <v>3609</v>
      </c>
      <c r="D25" s="164" t="s">
        <v>3536</v>
      </c>
      <c r="E25" s="164" t="s">
        <v>3537</v>
      </c>
      <c r="F25" s="164" t="s">
        <v>3543</v>
      </c>
      <c r="G25" s="164" t="s">
        <v>2445</v>
      </c>
      <c r="H25" s="166"/>
      <c r="I25" s="164"/>
      <c r="J25" s="164" t="s">
        <v>21</v>
      </c>
      <c r="K25" s="164">
        <v>18000</v>
      </c>
      <c r="L25" s="164" t="s">
        <v>3546</v>
      </c>
      <c r="M25" s="164" t="s">
        <v>3545</v>
      </c>
      <c r="N25" s="164"/>
      <c r="O25" s="164"/>
      <c r="P25" s="164" t="s">
        <v>961</v>
      </c>
      <c r="Q25" s="165">
        <v>41454</v>
      </c>
      <c r="R25" s="164"/>
      <c r="S25" s="164"/>
    </row>
    <row r="26" spans="1:19" x14ac:dyDescent="0.2">
      <c r="A26" s="164" t="s">
        <v>12</v>
      </c>
      <c r="B26" s="165">
        <v>41345</v>
      </c>
      <c r="C26" s="164" t="s">
        <v>944</v>
      </c>
      <c r="D26" s="164" t="s">
        <v>3533</v>
      </c>
      <c r="E26" s="164" t="s">
        <v>3534</v>
      </c>
      <c r="F26" s="164" t="s">
        <v>2932</v>
      </c>
      <c r="G26" s="164" t="s">
        <v>3535</v>
      </c>
      <c r="H26" s="166"/>
      <c r="I26" s="164"/>
      <c r="J26" s="164" t="s">
        <v>21</v>
      </c>
      <c r="K26" s="164">
        <v>700</v>
      </c>
      <c r="L26" s="164" t="s">
        <v>3555</v>
      </c>
      <c r="M26" s="164" t="s">
        <v>31</v>
      </c>
      <c r="N26" s="164"/>
      <c r="O26" s="164"/>
      <c r="P26" s="164" t="s">
        <v>961</v>
      </c>
      <c r="Q26" s="165">
        <v>41454</v>
      </c>
      <c r="R26" s="164"/>
      <c r="S26" s="164"/>
    </row>
    <row r="27" spans="1:19" x14ac:dyDescent="0.2">
      <c r="A27" s="164" t="s">
        <v>12</v>
      </c>
      <c r="B27" s="165">
        <v>41353</v>
      </c>
      <c r="C27" s="164">
        <v>12024599</v>
      </c>
      <c r="D27" s="164" t="s">
        <v>3530</v>
      </c>
      <c r="E27" s="164" t="s">
        <v>20</v>
      </c>
      <c r="F27" s="164" t="s">
        <v>3531</v>
      </c>
      <c r="G27" s="164" t="s">
        <v>3532</v>
      </c>
      <c r="H27" s="166"/>
      <c r="I27" s="164"/>
      <c r="J27" s="164" t="s">
        <v>21</v>
      </c>
      <c r="K27" s="164">
        <v>2700</v>
      </c>
      <c r="L27" s="164" t="s">
        <v>3555</v>
      </c>
      <c r="M27" s="164"/>
      <c r="N27" s="164"/>
      <c r="O27" s="164"/>
      <c r="P27" s="164" t="s">
        <v>961</v>
      </c>
      <c r="Q27" s="165">
        <v>41454</v>
      </c>
      <c r="R27" s="164"/>
      <c r="S27" s="164"/>
    </row>
    <row r="28" spans="1:19" ht="12.75" customHeight="1" x14ac:dyDescent="0.2">
      <c r="A28" s="164" t="s">
        <v>12</v>
      </c>
      <c r="B28" s="165">
        <v>41354</v>
      </c>
      <c r="C28" s="164" t="s">
        <v>944</v>
      </c>
      <c r="D28" s="164" t="s">
        <v>3536</v>
      </c>
      <c r="E28" s="164" t="s">
        <v>3537</v>
      </c>
      <c r="F28" s="164" t="s">
        <v>3538</v>
      </c>
      <c r="G28" s="164" t="s">
        <v>3539</v>
      </c>
      <c r="H28" s="166"/>
      <c r="I28" s="164"/>
      <c r="J28" s="164" t="s">
        <v>21</v>
      </c>
      <c r="K28" s="164">
        <v>10000</v>
      </c>
      <c r="L28" s="164" t="s">
        <v>3555</v>
      </c>
      <c r="M28" s="164" t="s">
        <v>3540</v>
      </c>
      <c r="N28" s="164"/>
      <c r="O28" s="164"/>
      <c r="P28" s="164" t="s">
        <v>961</v>
      </c>
      <c r="Q28" s="165">
        <v>41454</v>
      </c>
      <c r="R28" s="164"/>
      <c r="S28" s="164"/>
    </row>
    <row r="29" spans="1:19" ht="12.75" customHeight="1" x14ac:dyDescent="0.2">
      <c r="A29" s="164" t="s">
        <v>12</v>
      </c>
      <c r="B29" s="165">
        <v>41354</v>
      </c>
      <c r="C29" s="164" t="s">
        <v>944</v>
      </c>
      <c r="D29" s="164" t="s">
        <v>3536</v>
      </c>
      <c r="E29" s="164" t="s">
        <v>3537</v>
      </c>
      <c r="F29" s="164" t="s">
        <v>3544</v>
      </c>
      <c r="G29" s="164" t="s">
        <v>3541</v>
      </c>
      <c r="H29" s="166"/>
      <c r="I29" s="164"/>
      <c r="J29" s="164" t="s">
        <v>21</v>
      </c>
      <c r="K29" s="164">
        <v>8000</v>
      </c>
      <c r="L29" s="164" t="s">
        <v>3555</v>
      </c>
      <c r="M29" s="164" t="s">
        <v>3863</v>
      </c>
      <c r="N29" s="164"/>
      <c r="O29" s="164"/>
      <c r="P29" s="164" t="s">
        <v>961</v>
      </c>
      <c r="Q29" s="165">
        <v>41454</v>
      </c>
      <c r="R29" s="164"/>
      <c r="S29" s="164"/>
    </row>
    <row r="30" spans="1:19" x14ac:dyDescent="0.2">
      <c r="A30" s="164" t="s">
        <v>408</v>
      </c>
      <c r="B30" s="165">
        <v>41358</v>
      </c>
      <c r="C30" s="164" t="s">
        <v>3610</v>
      </c>
      <c r="D30" s="164" t="s">
        <v>3611</v>
      </c>
      <c r="E30" s="164" t="s">
        <v>3671</v>
      </c>
      <c r="F30" s="164" t="s">
        <v>913</v>
      </c>
      <c r="G30" s="164" t="s">
        <v>3526</v>
      </c>
      <c r="H30" s="166"/>
      <c r="I30" s="164"/>
      <c r="J30" s="164" t="s">
        <v>21</v>
      </c>
      <c r="K30" s="164">
        <v>6400</v>
      </c>
      <c r="L30" s="164" t="s">
        <v>3706</v>
      </c>
      <c r="M30" s="164" t="s">
        <v>3527</v>
      </c>
      <c r="N30" s="164"/>
      <c r="O30" s="164"/>
      <c r="P30" s="164" t="s">
        <v>961</v>
      </c>
      <c r="Q30" s="165">
        <v>41454</v>
      </c>
      <c r="R30" s="164"/>
      <c r="S30" s="164" t="s">
        <v>3186</v>
      </c>
    </row>
    <row r="31" spans="1:19" ht="12.75" customHeight="1" x14ac:dyDescent="0.2">
      <c r="A31" s="164" t="s">
        <v>408</v>
      </c>
      <c r="B31" s="165">
        <v>41360</v>
      </c>
      <c r="C31" s="164" t="s">
        <v>3602</v>
      </c>
      <c r="D31" s="164" t="s">
        <v>3601</v>
      </c>
      <c r="E31" s="164" t="s">
        <v>3600</v>
      </c>
      <c r="F31" s="164" t="s">
        <v>353</v>
      </c>
      <c r="G31" s="164" t="s">
        <v>3342</v>
      </c>
      <c r="H31" s="166"/>
      <c r="I31" s="164"/>
      <c r="J31" s="164" t="s">
        <v>21</v>
      </c>
      <c r="K31" s="164">
        <v>2000</v>
      </c>
      <c r="L31" s="164" t="s">
        <v>3569</v>
      </c>
      <c r="M31" s="164" t="s">
        <v>3822</v>
      </c>
      <c r="N31" s="164"/>
      <c r="O31" s="164"/>
      <c r="P31" s="164" t="s">
        <v>961</v>
      </c>
      <c r="Q31" s="165">
        <v>41454</v>
      </c>
      <c r="R31" s="164"/>
      <c r="S31" s="164"/>
    </row>
    <row r="32" spans="1:19" x14ac:dyDescent="0.2">
      <c r="A32" s="164" t="s">
        <v>12</v>
      </c>
      <c r="B32" s="165">
        <v>41360</v>
      </c>
      <c r="C32" s="164">
        <v>12024630</v>
      </c>
      <c r="D32" s="164" t="s">
        <v>3530</v>
      </c>
      <c r="E32" s="164" t="s">
        <v>20</v>
      </c>
      <c r="F32" s="164" t="s">
        <v>3622</v>
      </c>
      <c r="G32" s="164" t="s">
        <v>3528</v>
      </c>
      <c r="H32" s="166"/>
      <c r="I32" s="164"/>
      <c r="J32" s="164" t="s">
        <v>21</v>
      </c>
      <c r="K32" s="164">
        <v>4500</v>
      </c>
      <c r="L32" s="164" t="s">
        <v>3555</v>
      </c>
      <c r="M32" s="164" t="s">
        <v>3529</v>
      </c>
      <c r="N32" s="164"/>
      <c r="O32" s="164"/>
      <c r="P32" s="164" t="s">
        <v>348</v>
      </c>
      <c r="Q32" s="165">
        <v>41455</v>
      </c>
      <c r="R32" s="164"/>
      <c r="S32" s="164"/>
    </row>
    <row r="33" spans="1:19" ht="12.75" customHeight="1" x14ac:dyDescent="0.2">
      <c r="A33" s="164" t="s">
        <v>408</v>
      </c>
      <c r="B33" s="165">
        <v>41361</v>
      </c>
      <c r="C33" s="164" t="s">
        <v>3612</v>
      </c>
      <c r="D33" s="164" t="s">
        <v>3613</v>
      </c>
      <c r="E33" s="164" t="s">
        <v>3614</v>
      </c>
      <c r="F33" s="164" t="s">
        <v>2932</v>
      </c>
      <c r="G33" s="164" t="s">
        <v>3535</v>
      </c>
      <c r="H33" s="166"/>
      <c r="I33" s="164"/>
      <c r="J33" s="164" t="s">
        <v>21</v>
      </c>
      <c r="K33" s="164">
        <v>1000</v>
      </c>
      <c r="L33" s="164" t="s">
        <v>3615</v>
      </c>
      <c r="M33" s="164" t="s">
        <v>31</v>
      </c>
      <c r="N33" s="164"/>
      <c r="O33" s="164"/>
      <c r="P33" s="164" t="s">
        <v>961</v>
      </c>
      <c r="Q33" s="165">
        <v>41454</v>
      </c>
      <c r="R33" s="164"/>
      <c r="S33" s="164" t="s">
        <v>3947</v>
      </c>
    </row>
    <row r="34" spans="1:19" ht="12.75" customHeight="1" x14ac:dyDescent="0.2">
      <c r="A34" s="164" t="s">
        <v>408</v>
      </c>
      <c r="B34" s="165">
        <v>41365</v>
      </c>
      <c r="C34" s="164" t="s">
        <v>3603</v>
      </c>
      <c r="D34" s="164" t="s">
        <v>3604</v>
      </c>
      <c r="E34" s="164" t="s">
        <v>3605</v>
      </c>
      <c r="F34" s="164" t="s">
        <v>2718</v>
      </c>
      <c r="G34" s="164" t="s">
        <v>3606</v>
      </c>
      <c r="H34" s="166">
        <f>5500/1.21</f>
        <v>4545.454545454546</v>
      </c>
      <c r="I34" s="166">
        <f>+H34*0.21</f>
        <v>954.54545454545462</v>
      </c>
      <c r="J34" s="166"/>
      <c r="K34" s="166">
        <f>+H34+I34</f>
        <v>5500.0000000000009</v>
      </c>
      <c r="L34" s="164" t="s">
        <v>3805</v>
      </c>
      <c r="M34" s="164" t="s">
        <v>3824</v>
      </c>
      <c r="N34" s="164"/>
      <c r="O34" s="164"/>
      <c r="P34" s="164" t="s">
        <v>961</v>
      </c>
      <c r="Q34" s="165">
        <v>41454</v>
      </c>
      <c r="R34" s="164"/>
      <c r="S34" s="164"/>
    </row>
    <row r="35" spans="1:19" x14ac:dyDescent="0.2">
      <c r="A35" s="164" t="s">
        <v>12</v>
      </c>
      <c r="B35" s="165">
        <v>41373</v>
      </c>
      <c r="C35" s="164">
        <v>15102675</v>
      </c>
      <c r="D35" s="164" t="s">
        <v>3620</v>
      </c>
      <c r="E35" s="164" t="s">
        <v>2439</v>
      </c>
      <c r="F35" s="164" t="s">
        <v>3624</v>
      </c>
      <c r="G35" s="164" t="s">
        <v>3625</v>
      </c>
      <c r="H35" s="166"/>
      <c r="I35" s="166"/>
      <c r="J35" s="166" t="s">
        <v>21</v>
      </c>
      <c r="K35" s="166">
        <v>2490</v>
      </c>
      <c r="L35" s="164" t="s">
        <v>3555</v>
      </c>
      <c r="M35" s="164" t="s">
        <v>3626</v>
      </c>
      <c r="N35" s="164"/>
      <c r="O35" s="164"/>
      <c r="P35" s="164" t="s">
        <v>348</v>
      </c>
      <c r="Q35" s="165">
        <v>41455</v>
      </c>
      <c r="R35" s="164"/>
      <c r="S35" s="164"/>
    </row>
    <row r="36" spans="1:19" ht="12.75" customHeight="1" x14ac:dyDescent="0.2">
      <c r="A36" s="164" t="s">
        <v>408</v>
      </c>
      <c r="B36" s="165">
        <v>41375</v>
      </c>
      <c r="C36" s="164" t="s">
        <v>3608</v>
      </c>
      <c r="D36" s="164" t="s">
        <v>2931</v>
      </c>
      <c r="E36" s="164" t="s">
        <v>2352</v>
      </c>
      <c r="F36" s="164" t="s">
        <v>2657</v>
      </c>
      <c r="G36" s="164" t="s">
        <v>2929</v>
      </c>
      <c r="H36" s="166">
        <f>5000/1.21</f>
        <v>4132.2314049586776</v>
      </c>
      <c r="I36" s="166">
        <f>+H36*0.21</f>
        <v>867.76859504132221</v>
      </c>
      <c r="J36" s="166"/>
      <c r="K36" s="166">
        <f>+H36+I36</f>
        <v>5000</v>
      </c>
      <c r="L36" s="164" t="s">
        <v>3607</v>
      </c>
      <c r="M36" s="164" t="s">
        <v>3825</v>
      </c>
      <c r="N36" s="164"/>
      <c r="O36" s="164"/>
      <c r="P36" s="164" t="s">
        <v>961</v>
      </c>
      <c r="Q36" s="165">
        <v>41454</v>
      </c>
      <c r="R36" s="164"/>
      <c r="S36" s="164"/>
    </row>
    <row r="37" spans="1:19" ht="12.75" customHeight="1" x14ac:dyDescent="0.2">
      <c r="A37" s="164" t="s">
        <v>12</v>
      </c>
      <c r="B37" s="165">
        <v>41376</v>
      </c>
      <c r="C37" s="164" t="s">
        <v>944</v>
      </c>
      <c r="D37" s="164" t="s">
        <v>3702</v>
      </c>
      <c r="E37" s="164" t="s">
        <v>3055</v>
      </c>
      <c r="F37" s="164" t="s">
        <v>906</v>
      </c>
      <c r="G37" s="164" t="s">
        <v>3630</v>
      </c>
      <c r="H37" s="164"/>
      <c r="I37" s="164"/>
      <c r="J37" s="164" t="s">
        <v>21</v>
      </c>
      <c r="K37" s="164">
        <v>2400</v>
      </c>
      <c r="L37" s="164" t="s">
        <v>3555</v>
      </c>
      <c r="M37" s="164"/>
      <c r="N37" s="164"/>
      <c r="O37" s="164"/>
      <c r="P37" s="164" t="s">
        <v>348</v>
      </c>
      <c r="Q37" s="165">
        <v>41463</v>
      </c>
      <c r="R37" s="164"/>
      <c r="S37" s="164"/>
    </row>
    <row r="38" spans="1:19" x14ac:dyDescent="0.2">
      <c r="A38" s="164" t="s">
        <v>408</v>
      </c>
      <c r="B38" s="165">
        <v>41382</v>
      </c>
      <c r="C38" s="164" t="s">
        <v>3631</v>
      </c>
      <c r="D38" s="164" t="s">
        <v>3632</v>
      </c>
      <c r="E38" s="164" t="s">
        <v>3055</v>
      </c>
      <c r="F38" s="164" t="s">
        <v>913</v>
      </c>
      <c r="G38" s="164" t="s">
        <v>3619</v>
      </c>
      <c r="H38" s="166">
        <f>4800/1.21</f>
        <v>3966.9421487603308</v>
      </c>
      <c r="I38" s="166">
        <f>+H38*0.21</f>
        <v>833.05785123966939</v>
      </c>
      <c r="J38" s="166"/>
      <c r="K38" s="166">
        <f>+H38+I38</f>
        <v>4800</v>
      </c>
      <c r="L38" s="164" t="s">
        <v>3633</v>
      </c>
      <c r="M38" s="164" t="s">
        <v>3827</v>
      </c>
      <c r="N38" s="164"/>
      <c r="O38" s="164"/>
      <c r="P38" s="164" t="s">
        <v>348</v>
      </c>
      <c r="Q38" s="165">
        <v>41455</v>
      </c>
      <c r="R38" s="164"/>
      <c r="S38" s="164"/>
    </row>
    <row r="39" spans="1:19" ht="12.75" customHeight="1" x14ac:dyDescent="0.2">
      <c r="A39" s="164" t="s">
        <v>408</v>
      </c>
      <c r="B39" s="165">
        <v>41386</v>
      </c>
      <c r="C39" s="164" t="s">
        <v>3627</v>
      </c>
      <c r="D39" s="164" t="s">
        <v>3628</v>
      </c>
      <c r="E39" s="164" t="s">
        <v>3629</v>
      </c>
      <c r="F39" s="164" t="s">
        <v>906</v>
      </c>
      <c r="G39" s="164" t="s">
        <v>3630</v>
      </c>
      <c r="H39" s="166"/>
      <c r="I39" s="164"/>
      <c r="J39" s="164" t="s">
        <v>21</v>
      </c>
      <c r="K39" s="164">
        <v>3500</v>
      </c>
      <c r="L39" s="164" t="s">
        <v>3703</v>
      </c>
      <c r="M39" s="164" t="s">
        <v>3665</v>
      </c>
      <c r="N39" s="164"/>
      <c r="O39" s="164"/>
      <c r="P39" s="164" t="s">
        <v>348</v>
      </c>
      <c r="Q39" s="165">
        <v>41455</v>
      </c>
      <c r="R39" s="164"/>
      <c r="S39" s="164"/>
    </row>
    <row r="40" spans="1:19" x14ac:dyDescent="0.2">
      <c r="A40" s="164" t="s">
        <v>408</v>
      </c>
      <c r="B40" s="165">
        <v>41391</v>
      </c>
      <c r="C40" s="164" t="s">
        <v>3657</v>
      </c>
      <c r="D40" s="164" t="s">
        <v>3658</v>
      </c>
      <c r="E40" s="164" t="s">
        <v>3659</v>
      </c>
      <c r="F40" s="164" t="s">
        <v>3531</v>
      </c>
      <c r="G40" s="164" t="s">
        <v>3532</v>
      </c>
      <c r="H40" s="164"/>
      <c r="I40" s="164"/>
      <c r="J40" s="164" t="s">
        <v>21</v>
      </c>
      <c r="K40" s="164">
        <v>3000</v>
      </c>
      <c r="L40" s="164" t="s">
        <v>3660</v>
      </c>
      <c r="M40" s="164" t="s">
        <v>3661</v>
      </c>
      <c r="N40" s="164"/>
      <c r="O40" s="164"/>
      <c r="P40" s="164" t="s">
        <v>348</v>
      </c>
      <c r="Q40" s="165">
        <v>41455</v>
      </c>
      <c r="R40" s="164"/>
      <c r="S40" s="164" t="s">
        <v>3186</v>
      </c>
    </row>
    <row r="41" spans="1:19" x14ac:dyDescent="0.2">
      <c r="A41" s="164" t="s">
        <v>408</v>
      </c>
      <c r="B41" s="165">
        <v>41394</v>
      </c>
      <c r="C41" s="164" t="s">
        <v>835</v>
      </c>
      <c r="D41" s="164" t="s">
        <v>3652</v>
      </c>
      <c r="E41" s="164" t="s">
        <v>3653</v>
      </c>
      <c r="F41" s="106" t="s">
        <v>362</v>
      </c>
      <c r="G41" s="106" t="s">
        <v>3332</v>
      </c>
      <c r="H41" s="166">
        <f>6100/1.21</f>
        <v>5041.3223140495866</v>
      </c>
      <c r="I41" s="166">
        <f>+H41*0.21</f>
        <v>1058.6776859504132</v>
      </c>
      <c r="J41" s="166"/>
      <c r="K41" s="166">
        <f>+H41+I41</f>
        <v>6100</v>
      </c>
      <c r="L41" s="164" t="s">
        <v>3651</v>
      </c>
      <c r="M41" s="164" t="s">
        <v>3826</v>
      </c>
      <c r="N41" s="164"/>
      <c r="O41" s="164"/>
      <c r="P41" s="164" t="s">
        <v>348</v>
      </c>
      <c r="Q41" s="165">
        <v>41455</v>
      </c>
      <c r="R41" s="164"/>
      <c r="S41" s="164"/>
    </row>
    <row r="42" spans="1:19" x14ac:dyDescent="0.2">
      <c r="A42" s="164" t="s">
        <v>12</v>
      </c>
      <c r="B42" s="165">
        <v>41402</v>
      </c>
      <c r="C42" s="164">
        <v>2013100155</v>
      </c>
      <c r="D42" s="164" t="s">
        <v>14</v>
      </c>
      <c r="E42" s="164" t="s">
        <v>13</v>
      </c>
      <c r="F42" s="164" t="s">
        <v>406</v>
      </c>
      <c r="G42" s="164" t="s">
        <v>3695</v>
      </c>
      <c r="H42" s="166">
        <f>3000/1.21</f>
        <v>2479.3388429752067</v>
      </c>
      <c r="I42" s="166">
        <f>+H42*0.21</f>
        <v>520.6611570247934</v>
      </c>
      <c r="J42" s="166"/>
      <c r="K42" s="166">
        <f>+H42+I42</f>
        <v>3000</v>
      </c>
      <c r="L42" s="164" t="s">
        <v>3555</v>
      </c>
      <c r="M42" s="164" t="s">
        <v>3553</v>
      </c>
      <c r="N42" s="164"/>
      <c r="O42" s="164"/>
      <c r="P42" s="164" t="s">
        <v>348</v>
      </c>
      <c r="Q42" s="165">
        <v>41455</v>
      </c>
      <c r="R42" s="164"/>
      <c r="S42" s="164"/>
    </row>
    <row r="43" spans="1:19" ht="12.75" customHeight="1" x14ac:dyDescent="0.2">
      <c r="A43" s="164" t="s">
        <v>12</v>
      </c>
      <c r="B43" s="165">
        <v>41403</v>
      </c>
      <c r="C43" s="164">
        <v>15102747</v>
      </c>
      <c r="D43" s="164" t="s">
        <v>3620</v>
      </c>
      <c r="E43" s="164" t="s">
        <v>2439</v>
      </c>
      <c r="F43" s="164" t="s">
        <v>353</v>
      </c>
      <c r="G43" s="164" t="s">
        <v>3621</v>
      </c>
      <c r="H43" s="166">
        <f>3550/1.21</f>
        <v>2933.8842975206612</v>
      </c>
      <c r="I43" s="166">
        <f>+H43*0.21</f>
        <v>616.11570247933878</v>
      </c>
      <c r="J43" s="166"/>
      <c r="K43" s="166">
        <f>+H43+I43</f>
        <v>3550</v>
      </c>
      <c r="L43" s="164" t="s">
        <v>3555</v>
      </c>
      <c r="M43" s="164"/>
      <c r="N43" s="164"/>
      <c r="O43" s="164"/>
      <c r="P43" s="164" t="s">
        <v>348</v>
      </c>
      <c r="Q43" s="165">
        <v>41455</v>
      </c>
      <c r="R43" s="164"/>
      <c r="S43" s="164"/>
    </row>
    <row r="44" spans="1:19" ht="12.75" customHeight="1" x14ac:dyDescent="0.2">
      <c r="A44" s="164" t="s">
        <v>12</v>
      </c>
      <c r="B44" s="165">
        <v>41403</v>
      </c>
      <c r="C44" s="164">
        <v>15102746</v>
      </c>
      <c r="D44" s="164" t="s">
        <v>3620</v>
      </c>
      <c r="E44" s="164" t="s">
        <v>2439</v>
      </c>
      <c r="F44" s="164" t="s">
        <v>3666</v>
      </c>
      <c r="G44" s="164" t="s">
        <v>3667</v>
      </c>
      <c r="H44" s="166"/>
      <c r="I44" s="166"/>
      <c r="J44" s="166" t="s">
        <v>21</v>
      </c>
      <c r="K44" s="166">
        <v>3950</v>
      </c>
      <c r="L44" s="164" t="s">
        <v>3555</v>
      </c>
      <c r="M44" s="164"/>
      <c r="N44" s="164"/>
      <c r="O44" s="164"/>
      <c r="P44" s="164" t="s">
        <v>348</v>
      </c>
      <c r="Q44" s="165">
        <v>41455</v>
      </c>
      <c r="R44" s="164"/>
      <c r="S44" s="164"/>
    </row>
    <row r="45" spans="1:19" x14ac:dyDescent="0.2">
      <c r="A45" s="164" t="s">
        <v>408</v>
      </c>
      <c r="B45" s="165">
        <v>41405</v>
      </c>
      <c r="C45" s="164" t="s">
        <v>3647</v>
      </c>
      <c r="D45" s="164" t="s">
        <v>3654</v>
      </c>
      <c r="E45" s="164" t="s">
        <v>3655</v>
      </c>
      <c r="F45" s="164" t="s">
        <v>3521</v>
      </c>
      <c r="G45" s="164" t="s">
        <v>3522</v>
      </c>
      <c r="H45" s="164"/>
      <c r="I45" s="164"/>
      <c r="J45" s="164" t="s">
        <v>21</v>
      </c>
      <c r="K45" s="164">
        <v>5400</v>
      </c>
      <c r="L45" s="164" t="s">
        <v>3656</v>
      </c>
      <c r="M45" s="164" t="s">
        <v>3663</v>
      </c>
      <c r="N45" s="164"/>
      <c r="O45" s="164"/>
      <c r="P45" s="164" t="s">
        <v>348</v>
      </c>
      <c r="Q45" s="165">
        <v>41455</v>
      </c>
      <c r="R45" s="164"/>
      <c r="S45" s="164" t="s">
        <v>3186</v>
      </c>
    </row>
    <row r="46" spans="1:19" x14ac:dyDescent="0.2">
      <c r="A46" s="164" t="s">
        <v>408</v>
      </c>
      <c r="B46" s="165">
        <v>41407</v>
      </c>
      <c r="C46" s="164" t="s">
        <v>3635</v>
      </c>
      <c r="D46" s="164" t="s">
        <v>3636</v>
      </c>
      <c r="E46" s="164" t="s">
        <v>3637</v>
      </c>
      <c r="F46" s="164" t="s">
        <v>3624</v>
      </c>
      <c r="G46" s="164" t="s">
        <v>3625</v>
      </c>
      <c r="H46" s="166"/>
      <c r="I46" s="164"/>
      <c r="J46" s="166" t="s">
        <v>21</v>
      </c>
      <c r="K46" s="164">
        <v>3000</v>
      </c>
      <c r="L46" s="164" t="s">
        <v>3634</v>
      </c>
      <c r="M46" s="164" t="s">
        <v>3785</v>
      </c>
      <c r="N46" s="164"/>
      <c r="O46" s="164"/>
      <c r="P46" s="164" t="s">
        <v>348</v>
      </c>
      <c r="Q46" s="165">
        <v>41455</v>
      </c>
      <c r="R46" s="164"/>
      <c r="S46" s="164" t="s">
        <v>3186</v>
      </c>
    </row>
    <row r="47" spans="1:19" x14ac:dyDescent="0.2">
      <c r="A47" s="164" t="s">
        <v>408</v>
      </c>
      <c r="B47" s="165">
        <v>41411</v>
      </c>
      <c r="C47" s="164" t="s">
        <v>3688</v>
      </c>
      <c r="D47" s="164" t="s">
        <v>3689</v>
      </c>
      <c r="E47" s="164" t="s">
        <v>3690</v>
      </c>
      <c r="F47" s="164" t="s">
        <v>3666</v>
      </c>
      <c r="G47" s="164" t="s">
        <v>3667</v>
      </c>
      <c r="H47" s="164"/>
      <c r="I47" s="164"/>
      <c r="J47" s="164" t="s">
        <v>21</v>
      </c>
      <c r="K47" s="164">
        <v>4500</v>
      </c>
      <c r="L47" s="164" t="s">
        <v>3691</v>
      </c>
      <c r="M47" s="164" t="s">
        <v>3668</v>
      </c>
      <c r="N47" s="164"/>
      <c r="O47" s="164"/>
      <c r="P47" s="164" t="s">
        <v>348</v>
      </c>
      <c r="Q47" s="165">
        <v>41463</v>
      </c>
      <c r="R47" s="164"/>
      <c r="S47" s="164" t="s">
        <v>3186</v>
      </c>
    </row>
    <row r="48" spans="1:19" x14ac:dyDescent="0.2">
      <c r="A48" s="164" t="s">
        <v>12</v>
      </c>
      <c r="B48" s="165">
        <v>41411</v>
      </c>
      <c r="C48" s="164" t="s">
        <v>944</v>
      </c>
      <c r="D48" s="164" t="s">
        <v>3689</v>
      </c>
      <c r="E48" s="164" t="s">
        <v>3690</v>
      </c>
      <c r="F48" s="164" t="s">
        <v>346</v>
      </c>
      <c r="G48" s="164" t="s">
        <v>3650</v>
      </c>
      <c r="H48" s="164"/>
      <c r="I48" s="164"/>
      <c r="J48" s="164" t="s">
        <v>21</v>
      </c>
      <c r="K48" s="164">
        <v>700</v>
      </c>
      <c r="L48" s="164" t="s">
        <v>3555</v>
      </c>
      <c r="M48" s="164"/>
      <c r="N48" s="164"/>
      <c r="O48" s="164"/>
      <c r="P48" s="164" t="s">
        <v>348</v>
      </c>
      <c r="Q48" s="165">
        <v>41463</v>
      </c>
      <c r="R48" s="164"/>
      <c r="S48" s="164" t="s">
        <v>3186</v>
      </c>
    </row>
    <row r="49" spans="1:19" x14ac:dyDescent="0.2">
      <c r="A49" s="164" t="s">
        <v>408</v>
      </c>
      <c r="B49" s="165">
        <v>41414</v>
      </c>
      <c r="C49" s="164" t="s">
        <v>3643</v>
      </c>
      <c r="D49" s="164" t="s">
        <v>3644</v>
      </c>
      <c r="E49" s="164" t="s">
        <v>3645</v>
      </c>
      <c r="F49" s="164" t="s">
        <v>3622</v>
      </c>
      <c r="G49" s="164" t="s">
        <v>3528</v>
      </c>
      <c r="H49" s="164"/>
      <c r="I49" s="164"/>
      <c r="J49" s="164" t="s">
        <v>21</v>
      </c>
      <c r="K49" s="164">
        <v>5000</v>
      </c>
      <c r="L49" s="164" t="s">
        <v>3646</v>
      </c>
      <c r="M49" s="164" t="s">
        <v>3664</v>
      </c>
      <c r="N49" s="164"/>
      <c r="O49" s="164"/>
      <c r="P49" s="164" t="s">
        <v>348</v>
      </c>
      <c r="Q49" s="165">
        <v>41455</v>
      </c>
      <c r="R49" s="164"/>
      <c r="S49" s="164" t="s">
        <v>3186</v>
      </c>
    </row>
    <row r="50" spans="1:19" x14ac:dyDescent="0.2">
      <c r="A50" s="164" t="s">
        <v>408</v>
      </c>
      <c r="B50" s="165">
        <v>41418</v>
      </c>
      <c r="C50" s="164" t="s">
        <v>3647</v>
      </c>
      <c r="D50" s="164" t="s">
        <v>3648</v>
      </c>
      <c r="E50" s="164" t="s">
        <v>3649</v>
      </c>
      <c r="F50" s="164" t="s">
        <v>346</v>
      </c>
      <c r="G50" s="164" t="s">
        <v>3650</v>
      </c>
      <c r="H50" s="164"/>
      <c r="I50" s="164"/>
      <c r="J50" s="164" t="s">
        <v>21</v>
      </c>
      <c r="K50" s="164">
        <v>800</v>
      </c>
      <c r="L50" s="164" t="s">
        <v>3707</v>
      </c>
      <c r="M50" s="164" t="s">
        <v>31</v>
      </c>
      <c r="N50" s="164"/>
      <c r="O50" s="164"/>
      <c r="P50" s="164" t="s">
        <v>348</v>
      </c>
      <c r="Q50" s="165">
        <v>41455</v>
      </c>
      <c r="R50" s="164"/>
      <c r="S50" s="164" t="s">
        <v>3947</v>
      </c>
    </row>
    <row r="51" spans="1:19" x14ac:dyDescent="0.2">
      <c r="A51" s="164" t="s">
        <v>408</v>
      </c>
      <c r="B51" s="165">
        <v>41422</v>
      </c>
      <c r="C51" s="164" t="s">
        <v>3638</v>
      </c>
      <c r="D51" s="164" t="s">
        <v>3639</v>
      </c>
      <c r="E51" s="164" t="s">
        <v>3640</v>
      </c>
      <c r="F51" s="164" t="s">
        <v>3641</v>
      </c>
      <c r="G51" s="164" t="s">
        <v>3642</v>
      </c>
      <c r="H51" s="166">
        <f>5000/1.21</f>
        <v>4132.2314049586776</v>
      </c>
      <c r="I51" s="166">
        <f>+H51*0.21</f>
        <v>867.76859504132221</v>
      </c>
      <c r="J51" s="166"/>
      <c r="K51" s="166">
        <f>+H51+I51</f>
        <v>5000</v>
      </c>
      <c r="L51" s="164" t="s">
        <v>3685</v>
      </c>
      <c r="M51" s="164" t="s">
        <v>3662</v>
      </c>
      <c r="N51" s="164"/>
      <c r="O51" s="164"/>
      <c r="P51" s="164" t="s">
        <v>348</v>
      </c>
      <c r="Q51" s="165">
        <v>41455</v>
      </c>
      <c r="R51" s="164"/>
      <c r="S51" s="164"/>
    </row>
    <row r="52" spans="1:19" ht="12.75" customHeight="1" x14ac:dyDescent="0.2">
      <c r="A52" s="164" t="s">
        <v>12</v>
      </c>
      <c r="B52" s="165">
        <v>41425</v>
      </c>
      <c r="C52" s="164">
        <v>15102777</v>
      </c>
      <c r="D52" s="164" t="s">
        <v>3620</v>
      </c>
      <c r="E52" s="164" t="s">
        <v>2439</v>
      </c>
      <c r="F52" s="164" t="s">
        <v>3672</v>
      </c>
      <c r="G52" s="164" t="s">
        <v>3674</v>
      </c>
      <c r="H52" s="166"/>
      <c r="I52" s="166"/>
      <c r="J52" s="166" t="s">
        <v>21</v>
      </c>
      <c r="K52" s="166">
        <v>3500</v>
      </c>
      <c r="L52" s="164" t="s">
        <v>3555</v>
      </c>
      <c r="M52" s="164" t="s">
        <v>3553</v>
      </c>
      <c r="N52" s="164"/>
      <c r="O52" s="164"/>
      <c r="P52" s="164" t="s">
        <v>348</v>
      </c>
      <c r="Q52" s="165">
        <v>41463</v>
      </c>
      <c r="R52" s="164"/>
      <c r="S52" s="164"/>
    </row>
    <row r="53" spans="1:19" ht="12.75" customHeight="1" x14ac:dyDescent="0.2">
      <c r="A53" s="164" t="s">
        <v>12</v>
      </c>
      <c r="B53" s="165">
        <v>41425</v>
      </c>
      <c r="C53" s="164">
        <v>15102776</v>
      </c>
      <c r="D53" s="164" t="s">
        <v>3620</v>
      </c>
      <c r="E53" s="164" t="s">
        <v>2439</v>
      </c>
      <c r="F53" s="164" t="s">
        <v>3673</v>
      </c>
      <c r="G53" s="164" t="s">
        <v>3675</v>
      </c>
      <c r="H53" s="166">
        <f>11500/1.21</f>
        <v>9504.1322314049594</v>
      </c>
      <c r="I53" s="166">
        <f t="shared" ref="I53:I58" si="2">+H53*0.21</f>
        <v>1995.8677685950413</v>
      </c>
      <c r="J53" s="164"/>
      <c r="K53" s="166">
        <f t="shared" ref="K53:K58" si="3">+H53+I53</f>
        <v>11500</v>
      </c>
      <c r="L53" s="164" t="s">
        <v>3555</v>
      </c>
      <c r="M53" s="164" t="s">
        <v>3553</v>
      </c>
      <c r="N53" s="164"/>
      <c r="O53" s="164"/>
      <c r="P53" s="164" t="s">
        <v>348</v>
      </c>
      <c r="Q53" s="165">
        <v>41463</v>
      </c>
      <c r="R53" s="164"/>
      <c r="S53" s="164"/>
    </row>
    <row r="54" spans="1:19" ht="12.75" customHeight="1" x14ac:dyDescent="0.2">
      <c r="A54" s="164" t="s">
        <v>408</v>
      </c>
      <c r="B54" s="165">
        <v>41429</v>
      </c>
      <c r="C54" s="164" t="s">
        <v>3709</v>
      </c>
      <c r="D54" s="164" t="s">
        <v>3710</v>
      </c>
      <c r="E54" s="164" t="s">
        <v>3711</v>
      </c>
      <c r="F54" s="106" t="s">
        <v>3376</v>
      </c>
      <c r="G54" s="106" t="s">
        <v>3377</v>
      </c>
      <c r="H54" s="166">
        <f>5000/1.21</f>
        <v>4132.2314049586776</v>
      </c>
      <c r="I54" s="166">
        <f t="shared" si="2"/>
        <v>867.76859504132221</v>
      </c>
      <c r="J54" s="166"/>
      <c r="K54" s="166">
        <f t="shared" si="3"/>
        <v>5000</v>
      </c>
      <c r="L54" s="164" t="s">
        <v>3708</v>
      </c>
      <c r="M54" s="164" t="s">
        <v>3828</v>
      </c>
      <c r="N54" s="164"/>
      <c r="O54" s="164"/>
      <c r="P54" s="164" t="s">
        <v>348</v>
      </c>
      <c r="Q54" s="165">
        <v>41463</v>
      </c>
      <c r="R54" s="164"/>
      <c r="S54" s="164" t="s">
        <v>3186</v>
      </c>
    </row>
    <row r="55" spans="1:19" ht="12.75" customHeight="1" x14ac:dyDescent="0.2">
      <c r="A55" s="164" t="s">
        <v>12</v>
      </c>
      <c r="B55" s="165">
        <v>41430</v>
      </c>
      <c r="C55" s="164">
        <v>15</v>
      </c>
      <c r="D55" s="164" t="s">
        <v>3616</v>
      </c>
      <c r="E55" s="164" t="s">
        <v>2356</v>
      </c>
      <c r="F55" s="164" t="s">
        <v>493</v>
      </c>
      <c r="G55" s="164" t="s">
        <v>494</v>
      </c>
      <c r="H55" s="166">
        <f>10000/1.21</f>
        <v>8264.4628099173551</v>
      </c>
      <c r="I55" s="166">
        <f t="shared" si="2"/>
        <v>1735.5371900826444</v>
      </c>
      <c r="J55" s="166"/>
      <c r="K55" s="166">
        <f t="shared" si="3"/>
        <v>10000</v>
      </c>
      <c r="L55" s="164" t="s">
        <v>3555</v>
      </c>
      <c r="M55" s="164" t="s">
        <v>3617</v>
      </c>
      <c r="N55" s="164"/>
      <c r="O55" s="164"/>
      <c r="P55" s="164" t="s">
        <v>348</v>
      </c>
      <c r="Q55" s="165">
        <v>41455</v>
      </c>
      <c r="R55" s="164"/>
      <c r="S55" s="164"/>
    </row>
    <row r="56" spans="1:19" ht="12.75" customHeight="1" x14ac:dyDescent="0.2">
      <c r="A56" s="164" t="s">
        <v>12</v>
      </c>
      <c r="B56" s="165">
        <v>41432</v>
      </c>
      <c r="C56" s="164">
        <v>15104778</v>
      </c>
      <c r="D56" s="164" t="s">
        <v>2902</v>
      </c>
      <c r="E56" s="164" t="s">
        <v>2903</v>
      </c>
      <c r="F56" s="164" t="s">
        <v>693</v>
      </c>
      <c r="G56" s="164" t="s">
        <v>3681</v>
      </c>
      <c r="H56" s="166">
        <f>7500/1.21</f>
        <v>6198.3471074380168</v>
      </c>
      <c r="I56" s="166">
        <f t="shared" si="2"/>
        <v>1301.6528925619834</v>
      </c>
      <c r="J56" s="164"/>
      <c r="K56" s="166">
        <f t="shared" si="3"/>
        <v>7500</v>
      </c>
      <c r="L56" s="164" t="s">
        <v>3555</v>
      </c>
      <c r="M56" s="164" t="s">
        <v>3553</v>
      </c>
      <c r="N56" s="164"/>
      <c r="O56" s="164"/>
      <c r="P56" s="164" t="s">
        <v>348</v>
      </c>
      <c r="Q56" s="165">
        <v>41463</v>
      </c>
      <c r="R56" s="164"/>
      <c r="S56" s="164"/>
    </row>
    <row r="57" spans="1:19" x14ac:dyDescent="0.2">
      <c r="A57" s="164" t="s">
        <v>408</v>
      </c>
      <c r="B57" s="165">
        <v>41438</v>
      </c>
      <c r="C57" s="164" t="s">
        <v>3697</v>
      </c>
      <c r="D57" s="164" t="s">
        <v>3698</v>
      </c>
      <c r="E57" s="164" t="s">
        <v>3699</v>
      </c>
      <c r="F57" s="164" t="s">
        <v>406</v>
      </c>
      <c r="G57" s="164" t="s">
        <v>3695</v>
      </c>
      <c r="H57" s="166">
        <f>3000/1.21</f>
        <v>2479.3388429752067</v>
      </c>
      <c r="I57" s="166">
        <f t="shared" si="2"/>
        <v>520.6611570247934</v>
      </c>
      <c r="J57" s="166"/>
      <c r="K57" s="166">
        <f t="shared" si="3"/>
        <v>3000</v>
      </c>
      <c r="L57" s="164" t="s">
        <v>3696</v>
      </c>
      <c r="M57" s="164" t="s">
        <v>3715</v>
      </c>
      <c r="N57" s="164"/>
      <c r="O57" s="164"/>
      <c r="P57" s="164" t="s">
        <v>348</v>
      </c>
      <c r="Q57" s="165">
        <v>41463</v>
      </c>
      <c r="R57" s="164"/>
      <c r="S57" s="164" t="s">
        <v>3186</v>
      </c>
    </row>
    <row r="58" spans="1:19" x14ac:dyDescent="0.2">
      <c r="A58" s="164" t="s">
        <v>408</v>
      </c>
      <c r="B58" s="165">
        <v>41439</v>
      </c>
      <c r="C58" s="164" t="s">
        <v>3692</v>
      </c>
      <c r="D58" s="164" t="s">
        <v>3693</v>
      </c>
      <c r="E58" s="164" t="s">
        <v>3694</v>
      </c>
      <c r="F58" s="164" t="s">
        <v>929</v>
      </c>
      <c r="G58" s="164" t="s">
        <v>3374</v>
      </c>
      <c r="H58" s="166">
        <f>5300/1.21</f>
        <v>4380.1652892561988</v>
      </c>
      <c r="I58" s="166">
        <f t="shared" si="2"/>
        <v>919.83471074380168</v>
      </c>
      <c r="J58" s="164"/>
      <c r="K58" s="166">
        <f t="shared" si="3"/>
        <v>5300</v>
      </c>
      <c r="L58" s="164" t="s">
        <v>3580</v>
      </c>
      <c r="M58" s="164" t="s">
        <v>3829</v>
      </c>
      <c r="N58" s="164"/>
      <c r="O58" s="164"/>
      <c r="P58" s="164" t="s">
        <v>348</v>
      </c>
      <c r="Q58" s="165">
        <v>41463</v>
      </c>
      <c r="R58" s="164"/>
      <c r="S58" s="164" t="s">
        <v>3186</v>
      </c>
    </row>
    <row r="59" spans="1:19" ht="12.75" customHeight="1" x14ac:dyDescent="0.2">
      <c r="A59" s="164" t="s">
        <v>12</v>
      </c>
      <c r="B59" s="165">
        <v>41440</v>
      </c>
      <c r="C59" s="164" t="s">
        <v>944</v>
      </c>
      <c r="D59" s="164" t="s">
        <v>3676</v>
      </c>
      <c r="E59" s="164" t="s">
        <v>3700</v>
      </c>
      <c r="F59" s="164" t="s">
        <v>3677</v>
      </c>
      <c r="G59" s="164" t="s">
        <v>3678</v>
      </c>
      <c r="H59" s="164"/>
      <c r="I59" s="164"/>
      <c r="J59" s="164" t="s">
        <v>21</v>
      </c>
      <c r="K59" s="164">
        <v>5000</v>
      </c>
      <c r="L59" s="164" t="s">
        <v>3555</v>
      </c>
      <c r="M59" s="164" t="s">
        <v>3553</v>
      </c>
      <c r="N59" s="164"/>
      <c r="O59" s="164"/>
      <c r="P59" s="164" t="s">
        <v>348</v>
      </c>
      <c r="Q59" s="165">
        <v>41463</v>
      </c>
      <c r="R59" s="164"/>
      <c r="S59" s="164"/>
    </row>
    <row r="60" spans="1:19" ht="12.75" customHeight="1" x14ac:dyDescent="0.2">
      <c r="A60" s="164" t="s">
        <v>12</v>
      </c>
      <c r="B60" s="165">
        <v>41444</v>
      </c>
      <c r="C60" s="164">
        <v>12024991</v>
      </c>
      <c r="D60" s="164" t="s">
        <v>3530</v>
      </c>
      <c r="E60" s="164" t="s">
        <v>20</v>
      </c>
      <c r="F60" s="164" t="s">
        <v>3684</v>
      </c>
      <c r="G60" s="164" t="s">
        <v>3682</v>
      </c>
      <c r="H60" s="164"/>
      <c r="I60" s="164"/>
      <c r="J60" s="164" t="s">
        <v>21</v>
      </c>
      <c r="K60" s="164">
        <v>2000</v>
      </c>
      <c r="L60" s="164" t="s">
        <v>3555</v>
      </c>
      <c r="M60" s="164" t="s">
        <v>3683</v>
      </c>
      <c r="N60" s="164"/>
      <c r="O60" s="164"/>
      <c r="P60" s="164" t="s">
        <v>348</v>
      </c>
      <c r="Q60" s="165">
        <v>41463</v>
      </c>
      <c r="R60" s="164"/>
      <c r="S60" s="164"/>
    </row>
    <row r="61" spans="1:19" ht="12.75" customHeight="1" x14ac:dyDescent="0.2">
      <c r="A61" s="164" t="s">
        <v>12</v>
      </c>
      <c r="B61" s="165">
        <v>41446</v>
      </c>
      <c r="C61" s="164">
        <v>12024992</v>
      </c>
      <c r="D61" s="164" t="s">
        <v>3530</v>
      </c>
      <c r="E61" s="164" t="s">
        <v>20</v>
      </c>
      <c r="F61" s="164" t="s">
        <v>3679</v>
      </c>
      <c r="G61" s="164" t="s">
        <v>3680</v>
      </c>
      <c r="H61" s="166">
        <f>13000/1.21</f>
        <v>10743.801652892562</v>
      </c>
      <c r="I61" s="166">
        <f>+H61*0.21</f>
        <v>2256.1983471074377</v>
      </c>
      <c r="J61" s="164"/>
      <c r="K61" s="166">
        <f>+H61+I61</f>
        <v>13000</v>
      </c>
      <c r="L61" s="164" t="s">
        <v>3555</v>
      </c>
      <c r="M61" s="164" t="s">
        <v>3553</v>
      </c>
      <c r="N61" s="164"/>
      <c r="O61" s="164"/>
      <c r="P61" s="164" t="s">
        <v>348</v>
      </c>
      <c r="Q61" s="165">
        <v>41463</v>
      </c>
      <c r="R61" s="164"/>
      <c r="S61" s="164"/>
    </row>
    <row r="62" spans="1:19" x14ac:dyDescent="0.2">
      <c r="A62" s="164" t="s">
        <v>408</v>
      </c>
      <c r="B62" s="165">
        <v>41456</v>
      </c>
      <c r="C62" s="164" t="s">
        <v>3769</v>
      </c>
      <c r="D62" s="164" t="s">
        <v>3723</v>
      </c>
      <c r="E62" s="164" t="s">
        <v>3724</v>
      </c>
      <c r="F62" s="164" t="s">
        <v>3679</v>
      </c>
      <c r="G62" s="164" t="s">
        <v>3680</v>
      </c>
      <c r="H62" s="166">
        <f>13500/1.21</f>
        <v>11157.024793388429</v>
      </c>
      <c r="I62" s="166">
        <f>+H62*0.21</f>
        <v>2342.9752066115702</v>
      </c>
      <c r="J62" s="164"/>
      <c r="K62" s="166">
        <f>+H62+I62</f>
        <v>13500</v>
      </c>
      <c r="L62" s="164" t="s">
        <v>3728</v>
      </c>
      <c r="M62" s="164" t="s">
        <v>3798</v>
      </c>
      <c r="N62" s="164"/>
      <c r="O62" s="164"/>
      <c r="P62" s="164" t="s">
        <v>429</v>
      </c>
      <c r="Q62" s="165">
        <v>41551</v>
      </c>
      <c r="R62" s="164"/>
      <c r="S62" s="164" t="s">
        <v>3186</v>
      </c>
    </row>
    <row r="63" spans="1:19" x14ac:dyDescent="0.2">
      <c r="A63" s="164" t="s">
        <v>12</v>
      </c>
      <c r="B63" s="165">
        <v>41457</v>
      </c>
      <c r="C63" s="164" t="s">
        <v>944</v>
      </c>
      <c r="D63" s="164" t="s">
        <v>3723</v>
      </c>
      <c r="E63" s="164" t="s">
        <v>3724</v>
      </c>
      <c r="F63" s="164" t="s">
        <v>3725</v>
      </c>
      <c r="G63" s="164" t="s">
        <v>3726</v>
      </c>
      <c r="H63" s="164"/>
      <c r="I63" s="164"/>
      <c r="J63" s="164" t="s">
        <v>21</v>
      </c>
      <c r="K63" s="164">
        <v>5000</v>
      </c>
      <c r="L63" s="164" t="s">
        <v>3555</v>
      </c>
      <c r="M63" s="167" t="s">
        <v>3727</v>
      </c>
      <c r="N63" s="164"/>
      <c r="O63" s="164"/>
      <c r="P63" s="164" t="s">
        <v>429</v>
      </c>
      <c r="Q63" s="165">
        <v>41551</v>
      </c>
      <c r="R63" s="164"/>
      <c r="S63" s="164"/>
    </row>
    <row r="64" spans="1:19" x14ac:dyDescent="0.2">
      <c r="A64" s="164" t="s">
        <v>408</v>
      </c>
      <c r="B64" s="165">
        <v>41463</v>
      </c>
      <c r="C64" s="164" t="s">
        <v>3751</v>
      </c>
      <c r="D64" s="164" t="s">
        <v>3752</v>
      </c>
      <c r="E64" s="164" t="s">
        <v>3753</v>
      </c>
      <c r="F64" s="164" t="s">
        <v>3754</v>
      </c>
      <c r="G64" s="164" t="s">
        <v>3755</v>
      </c>
      <c r="H64" s="166">
        <f>8500/1.21</f>
        <v>7024.7933884297527</v>
      </c>
      <c r="I64" s="166">
        <f>+H64*0.21</f>
        <v>1475.206611570248</v>
      </c>
      <c r="J64" s="166"/>
      <c r="K64" s="166">
        <f>+H64+I64</f>
        <v>8500</v>
      </c>
      <c r="L64" s="164" t="s">
        <v>3817</v>
      </c>
      <c r="M64" s="164" t="s">
        <v>3796</v>
      </c>
      <c r="N64" s="164"/>
      <c r="O64" s="164"/>
      <c r="P64" s="164" t="s">
        <v>429</v>
      </c>
      <c r="Q64" s="165">
        <v>41551</v>
      </c>
      <c r="R64" s="164"/>
      <c r="S64" s="164" t="s">
        <v>3186</v>
      </c>
    </row>
    <row r="65" spans="1:19" x14ac:dyDescent="0.2">
      <c r="A65" s="164" t="s">
        <v>12</v>
      </c>
      <c r="B65" s="165">
        <v>41465</v>
      </c>
      <c r="C65" s="164" t="s">
        <v>3732</v>
      </c>
      <c r="D65" s="164" t="s">
        <v>3733</v>
      </c>
      <c r="E65" s="164" t="s">
        <v>2626</v>
      </c>
      <c r="F65" s="164" t="s">
        <v>3210</v>
      </c>
      <c r="G65" s="164" t="s">
        <v>3734</v>
      </c>
      <c r="H65" s="166">
        <v>7024.79</v>
      </c>
      <c r="I65" s="166">
        <f>+H65*0.21</f>
        <v>1475.2058999999999</v>
      </c>
      <c r="J65" s="164"/>
      <c r="K65" s="166">
        <f>+H65+I65</f>
        <v>8499.9958999999999</v>
      </c>
      <c r="L65" s="164" t="s">
        <v>3555</v>
      </c>
      <c r="M65" s="164" t="s">
        <v>3742</v>
      </c>
      <c r="N65" s="164"/>
      <c r="O65" s="164"/>
      <c r="P65" s="164" t="s">
        <v>429</v>
      </c>
      <c r="Q65" s="165">
        <v>41551</v>
      </c>
      <c r="R65" s="164"/>
      <c r="S65" s="164"/>
    </row>
    <row r="66" spans="1:19" x14ac:dyDescent="0.2">
      <c r="A66" s="164" t="s">
        <v>12</v>
      </c>
      <c r="B66" s="165">
        <v>41465</v>
      </c>
      <c r="C66" s="164" t="s">
        <v>3735</v>
      </c>
      <c r="D66" s="164" t="s">
        <v>3733</v>
      </c>
      <c r="E66" s="164" t="s">
        <v>2626</v>
      </c>
      <c r="F66" s="164" t="s">
        <v>3736</v>
      </c>
      <c r="G66" s="164" t="s">
        <v>3737</v>
      </c>
      <c r="H66" s="164">
        <v>3719.01</v>
      </c>
      <c r="I66" s="166">
        <f>+H66*0.21</f>
        <v>780.99210000000005</v>
      </c>
      <c r="J66" s="164"/>
      <c r="K66" s="166">
        <f>+H66+I66</f>
        <v>4500.0021000000006</v>
      </c>
      <c r="L66" s="164" t="s">
        <v>3555</v>
      </c>
      <c r="M66" s="164" t="s">
        <v>3742</v>
      </c>
      <c r="N66" s="164"/>
      <c r="O66" s="164"/>
      <c r="P66" s="164" t="s">
        <v>429</v>
      </c>
      <c r="Q66" s="165">
        <v>41551</v>
      </c>
      <c r="R66" s="164"/>
      <c r="S66" s="164" t="s">
        <v>3186</v>
      </c>
    </row>
    <row r="67" spans="1:19" ht="12.75" customHeight="1" x14ac:dyDescent="0.2">
      <c r="A67" s="164" t="s">
        <v>408</v>
      </c>
      <c r="B67" s="165">
        <v>41465</v>
      </c>
      <c r="C67" s="164" t="s">
        <v>3743</v>
      </c>
      <c r="D67" s="164" t="s">
        <v>3712</v>
      </c>
      <c r="E67" s="164" t="s">
        <v>3714</v>
      </c>
      <c r="F67" s="164" t="s">
        <v>3538</v>
      </c>
      <c r="G67" s="164" t="s">
        <v>3539</v>
      </c>
      <c r="H67" s="164"/>
      <c r="I67" s="164"/>
      <c r="J67" s="164" t="s">
        <v>21</v>
      </c>
      <c r="K67" s="164">
        <v>12500</v>
      </c>
      <c r="L67" s="164" t="s">
        <v>3713</v>
      </c>
      <c r="M67" s="167" t="s">
        <v>3937</v>
      </c>
      <c r="N67" s="164"/>
      <c r="O67" s="164"/>
      <c r="P67" s="164" t="s">
        <v>429</v>
      </c>
      <c r="Q67" s="165">
        <v>41551</v>
      </c>
      <c r="R67" s="164"/>
      <c r="S67" s="164" t="s">
        <v>3186</v>
      </c>
    </row>
    <row r="68" spans="1:19" ht="12.75" customHeight="1" x14ac:dyDescent="0.2">
      <c r="A68" s="164" t="s">
        <v>12</v>
      </c>
      <c r="B68" s="165">
        <v>41473</v>
      </c>
      <c r="C68" s="164" t="s">
        <v>944</v>
      </c>
      <c r="D68" s="164" t="s">
        <v>3739</v>
      </c>
      <c r="E68" s="164" t="s">
        <v>3740</v>
      </c>
      <c r="F68" s="164" t="s">
        <v>913</v>
      </c>
      <c r="G68" s="164" t="s">
        <v>3741</v>
      </c>
      <c r="H68" s="164"/>
      <c r="I68" s="164"/>
      <c r="J68" s="164" t="s">
        <v>21</v>
      </c>
      <c r="K68" s="164">
        <v>4000</v>
      </c>
      <c r="L68" s="164" t="s">
        <v>3555</v>
      </c>
      <c r="M68" s="164" t="s">
        <v>3877</v>
      </c>
      <c r="N68" s="164"/>
      <c r="O68" s="164"/>
      <c r="P68" s="164" t="s">
        <v>429</v>
      </c>
      <c r="Q68" s="165">
        <v>41551</v>
      </c>
      <c r="R68" s="164"/>
      <c r="S68" s="164"/>
    </row>
    <row r="69" spans="1:19" ht="12.75" customHeight="1" x14ac:dyDescent="0.2">
      <c r="A69" s="164" t="s">
        <v>408</v>
      </c>
      <c r="B69" s="165">
        <v>41473</v>
      </c>
      <c r="C69" s="164" t="s">
        <v>3775</v>
      </c>
      <c r="D69" s="164" t="s">
        <v>3739</v>
      </c>
      <c r="E69" s="164" t="s">
        <v>3740</v>
      </c>
      <c r="F69" s="164" t="s">
        <v>3677</v>
      </c>
      <c r="G69" s="164" t="s">
        <v>3678</v>
      </c>
      <c r="H69" s="164"/>
      <c r="I69" s="164"/>
      <c r="J69" s="164" t="s">
        <v>21</v>
      </c>
      <c r="K69" s="164">
        <v>5500</v>
      </c>
      <c r="L69" s="164" t="s">
        <v>3917</v>
      </c>
      <c r="M69" s="164" t="s">
        <v>3797</v>
      </c>
      <c r="N69" s="164"/>
      <c r="O69" s="164"/>
      <c r="P69" s="164" t="s">
        <v>429</v>
      </c>
      <c r="Q69" s="165">
        <v>41551</v>
      </c>
      <c r="R69" s="164"/>
      <c r="S69" s="164" t="s">
        <v>3186</v>
      </c>
    </row>
    <row r="70" spans="1:19" ht="12.75" customHeight="1" x14ac:dyDescent="0.2">
      <c r="A70" s="164" t="s">
        <v>408</v>
      </c>
      <c r="B70" s="165">
        <v>41474</v>
      </c>
      <c r="C70" s="164" t="s">
        <v>3770</v>
      </c>
      <c r="D70" s="164" t="s">
        <v>3771</v>
      </c>
      <c r="E70" s="164" t="s">
        <v>3772</v>
      </c>
      <c r="F70" s="164" t="s">
        <v>3672</v>
      </c>
      <c r="G70" s="164" t="s">
        <v>3674</v>
      </c>
      <c r="H70" s="166"/>
      <c r="I70" s="166"/>
      <c r="J70" s="166" t="s">
        <v>21</v>
      </c>
      <c r="K70" s="166">
        <v>3000</v>
      </c>
      <c r="L70" s="164" t="s">
        <v>3773</v>
      </c>
      <c r="M70" s="164" t="s">
        <v>3830</v>
      </c>
      <c r="N70" s="164" t="s">
        <v>3774</v>
      </c>
      <c r="O70" s="164"/>
      <c r="P70" s="164" t="s">
        <v>429</v>
      </c>
      <c r="Q70" s="165">
        <v>41551</v>
      </c>
      <c r="R70" s="164"/>
      <c r="S70" s="164" t="s">
        <v>3186</v>
      </c>
    </row>
    <row r="71" spans="1:19" x14ac:dyDescent="0.2">
      <c r="A71" s="164" t="s">
        <v>408</v>
      </c>
      <c r="B71" s="165">
        <v>41481</v>
      </c>
      <c r="C71" s="164" t="s">
        <v>3761</v>
      </c>
      <c r="D71" s="164" t="s">
        <v>3762</v>
      </c>
      <c r="E71" s="164" t="s">
        <v>3763</v>
      </c>
      <c r="F71" s="164" t="s">
        <v>493</v>
      </c>
      <c r="G71" s="164" t="s">
        <v>494</v>
      </c>
      <c r="H71" s="166">
        <f>10500/1.21</f>
        <v>8677.6859504132226</v>
      </c>
      <c r="I71" s="166">
        <f>+H71*0.21</f>
        <v>1822.3140495867767</v>
      </c>
      <c r="J71" s="166"/>
      <c r="K71" s="166">
        <f>+H71+I71</f>
        <v>10500</v>
      </c>
      <c r="L71" s="164" t="s">
        <v>3764</v>
      </c>
      <c r="M71" s="164" t="s">
        <v>3795</v>
      </c>
      <c r="N71" s="164"/>
      <c r="O71" s="164"/>
      <c r="P71" s="164" t="s">
        <v>429</v>
      </c>
      <c r="Q71" s="165">
        <v>41551</v>
      </c>
      <c r="R71" s="164"/>
      <c r="S71" s="164" t="s">
        <v>3186</v>
      </c>
    </row>
    <row r="72" spans="1:19" x14ac:dyDescent="0.2">
      <c r="A72" s="164" t="s">
        <v>12</v>
      </c>
      <c r="B72" s="165">
        <v>41481</v>
      </c>
      <c r="C72" s="164" t="s">
        <v>944</v>
      </c>
      <c r="D72" s="164" t="s">
        <v>3729</v>
      </c>
      <c r="E72" s="164" t="s">
        <v>3730</v>
      </c>
      <c r="F72" s="164" t="s">
        <v>706</v>
      </c>
      <c r="G72" s="164" t="s">
        <v>3731</v>
      </c>
      <c r="H72" s="164"/>
      <c r="I72" s="164"/>
      <c r="J72" s="164" t="s">
        <v>21</v>
      </c>
      <c r="K72" s="164">
        <v>2000</v>
      </c>
      <c r="L72" s="164" t="s">
        <v>3555</v>
      </c>
      <c r="M72" s="164"/>
      <c r="N72" s="164"/>
      <c r="O72" s="164"/>
      <c r="P72" s="164" t="s">
        <v>429</v>
      </c>
      <c r="Q72" s="165">
        <v>41551</v>
      </c>
      <c r="R72" s="164"/>
      <c r="S72" s="164" t="s">
        <v>3791</v>
      </c>
    </row>
    <row r="73" spans="1:19" x14ac:dyDescent="0.2">
      <c r="A73" s="164" t="s">
        <v>12</v>
      </c>
      <c r="B73" s="165">
        <v>41489</v>
      </c>
      <c r="C73" s="164" t="s">
        <v>944</v>
      </c>
      <c r="D73" s="164" t="s">
        <v>3799</v>
      </c>
      <c r="E73" s="164" t="s">
        <v>3800</v>
      </c>
      <c r="F73" s="164" t="s">
        <v>3801</v>
      </c>
      <c r="G73" s="164" t="s">
        <v>3802</v>
      </c>
      <c r="H73" s="164"/>
      <c r="I73" s="164"/>
      <c r="J73" s="164" t="s">
        <v>21</v>
      </c>
      <c r="K73" s="164">
        <v>2000</v>
      </c>
      <c r="L73" s="164" t="s">
        <v>3555</v>
      </c>
      <c r="M73" s="164" t="s">
        <v>31</v>
      </c>
      <c r="N73" s="164"/>
      <c r="O73" s="164"/>
      <c r="P73" s="164" t="s">
        <v>429</v>
      </c>
      <c r="Q73" s="165">
        <v>41551</v>
      </c>
      <c r="R73" s="164"/>
      <c r="S73" s="164"/>
    </row>
    <row r="74" spans="1:19" ht="12.75" customHeight="1" x14ac:dyDescent="0.2">
      <c r="A74" s="164" t="s">
        <v>408</v>
      </c>
      <c r="B74" s="165">
        <v>41499</v>
      </c>
      <c r="C74" s="164" t="s">
        <v>3765</v>
      </c>
      <c r="D74" s="164" t="s">
        <v>3766</v>
      </c>
      <c r="E74" s="164" t="s">
        <v>3767</v>
      </c>
      <c r="F74" s="164" t="s">
        <v>3684</v>
      </c>
      <c r="G74" s="164" t="s">
        <v>3682</v>
      </c>
      <c r="H74" s="164"/>
      <c r="I74" s="164"/>
      <c r="J74" s="164" t="s">
        <v>21</v>
      </c>
      <c r="K74" s="164">
        <v>2300</v>
      </c>
      <c r="L74" s="164" t="s">
        <v>3768</v>
      </c>
      <c r="M74" s="164" t="s">
        <v>31</v>
      </c>
      <c r="N74" s="164"/>
      <c r="O74" s="164"/>
      <c r="P74" s="164" t="s">
        <v>429</v>
      </c>
      <c r="Q74" s="165">
        <v>41551</v>
      </c>
      <c r="R74" s="164"/>
      <c r="S74" s="164" t="s">
        <v>3947</v>
      </c>
    </row>
    <row r="75" spans="1:19" x14ac:dyDescent="0.2">
      <c r="A75" s="164" t="s">
        <v>12</v>
      </c>
      <c r="B75" s="165">
        <v>41503</v>
      </c>
      <c r="C75" s="164" t="s">
        <v>944</v>
      </c>
      <c r="D75" s="164" t="s">
        <v>3719</v>
      </c>
      <c r="E75" s="164" t="s">
        <v>3720</v>
      </c>
      <c r="F75" s="164" t="s">
        <v>2932</v>
      </c>
      <c r="G75" s="164" t="s">
        <v>3721</v>
      </c>
      <c r="H75" s="164"/>
      <c r="I75" s="164"/>
      <c r="J75" s="164" t="s">
        <v>21</v>
      </c>
      <c r="K75" s="164">
        <v>2400</v>
      </c>
      <c r="L75" s="164" t="s">
        <v>3555</v>
      </c>
      <c r="M75" s="167" t="s">
        <v>3722</v>
      </c>
      <c r="N75" s="164"/>
      <c r="O75" s="164"/>
      <c r="P75" s="164" t="s">
        <v>429</v>
      </c>
      <c r="Q75" s="165">
        <v>41551</v>
      </c>
      <c r="R75" s="164"/>
      <c r="S75" s="164"/>
    </row>
    <row r="76" spans="1:19" x14ac:dyDescent="0.2">
      <c r="A76" s="164" t="s">
        <v>408</v>
      </c>
      <c r="B76" s="165">
        <v>41504</v>
      </c>
      <c r="C76" s="164" t="s">
        <v>3756</v>
      </c>
      <c r="D76" s="164" t="s">
        <v>3757</v>
      </c>
      <c r="E76" s="164" t="s">
        <v>3758</v>
      </c>
      <c r="F76" s="164" t="s">
        <v>3725</v>
      </c>
      <c r="G76" s="164" t="s">
        <v>3726</v>
      </c>
      <c r="H76" s="164"/>
      <c r="I76" s="164"/>
      <c r="J76" s="164" t="s">
        <v>21</v>
      </c>
      <c r="K76" s="164">
        <v>5200</v>
      </c>
      <c r="L76" s="164" t="s">
        <v>3759</v>
      </c>
      <c r="M76" s="164" t="s">
        <v>3760</v>
      </c>
      <c r="N76" s="164"/>
      <c r="O76" s="164"/>
      <c r="P76" s="164" t="s">
        <v>429</v>
      </c>
      <c r="Q76" s="165">
        <v>41551</v>
      </c>
      <c r="R76" s="164"/>
      <c r="S76" s="164" t="s">
        <v>3186</v>
      </c>
    </row>
    <row r="77" spans="1:19" ht="12.75" customHeight="1" x14ac:dyDescent="0.2">
      <c r="A77" s="164" t="s">
        <v>408</v>
      </c>
      <c r="B77" s="165">
        <v>41515</v>
      </c>
      <c r="C77" s="164" t="s">
        <v>3747</v>
      </c>
      <c r="D77" s="164" t="s">
        <v>3748</v>
      </c>
      <c r="E77" s="164" t="s">
        <v>3749</v>
      </c>
      <c r="F77" s="164" t="s">
        <v>716</v>
      </c>
      <c r="G77" s="164" t="s">
        <v>3750</v>
      </c>
      <c r="H77" s="166">
        <f>6700/1.21</f>
        <v>5537.1900826446281</v>
      </c>
      <c r="I77" s="166">
        <f>+H77*0.21</f>
        <v>1162.8099173553719</v>
      </c>
      <c r="J77" s="166"/>
      <c r="K77" s="166">
        <f>+H77+I77</f>
        <v>6700</v>
      </c>
      <c r="L77" s="164" t="s">
        <v>3803</v>
      </c>
      <c r="M77" s="164" t="s">
        <v>3938</v>
      </c>
      <c r="N77" s="164"/>
      <c r="O77" s="164"/>
      <c r="P77" s="164" t="s">
        <v>429</v>
      </c>
      <c r="Q77" s="165">
        <v>41551</v>
      </c>
      <c r="R77" s="164"/>
      <c r="S77" s="164" t="s">
        <v>3186</v>
      </c>
    </row>
    <row r="78" spans="1:19" x14ac:dyDescent="0.2">
      <c r="A78" s="164" t="s">
        <v>408</v>
      </c>
      <c r="B78" s="165">
        <v>41527</v>
      </c>
      <c r="C78" s="164" t="s">
        <v>3744</v>
      </c>
      <c r="D78" s="164" t="s">
        <v>3745</v>
      </c>
      <c r="E78" s="164" t="s">
        <v>3746</v>
      </c>
      <c r="F78" s="164" t="s">
        <v>353</v>
      </c>
      <c r="G78" s="164" t="s">
        <v>3621</v>
      </c>
      <c r="H78" s="166">
        <f>3200/1.21</f>
        <v>2644.6280991735539</v>
      </c>
      <c r="I78" s="166">
        <f>+H78*0.21</f>
        <v>555.37190082644634</v>
      </c>
      <c r="J78" s="166"/>
      <c r="K78" s="166">
        <f>+H78+I78</f>
        <v>3200</v>
      </c>
      <c r="L78" s="164" t="s">
        <v>3691</v>
      </c>
      <c r="M78" s="164" t="s">
        <v>3939</v>
      </c>
      <c r="N78" s="164"/>
      <c r="O78" s="164"/>
      <c r="P78" s="164" t="s">
        <v>429</v>
      </c>
      <c r="Q78" s="165">
        <v>41551</v>
      </c>
      <c r="R78" s="164"/>
      <c r="S78" s="164" t="s">
        <v>3186</v>
      </c>
    </row>
    <row r="79" spans="1:19" x14ac:dyDescent="0.2">
      <c r="A79" s="164" t="s">
        <v>408</v>
      </c>
      <c r="B79" s="165">
        <v>41534</v>
      </c>
      <c r="C79" s="164" t="s">
        <v>2785</v>
      </c>
      <c r="D79" s="164" t="s">
        <v>3780</v>
      </c>
      <c r="E79" s="164" t="s">
        <v>3781</v>
      </c>
      <c r="F79" s="106" t="s">
        <v>929</v>
      </c>
      <c r="G79" s="106" t="s">
        <v>3373</v>
      </c>
      <c r="H79" s="164">
        <v>5123.97</v>
      </c>
      <c r="I79" s="166">
        <f>+H79*0.21</f>
        <v>1076.0337</v>
      </c>
      <c r="J79" s="164"/>
      <c r="K79" s="166">
        <f>+H79+I79</f>
        <v>6200.0037000000002</v>
      </c>
      <c r="L79" s="164" t="s">
        <v>3580</v>
      </c>
      <c r="M79" s="164" t="s">
        <v>3941</v>
      </c>
      <c r="N79" s="164"/>
      <c r="O79" s="164"/>
      <c r="P79" s="164" t="s">
        <v>429</v>
      </c>
      <c r="Q79" s="165">
        <v>41551</v>
      </c>
      <c r="R79" s="164"/>
      <c r="S79" s="164" t="s">
        <v>3186</v>
      </c>
    </row>
    <row r="80" spans="1:19" x14ac:dyDescent="0.2">
      <c r="A80" s="164" t="s">
        <v>408</v>
      </c>
      <c r="B80" s="165">
        <v>41534</v>
      </c>
      <c r="C80" s="164" t="s">
        <v>841</v>
      </c>
      <c r="D80" s="164" t="s">
        <v>3787</v>
      </c>
      <c r="E80" s="164" t="s">
        <v>3788</v>
      </c>
      <c r="F80" s="164" t="s">
        <v>2932</v>
      </c>
      <c r="G80" s="164" t="s">
        <v>3721</v>
      </c>
      <c r="H80" s="164"/>
      <c r="I80" s="164"/>
      <c r="J80" s="164" t="s">
        <v>21</v>
      </c>
      <c r="K80" s="164">
        <v>2700</v>
      </c>
      <c r="L80" s="164" t="s">
        <v>3789</v>
      </c>
      <c r="M80" s="164" t="s">
        <v>3790</v>
      </c>
      <c r="N80" s="164"/>
      <c r="O80" s="164"/>
      <c r="P80" s="164" t="s">
        <v>429</v>
      </c>
      <c r="Q80" s="165">
        <v>41551</v>
      </c>
      <c r="R80" s="164"/>
      <c r="S80" s="164" t="s">
        <v>3186</v>
      </c>
    </row>
    <row r="81" spans="1:19" ht="12.75" customHeight="1" x14ac:dyDescent="0.2">
      <c r="A81" s="164" t="s">
        <v>408</v>
      </c>
      <c r="B81" s="165">
        <v>41540</v>
      </c>
      <c r="C81" s="164" t="s">
        <v>3782</v>
      </c>
      <c r="D81" s="164" t="s">
        <v>3780</v>
      </c>
      <c r="E81" s="164" t="s">
        <v>3781</v>
      </c>
      <c r="F81" s="164" t="s">
        <v>394</v>
      </c>
      <c r="G81" s="164" t="s">
        <v>3783</v>
      </c>
      <c r="H81" s="164">
        <v>6198.35</v>
      </c>
      <c r="I81" s="166">
        <f t="shared" ref="I81:I87" si="4">+H81*0.21</f>
        <v>1301.6535000000001</v>
      </c>
      <c r="J81" s="164"/>
      <c r="K81" s="166">
        <f t="shared" ref="K81:K87" si="5">+H81+I81</f>
        <v>7500.0035000000007</v>
      </c>
      <c r="L81" s="164" t="s">
        <v>3804</v>
      </c>
      <c r="M81" s="164" t="s">
        <v>3940</v>
      </c>
      <c r="N81" s="164"/>
      <c r="O81" s="164"/>
      <c r="P81" s="164" t="s">
        <v>429</v>
      </c>
      <c r="Q81" s="165">
        <v>41551</v>
      </c>
      <c r="R81" s="164"/>
      <c r="S81" s="164" t="s">
        <v>3186</v>
      </c>
    </row>
    <row r="82" spans="1:19" x14ac:dyDescent="0.2">
      <c r="A82" s="164" t="s">
        <v>12</v>
      </c>
      <c r="B82" s="165">
        <v>41547</v>
      </c>
      <c r="C82" s="164" t="s">
        <v>3792</v>
      </c>
      <c r="D82" s="164" t="s">
        <v>3733</v>
      </c>
      <c r="E82" s="164" t="s">
        <v>2626</v>
      </c>
      <c r="F82" s="164" t="s">
        <v>3793</v>
      </c>
      <c r="G82" s="164" t="s">
        <v>3794</v>
      </c>
      <c r="H82" s="164">
        <v>7438.02</v>
      </c>
      <c r="I82" s="166">
        <f t="shared" si="4"/>
        <v>1561.9842000000001</v>
      </c>
      <c r="J82" s="164"/>
      <c r="K82" s="166">
        <f t="shared" si="5"/>
        <v>9000.0042000000012</v>
      </c>
      <c r="L82" s="164" t="s">
        <v>3555</v>
      </c>
      <c r="M82" s="164" t="s">
        <v>3553</v>
      </c>
      <c r="N82" s="164"/>
      <c r="O82" s="164"/>
      <c r="P82" s="164" t="s">
        <v>429</v>
      </c>
      <c r="Q82" s="165">
        <v>41551</v>
      </c>
      <c r="R82" s="164"/>
      <c r="S82" s="164"/>
    </row>
    <row r="83" spans="1:19" x14ac:dyDescent="0.2">
      <c r="A83" s="164" t="s">
        <v>408</v>
      </c>
      <c r="B83" s="165">
        <v>41473</v>
      </c>
      <c r="C83" s="164" t="s">
        <v>3776</v>
      </c>
      <c r="D83" s="164" t="s">
        <v>3777</v>
      </c>
      <c r="E83" s="164" t="s">
        <v>3778</v>
      </c>
      <c r="F83" s="164" t="s">
        <v>3673</v>
      </c>
      <c r="G83" s="164" t="s">
        <v>3675</v>
      </c>
      <c r="H83" s="166">
        <f>12000/1.21</f>
        <v>9917.3553719008269</v>
      </c>
      <c r="I83" s="166">
        <f t="shared" si="4"/>
        <v>2082.6446280991736</v>
      </c>
      <c r="J83" s="164"/>
      <c r="K83" s="166">
        <f t="shared" si="5"/>
        <v>12000</v>
      </c>
      <c r="L83" s="164" t="s">
        <v>3779</v>
      </c>
      <c r="M83" s="164" t="s">
        <v>3786</v>
      </c>
      <c r="N83" s="164"/>
      <c r="O83" s="164"/>
      <c r="P83" s="164" t="s">
        <v>429</v>
      </c>
      <c r="Q83" s="165">
        <v>41551</v>
      </c>
      <c r="R83" s="164"/>
      <c r="S83" s="164" t="s">
        <v>3186</v>
      </c>
    </row>
    <row r="84" spans="1:19" x14ac:dyDescent="0.2">
      <c r="A84" s="164" t="s">
        <v>12</v>
      </c>
      <c r="B84" s="165">
        <v>41487</v>
      </c>
      <c r="C84" s="164">
        <v>2013100246</v>
      </c>
      <c r="D84" s="164" t="s">
        <v>14</v>
      </c>
      <c r="E84" s="164" t="s">
        <v>13</v>
      </c>
      <c r="F84" s="164" t="s">
        <v>716</v>
      </c>
      <c r="G84" s="164" t="s">
        <v>3750</v>
      </c>
      <c r="H84" s="164">
        <v>5264.46</v>
      </c>
      <c r="I84" s="166">
        <f t="shared" si="4"/>
        <v>1105.5365999999999</v>
      </c>
      <c r="J84" s="166"/>
      <c r="K84" s="166">
        <f t="shared" si="5"/>
        <v>6369.9966000000004</v>
      </c>
      <c r="L84" s="164" t="s">
        <v>3555</v>
      </c>
      <c r="M84" s="164" t="s">
        <v>3553</v>
      </c>
      <c r="N84" s="164"/>
      <c r="O84" s="164"/>
      <c r="P84" s="164" t="s">
        <v>429</v>
      </c>
      <c r="Q84" s="165">
        <v>41556</v>
      </c>
      <c r="R84" s="164"/>
      <c r="S84" s="164"/>
    </row>
    <row r="85" spans="1:19" x14ac:dyDescent="0.2">
      <c r="A85" s="164" t="s">
        <v>12</v>
      </c>
      <c r="B85" s="165">
        <v>41487</v>
      </c>
      <c r="C85" s="164">
        <v>2013100247</v>
      </c>
      <c r="D85" s="164" t="s">
        <v>14</v>
      </c>
      <c r="E85" s="164" t="s">
        <v>13</v>
      </c>
      <c r="F85" s="164" t="s">
        <v>394</v>
      </c>
      <c r="G85" s="164" t="s">
        <v>3783</v>
      </c>
      <c r="H85" s="164">
        <v>4710.74</v>
      </c>
      <c r="I85" s="166">
        <f t="shared" si="4"/>
        <v>989.2553999999999</v>
      </c>
      <c r="J85" s="164"/>
      <c r="K85" s="166">
        <f t="shared" si="5"/>
        <v>5699.9953999999998</v>
      </c>
      <c r="L85" s="164" t="s">
        <v>3555</v>
      </c>
      <c r="M85" s="164" t="s">
        <v>3553</v>
      </c>
      <c r="N85" s="164"/>
      <c r="O85" s="164"/>
      <c r="P85" s="164" t="s">
        <v>429</v>
      </c>
      <c r="Q85" s="165">
        <v>41556</v>
      </c>
      <c r="R85" s="164"/>
      <c r="S85" s="164"/>
    </row>
    <row r="86" spans="1:19" x14ac:dyDescent="0.2">
      <c r="A86" s="164" t="s">
        <v>12</v>
      </c>
      <c r="B86" s="165">
        <v>41540</v>
      </c>
      <c r="C86" s="164" t="s">
        <v>3806</v>
      </c>
      <c r="D86" s="164" t="s">
        <v>3780</v>
      </c>
      <c r="E86" s="164" t="s">
        <v>3781</v>
      </c>
      <c r="F86" s="164" t="s">
        <v>3807</v>
      </c>
      <c r="G86" s="164" t="s">
        <v>3808</v>
      </c>
      <c r="H86" s="164">
        <v>1239.67</v>
      </c>
      <c r="I86" s="166">
        <f t="shared" si="4"/>
        <v>260.33069999999998</v>
      </c>
      <c r="J86" s="166"/>
      <c r="K86" s="166">
        <f t="shared" si="5"/>
        <v>1500.0007000000001</v>
      </c>
      <c r="L86" s="164" t="s">
        <v>3555</v>
      </c>
      <c r="M86" s="164" t="s">
        <v>3809</v>
      </c>
      <c r="N86" s="164"/>
      <c r="O86" s="164"/>
      <c r="P86" s="164" t="s">
        <v>429</v>
      </c>
      <c r="Q86" s="165">
        <v>41556</v>
      </c>
      <c r="R86" s="164"/>
      <c r="S86" s="164"/>
    </row>
    <row r="87" spans="1:19" x14ac:dyDescent="0.2">
      <c r="A87" s="164" t="s">
        <v>408</v>
      </c>
      <c r="B87" s="165">
        <v>41547</v>
      </c>
      <c r="C87" s="164" t="s">
        <v>2787</v>
      </c>
      <c r="D87" s="164" t="s">
        <v>3810</v>
      </c>
      <c r="E87" s="164" t="s">
        <v>3811</v>
      </c>
      <c r="F87" s="164" t="s">
        <v>3736</v>
      </c>
      <c r="G87" s="164" t="s">
        <v>3737</v>
      </c>
      <c r="H87" s="164">
        <v>4132.2299999999996</v>
      </c>
      <c r="I87" s="166">
        <f t="shared" si="4"/>
        <v>867.76829999999984</v>
      </c>
      <c r="J87" s="164"/>
      <c r="K87" s="166">
        <f t="shared" si="5"/>
        <v>4999.9982999999993</v>
      </c>
      <c r="L87" s="164" t="s">
        <v>3812</v>
      </c>
      <c r="M87" s="164" t="s">
        <v>3909</v>
      </c>
      <c r="N87" s="164"/>
      <c r="O87" s="164"/>
      <c r="P87" s="164" t="s">
        <v>429</v>
      </c>
      <c r="Q87" s="165">
        <v>41556</v>
      </c>
      <c r="R87" s="164"/>
      <c r="S87" s="164" t="s">
        <v>3186</v>
      </c>
    </row>
    <row r="88" spans="1:19" x14ac:dyDescent="0.2">
      <c r="A88" s="164" t="s">
        <v>408</v>
      </c>
      <c r="B88" s="165">
        <v>41530</v>
      </c>
      <c r="C88" s="164" t="s">
        <v>2783</v>
      </c>
      <c r="D88" s="164" t="s">
        <v>3813</v>
      </c>
      <c r="E88" s="164" t="s">
        <v>3814</v>
      </c>
      <c r="F88" s="164" t="s">
        <v>3801</v>
      </c>
      <c r="G88" s="164" t="s">
        <v>3802</v>
      </c>
      <c r="H88" s="164"/>
      <c r="I88" s="164"/>
      <c r="J88" s="164" t="s">
        <v>21</v>
      </c>
      <c r="K88" s="164">
        <v>2300</v>
      </c>
      <c r="L88" s="164" t="s">
        <v>3815</v>
      </c>
      <c r="M88" s="164" t="s">
        <v>31</v>
      </c>
      <c r="N88" s="164"/>
      <c r="O88" s="164"/>
      <c r="P88" s="164" t="s">
        <v>429</v>
      </c>
      <c r="Q88" s="165">
        <v>41556</v>
      </c>
      <c r="R88" s="164"/>
      <c r="S88" s="164" t="s">
        <v>3947</v>
      </c>
    </row>
    <row r="89" spans="1:19" x14ac:dyDescent="0.2">
      <c r="A89" s="164" t="s">
        <v>12</v>
      </c>
      <c r="B89" s="165">
        <v>41388</v>
      </c>
      <c r="C89" s="164" t="s">
        <v>3816</v>
      </c>
      <c r="D89" s="164" t="s">
        <v>3733</v>
      </c>
      <c r="E89" s="164" t="s">
        <v>2626</v>
      </c>
      <c r="F89" s="164" t="s">
        <v>3754</v>
      </c>
      <c r="G89" s="164" t="s">
        <v>3755</v>
      </c>
      <c r="H89" s="166">
        <f>8000/1.21</f>
        <v>6611.5702479338843</v>
      </c>
      <c r="I89" s="166">
        <f>+H89*0.21</f>
        <v>1388.4297520661157</v>
      </c>
      <c r="J89" s="166"/>
      <c r="K89" s="166">
        <f>+H89+I89</f>
        <v>8000</v>
      </c>
      <c r="L89" s="164" t="s">
        <v>3555</v>
      </c>
      <c r="M89" s="164" t="s">
        <v>3553</v>
      </c>
      <c r="N89" s="164"/>
      <c r="O89" s="164"/>
      <c r="P89" s="164" t="s">
        <v>429</v>
      </c>
      <c r="Q89" s="165">
        <v>41556</v>
      </c>
      <c r="R89" s="164"/>
      <c r="S89" s="164"/>
    </row>
    <row r="90" spans="1:19" x14ac:dyDescent="0.2">
      <c r="A90" s="164" t="s">
        <v>408</v>
      </c>
      <c r="B90" s="165">
        <v>41568</v>
      </c>
      <c r="C90" s="164" t="s">
        <v>2808</v>
      </c>
      <c r="D90" s="164" t="s">
        <v>2931</v>
      </c>
      <c r="E90" s="164" t="s">
        <v>2352</v>
      </c>
      <c r="F90" s="164" t="s">
        <v>3210</v>
      </c>
      <c r="G90" s="164" t="s">
        <v>3734</v>
      </c>
      <c r="H90" s="166">
        <v>7272.73</v>
      </c>
      <c r="I90" s="166">
        <f>+H90*0.21</f>
        <v>1527.2732999999998</v>
      </c>
      <c r="J90" s="164"/>
      <c r="K90" s="166">
        <f>+H90+I90</f>
        <v>8800.0033000000003</v>
      </c>
      <c r="L90" s="164" t="s">
        <v>3812</v>
      </c>
      <c r="M90" s="164" t="s">
        <v>3910</v>
      </c>
      <c r="N90" s="164"/>
      <c r="O90" s="164"/>
      <c r="P90" s="164" t="s">
        <v>663</v>
      </c>
      <c r="Q90" s="165">
        <v>41648</v>
      </c>
      <c r="R90" s="164"/>
      <c r="S90" s="164" t="s">
        <v>3186</v>
      </c>
    </row>
    <row r="91" spans="1:19" x14ac:dyDescent="0.2">
      <c r="A91" s="164" t="s">
        <v>408</v>
      </c>
      <c r="B91" s="165">
        <v>41565</v>
      </c>
      <c r="C91" s="164" t="s">
        <v>3866</v>
      </c>
      <c r="D91" s="164" t="s">
        <v>3818</v>
      </c>
      <c r="E91" s="164" t="s">
        <v>3867</v>
      </c>
      <c r="F91" s="164" t="s">
        <v>693</v>
      </c>
      <c r="G91" s="164" t="s">
        <v>3681</v>
      </c>
      <c r="H91" s="166">
        <f>6612/1.21</f>
        <v>5464.4628099173551</v>
      </c>
      <c r="I91" s="166">
        <f>+H91*0.21</f>
        <v>1147.5371900826444</v>
      </c>
      <c r="J91" s="164"/>
      <c r="K91" s="166">
        <f>+H91+I91</f>
        <v>6612</v>
      </c>
      <c r="L91" s="164" t="s">
        <v>3868</v>
      </c>
      <c r="M91" s="164" t="s">
        <v>3915</v>
      </c>
      <c r="N91" s="164"/>
      <c r="O91" s="164"/>
      <c r="P91" s="164" t="s">
        <v>663</v>
      </c>
      <c r="Q91" s="165">
        <v>41648</v>
      </c>
      <c r="R91" s="164"/>
      <c r="S91" s="164" t="s">
        <v>3186</v>
      </c>
    </row>
    <row r="92" spans="1:19" x14ac:dyDescent="0.2">
      <c r="A92" s="164" t="s">
        <v>12</v>
      </c>
      <c r="B92" s="165">
        <v>41627</v>
      </c>
      <c r="C92" s="164" t="s">
        <v>944</v>
      </c>
      <c r="D92" s="164" t="s">
        <v>3831</v>
      </c>
      <c r="E92" s="164" t="s">
        <v>3832</v>
      </c>
      <c r="F92" s="164" t="s">
        <v>2718</v>
      </c>
      <c r="G92" s="164" t="s">
        <v>3833</v>
      </c>
      <c r="H92" s="164"/>
      <c r="I92" s="164"/>
      <c r="J92" s="164" t="s">
        <v>21</v>
      </c>
      <c r="K92" s="164">
        <v>500</v>
      </c>
      <c r="L92" s="164" t="s">
        <v>3971</v>
      </c>
      <c r="M92" s="164" t="s">
        <v>31</v>
      </c>
      <c r="N92" s="164"/>
      <c r="O92" s="164"/>
      <c r="P92" s="164" t="s">
        <v>663</v>
      </c>
      <c r="Q92" s="165">
        <v>41648</v>
      </c>
      <c r="R92" s="164"/>
      <c r="S92" s="164"/>
    </row>
    <row r="93" spans="1:19" x14ac:dyDescent="0.2">
      <c r="A93" s="164" t="s">
        <v>12</v>
      </c>
      <c r="B93" s="165">
        <v>41600</v>
      </c>
      <c r="C93" s="164" t="s">
        <v>944</v>
      </c>
      <c r="D93" s="164" t="s">
        <v>3834</v>
      </c>
      <c r="E93" s="164" t="s">
        <v>3835</v>
      </c>
      <c r="F93" s="164" t="s">
        <v>3836</v>
      </c>
      <c r="G93" s="164" t="s">
        <v>3837</v>
      </c>
      <c r="H93" s="164"/>
      <c r="I93" s="164"/>
      <c r="J93" s="164" t="s">
        <v>21</v>
      </c>
      <c r="K93" s="164">
        <v>1700</v>
      </c>
      <c r="L93" s="164" t="s">
        <v>3555</v>
      </c>
      <c r="M93" s="164" t="s">
        <v>31</v>
      </c>
      <c r="N93" s="164"/>
      <c r="O93" s="164"/>
      <c r="P93" s="164" t="s">
        <v>663</v>
      </c>
      <c r="Q93" s="165">
        <v>41648</v>
      </c>
      <c r="R93" s="164"/>
      <c r="S93" s="164"/>
    </row>
    <row r="94" spans="1:19" x14ac:dyDescent="0.2">
      <c r="A94" s="164" t="s">
        <v>12</v>
      </c>
      <c r="B94" s="165">
        <v>41602</v>
      </c>
      <c r="C94" s="164" t="s">
        <v>3838</v>
      </c>
      <c r="D94" s="164" t="s">
        <v>3839</v>
      </c>
      <c r="E94" s="164" t="s">
        <v>3840</v>
      </c>
      <c r="F94" s="164" t="s">
        <v>3841</v>
      </c>
      <c r="G94" s="164" t="s">
        <v>3842</v>
      </c>
      <c r="H94" s="164"/>
      <c r="I94" s="164"/>
      <c r="J94" s="164" t="s">
        <v>21</v>
      </c>
      <c r="K94" s="164">
        <v>10500</v>
      </c>
      <c r="L94" s="164" t="s">
        <v>3555</v>
      </c>
      <c r="M94" s="164"/>
      <c r="N94" s="164"/>
      <c r="O94" s="164"/>
      <c r="P94" s="164" t="s">
        <v>663</v>
      </c>
      <c r="Q94" s="165">
        <v>41648</v>
      </c>
      <c r="R94" s="164"/>
      <c r="S94" s="164"/>
    </row>
    <row r="95" spans="1:19" x14ac:dyDescent="0.2">
      <c r="A95" s="164" t="s">
        <v>12</v>
      </c>
      <c r="B95" s="165">
        <v>41578</v>
      </c>
      <c r="C95" s="164">
        <v>12025473</v>
      </c>
      <c r="D95" s="164" t="s">
        <v>3530</v>
      </c>
      <c r="E95" s="164" t="s">
        <v>20</v>
      </c>
      <c r="F95" s="164" t="s">
        <v>3843</v>
      </c>
      <c r="G95" s="164" t="s">
        <v>3844</v>
      </c>
      <c r="H95" s="164"/>
      <c r="I95" s="164"/>
      <c r="J95" s="164" t="s">
        <v>21</v>
      </c>
      <c r="K95" s="164">
        <v>9500</v>
      </c>
      <c r="L95" s="164" t="s">
        <v>3971</v>
      </c>
      <c r="M95" s="164" t="s">
        <v>3553</v>
      </c>
      <c r="N95" s="164"/>
      <c r="O95" s="164"/>
      <c r="P95" s="164" t="s">
        <v>663</v>
      </c>
      <c r="Q95" s="165">
        <v>41648</v>
      </c>
      <c r="R95" s="164"/>
      <c r="S95" s="164"/>
    </row>
    <row r="96" spans="1:19" x14ac:dyDescent="0.2">
      <c r="A96" s="164" t="s">
        <v>12</v>
      </c>
      <c r="B96" s="165">
        <v>41583</v>
      </c>
      <c r="C96" s="164">
        <v>2013100325</v>
      </c>
      <c r="D96" s="164" t="s">
        <v>14</v>
      </c>
      <c r="E96" s="164" t="s">
        <v>13</v>
      </c>
      <c r="F96" s="164" t="s">
        <v>377</v>
      </c>
      <c r="G96" s="164" t="s">
        <v>3845</v>
      </c>
      <c r="H96" s="166">
        <f>3510/1.21</f>
        <v>2900.8264462809916</v>
      </c>
      <c r="I96" s="166">
        <f>+H96*0.21</f>
        <v>609.17355371900817</v>
      </c>
      <c r="J96" s="166"/>
      <c r="K96" s="166">
        <f>+H96+I96</f>
        <v>3510</v>
      </c>
      <c r="L96" s="164" t="s">
        <v>3555</v>
      </c>
      <c r="M96" s="164" t="s">
        <v>3553</v>
      </c>
      <c r="N96" s="164"/>
      <c r="O96" s="164"/>
      <c r="P96" s="164" t="s">
        <v>663</v>
      </c>
      <c r="Q96" s="165">
        <v>41648</v>
      </c>
      <c r="R96" s="164"/>
      <c r="S96" s="164"/>
    </row>
    <row r="97" spans="1:19" x14ac:dyDescent="0.2">
      <c r="A97" s="164" t="s">
        <v>12</v>
      </c>
      <c r="B97" s="165">
        <v>41625</v>
      </c>
      <c r="C97" s="164" t="s">
        <v>3846</v>
      </c>
      <c r="D97" s="164" t="s">
        <v>3733</v>
      </c>
      <c r="E97" s="164" t="s">
        <v>2626</v>
      </c>
      <c r="F97" s="164" t="s">
        <v>3847</v>
      </c>
      <c r="G97" s="164" t="s">
        <v>3848</v>
      </c>
      <c r="H97" s="166">
        <f>5500/1.21</f>
        <v>4545.454545454546</v>
      </c>
      <c r="I97" s="166">
        <f>+H97*0.21</f>
        <v>954.54545454545462</v>
      </c>
      <c r="J97" s="166"/>
      <c r="K97" s="166">
        <f>+H97+I97</f>
        <v>5500.0000000000009</v>
      </c>
      <c r="L97" s="164" t="s">
        <v>3971</v>
      </c>
      <c r="M97" s="164" t="s">
        <v>3553</v>
      </c>
      <c r="N97" s="164"/>
      <c r="O97" s="164"/>
      <c r="P97" s="164" t="s">
        <v>663</v>
      </c>
      <c r="Q97" s="165">
        <v>41648</v>
      </c>
      <c r="R97" s="164"/>
      <c r="S97" s="164"/>
    </row>
    <row r="98" spans="1:19" x14ac:dyDescent="0.2">
      <c r="A98" s="164" t="s">
        <v>12</v>
      </c>
      <c r="B98" s="165">
        <v>41625</v>
      </c>
      <c r="C98" s="164" t="s">
        <v>3849</v>
      </c>
      <c r="D98" s="164" t="s">
        <v>3733</v>
      </c>
      <c r="E98" s="164" t="s">
        <v>2626</v>
      </c>
      <c r="F98" s="164" t="s">
        <v>3847</v>
      </c>
      <c r="G98" s="164" t="s">
        <v>3851</v>
      </c>
      <c r="H98" s="166">
        <f>5500/1.21</f>
        <v>4545.454545454546</v>
      </c>
      <c r="I98" s="166">
        <f>+H98*0.21</f>
        <v>954.54545454545462</v>
      </c>
      <c r="J98" s="166"/>
      <c r="K98" s="166">
        <f>+H98+I98</f>
        <v>5500.0000000000009</v>
      </c>
      <c r="L98" s="164" t="s">
        <v>3971</v>
      </c>
      <c r="M98" s="164" t="s">
        <v>3553</v>
      </c>
      <c r="N98" s="164"/>
      <c r="O98" s="164"/>
      <c r="P98" s="164" t="s">
        <v>663</v>
      </c>
      <c r="Q98" s="165">
        <v>41648</v>
      </c>
      <c r="R98" s="164"/>
      <c r="S98" s="164"/>
    </row>
    <row r="99" spans="1:19" x14ac:dyDescent="0.2">
      <c r="A99" s="164" t="s">
        <v>12</v>
      </c>
      <c r="B99" s="165">
        <v>41625</v>
      </c>
      <c r="C99" s="164" t="s">
        <v>3850</v>
      </c>
      <c r="D99" s="164" t="s">
        <v>3733</v>
      </c>
      <c r="E99" s="164" t="s">
        <v>2626</v>
      </c>
      <c r="F99" s="164" t="s">
        <v>3847</v>
      </c>
      <c r="G99" s="164" t="s">
        <v>3852</v>
      </c>
      <c r="H99" s="166">
        <f>4000/1.21</f>
        <v>3305.7851239669421</v>
      </c>
      <c r="I99" s="166">
        <f>+H99*0.21</f>
        <v>694.21487603305786</v>
      </c>
      <c r="J99" s="166"/>
      <c r="K99" s="166">
        <f>+H99+I99</f>
        <v>4000</v>
      </c>
      <c r="L99" s="164" t="s">
        <v>3971</v>
      </c>
      <c r="M99" s="164" t="s">
        <v>3553</v>
      </c>
      <c r="N99" s="164"/>
      <c r="O99" s="164"/>
      <c r="P99" s="164" t="s">
        <v>663</v>
      </c>
      <c r="Q99" s="165">
        <v>41648</v>
      </c>
      <c r="R99" s="164"/>
      <c r="S99" s="164"/>
    </row>
    <row r="100" spans="1:19" x14ac:dyDescent="0.2">
      <c r="A100" s="164" t="s">
        <v>12</v>
      </c>
      <c r="B100" s="165">
        <v>41612</v>
      </c>
      <c r="C100" s="164" t="s">
        <v>3853</v>
      </c>
      <c r="D100" s="164" t="s">
        <v>3854</v>
      </c>
      <c r="E100" s="164" t="s">
        <v>3855</v>
      </c>
      <c r="F100" s="164" t="s">
        <v>3856</v>
      </c>
      <c r="G100" s="164" t="s">
        <v>3857</v>
      </c>
      <c r="H100" s="166">
        <f>7000.46/1.21</f>
        <v>5785.5041322314055</v>
      </c>
      <c r="I100" s="166">
        <f>+H100*0.21</f>
        <v>1214.955867768595</v>
      </c>
      <c r="J100" s="166"/>
      <c r="K100" s="166">
        <f>+H100+I100</f>
        <v>7000.4600000000009</v>
      </c>
      <c r="L100" s="164" t="s">
        <v>3555</v>
      </c>
      <c r="M100" s="164" t="s">
        <v>2418</v>
      </c>
      <c r="N100" s="164"/>
      <c r="O100" s="164"/>
      <c r="P100" s="164" t="s">
        <v>663</v>
      </c>
      <c r="Q100" s="165">
        <v>41648</v>
      </c>
      <c r="R100" s="164"/>
      <c r="S100" s="164"/>
    </row>
    <row r="101" spans="1:19" x14ac:dyDescent="0.2">
      <c r="A101" s="164" t="s">
        <v>408</v>
      </c>
      <c r="B101" s="165">
        <v>41550</v>
      </c>
      <c r="C101" s="164" t="s">
        <v>2793</v>
      </c>
      <c r="D101" s="164" t="s">
        <v>3858</v>
      </c>
      <c r="E101" s="164" t="s">
        <v>3859</v>
      </c>
      <c r="F101" s="164" t="s">
        <v>706</v>
      </c>
      <c r="G101" s="164" t="s">
        <v>3731</v>
      </c>
      <c r="H101" s="164"/>
      <c r="I101" s="164"/>
      <c r="J101" s="164" t="s">
        <v>21</v>
      </c>
      <c r="K101" s="164">
        <v>2200</v>
      </c>
      <c r="L101" s="164" t="s">
        <v>3860</v>
      </c>
      <c r="M101" s="164" t="s">
        <v>31</v>
      </c>
      <c r="N101" s="164"/>
      <c r="O101" s="164"/>
      <c r="P101" s="164" t="s">
        <v>663</v>
      </c>
      <c r="Q101" s="165">
        <v>41648</v>
      </c>
      <c r="R101" s="164"/>
      <c r="S101" s="164" t="s">
        <v>3947</v>
      </c>
    </row>
    <row r="102" spans="1:19" x14ac:dyDescent="0.2">
      <c r="A102" s="164" t="s">
        <v>408</v>
      </c>
      <c r="B102" s="165">
        <v>41277</v>
      </c>
      <c r="C102" s="164" t="s">
        <v>3861</v>
      </c>
      <c r="D102" s="164" t="s">
        <v>3858</v>
      </c>
      <c r="E102" s="164" t="s">
        <v>3859</v>
      </c>
      <c r="F102" s="164" t="s">
        <v>3807</v>
      </c>
      <c r="G102" s="164" t="s">
        <v>3808</v>
      </c>
      <c r="H102" s="164">
        <v>1487.6</v>
      </c>
      <c r="I102" s="166">
        <f>+H102*0.21</f>
        <v>312.39599999999996</v>
      </c>
      <c r="J102" s="166"/>
      <c r="K102" s="166">
        <f>+H102+I102</f>
        <v>1799.9959999999999</v>
      </c>
      <c r="L102" s="164" t="s">
        <v>3862</v>
      </c>
      <c r="M102" s="164" t="s">
        <v>31</v>
      </c>
      <c r="N102" s="164"/>
      <c r="O102" s="164"/>
      <c r="P102" s="164" t="s">
        <v>663</v>
      </c>
      <c r="Q102" s="165">
        <v>41648</v>
      </c>
      <c r="R102" s="164"/>
      <c r="S102" s="164" t="s">
        <v>3947</v>
      </c>
    </row>
    <row r="103" spans="1:19" x14ac:dyDescent="0.2">
      <c r="A103" s="164" t="s">
        <v>408</v>
      </c>
      <c r="B103" s="165">
        <v>41562</v>
      </c>
      <c r="C103" s="164" t="s">
        <v>2797</v>
      </c>
      <c r="D103" s="164" t="s">
        <v>3864</v>
      </c>
      <c r="E103" s="164" t="s">
        <v>3865</v>
      </c>
      <c r="F103" s="164" t="s">
        <v>3544</v>
      </c>
      <c r="G103" s="164" t="s">
        <v>3541</v>
      </c>
      <c r="H103" s="166"/>
      <c r="I103" s="164"/>
      <c r="J103" s="164" t="s">
        <v>21</v>
      </c>
      <c r="K103" s="164">
        <v>14000</v>
      </c>
      <c r="L103" s="164" t="s">
        <v>3713</v>
      </c>
      <c r="M103" s="164" t="s">
        <v>3911</v>
      </c>
      <c r="N103" s="164"/>
      <c r="O103" s="164"/>
      <c r="P103" s="164" t="s">
        <v>663</v>
      </c>
      <c r="Q103" s="165">
        <v>41648</v>
      </c>
      <c r="R103" s="164"/>
      <c r="S103" s="164" t="s">
        <v>3186</v>
      </c>
    </row>
    <row r="104" spans="1:19" x14ac:dyDescent="0.2">
      <c r="A104" s="164" t="s">
        <v>408</v>
      </c>
      <c r="B104" s="165">
        <v>41593</v>
      </c>
      <c r="C104" s="164" t="s">
        <v>2986</v>
      </c>
      <c r="D104" s="164" t="s">
        <v>3869</v>
      </c>
      <c r="E104" s="164" t="s">
        <v>3870</v>
      </c>
      <c r="F104" s="164" t="s">
        <v>377</v>
      </c>
      <c r="G104" s="164" t="s">
        <v>3845</v>
      </c>
      <c r="H104" s="166">
        <f>4200/1.21</f>
        <v>3471.0743801652893</v>
      </c>
      <c r="I104" s="166">
        <f>+H104*0.21</f>
        <v>728.92561983471069</v>
      </c>
      <c r="J104" s="166"/>
      <c r="K104" s="166">
        <f>+H104+I104</f>
        <v>4200</v>
      </c>
      <c r="L104" s="164" t="s">
        <v>3871</v>
      </c>
      <c r="M104" s="164" t="s">
        <v>3916</v>
      </c>
      <c r="N104" s="164"/>
      <c r="O104" s="164"/>
      <c r="P104" s="164" t="s">
        <v>663</v>
      </c>
      <c r="Q104" s="165">
        <v>41648</v>
      </c>
      <c r="R104" s="164"/>
      <c r="S104" s="164" t="s">
        <v>3186</v>
      </c>
    </row>
    <row r="105" spans="1:19" x14ac:dyDescent="0.2">
      <c r="A105" s="164" t="s">
        <v>408</v>
      </c>
      <c r="B105" s="165">
        <v>41596</v>
      </c>
      <c r="C105" s="164" t="s">
        <v>2813</v>
      </c>
      <c r="D105" s="164" t="s">
        <v>3872</v>
      </c>
      <c r="E105" s="164" t="s">
        <v>3873</v>
      </c>
      <c r="F105" s="164" t="s">
        <v>3841</v>
      </c>
      <c r="G105" s="164" t="s">
        <v>3842</v>
      </c>
      <c r="H105" s="164"/>
      <c r="I105" s="164"/>
      <c r="J105" s="164" t="s">
        <v>21</v>
      </c>
      <c r="K105" s="164">
        <v>11000</v>
      </c>
      <c r="L105" s="164" t="s">
        <v>3874</v>
      </c>
      <c r="M105" s="164" t="s">
        <v>3914</v>
      </c>
      <c r="N105" s="164"/>
      <c r="O105" s="164"/>
      <c r="P105" s="164" t="s">
        <v>663</v>
      </c>
      <c r="Q105" s="165">
        <v>41648</v>
      </c>
      <c r="R105" s="164"/>
      <c r="S105" s="164" t="s">
        <v>3186</v>
      </c>
    </row>
    <row r="106" spans="1:19" x14ac:dyDescent="0.2">
      <c r="A106" s="164" t="s">
        <v>408</v>
      </c>
      <c r="B106" s="165">
        <v>41599</v>
      </c>
      <c r="C106" s="164" t="s">
        <v>3875</v>
      </c>
      <c r="D106" s="164" t="s">
        <v>3912</v>
      </c>
      <c r="E106" s="164" t="s">
        <v>3876</v>
      </c>
      <c r="F106" s="164" t="s">
        <v>913</v>
      </c>
      <c r="G106" s="164" t="s">
        <v>3741</v>
      </c>
      <c r="H106" s="164"/>
      <c r="I106" s="164"/>
      <c r="J106" s="164" t="s">
        <v>21</v>
      </c>
      <c r="K106" s="164">
        <v>4750</v>
      </c>
      <c r="L106" s="164" t="s">
        <v>3878</v>
      </c>
      <c r="M106" s="164" t="s">
        <v>3913</v>
      </c>
      <c r="N106" s="164"/>
      <c r="O106" s="164"/>
      <c r="P106" s="164" t="s">
        <v>663</v>
      </c>
      <c r="Q106" s="165">
        <v>41648</v>
      </c>
      <c r="R106" s="164"/>
      <c r="S106" s="164" t="s">
        <v>3186</v>
      </c>
    </row>
    <row r="107" spans="1:19" x14ac:dyDescent="0.2">
      <c r="A107" s="164" t="s">
        <v>408</v>
      </c>
      <c r="B107" s="165">
        <v>41605</v>
      </c>
      <c r="C107" s="164" t="s">
        <v>2822</v>
      </c>
      <c r="D107" s="164" t="s">
        <v>3879</v>
      </c>
      <c r="E107" s="164" t="s">
        <v>3880</v>
      </c>
      <c r="F107" s="164" t="s">
        <v>3881</v>
      </c>
      <c r="G107" s="164" t="s">
        <v>3882</v>
      </c>
      <c r="H107" s="164"/>
      <c r="I107" s="164"/>
      <c r="J107" s="164" t="s">
        <v>21</v>
      </c>
      <c r="K107" s="164">
        <v>2000</v>
      </c>
      <c r="L107" s="164" t="s">
        <v>3884</v>
      </c>
      <c r="M107" s="164" t="s">
        <v>31</v>
      </c>
      <c r="N107" s="164"/>
      <c r="O107" s="164"/>
      <c r="P107" s="164" t="s">
        <v>663</v>
      </c>
      <c r="Q107" s="165">
        <v>41648</v>
      </c>
      <c r="R107" s="164"/>
      <c r="S107" s="164" t="s">
        <v>3947</v>
      </c>
    </row>
    <row r="108" spans="1:19" x14ac:dyDescent="0.2">
      <c r="A108" s="164" t="s">
        <v>12</v>
      </c>
      <c r="B108" s="165">
        <v>41589</v>
      </c>
      <c r="C108" s="164" t="s">
        <v>944</v>
      </c>
      <c r="D108" s="164" t="s">
        <v>3883</v>
      </c>
      <c r="E108" s="164" t="s">
        <v>3873</v>
      </c>
      <c r="F108" s="164" t="s">
        <v>3881</v>
      </c>
      <c r="G108" s="164" t="s">
        <v>3882</v>
      </c>
      <c r="H108" s="164"/>
      <c r="I108" s="164"/>
      <c r="J108" s="164" t="s">
        <v>21</v>
      </c>
      <c r="K108" s="164">
        <v>1500</v>
      </c>
      <c r="L108" s="164" t="s">
        <v>3555</v>
      </c>
      <c r="M108" s="164"/>
      <c r="N108" s="164"/>
      <c r="O108" s="164"/>
      <c r="P108" s="164" t="s">
        <v>663</v>
      </c>
      <c r="Q108" s="165">
        <v>41648</v>
      </c>
      <c r="R108" s="164"/>
      <c r="S108" s="164"/>
    </row>
    <row r="109" spans="1:19" x14ac:dyDescent="0.2">
      <c r="A109" s="164" t="s">
        <v>12</v>
      </c>
      <c r="B109" s="165">
        <v>41478</v>
      </c>
      <c r="C109" s="164" t="s">
        <v>3921</v>
      </c>
      <c r="D109" s="164" t="s">
        <v>1946</v>
      </c>
      <c r="E109" s="164" t="s">
        <v>26</v>
      </c>
      <c r="F109" s="164" t="s">
        <v>3888</v>
      </c>
      <c r="G109" s="164" t="s">
        <v>3889</v>
      </c>
      <c r="H109" s="166">
        <f>3000/1.21</f>
        <v>2479.3388429752067</v>
      </c>
      <c r="I109" s="166">
        <f>+H109*0.21</f>
        <v>520.6611570247934</v>
      </c>
      <c r="J109" s="166"/>
      <c r="K109" s="166">
        <f>+H109+I109</f>
        <v>3000</v>
      </c>
      <c r="L109" s="164" t="s">
        <v>3555</v>
      </c>
      <c r="M109" s="164"/>
      <c r="N109" s="164"/>
      <c r="O109" s="164"/>
      <c r="P109" s="164" t="s">
        <v>663</v>
      </c>
      <c r="Q109" s="165">
        <v>41648</v>
      </c>
      <c r="R109" s="164"/>
      <c r="S109" s="164"/>
    </row>
    <row r="110" spans="1:19" x14ac:dyDescent="0.2">
      <c r="A110" s="164" t="s">
        <v>408</v>
      </c>
      <c r="B110" s="165">
        <v>41605</v>
      </c>
      <c r="C110" s="164" t="s">
        <v>3885</v>
      </c>
      <c r="D110" s="164" t="s">
        <v>3886</v>
      </c>
      <c r="E110" s="164" t="s">
        <v>3887</v>
      </c>
      <c r="F110" s="164" t="s">
        <v>3888</v>
      </c>
      <c r="G110" s="164" t="s">
        <v>3889</v>
      </c>
      <c r="H110" s="166">
        <f>3400/1.21</f>
        <v>2809.9173553719011</v>
      </c>
      <c r="I110" s="166">
        <f>+H110*0.21</f>
        <v>590.08264462809916</v>
      </c>
      <c r="J110" s="166"/>
      <c r="K110" s="166">
        <f>+H110+I110</f>
        <v>3400</v>
      </c>
      <c r="L110" s="164" t="s">
        <v>3890</v>
      </c>
      <c r="M110" s="164" t="s">
        <v>3936</v>
      </c>
      <c r="N110" s="164"/>
      <c r="O110" s="164"/>
      <c r="P110" s="164" t="s">
        <v>663</v>
      </c>
      <c r="Q110" s="165">
        <v>41648</v>
      </c>
      <c r="R110" s="164"/>
      <c r="S110" s="164" t="s">
        <v>3186</v>
      </c>
    </row>
    <row r="111" spans="1:19" x14ac:dyDescent="0.2">
      <c r="A111" s="164" t="s">
        <v>408</v>
      </c>
      <c r="B111" s="165">
        <v>41618</v>
      </c>
      <c r="C111" s="164" t="s">
        <v>2818</v>
      </c>
      <c r="D111" s="164" t="s">
        <v>3891</v>
      </c>
      <c r="E111" s="164" t="s">
        <v>3892</v>
      </c>
      <c r="F111" s="164" t="s">
        <v>693</v>
      </c>
      <c r="G111" s="164" t="s">
        <v>3837</v>
      </c>
      <c r="H111" s="164"/>
      <c r="I111" s="164"/>
      <c r="J111" s="164" t="s">
        <v>21</v>
      </c>
      <c r="K111" s="164">
        <v>2000</v>
      </c>
      <c r="L111" s="164" t="s">
        <v>3893</v>
      </c>
      <c r="M111" s="164" t="s">
        <v>31</v>
      </c>
      <c r="N111" s="164"/>
      <c r="O111" s="164"/>
      <c r="P111" s="164" t="s">
        <v>663</v>
      </c>
      <c r="Q111" s="165">
        <v>41648</v>
      </c>
      <c r="R111" s="164"/>
      <c r="S111" s="164" t="s">
        <v>3947</v>
      </c>
    </row>
    <row r="112" spans="1:19" x14ac:dyDescent="0.2">
      <c r="A112" s="164" t="s">
        <v>408</v>
      </c>
      <c r="B112" s="165">
        <v>41621</v>
      </c>
      <c r="C112" s="164" t="s">
        <v>2825</v>
      </c>
      <c r="D112" s="164" t="s">
        <v>3894</v>
      </c>
      <c r="E112" s="164" t="s">
        <v>3895</v>
      </c>
      <c r="F112" s="164" t="s">
        <v>469</v>
      </c>
      <c r="G112" s="164" t="s">
        <v>3896</v>
      </c>
      <c r="H112" s="164"/>
      <c r="I112" s="164"/>
      <c r="J112" s="164" t="s">
        <v>21</v>
      </c>
      <c r="K112" s="164">
        <v>2450</v>
      </c>
      <c r="L112" s="164" t="s">
        <v>3920</v>
      </c>
      <c r="M112" s="164" t="s">
        <v>31</v>
      </c>
      <c r="N112" s="164"/>
      <c r="O112" s="164"/>
      <c r="P112" s="164" t="s">
        <v>663</v>
      </c>
      <c r="Q112" s="165">
        <v>41648</v>
      </c>
      <c r="R112" s="164"/>
      <c r="S112" s="164" t="s">
        <v>3947</v>
      </c>
    </row>
    <row r="113" spans="1:19" x14ac:dyDescent="0.2">
      <c r="A113" s="164" t="s">
        <v>12</v>
      </c>
      <c r="B113" s="165">
        <v>41474</v>
      </c>
      <c r="C113" s="164" t="s">
        <v>3952</v>
      </c>
      <c r="D113" s="164" t="s">
        <v>1946</v>
      </c>
      <c r="E113" s="164" t="s">
        <v>26</v>
      </c>
      <c r="F113" s="164" t="s">
        <v>875</v>
      </c>
      <c r="G113" s="164" t="s">
        <v>3897</v>
      </c>
      <c r="H113" s="166">
        <f>4000/1.21</f>
        <v>3305.7851239669421</v>
      </c>
      <c r="I113" s="166">
        <f t="shared" ref="I113:I118" si="6">+H113*0.21</f>
        <v>694.21487603305786</v>
      </c>
      <c r="J113" s="166"/>
      <c r="K113" s="166">
        <f t="shared" ref="K113:K118" si="7">+H113+I113</f>
        <v>4000</v>
      </c>
      <c r="L113" s="164" t="s">
        <v>3971</v>
      </c>
      <c r="M113" s="164" t="s">
        <v>3553</v>
      </c>
      <c r="N113" s="164"/>
      <c r="O113" s="164"/>
      <c r="P113" s="164" t="s">
        <v>663</v>
      </c>
      <c r="Q113" s="165">
        <v>41648</v>
      </c>
      <c r="R113" s="164"/>
      <c r="S113" s="164"/>
    </row>
    <row r="114" spans="1:19" x14ac:dyDescent="0.2">
      <c r="A114" s="164" t="s">
        <v>12</v>
      </c>
      <c r="B114" s="165">
        <v>41474</v>
      </c>
      <c r="C114" s="164" t="s">
        <v>3953</v>
      </c>
      <c r="D114" s="164" t="s">
        <v>1946</v>
      </c>
      <c r="E114" s="164" t="s">
        <v>26</v>
      </c>
      <c r="F114" s="164" t="s">
        <v>3907</v>
      </c>
      <c r="G114" s="164" t="s">
        <v>3898</v>
      </c>
      <c r="H114" s="166">
        <f>3000/1.21</f>
        <v>2479.3388429752067</v>
      </c>
      <c r="I114" s="166">
        <f t="shared" si="6"/>
        <v>520.6611570247934</v>
      </c>
      <c r="J114" s="166"/>
      <c r="K114" s="166">
        <f t="shared" si="7"/>
        <v>3000</v>
      </c>
      <c r="L114" s="164" t="s">
        <v>3555</v>
      </c>
      <c r="M114" s="164"/>
      <c r="N114" s="164"/>
      <c r="O114" s="164"/>
      <c r="P114" s="164" t="s">
        <v>663</v>
      </c>
      <c r="Q114" s="165">
        <v>41648</v>
      </c>
      <c r="R114" s="164"/>
      <c r="S114" s="164"/>
    </row>
    <row r="115" spans="1:19" x14ac:dyDescent="0.2">
      <c r="A115" s="164" t="s">
        <v>12</v>
      </c>
      <c r="B115" s="165">
        <v>41563</v>
      </c>
      <c r="C115" s="164">
        <v>2013100311</v>
      </c>
      <c r="D115" s="164" t="s">
        <v>14</v>
      </c>
      <c r="E115" s="164" t="s">
        <v>13</v>
      </c>
      <c r="F115" s="164" t="s">
        <v>2636</v>
      </c>
      <c r="G115" s="164" t="s">
        <v>3899</v>
      </c>
      <c r="H115" s="166">
        <f>3790/1.21</f>
        <v>3132.2314049586776</v>
      </c>
      <c r="I115" s="166">
        <f t="shared" si="6"/>
        <v>657.76859504132221</v>
      </c>
      <c r="J115" s="166"/>
      <c r="K115" s="166">
        <f t="shared" si="7"/>
        <v>3790</v>
      </c>
      <c r="L115" s="164" t="s">
        <v>3555</v>
      </c>
      <c r="M115" s="164"/>
      <c r="N115" s="164"/>
      <c r="O115" s="164"/>
      <c r="P115" s="164" t="s">
        <v>663</v>
      </c>
      <c r="Q115" s="165">
        <v>41648</v>
      </c>
      <c r="R115" s="164"/>
      <c r="S115" s="164"/>
    </row>
    <row r="116" spans="1:19" x14ac:dyDescent="0.2">
      <c r="A116" s="164" t="s">
        <v>12</v>
      </c>
      <c r="B116" s="165">
        <v>41563</v>
      </c>
      <c r="C116" s="164">
        <v>2013100312</v>
      </c>
      <c r="D116" s="164" t="s">
        <v>14</v>
      </c>
      <c r="E116" s="164" t="s">
        <v>13</v>
      </c>
      <c r="F116" s="164" t="s">
        <v>2636</v>
      </c>
      <c r="G116" s="164" t="s">
        <v>3900</v>
      </c>
      <c r="H116" s="166">
        <f>3935/1.21</f>
        <v>3252.0661157024792</v>
      </c>
      <c r="I116" s="166">
        <f t="shared" si="6"/>
        <v>682.93388429752065</v>
      </c>
      <c r="J116" s="166"/>
      <c r="K116" s="166">
        <f t="shared" si="7"/>
        <v>3935</v>
      </c>
      <c r="L116" s="164" t="s">
        <v>3971</v>
      </c>
      <c r="M116" s="164" t="s">
        <v>3553</v>
      </c>
      <c r="N116" s="164"/>
      <c r="O116" s="164"/>
      <c r="P116" s="164" t="s">
        <v>663</v>
      </c>
      <c r="Q116" s="165">
        <v>41648</v>
      </c>
      <c r="R116" s="164"/>
      <c r="S116" s="164"/>
    </row>
    <row r="117" spans="1:19" x14ac:dyDescent="0.2">
      <c r="A117" s="164" t="s">
        <v>408</v>
      </c>
      <c r="B117" s="165">
        <v>41627</v>
      </c>
      <c r="C117" s="164" t="s">
        <v>2828</v>
      </c>
      <c r="D117" s="164" t="s">
        <v>3903</v>
      </c>
      <c r="E117" s="164" t="s">
        <v>3901</v>
      </c>
      <c r="F117" s="164" t="s">
        <v>2636</v>
      </c>
      <c r="G117" s="164" t="s">
        <v>3899</v>
      </c>
      <c r="H117" s="166">
        <f>4500/1.21</f>
        <v>3719.0082644628101</v>
      </c>
      <c r="I117" s="166">
        <f t="shared" si="6"/>
        <v>780.99173553719004</v>
      </c>
      <c r="J117" s="166"/>
      <c r="K117" s="166">
        <f t="shared" si="7"/>
        <v>4500</v>
      </c>
      <c r="L117" s="164" t="s">
        <v>3902</v>
      </c>
      <c r="M117" s="164" t="s">
        <v>3944</v>
      </c>
      <c r="N117" s="164"/>
      <c r="O117" s="164"/>
      <c r="P117" s="164" t="s">
        <v>663</v>
      </c>
      <c r="Q117" s="165">
        <v>41648</v>
      </c>
      <c r="R117" s="164"/>
      <c r="S117" s="164" t="s">
        <v>3186</v>
      </c>
    </row>
    <row r="118" spans="1:19" x14ac:dyDescent="0.2">
      <c r="A118" s="164" t="s">
        <v>408</v>
      </c>
      <c r="B118" s="165">
        <v>41628</v>
      </c>
      <c r="C118" s="164" t="s">
        <v>3904</v>
      </c>
      <c r="D118" s="164" t="s">
        <v>3905</v>
      </c>
      <c r="E118" s="164" t="s">
        <v>3906</v>
      </c>
      <c r="F118" s="164" t="s">
        <v>3907</v>
      </c>
      <c r="G118" s="164" t="s">
        <v>3898</v>
      </c>
      <c r="H118" s="166">
        <f>3200/1.21</f>
        <v>2644.6280991735539</v>
      </c>
      <c r="I118" s="166">
        <f t="shared" si="6"/>
        <v>555.37190082644634</v>
      </c>
      <c r="J118" s="166"/>
      <c r="K118" s="166">
        <f t="shared" si="7"/>
        <v>3200</v>
      </c>
      <c r="L118" s="164" t="s">
        <v>3908</v>
      </c>
      <c r="M118" s="164" t="s">
        <v>3945</v>
      </c>
      <c r="N118" s="164"/>
      <c r="O118" s="164"/>
      <c r="P118" s="164" t="s">
        <v>663</v>
      </c>
      <c r="Q118" s="165">
        <v>41648</v>
      </c>
      <c r="R118" s="164"/>
      <c r="S118" s="164" t="s">
        <v>3186</v>
      </c>
    </row>
    <row r="119" spans="1:19" x14ac:dyDescent="0.2">
      <c r="A119" s="164" t="s">
        <v>12</v>
      </c>
      <c r="B119" s="165">
        <v>41606</v>
      </c>
      <c r="C119" s="164" t="s">
        <v>944</v>
      </c>
      <c r="D119" s="164" t="s">
        <v>3918</v>
      </c>
      <c r="E119" s="164" t="s">
        <v>3919</v>
      </c>
      <c r="F119" s="164" t="s">
        <v>469</v>
      </c>
      <c r="G119" s="164" t="s">
        <v>3896</v>
      </c>
      <c r="H119" s="164"/>
      <c r="I119" s="164"/>
      <c r="J119" s="164" t="s">
        <v>21</v>
      </c>
      <c r="K119" s="164">
        <v>2300</v>
      </c>
      <c r="L119" s="164" t="s">
        <v>3555</v>
      </c>
      <c r="M119" s="164"/>
      <c r="N119" s="164"/>
      <c r="O119" s="164"/>
      <c r="P119" s="164" t="s">
        <v>663</v>
      </c>
      <c r="Q119" s="165">
        <v>41648</v>
      </c>
      <c r="R119" s="164"/>
      <c r="S119" s="164"/>
    </row>
    <row r="120" spans="1:19" x14ac:dyDescent="0.2">
      <c r="A120" s="164" t="s">
        <v>408</v>
      </c>
      <c r="B120" s="165">
        <v>41618</v>
      </c>
      <c r="C120" s="164" t="s">
        <v>845</v>
      </c>
      <c r="D120" s="164" t="s">
        <v>3922</v>
      </c>
      <c r="E120" s="164" t="s">
        <v>3923</v>
      </c>
      <c r="F120" s="164" t="s">
        <v>3793</v>
      </c>
      <c r="G120" s="164" t="s">
        <v>3794</v>
      </c>
      <c r="H120" s="164">
        <v>9388.43</v>
      </c>
      <c r="I120" s="166">
        <f>+H120*0.21</f>
        <v>1971.5703000000001</v>
      </c>
      <c r="J120" s="164"/>
      <c r="K120" s="166">
        <f>+H120+I120</f>
        <v>11360.0003</v>
      </c>
      <c r="L120" s="164" t="s">
        <v>3924</v>
      </c>
      <c r="M120" s="164" t="s">
        <v>3942</v>
      </c>
      <c r="N120" s="164"/>
      <c r="O120" s="164"/>
      <c r="P120" s="164" t="s">
        <v>663</v>
      </c>
      <c r="Q120" s="165">
        <v>41648</v>
      </c>
      <c r="R120" s="164"/>
      <c r="S120" s="164" t="s">
        <v>3186</v>
      </c>
    </row>
    <row r="121" spans="1:19" x14ac:dyDescent="0.2">
      <c r="A121" s="164" t="s">
        <v>408</v>
      </c>
      <c r="B121" s="165">
        <v>41635</v>
      </c>
      <c r="C121" s="164" t="s">
        <v>3925</v>
      </c>
      <c r="D121" s="164" t="s">
        <v>3926</v>
      </c>
      <c r="E121" s="164" t="s">
        <v>3927</v>
      </c>
      <c r="F121" s="164" t="s">
        <v>3856</v>
      </c>
      <c r="G121" s="164" t="s">
        <v>3857</v>
      </c>
      <c r="H121" s="166">
        <f>7500/1.21</f>
        <v>6198.3471074380168</v>
      </c>
      <c r="I121" s="166">
        <f>+H121*0.21</f>
        <v>1301.6528925619834</v>
      </c>
      <c r="J121" s="166"/>
      <c r="K121" s="166">
        <f>+H121+I121</f>
        <v>7500</v>
      </c>
      <c r="L121" s="164" t="s">
        <v>3928</v>
      </c>
      <c r="M121" s="164" t="s">
        <v>3943</v>
      </c>
      <c r="N121" s="164"/>
      <c r="O121" s="164"/>
      <c r="P121" s="164" t="s">
        <v>663</v>
      </c>
      <c r="Q121" s="165">
        <v>41648</v>
      </c>
      <c r="R121" s="164"/>
      <c r="S121" s="164" t="s">
        <v>3186</v>
      </c>
    </row>
    <row r="122" spans="1:19" x14ac:dyDescent="0.2">
      <c r="A122" s="164" t="s">
        <v>12</v>
      </c>
      <c r="B122" s="165">
        <v>41628</v>
      </c>
      <c r="C122" s="164" t="s">
        <v>3929</v>
      </c>
      <c r="D122" s="164" t="s">
        <v>3930</v>
      </c>
      <c r="E122" s="164" t="s">
        <v>3931</v>
      </c>
      <c r="F122" s="164" t="s">
        <v>3932</v>
      </c>
      <c r="G122" s="164" t="s">
        <v>3933</v>
      </c>
      <c r="H122" s="164"/>
      <c r="I122" s="164"/>
      <c r="J122" s="164" t="s">
        <v>21</v>
      </c>
      <c r="K122" s="164">
        <v>300</v>
      </c>
      <c r="L122" s="164" t="s">
        <v>3971</v>
      </c>
      <c r="M122" s="164"/>
      <c r="N122" s="164"/>
      <c r="O122" s="164"/>
      <c r="P122" s="164" t="s">
        <v>663</v>
      </c>
      <c r="Q122" s="165">
        <v>41648</v>
      </c>
      <c r="R122" s="164"/>
      <c r="S122" s="164"/>
    </row>
  </sheetData>
  <autoFilter ref="A1:S122" xr:uid="{00000000-0009-0000-0000-000007000000}"/>
  <sortState xmlns:xlrd2="http://schemas.microsoft.com/office/spreadsheetml/2017/richdata2" ref="A2:S83">
    <sortCondition ref="B2:B83"/>
  </sortState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/>
  <dimension ref="A1:R275"/>
  <sheetViews>
    <sheetView zoomScale="125" zoomScaleNormal="125" workbookViewId="0">
      <pane ySplit="1" topLeftCell="A2" activePane="bottomLeft" state="frozen"/>
      <selection pane="bottomLeft" activeCell="I10" sqref="I10"/>
    </sheetView>
  </sheetViews>
  <sheetFormatPr baseColWidth="10" defaultColWidth="11.42578125" defaultRowHeight="11.25" x14ac:dyDescent="0.2"/>
  <cols>
    <col min="1" max="1" width="6.5703125" style="83" customWidth="1"/>
    <col min="2" max="2" width="9.42578125" style="83" bestFit="1" customWidth="1"/>
    <col min="3" max="3" width="8.7109375" style="143" customWidth="1"/>
    <col min="4" max="4" width="24.5703125" style="83" customWidth="1"/>
    <col min="5" max="5" width="8.42578125" style="83" customWidth="1"/>
    <col min="6" max="6" width="12.28515625" style="83" customWidth="1"/>
    <col min="7" max="7" width="8.42578125" style="83" customWidth="1"/>
    <col min="8" max="8" width="7" style="83" customWidth="1"/>
    <col min="9" max="9" width="7.5703125" style="83" customWidth="1"/>
    <col min="10" max="10" width="6.7109375" style="83" customWidth="1"/>
    <col min="11" max="11" width="6.42578125" style="83" customWidth="1"/>
    <col min="12" max="12" width="18.28515625" style="83" customWidth="1"/>
    <col min="13" max="13" width="10" style="83" customWidth="1"/>
    <col min="14" max="14" width="8.42578125" style="143" customWidth="1"/>
    <col min="15" max="15" width="8.42578125" style="83" customWidth="1"/>
    <col min="16" max="16" width="7.7109375" style="83" customWidth="1"/>
    <col min="17" max="17" width="9" style="83" bestFit="1" customWidth="1"/>
    <col min="18" max="18" width="14.5703125" style="83" customWidth="1"/>
    <col min="19" max="16384" width="11.42578125" style="83"/>
  </cols>
  <sheetData>
    <row r="1" spans="1:18" x14ac:dyDescent="0.2">
      <c r="A1" s="120" t="s">
        <v>0</v>
      </c>
      <c r="B1" s="121" t="s">
        <v>1</v>
      </c>
      <c r="C1" s="124" t="s">
        <v>2</v>
      </c>
      <c r="D1" s="123" t="s">
        <v>3</v>
      </c>
      <c r="E1" s="124" t="s">
        <v>4</v>
      </c>
      <c r="F1" s="123" t="s">
        <v>5</v>
      </c>
      <c r="G1" s="123" t="s">
        <v>6</v>
      </c>
      <c r="H1" s="123" t="s">
        <v>7</v>
      </c>
      <c r="I1" s="123" t="s">
        <v>1289</v>
      </c>
      <c r="J1" s="123" t="s">
        <v>1630</v>
      </c>
      <c r="K1" s="123" t="s">
        <v>9</v>
      </c>
      <c r="L1" s="123" t="s">
        <v>83</v>
      </c>
      <c r="M1" s="145" t="s">
        <v>84</v>
      </c>
      <c r="N1" s="124" t="s">
        <v>85</v>
      </c>
      <c r="O1" s="123" t="s">
        <v>86</v>
      </c>
      <c r="P1" s="123" t="s">
        <v>11</v>
      </c>
      <c r="Q1" s="125" t="s">
        <v>30</v>
      </c>
      <c r="R1" s="83" t="s">
        <v>3185</v>
      </c>
    </row>
    <row r="2" spans="1:18" x14ac:dyDescent="0.2">
      <c r="A2" s="83" t="s">
        <v>12</v>
      </c>
      <c r="B2" s="126">
        <v>40605</v>
      </c>
      <c r="C2" s="143" t="s">
        <v>944</v>
      </c>
      <c r="D2" s="83" t="s">
        <v>2655</v>
      </c>
      <c r="E2" s="83" t="s">
        <v>2656</v>
      </c>
      <c r="F2" s="83" t="s">
        <v>2657</v>
      </c>
      <c r="G2" s="83" t="s">
        <v>2459</v>
      </c>
      <c r="H2" s="128"/>
      <c r="I2" s="128">
        <f>+H2*0.18</f>
        <v>0</v>
      </c>
      <c r="K2" s="128">
        <v>500</v>
      </c>
      <c r="L2" s="83" t="s">
        <v>1904</v>
      </c>
      <c r="N2" s="83"/>
      <c r="P2" s="83" t="s">
        <v>2873</v>
      </c>
      <c r="Q2" s="126">
        <v>41007</v>
      </c>
    </row>
    <row r="3" spans="1:18" x14ac:dyDescent="0.2">
      <c r="A3" s="83" t="s">
        <v>1857</v>
      </c>
      <c r="B3" s="126">
        <v>40791</v>
      </c>
      <c r="C3" s="143" t="s">
        <v>944</v>
      </c>
      <c r="D3" s="83" t="s">
        <v>3208</v>
      </c>
      <c r="E3" s="83" t="s">
        <v>3209</v>
      </c>
      <c r="F3" s="83" t="s">
        <v>3115</v>
      </c>
      <c r="G3" s="83" t="s">
        <v>3116</v>
      </c>
      <c r="J3" s="83" t="s">
        <v>21</v>
      </c>
      <c r="K3" s="83">
        <v>3000</v>
      </c>
      <c r="L3" s="83" t="s">
        <v>2507</v>
      </c>
      <c r="M3" s="83" t="s">
        <v>31</v>
      </c>
      <c r="N3" s="83"/>
      <c r="P3" s="83" t="s">
        <v>429</v>
      </c>
      <c r="Q3" s="126">
        <v>41190</v>
      </c>
    </row>
    <row r="4" spans="1:18" x14ac:dyDescent="0.2">
      <c r="A4" s="83" t="s">
        <v>12</v>
      </c>
      <c r="B4" s="126">
        <v>40807</v>
      </c>
      <c r="C4" s="147" t="s">
        <v>2676</v>
      </c>
      <c r="D4" s="83" t="s">
        <v>1946</v>
      </c>
      <c r="E4" s="83" t="s">
        <v>26</v>
      </c>
      <c r="F4" s="83" t="s">
        <v>906</v>
      </c>
      <c r="G4" s="83" t="s">
        <v>3070</v>
      </c>
      <c r="H4" s="128">
        <f>4200/1.18</f>
        <v>3559.3220338983051</v>
      </c>
      <c r="I4" s="128">
        <f>+H4*0.18</f>
        <v>640.67796610169489</v>
      </c>
      <c r="K4" s="128">
        <f>+H4+I4</f>
        <v>4200</v>
      </c>
      <c r="L4" s="83" t="s">
        <v>2709</v>
      </c>
      <c r="N4" s="83"/>
      <c r="P4" s="83" t="s">
        <v>348</v>
      </c>
      <c r="Q4" s="126">
        <v>41100</v>
      </c>
    </row>
    <row r="5" spans="1:18" x14ac:dyDescent="0.2">
      <c r="A5" s="83" t="s">
        <v>12</v>
      </c>
      <c r="B5" s="126">
        <v>40909</v>
      </c>
      <c r="C5" s="143" t="s">
        <v>2708</v>
      </c>
      <c r="D5" s="83" t="s">
        <v>1701</v>
      </c>
      <c r="E5" s="83" t="s">
        <v>1702</v>
      </c>
      <c r="F5" s="83" t="s">
        <v>2706</v>
      </c>
      <c r="G5" s="83" t="s">
        <v>2707</v>
      </c>
      <c r="J5" s="83" t="s">
        <v>21</v>
      </c>
      <c r="K5" s="83">
        <v>5000</v>
      </c>
      <c r="L5" s="83" t="s">
        <v>2709</v>
      </c>
      <c r="N5" s="83"/>
      <c r="O5" s="126">
        <v>40814</v>
      </c>
      <c r="P5" s="83" t="s">
        <v>2873</v>
      </c>
      <c r="Q5" s="126">
        <v>41007</v>
      </c>
    </row>
    <row r="6" spans="1:18" x14ac:dyDescent="0.2">
      <c r="A6" s="83" t="s">
        <v>1857</v>
      </c>
      <c r="B6" s="126">
        <v>40909</v>
      </c>
      <c r="C6" s="143" t="s">
        <v>944</v>
      </c>
      <c r="D6" s="83" t="s">
        <v>2923</v>
      </c>
      <c r="E6" s="83" t="s">
        <v>2924</v>
      </c>
      <c r="F6" s="83" t="s">
        <v>353</v>
      </c>
      <c r="G6" s="83" t="s">
        <v>2833</v>
      </c>
      <c r="K6" s="83">
        <v>2000</v>
      </c>
      <c r="L6" s="83" t="s">
        <v>2709</v>
      </c>
      <c r="M6" s="83" t="s">
        <v>31</v>
      </c>
      <c r="N6" s="83"/>
      <c r="P6" s="83" t="s">
        <v>348</v>
      </c>
      <c r="Q6" s="126">
        <v>41094</v>
      </c>
    </row>
    <row r="7" spans="1:18" x14ac:dyDescent="0.2">
      <c r="A7" s="83" t="s">
        <v>12</v>
      </c>
      <c r="B7" s="126">
        <v>40909</v>
      </c>
      <c r="C7" s="143" t="s">
        <v>944</v>
      </c>
      <c r="D7" s="83" t="s">
        <v>2925</v>
      </c>
      <c r="E7" s="83" t="s">
        <v>2926</v>
      </c>
      <c r="F7" s="83" t="s">
        <v>693</v>
      </c>
      <c r="G7" s="83" t="s">
        <v>2863</v>
      </c>
      <c r="K7" s="83">
        <v>7500</v>
      </c>
      <c r="L7" s="83" t="s">
        <v>2709</v>
      </c>
      <c r="M7" s="83" t="s">
        <v>31</v>
      </c>
      <c r="N7" s="83"/>
      <c r="P7" s="83" t="s">
        <v>348</v>
      </c>
      <c r="Q7" s="126">
        <v>41094</v>
      </c>
    </row>
    <row r="8" spans="1:18" x14ac:dyDescent="0.2">
      <c r="A8" s="83" t="s">
        <v>12</v>
      </c>
      <c r="B8" s="126">
        <v>40909</v>
      </c>
      <c r="C8" s="143">
        <v>15101966</v>
      </c>
      <c r="D8" s="127" t="s">
        <v>2436</v>
      </c>
      <c r="E8" s="127" t="s">
        <v>2439</v>
      </c>
      <c r="F8" s="83" t="s">
        <v>2446</v>
      </c>
      <c r="G8" s="83" t="s">
        <v>2959</v>
      </c>
      <c r="J8" s="83" t="s">
        <v>21</v>
      </c>
      <c r="K8" s="83">
        <v>600</v>
      </c>
      <c r="L8" s="83" t="s">
        <v>2709</v>
      </c>
      <c r="M8" s="83" t="s">
        <v>2960</v>
      </c>
      <c r="N8" s="83"/>
      <c r="O8" s="126">
        <v>40899</v>
      </c>
      <c r="P8" s="83" t="s">
        <v>348</v>
      </c>
      <c r="Q8" s="126">
        <v>41094</v>
      </c>
    </row>
    <row r="9" spans="1:18" x14ac:dyDescent="0.2">
      <c r="A9" s="83" t="s">
        <v>408</v>
      </c>
      <c r="B9" s="126">
        <v>40909</v>
      </c>
      <c r="C9" s="143" t="s">
        <v>2970</v>
      </c>
      <c r="D9" s="83" t="s">
        <v>2972</v>
      </c>
      <c r="E9" s="83" t="s">
        <v>2973</v>
      </c>
      <c r="F9" s="83" t="s">
        <v>394</v>
      </c>
      <c r="G9" s="83" t="s">
        <v>2974</v>
      </c>
      <c r="H9" s="128">
        <f>7900/1.18</f>
        <v>6694.9152542372885</v>
      </c>
      <c r="I9" s="128">
        <f>+H9*0.18</f>
        <v>1205.0847457627119</v>
      </c>
      <c r="J9" s="128"/>
      <c r="K9" s="128">
        <f>+H9+I9</f>
        <v>7900</v>
      </c>
      <c r="L9" s="83" t="s">
        <v>2969</v>
      </c>
      <c r="M9" s="83" t="s">
        <v>3499</v>
      </c>
      <c r="O9" s="126">
        <v>40704</v>
      </c>
      <c r="P9" s="83" t="s">
        <v>348</v>
      </c>
      <c r="Q9" s="126">
        <v>41094</v>
      </c>
    </row>
    <row r="10" spans="1:18" x14ac:dyDescent="0.2">
      <c r="A10" s="83" t="s">
        <v>408</v>
      </c>
      <c r="B10" s="126">
        <v>40910</v>
      </c>
      <c r="C10" s="143" t="s">
        <v>130</v>
      </c>
      <c r="D10" s="83" t="s">
        <v>2698</v>
      </c>
      <c r="E10" s="83" t="s">
        <v>2699</v>
      </c>
      <c r="F10" s="83" t="s">
        <v>929</v>
      </c>
      <c r="G10" s="83" t="s">
        <v>2700</v>
      </c>
      <c r="H10" s="128">
        <f>8000/1.18</f>
        <v>6779.6610169491532</v>
      </c>
      <c r="I10" s="128">
        <f>+H10*0.18</f>
        <v>1220.3389830508474</v>
      </c>
      <c r="K10" s="128">
        <f>+H10+I10</f>
        <v>8000.0000000000009</v>
      </c>
      <c r="L10" s="83" t="s">
        <v>2697</v>
      </c>
      <c r="M10" s="83" t="s">
        <v>2701</v>
      </c>
      <c r="P10" s="83" t="s">
        <v>2873</v>
      </c>
      <c r="Q10" s="126">
        <v>41007</v>
      </c>
    </row>
    <row r="11" spans="1:18" x14ac:dyDescent="0.2">
      <c r="A11" s="83" t="s">
        <v>408</v>
      </c>
      <c r="B11" s="126">
        <v>40910</v>
      </c>
      <c r="C11" s="143" t="s">
        <v>2752</v>
      </c>
      <c r="D11" s="83" t="s">
        <v>2753</v>
      </c>
      <c r="E11" s="83" t="s">
        <v>2754</v>
      </c>
      <c r="F11" s="83" t="s">
        <v>2657</v>
      </c>
      <c r="G11" s="83" t="s">
        <v>2755</v>
      </c>
      <c r="H11" s="128">
        <f>6300/1.18</f>
        <v>5338.9830508474579</v>
      </c>
      <c r="I11" s="128">
        <f>+H11*0.18</f>
        <v>961.01694915254234</v>
      </c>
      <c r="K11" s="128">
        <f>+H11+I11</f>
        <v>6300</v>
      </c>
      <c r="L11" s="83" t="s">
        <v>2756</v>
      </c>
      <c r="M11" s="83" t="s">
        <v>3465</v>
      </c>
      <c r="P11" s="83" t="s">
        <v>2873</v>
      </c>
      <c r="Q11" s="126">
        <v>41007</v>
      </c>
    </row>
    <row r="12" spans="1:18" x14ac:dyDescent="0.2">
      <c r="A12" s="83" t="s">
        <v>12</v>
      </c>
      <c r="B12" s="126">
        <v>40911</v>
      </c>
      <c r="C12" s="143" t="s">
        <v>2669</v>
      </c>
      <c r="D12" s="83" t="s">
        <v>1946</v>
      </c>
      <c r="E12" s="83" t="s">
        <v>26</v>
      </c>
      <c r="F12" s="83" t="s">
        <v>362</v>
      </c>
      <c r="G12" s="83" t="s">
        <v>2670</v>
      </c>
      <c r="H12" s="128">
        <v>2966.1</v>
      </c>
      <c r="I12" s="128">
        <f>+H12*0.18</f>
        <v>533.89799999999991</v>
      </c>
      <c r="K12" s="128">
        <f>+H12+I12</f>
        <v>3499.9979999999996</v>
      </c>
      <c r="L12" s="83" t="s">
        <v>2709</v>
      </c>
      <c r="N12" s="83"/>
      <c r="P12" s="83" t="s">
        <v>2873</v>
      </c>
      <c r="Q12" s="126">
        <v>41007</v>
      </c>
    </row>
    <row r="13" spans="1:18" x14ac:dyDescent="0.2">
      <c r="A13" s="83" t="s">
        <v>408</v>
      </c>
      <c r="B13" s="126">
        <v>40911</v>
      </c>
      <c r="C13" s="143">
        <v>312012</v>
      </c>
      <c r="D13" s="83" t="s">
        <v>2690</v>
      </c>
      <c r="E13" s="83" t="s">
        <v>2691</v>
      </c>
      <c r="F13" s="83" t="s">
        <v>353</v>
      </c>
      <c r="G13" s="83" t="s">
        <v>2692</v>
      </c>
      <c r="J13" s="83" t="s">
        <v>21</v>
      </c>
      <c r="K13" s="83">
        <v>2200</v>
      </c>
      <c r="L13" s="83" t="s">
        <v>2689</v>
      </c>
      <c r="M13" s="83" t="s">
        <v>31</v>
      </c>
      <c r="P13" s="83" t="s">
        <v>2873</v>
      </c>
      <c r="Q13" s="126">
        <v>41007</v>
      </c>
      <c r="R13" s="83" t="s">
        <v>3186</v>
      </c>
    </row>
    <row r="14" spans="1:18" x14ac:dyDescent="0.2">
      <c r="A14" s="83" t="s">
        <v>408</v>
      </c>
      <c r="B14" s="126">
        <v>40911</v>
      </c>
      <c r="C14" s="143" t="s">
        <v>2694</v>
      </c>
      <c r="D14" s="83" t="s">
        <v>2695</v>
      </c>
      <c r="E14" s="83" t="s">
        <v>2696</v>
      </c>
      <c r="F14" s="83" t="s">
        <v>377</v>
      </c>
      <c r="G14" s="83" t="s">
        <v>2205</v>
      </c>
      <c r="H14" s="128">
        <f>236/1.18</f>
        <v>200</v>
      </c>
      <c r="I14" s="128">
        <f t="shared" ref="I14:I52" si="0">+H14*0.18</f>
        <v>36</v>
      </c>
      <c r="K14" s="128">
        <f t="shared" ref="K14:K52" si="1">+H14+I14</f>
        <v>236</v>
      </c>
      <c r="L14" s="83" t="s">
        <v>2693</v>
      </c>
      <c r="M14" s="83" t="s">
        <v>31</v>
      </c>
      <c r="P14" s="83" t="s">
        <v>2873</v>
      </c>
      <c r="Q14" s="126">
        <v>41007</v>
      </c>
    </row>
    <row r="15" spans="1:18" x14ac:dyDescent="0.2">
      <c r="A15" s="83" t="s">
        <v>408</v>
      </c>
      <c r="B15" s="126">
        <v>40911</v>
      </c>
      <c r="C15" s="143" t="s">
        <v>2711</v>
      </c>
      <c r="D15" s="83" t="s">
        <v>2712</v>
      </c>
      <c r="E15" s="83" t="s">
        <v>2352</v>
      </c>
      <c r="F15" s="83" t="s">
        <v>400</v>
      </c>
      <c r="G15" s="83" t="s">
        <v>2713</v>
      </c>
      <c r="H15" s="128">
        <f>2800/1.18</f>
        <v>2372.8813559322034</v>
      </c>
      <c r="I15" s="128">
        <f t="shared" si="0"/>
        <v>427.11864406779659</v>
      </c>
      <c r="K15" s="128">
        <f t="shared" si="1"/>
        <v>2800</v>
      </c>
      <c r="L15" s="83" t="s">
        <v>2710</v>
      </c>
      <c r="M15" s="83" t="s">
        <v>31</v>
      </c>
      <c r="P15" s="83" t="s">
        <v>2873</v>
      </c>
      <c r="Q15" s="126">
        <v>41007</v>
      </c>
    </row>
    <row r="16" spans="1:18" x14ac:dyDescent="0.2">
      <c r="A16" s="83" t="s">
        <v>408</v>
      </c>
      <c r="B16" s="126">
        <v>40916</v>
      </c>
      <c r="C16" s="143" t="s">
        <v>2720</v>
      </c>
      <c r="D16" s="83" t="s">
        <v>2721</v>
      </c>
      <c r="E16" s="83" t="s">
        <v>2621</v>
      </c>
      <c r="F16" s="83" t="s">
        <v>2622</v>
      </c>
      <c r="G16" s="83" t="s">
        <v>2623</v>
      </c>
      <c r="H16" s="128">
        <f>5500/1.18</f>
        <v>4661.016949152543</v>
      </c>
      <c r="I16" s="128">
        <f t="shared" si="0"/>
        <v>838.98305084745766</v>
      </c>
      <c r="K16" s="128">
        <f t="shared" si="1"/>
        <v>5500.0000000000009</v>
      </c>
      <c r="L16" s="83" t="s">
        <v>2874</v>
      </c>
      <c r="M16" s="83" t="s">
        <v>3467</v>
      </c>
      <c r="P16" s="83" t="s">
        <v>2873</v>
      </c>
      <c r="Q16" s="126">
        <v>41007</v>
      </c>
      <c r="R16" s="83" t="s">
        <v>3186</v>
      </c>
    </row>
    <row r="17" spans="1:18" x14ac:dyDescent="0.2">
      <c r="A17" s="83" t="s">
        <v>12</v>
      </c>
      <c r="B17" s="126">
        <v>40917</v>
      </c>
      <c r="C17" s="143">
        <v>2012100005</v>
      </c>
      <c r="D17" s="83" t="s">
        <v>14</v>
      </c>
      <c r="E17" s="83" t="s">
        <v>13</v>
      </c>
      <c r="F17" s="83" t="s">
        <v>2629</v>
      </c>
      <c r="G17" s="83" t="s">
        <v>2630</v>
      </c>
      <c r="H17" s="128">
        <v>4575.21</v>
      </c>
      <c r="I17" s="128">
        <f t="shared" si="0"/>
        <v>823.53779999999995</v>
      </c>
      <c r="K17" s="128">
        <f t="shared" si="1"/>
        <v>5398.7478000000001</v>
      </c>
      <c r="L17" s="83" t="s">
        <v>2709</v>
      </c>
      <c r="N17" s="83"/>
      <c r="P17" s="83" t="s">
        <v>2873</v>
      </c>
      <c r="Q17" s="126">
        <v>41007</v>
      </c>
    </row>
    <row r="18" spans="1:18" x14ac:dyDescent="0.2">
      <c r="A18" s="83" t="s">
        <v>12</v>
      </c>
      <c r="B18" s="126">
        <v>40917</v>
      </c>
      <c r="C18" s="143">
        <v>2012100006</v>
      </c>
      <c r="D18" s="83" t="s">
        <v>14</v>
      </c>
      <c r="E18" s="83" t="s">
        <v>13</v>
      </c>
      <c r="F18" s="83" t="s">
        <v>2629</v>
      </c>
      <c r="G18" s="83" t="s">
        <v>2631</v>
      </c>
      <c r="H18" s="128">
        <v>4610.05</v>
      </c>
      <c r="I18" s="128">
        <f t="shared" si="0"/>
        <v>829.80899999999997</v>
      </c>
      <c r="K18" s="128">
        <f t="shared" si="1"/>
        <v>5439.8590000000004</v>
      </c>
      <c r="L18" s="83" t="s">
        <v>2709</v>
      </c>
      <c r="N18" s="83"/>
      <c r="P18" s="83" t="s">
        <v>2873</v>
      </c>
      <c r="Q18" s="126">
        <v>41007</v>
      </c>
    </row>
    <row r="19" spans="1:18" x14ac:dyDescent="0.2">
      <c r="A19" s="83" t="s">
        <v>12</v>
      </c>
      <c r="B19" s="126">
        <v>40917</v>
      </c>
      <c r="C19" s="143" t="s">
        <v>2660</v>
      </c>
      <c r="D19" s="83" t="s">
        <v>1946</v>
      </c>
      <c r="E19" s="83" t="s">
        <v>26</v>
      </c>
      <c r="F19" s="83" t="s">
        <v>400</v>
      </c>
      <c r="G19" s="83" t="s">
        <v>2661</v>
      </c>
      <c r="H19" s="128">
        <v>2542.37</v>
      </c>
      <c r="I19" s="128">
        <f t="shared" si="0"/>
        <v>457.62659999999994</v>
      </c>
      <c r="K19" s="128">
        <f t="shared" si="1"/>
        <v>2999.9965999999999</v>
      </c>
      <c r="L19" s="83" t="s">
        <v>2709</v>
      </c>
      <c r="N19" s="83"/>
      <c r="P19" s="83" t="s">
        <v>2873</v>
      </c>
      <c r="Q19" s="126">
        <v>41007</v>
      </c>
    </row>
    <row r="20" spans="1:18" x14ac:dyDescent="0.2">
      <c r="A20" s="83" t="s">
        <v>12</v>
      </c>
      <c r="B20" s="126">
        <v>40917</v>
      </c>
      <c r="C20" s="143" t="s">
        <v>2662</v>
      </c>
      <c r="D20" s="83" t="s">
        <v>1946</v>
      </c>
      <c r="E20" s="83" t="s">
        <v>26</v>
      </c>
      <c r="F20" s="83" t="s">
        <v>2663</v>
      </c>
      <c r="G20" s="83" t="s">
        <v>2664</v>
      </c>
      <c r="H20" s="128">
        <v>2542.37</v>
      </c>
      <c r="I20" s="128">
        <f t="shared" si="0"/>
        <v>457.62659999999994</v>
      </c>
      <c r="K20" s="128">
        <f t="shared" si="1"/>
        <v>2999.9965999999999</v>
      </c>
      <c r="L20" s="83" t="s">
        <v>2709</v>
      </c>
      <c r="N20" s="83"/>
      <c r="P20" s="83" t="s">
        <v>2873</v>
      </c>
      <c r="Q20" s="126">
        <v>41007</v>
      </c>
    </row>
    <row r="21" spans="1:18" x14ac:dyDescent="0.2">
      <c r="A21" s="83" t="s">
        <v>12</v>
      </c>
      <c r="B21" s="126">
        <v>40917</v>
      </c>
      <c r="C21" s="143" t="s">
        <v>2665</v>
      </c>
      <c r="D21" s="83" t="s">
        <v>1946</v>
      </c>
      <c r="E21" s="83" t="s">
        <v>26</v>
      </c>
      <c r="F21" s="83" t="s">
        <v>2663</v>
      </c>
      <c r="G21" s="83" t="s">
        <v>2666</v>
      </c>
      <c r="H21" s="128">
        <v>2372.88</v>
      </c>
      <c r="I21" s="128">
        <f t="shared" si="0"/>
        <v>427.11840000000001</v>
      </c>
      <c r="K21" s="128">
        <f t="shared" si="1"/>
        <v>2799.9983999999999</v>
      </c>
      <c r="L21" s="83" t="s">
        <v>2709</v>
      </c>
      <c r="N21" s="83"/>
      <c r="P21" s="83" t="s">
        <v>2873</v>
      </c>
      <c r="Q21" s="126">
        <v>41007</v>
      </c>
    </row>
    <row r="22" spans="1:18" x14ac:dyDescent="0.2">
      <c r="A22" s="83" t="s">
        <v>12</v>
      </c>
      <c r="B22" s="126">
        <v>40917</v>
      </c>
      <c r="C22" s="143" t="s">
        <v>2667</v>
      </c>
      <c r="D22" s="83" t="s">
        <v>1946</v>
      </c>
      <c r="E22" s="83" t="s">
        <v>26</v>
      </c>
      <c r="F22" s="83" t="s">
        <v>906</v>
      </c>
      <c r="G22" s="83" t="s">
        <v>2668</v>
      </c>
      <c r="H22" s="128">
        <v>2542.37</v>
      </c>
      <c r="I22" s="128">
        <f t="shared" si="0"/>
        <v>457.62659999999994</v>
      </c>
      <c r="K22" s="128">
        <f t="shared" si="1"/>
        <v>2999.9965999999999</v>
      </c>
      <c r="L22" s="83" t="s">
        <v>2709</v>
      </c>
      <c r="N22" s="83"/>
      <c r="P22" s="83" t="s">
        <v>2873</v>
      </c>
      <c r="Q22" s="126">
        <v>41007</v>
      </c>
    </row>
    <row r="23" spans="1:18" x14ac:dyDescent="0.2">
      <c r="A23" s="83" t="s">
        <v>408</v>
      </c>
      <c r="B23" s="126">
        <v>40917</v>
      </c>
      <c r="C23" s="143" t="s">
        <v>128</v>
      </c>
      <c r="D23" s="83" t="s">
        <v>2716</v>
      </c>
      <c r="E23" s="83" t="s">
        <v>2717</v>
      </c>
      <c r="F23" s="83" t="s">
        <v>2718</v>
      </c>
      <c r="G23" s="83" t="s">
        <v>2719</v>
      </c>
      <c r="H23" s="128">
        <f>6500/1.18</f>
        <v>5508.4745762711864</v>
      </c>
      <c r="I23" s="128">
        <f t="shared" si="0"/>
        <v>991.52542372881351</v>
      </c>
      <c r="K23" s="128">
        <f t="shared" si="1"/>
        <v>6500</v>
      </c>
      <c r="L23" s="83" t="s">
        <v>2715</v>
      </c>
      <c r="M23" s="83" t="s">
        <v>31</v>
      </c>
      <c r="P23" s="83" t="s">
        <v>2873</v>
      </c>
      <c r="Q23" s="126">
        <v>41007</v>
      </c>
    </row>
    <row r="24" spans="1:18" x14ac:dyDescent="0.2">
      <c r="A24" s="83" t="s">
        <v>408</v>
      </c>
      <c r="B24" s="126">
        <v>40919</v>
      </c>
      <c r="C24" s="143" t="s">
        <v>2723</v>
      </c>
      <c r="D24" s="83" t="s">
        <v>2724</v>
      </c>
      <c r="E24" s="83" t="s">
        <v>2725</v>
      </c>
      <c r="F24" s="83" t="s">
        <v>377</v>
      </c>
      <c r="G24" s="83" t="s">
        <v>2183</v>
      </c>
      <c r="H24" s="83">
        <v>200</v>
      </c>
      <c r="I24" s="128">
        <f t="shared" si="0"/>
        <v>36</v>
      </c>
      <c r="K24" s="128">
        <f t="shared" si="1"/>
        <v>236</v>
      </c>
      <c r="L24" s="83" t="s">
        <v>2722</v>
      </c>
      <c r="M24" s="83" t="s">
        <v>31</v>
      </c>
      <c r="P24" s="83" t="s">
        <v>2873</v>
      </c>
      <c r="Q24" s="126">
        <v>41007</v>
      </c>
    </row>
    <row r="25" spans="1:18" x14ac:dyDescent="0.2">
      <c r="A25" s="126" t="s">
        <v>408</v>
      </c>
      <c r="B25" s="126">
        <v>40919</v>
      </c>
      <c r="C25" s="143" t="s">
        <v>2975</v>
      </c>
      <c r="D25" s="83" t="s">
        <v>2976</v>
      </c>
      <c r="E25" s="83" t="s">
        <v>2977</v>
      </c>
      <c r="F25" s="83" t="s">
        <v>2718</v>
      </c>
      <c r="G25" s="83" t="s">
        <v>2978</v>
      </c>
      <c r="H25" s="128">
        <f>9500/1.18</f>
        <v>8050.8474576271192</v>
      </c>
      <c r="I25" s="128">
        <f t="shared" si="0"/>
        <v>1449.1525423728815</v>
      </c>
      <c r="J25" s="128"/>
      <c r="K25" s="128">
        <f t="shared" si="1"/>
        <v>9500</v>
      </c>
      <c r="L25" s="83" t="s">
        <v>2980</v>
      </c>
      <c r="M25" s="83" t="s">
        <v>2979</v>
      </c>
      <c r="P25" s="83" t="s">
        <v>348</v>
      </c>
      <c r="Q25" s="126">
        <v>41094</v>
      </c>
    </row>
    <row r="26" spans="1:18" x14ac:dyDescent="0.2">
      <c r="A26" s="83" t="s">
        <v>408</v>
      </c>
      <c r="B26" s="126">
        <v>40919</v>
      </c>
      <c r="C26" s="143" t="s">
        <v>3126</v>
      </c>
      <c r="D26" s="83" t="s">
        <v>3127</v>
      </c>
      <c r="E26" s="83" t="s">
        <v>3128</v>
      </c>
      <c r="F26" s="127" t="s">
        <v>239</v>
      </c>
      <c r="G26" s="127" t="s">
        <v>1306</v>
      </c>
      <c r="H26" s="128">
        <f>3450/1.18</f>
        <v>2923.7288135593221</v>
      </c>
      <c r="I26" s="128">
        <f t="shared" si="0"/>
        <v>526.27118644067798</v>
      </c>
      <c r="K26" s="128">
        <f t="shared" si="1"/>
        <v>3450</v>
      </c>
      <c r="L26" s="83" t="s">
        <v>3125</v>
      </c>
      <c r="M26" s="83" t="s">
        <v>3312</v>
      </c>
      <c r="P26" s="83" t="s">
        <v>348</v>
      </c>
      <c r="Q26" s="126">
        <v>41100</v>
      </c>
    </row>
    <row r="27" spans="1:18" x14ac:dyDescent="0.2">
      <c r="A27" s="83" t="s">
        <v>12</v>
      </c>
      <c r="B27" s="126">
        <v>40920</v>
      </c>
      <c r="C27" s="143" t="s">
        <v>2881</v>
      </c>
      <c r="D27" s="83" t="s">
        <v>1946</v>
      </c>
      <c r="E27" s="83" t="s">
        <v>26</v>
      </c>
      <c r="F27" s="83" t="s">
        <v>362</v>
      </c>
      <c r="G27" s="83" t="s">
        <v>2730</v>
      </c>
      <c r="H27" s="128">
        <f>2000/1.18</f>
        <v>1694.9152542372883</v>
      </c>
      <c r="I27" s="128">
        <f t="shared" si="0"/>
        <v>305.08474576271186</v>
      </c>
      <c r="K27" s="128">
        <f t="shared" si="1"/>
        <v>2000.0000000000002</v>
      </c>
      <c r="L27" s="83" t="s">
        <v>2709</v>
      </c>
      <c r="N27" s="83"/>
      <c r="P27" s="83" t="s">
        <v>2873</v>
      </c>
      <c r="Q27" s="126">
        <v>41007</v>
      </c>
    </row>
    <row r="28" spans="1:18" x14ac:dyDescent="0.2">
      <c r="A28" s="149" t="s">
        <v>408</v>
      </c>
      <c r="B28" s="150">
        <v>40920</v>
      </c>
      <c r="C28" s="151" t="s">
        <v>2757</v>
      </c>
      <c r="D28" s="83" t="s">
        <v>2758</v>
      </c>
      <c r="E28" s="83" t="s">
        <v>2759</v>
      </c>
      <c r="F28" s="83" t="s">
        <v>2740</v>
      </c>
      <c r="G28" s="83" t="s">
        <v>2760</v>
      </c>
      <c r="H28" s="128">
        <f>3200/1.18</f>
        <v>2711.8644067796613</v>
      </c>
      <c r="I28" s="128">
        <f t="shared" si="0"/>
        <v>488.13559322033899</v>
      </c>
      <c r="K28" s="128">
        <f t="shared" si="1"/>
        <v>3200.0000000000005</v>
      </c>
      <c r="L28" s="83" t="s">
        <v>2742</v>
      </c>
      <c r="M28" s="83" t="s">
        <v>2761</v>
      </c>
      <c r="P28" s="83" t="s">
        <v>2873</v>
      </c>
      <c r="Q28" s="126">
        <v>41007</v>
      </c>
      <c r="R28" s="83" t="s">
        <v>3187</v>
      </c>
    </row>
    <row r="29" spans="1:18" x14ac:dyDescent="0.2">
      <c r="A29" s="83" t="s">
        <v>408</v>
      </c>
      <c r="B29" s="126">
        <v>40921</v>
      </c>
      <c r="C29" s="143" t="s">
        <v>2793</v>
      </c>
      <c r="D29" s="83" t="s">
        <v>2794</v>
      </c>
      <c r="E29" s="83" t="s">
        <v>2795</v>
      </c>
      <c r="F29" s="83" t="s">
        <v>377</v>
      </c>
      <c r="G29" s="83" t="s">
        <v>2674</v>
      </c>
      <c r="H29" s="128">
        <f>600/1.18</f>
        <v>508.47457627118649</v>
      </c>
      <c r="I29" s="128">
        <f t="shared" si="0"/>
        <v>91.525423728813564</v>
      </c>
      <c r="K29" s="128">
        <f t="shared" si="1"/>
        <v>600</v>
      </c>
      <c r="L29" s="83" t="s">
        <v>2792</v>
      </c>
      <c r="M29" s="83" t="s">
        <v>31</v>
      </c>
      <c r="P29" s="83" t="s">
        <v>2873</v>
      </c>
      <c r="Q29" s="126">
        <v>41007</v>
      </c>
    </row>
    <row r="30" spans="1:18" x14ac:dyDescent="0.2">
      <c r="A30" s="83" t="s">
        <v>408</v>
      </c>
      <c r="B30" s="126">
        <v>40922</v>
      </c>
      <c r="C30" s="143" t="s">
        <v>2853</v>
      </c>
      <c r="D30" s="83" t="s">
        <v>2854</v>
      </c>
      <c r="E30" s="83" t="s">
        <v>2855</v>
      </c>
      <c r="F30" s="83" t="s">
        <v>1990</v>
      </c>
      <c r="G30" s="83" t="s">
        <v>2258</v>
      </c>
      <c r="H30" s="128">
        <f>18000/1.18</f>
        <v>15254.237288135593</v>
      </c>
      <c r="I30" s="128">
        <f t="shared" si="0"/>
        <v>2745.7627118644068</v>
      </c>
      <c r="K30" s="128">
        <f t="shared" si="1"/>
        <v>18000</v>
      </c>
      <c r="L30" s="83" t="s">
        <v>2852</v>
      </c>
      <c r="M30" s="83" t="s">
        <v>3468</v>
      </c>
      <c r="P30" s="83" t="s">
        <v>2873</v>
      </c>
      <c r="Q30" s="126">
        <v>41007</v>
      </c>
    </row>
    <row r="31" spans="1:18" x14ac:dyDescent="0.2">
      <c r="A31" s="83" t="s">
        <v>408</v>
      </c>
      <c r="B31" s="126">
        <v>40923</v>
      </c>
      <c r="C31" s="143" t="s">
        <v>2727</v>
      </c>
      <c r="D31" s="83" t="s">
        <v>2712</v>
      </c>
      <c r="E31" s="83" t="s">
        <v>2352</v>
      </c>
      <c r="F31" s="83" t="s">
        <v>2663</v>
      </c>
      <c r="G31" s="83" t="s">
        <v>2664</v>
      </c>
      <c r="H31" s="128">
        <f>3300/1.18</f>
        <v>2796.6101694915255</v>
      </c>
      <c r="I31" s="128">
        <f t="shared" si="0"/>
        <v>503.38983050847457</v>
      </c>
      <c r="K31" s="128">
        <f t="shared" si="1"/>
        <v>3300</v>
      </c>
      <c r="L31" s="83" t="s">
        <v>2726</v>
      </c>
      <c r="M31" s="83" t="s">
        <v>3470</v>
      </c>
      <c r="P31" s="83" t="s">
        <v>2873</v>
      </c>
      <c r="Q31" s="126">
        <v>41007</v>
      </c>
    </row>
    <row r="32" spans="1:18" x14ac:dyDescent="0.2">
      <c r="A32" s="83" t="s">
        <v>408</v>
      </c>
      <c r="B32" s="126">
        <v>40923</v>
      </c>
      <c r="C32" s="143" t="s">
        <v>2728</v>
      </c>
      <c r="D32" s="83" t="s">
        <v>2712</v>
      </c>
      <c r="E32" s="83" t="s">
        <v>2352</v>
      </c>
      <c r="F32" s="83" t="s">
        <v>400</v>
      </c>
      <c r="G32" s="83" t="s">
        <v>2661</v>
      </c>
      <c r="H32" s="128">
        <f>3300/1.18</f>
        <v>2796.6101694915255</v>
      </c>
      <c r="I32" s="128">
        <f t="shared" si="0"/>
        <v>503.38983050847457</v>
      </c>
      <c r="K32" s="128">
        <f t="shared" si="1"/>
        <v>3300</v>
      </c>
      <c r="L32" s="83" t="s">
        <v>2729</v>
      </c>
      <c r="M32" s="83" t="s">
        <v>3470</v>
      </c>
      <c r="P32" s="83" t="s">
        <v>2873</v>
      </c>
      <c r="Q32" s="126">
        <v>41007</v>
      </c>
    </row>
    <row r="33" spans="1:18" x14ac:dyDescent="0.2">
      <c r="A33" s="83" t="s">
        <v>408</v>
      </c>
      <c r="B33" s="126">
        <v>40923</v>
      </c>
      <c r="C33" s="143" t="s">
        <v>2731</v>
      </c>
      <c r="D33" s="83" t="s">
        <v>2732</v>
      </c>
      <c r="E33" s="83" t="s">
        <v>2733</v>
      </c>
      <c r="F33" s="83" t="s">
        <v>362</v>
      </c>
      <c r="G33" s="83" t="s">
        <v>2730</v>
      </c>
      <c r="H33" s="128">
        <f>2300/1.18</f>
        <v>1949.1525423728815</v>
      </c>
      <c r="I33" s="128">
        <f t="shared" si="0"/>
        <v>350.84745762711867</v>
      </c>
      <c r="K33" s="128">
        <f t="shared" si="1"/>
        <v>2300</v>
      </c>
      <c r="L33" s="83" t="s">
        <v>2734</v>
      </c>
      <c r="M33" s="83" t="s">
        <v>3470</v>
      </c>
      <c r="P33" s="83" t="s">
        <v>2873</v>
      </c>
      <c r="Q33" s="126">
        <v>41007</v>
      </c>
    </row>
    <row r="34" spans="1:18" x14ac:dyDescent="0.2">
      <c r="A34" s="83" t="s">
        <v>408</v>
      </c>
      <c r="B34" s="126">
        <v>40923</v>
      </c>
      <c r="C34" s="143" t="s">
        <v>2735</v>
      </c>
      <c r="D34" s="83" t="s">
        <v>2732</v>
      </c>
      <c r="E34" s="83" t="s">
        <v>2733</v>
      </c>
      <c r="F34" s="83" t="s">
        <v>906</v>
      </c>
      <c r="G34" s="83" t="s">
        <v>2515</v>
      </c>
      <c r="H34" s="128">
        <f>3300/1.18</f>
        <v>2796.6101694915255</v>
      </c>
      <c r="I34" s="128">
        <f t="shared" si="0"/>
        <v>503.38983050847457</v>
      </c>
      <c r="K34" s="128">
        <f t="shared" si="1"/>
        <v>3300</v>
      </c>
      <c r="L34" s="83" t="s">
        <v>2736</v>
      </c>
      <c r="M34" s="83" t="s">
        <v>3470</v>
      </c>
      <c r="P34" s="83" t="s">
        <v>2873</v>
      </c>
      <c r="Q34" s="126">
        <v>41007</v>
      </c>
    </row>
    <row r="35" spans="1:18" x14ac:dyDescent="0.2">
      <c r="A35" s="83" t="s">
        <v>408</v>
      </c>
      <c r="B35" s="126">
        <v>40923</v>
      </c>
      <c r="C35" s="143" t="s">
        <v>2744</v>
      </c>
      <c r="D35" s="83" t="s">
        <v>2745</v>
      </c>
      <c r="E35" s="83" t="s">
        <v>1704</v>
      </c>
      <c r="F35" s="83" t="s">
        <v>394</v>
      </c>
      <c r="G35" s="83" t="s">
        <v>2746</v>
      </c>
      <c r="H35" s="128">
        <f>8000/1.18</f>
        <v>6779.6610169491532</v>
      </c>
      <c r="I35" s="128">
        <f t="shared" si="0"/>
        <v>1220.3389830508474</v>
      </c>
      <c r="K35" s="128">
        <f t="shared" si="1"/>
        <v>8000.0000000000009</v>
      </c>
      <c r="L35" s="83" t="s">
        <v>2743</v>
      </c>
      <c r="M35" s="83" t="s">
        <v>3469</v>
      </c>
      <c r="P35" s="83" t="s">
        <v>2873</v>
      </c>
      <c r="Q35" s="126">
        <v>41007</v>
      </c>
      <c r="R35" s="83" t="s">
        <v>3186</v>
      </c>
    </row>
    <row r="36" spans="1:18" x14ac:dyDescent="0.2">
      <c r="A36" s="83" t="s">
        <v>408</v>
      </c>
      <c r="B36" s="126">
        <v>40923</v>
      </c>
      <c r="C36" s="143" t="s">
        <v>2781</v>
      </c>
      <c r="D36" s="83" t="s">
        <v>2782</v>
      </c>
      <c r="E36" s="83" t="s">
        <v>2242</v>
      </c>
      <c r="F36" s="83" t="s">
        <v>362</v>
      </c>
      <c r="G36" s="83" t="s">
        <v>2670</v>
      </c>
      <c r="H36" s="128">
        <f>4000/1.18</f>
        <v>3389.8305084745766</v>
      </c>
      <c r="I36" s="128">
        <f t="shared" si="0"/>
        <v>610.16949152542372</v>
      </c>
      <c r="K36" s="128">
        <f t="shared" si="1"/>
        <v>4000.0000000000005</v>
      </c>
      <c r="L36" s="83" t="s">
        <v>2714</v>
      </c>
      <c r="M36" s="83" t="s">
        <v>3466</v>
      </c>
      <c r="P36" s="83" t="s">
        <v>2873</v>
      </c>
      <c r="Q36" s="126">
        <v>41007</v>
      </c>
    </row>
    <row r="37" spans="1:18" x14ac:dyDescent="0.2">
      <c r="A37" s="83" t="s">
        <v>12</v>
      </c>
      <c r="B37" s="126">
        <v>40924</v>
      </c>
      <c r="C37" s="143">
        <v>6</v>
      </c>
      <c r="D37" s="83" t="s">
        <v>185</v>
      </c>
      <c r="E37" s="83" t="s">
        <v>186</v>
      </c>
      <c r="F37" s="83" t="s">
        <v>377</v>
      </c>
      <c r="G37" s="83" t="s">
        <v>2674</v>
      </c>
      <c r="H37" s="128">
        <v>423.73</v>
      </c>
      <c r="I37" s="128">
        <f t="shared" si="0"/>
        <v>76.2714</v>
      </c>
      <c r="K37" s="128">
        <f t="shared" si="1"/>
        <v>500.00139999999999</v>
      </c>
      <c r="L37" s="83" t="s">
        <v>2709</v>
      </c>
      <c r="N37" s="83"/>
      <c r="P37" s="83" t="s">
        <v>2873</v>
      </c>
      <c r="Q37" s="126">
        <v>41007</v>
      </c>
    </row>
    <row r="38" spans="1:18" x14ac:dyDescent="0.2">
      <c r="A38" s="83" t="s">
        <v>12</v>
      </c>
      <c r="B38" s="126">
        <v>40925</v>
      </c>
      <c r="C38" s="143" t="s">
        <v>2880</v>
      </c>
      <c r="D38" s="83" t="s">
        <v>1946</v>
      </c>
      <c r="E38" s="83" t="s">
        <v>26</v>
      </c>
      <c r="F38" s="83" t="s">
        <v>906</v>
      </c>
      <c r="G38" s="83" t="s">
        <v>2849</v>
      </c>
      <c r="H38" s="128">
        <f>3000/1.18</f>
        <v>2542.3728813559323</v>
      </c>
      <c r="I38" s="128">
        <f t="shared" si="0"/>
        <v>457.62711864406782</v>
      </c>
      <c r="K38" s="128">
        <f t="shared" si="1"/>
        <v>3000</v>
      </c>
      <c r="L38" s="83" t="s">
        <v>2709</v>
      </c>
      <c r="N38" s="83"/>
      <c r="P38" s="83" t="s">
        <v>2873</v>
      </c>
      <c r="Q38" s="126">
        <v>41007</v>
      </c>
    </row>
    <row r="39" spans="1:18" x14ac:dyDescent="0.2">
      <c r="A39" s="83" t="s">
        <v>408</v>
      </c>
      <c r="B39" s="126">
        <v>40925</v>
      </c>
      <c r="C39" s="143" t="s">
        <v>127</v>
      </c>
      <c r="D39" s="83" t="s">
        <v>185</v>
      </c>
      <c r="E39" s="83" t="s">
        <v>186</v>
      </c>
      <c r="F39" s="83" t="s">
        <v>1647</v>
      </c>
      <c r="G39" s="83" t="s">
        <v>1968</v>
      </c>
      <c r="H39" s="128">
        <f>4800/1.18</f>
        <v>4067.7966101694919</v>
      </c>
      <c r="I39" s="128">
        <f t="shared" si="0"/>
        <v>732.20338983050851</v>
      </c>
      <c r="K39" s="128">
        <f t="shared" si="1"/>
        <v>4800</v>
      </c>
      <c r="L39" s="83" t="s">
        <v>2856</v>
      </c>
      <c r="M39" s="83" t="s">
        <v>3469</v>
      </c>
      <c r="P39" s="83" t="s">
        <v>2873</v>
      </c>
      <c r="Q39" s="126">
        <v>41007</v>
      </c>
    </row>
    <row r="40" spans="1:18" x14ac:dyDescent="0.2">
      <c r="A40" s="83" t="s">
        <v>408</v>
      </c>
      <c r="B40" s="126">
        <v>40925</v>
      </c>
      <c r="C40" s="143" t="s">
        <v>129</v>
      </c>
      <c r="D40" s="83" t="s">
        <v>2858</v>
      </c>
      <c r="E40" s="83" t="s">
        <v>2859</v>
      </c>
      <c r="F40" s="83" t="s">
        <v>2629</v>
      </c>
      <c r="G40" s="83" t="s">
        <v>2631</v>
      </c>
      <c r="H40" s="128">
        <f>5800/1.18</f>
        <v>4915.2542372881362</v>
      </c>
      <c r="I40" s="128">
        <f t="shared" si="0"/>
        <v>884.74576271186447</v>
      </c>
      <c r="K40" s="128">
        <f t="shared" si="1"/>
        <v>5800.0000000000009</v>
      </c>
      <c r="L40" s="83" t="s">
        <v>2857</v>
      </c>
      <c r="M40" s="154" t="s">
        <v>3471</v>
      </c>
      <c r="P40" s="83" t="s">
        <v>2873</v>
      </c>
      <c r="Q40" s="126">
        <v>41007</v>
      </c>
    </row>
    <row r="41" spans="1:18" x14ac:dyDescent="0.2">
      <c r="A41" s="83" t="s">
        <v>12</v>
      </c>
      <c r="B41" s="126">
        <v>40926</v>
      </c>
      <c r="C41" s="143">
        <v>2012100055</v>
      </c>
      <c r="D41" s="83" t="s">
        <v>14</v>
      </c>
      <c r="E41" s="83" t="s">
        <v>13</v>
      </c>
      <c r="F41" s="83" t="s">
        <v>2632</v>
      </c>
      <c r="G41" s="83" t="s">
        <v>2633</v>
      </c>
      <c r="H41" s="128">
        <v>3877.72</v>
      </c>
      <c r="I41" s="128">
        <f t="shared" si="0"/>
        <v>697.98959999999988</v>
      </c>
      <c r="K41" s="128">
        <f t="shared" si="1"/>
        <v>4575.7096000000001</v>
      </c>
      <c r="L41" s="83" t="s">
        <v>2709</v>
      </c>
      <c r="N41" s="83"/>
      <c r="P41" s="83" t="s">
        <v>2873</v>
      </c>
      <c r="Q41" s="126">
        <v>41007</v>
      </c>
    </row>
    <row r="42" spans="1:18" x14ac:dyDescent="0.2">
      <c r="A42" s="83" t="s">
        <v>12</v>
      </c>
      <c r="B42" s="126">
        <v>40926</v>
      </c>
      <c r="C42" s="143">
        <v>2012100054</v>
      </c>
      <c r="D42" s="83" t="s">
        <v>14</v>
      </c>
      <c r="E42" s="83" t="s">
        <v>13</v>
      </c>
      <c r="F42" s="83" t="s">
        <v>2634</v>
      </c>
      <c r="G42" s="83" t="s">
        <v>2635</v>
      </c>
      <c r="H42" s="128">
        <v>4882.78</v>
      </c>
      <c r="I42" s="128">
        <f t="shared" si="0"/>
        <v>878.90039999999988</v>
      </c>
      <c r="K42" s="128">
        <f t="shared" si="1"/>
        <v>5761.6803999999993</v>
      </c>
      <c r="L42" s="83" t="s">
        <v>2709</v>
      </c>
      <c r="N42" s="83"/>
      <c r="P42" s="83" t="s">
        <v>2873</v>
      </c>
      <c r="Q42" s="126">
        <v>41007</v>
      </c>
    </row>
    <row r="43" spans="1:18" x14ac:dyDescent="0.2">
      <c r="A43" s="83" t="s">
        <v>12</v>
      </c>
      <c r="B43" s="126">
        <v>40926</v>
      </c>
      <c r="C43" s="143">
        <v>2012100053</v>
      </c>
      <c r="D43" s="83" t="s">
        <v>14</v>
      </c>
      <c r="E43" s="83" t="s">
        <v>13</v>
      </c>
      <c r="F43" s="83" t="s">
        <v>2636</v>
      </c>
      <c r="G43" s="83" t="s">
        <v>2637</v>
      </c>
      <c r="H43" s="128">
        <v>2927.14</v>
      </c>
      <c r="I43" s="128">
        <f t="shared" si="0"/>
        <v>526.88519999999994</v>
      </c>
      <c r="K43" s="128">
        <f t="shared" si="1"/>
        <v>3454.0252</v>
      </c>
      <c r="L43" s="83" t="s">
        <v>2709</v>
      </c>
      <c r="N43" s="83"/>
      <c r="P43" s="83" t="s">
        <v>2873</v>
      </c>
      <c r="Q43" s="126">
        <v>41007</v>
      </c>
    </row>
    <row r="44" spans="1:18" x14ac:dyDescent="0.2">
      <c r="A44" s="83" t="s">
        <v>12</v>
      </c>
      <c r="B44" s="126">
        <v>40926</v>
      </c>
      <c r="C44" s="143">
        <v>2012100052</v>
      </c>
      <c r="D44" s="83" t="s">
        <v>14</v>
      </c>
      <c r="E44" s="83" t="s">
        <v>13</v>
      </c>
      <c r="F44" s="83" t="s">
        <v>2638</v>
      </c>
      <c r="G44" s="83" t="s">
        <v>2639</v>
      </c>
      <c r="H44" s="128">
        <v>1601.64</v>
      </c>
      <c r="I44" s="128">
        <f t="shared" si="0"/>
        <v>288.29520000000002</v>
      </c>
      <c r="K44" s="128">
        <f t="shared" si="1"/>
        <v>1889.9352000000001</v>
      </c>
      <c r="L44" s="83" t="s">
        <v>2709</v>
      </c>
      <c r="N44" s="83"/>
      <c r="P44" s="83" t="s">
        <v>2873</v>
      </c>
      <c r="Q44" s="126">
        <v>41007</v>
      </c>
    </row>
    <row r="45" spans="1:18" x14ac:dyDescent="0.2">
      <c r="A45" s="83" t="s">
        <v>12</v>
      </c>
      <c r="B45" s="126">
        <v>40926</v>
      </c>
      <c r="C45" s="147" t="s">
        <v>2887</v>
      </c>
      <c r="D45" s="83" t="s">
        <v>1946</v>
      </c>
      <c r="E45" s="83" t="s">
        <v>26</v>
      </c>
      <c r="F45" s="83" t="s">
        <v>353</v>
      </c>
      <c r="G45" s="83" t="s">
        <v>2675</v>
      </c>
      <c r="H45" s="128">
        <v>3389.83</v>
      </c>
      <c r="I45" s="128">
        <f t="shared" si="0"/>
        <v>610.1694</v>
      </c>
      <c r="K45" s="128">
        <f t="shared" si="1"/>
        <v>3999.9993999999997</v>
      </c>
      <c r="L45" s="83" t="s">
        <v>2709</v>
      </c>
      <c r="N45" s="83"/>
      <c r="P45" s="83" t="s">
        <v>2873</v>
      </c>
      <c r="Q45" s="126">
        <v>41007</v>
      </c>
    </row>
    <row r="46" spans="1:18" x14ac:dyDescent="0.2">
      <c r="A46" s="83" t="s">
        <v>12</v>
      </c>
      <c r="B46" s="126">
        <v>40926</v>
      </c>
      <c r="C46" s="143" t="s">
        <v>2883</v>
      </c>
      <c r="D46" s="83" t="s">
        <v>1946</v>
      </c>
      <c r="E46" s="83" t="s">
        <v>26</v>
      </c>
      <c r="F46" s="83" t="s">
        <v>362</v>
      </c>
      <c r="G46" s="83" t="s">
        <v>2677</v>
      </c>
      <c r="H46" s="128">
        <v>2966.1</v>
      </c>
      <c r="I46" s="128">
        <f t="shared" si="0"/>
        <v>533.89799999999991</v>
      </c>
      <c r="K46" s="128">
        <f t="shared" si="1"/>
        <v>3499.9979999999996</v>
      </c>
      <c r="L46" s="83" t="s">
        <v>2709</v>
      </c>
      <c r="N46" s="83"/>
      <c r="P46" s="83" t="s">
        <v>2873</v>
      </c>
      <c r="Q46" s="126">
        <v>41007</v>
      </c>
    </row>
    <row r="47" spans="1:18" x14ac:dyDescent="0.2">
      <c r="A47" s="83" t="s">
        <v>408</v>
      </c>
      <c r="B47" s="126">
        <v>40926</v>
      </c>
      <c r="C47" s="143" t="s">
        <v>2851</v>
      </c>
      <c r="D47" s="83" t="s">
        <v>2931</v>
      </c>
      <c r="E47" s="83" t="s">
        <v>2352</v>
      </c>
      <c r="F47" s="83" t="s">
        <v>906</v>
      </c>
      <c r="G47" s="83" t="s">
        <v>2849</v>
      </c>
      <c r="H47" s="128">
        <f>3350/1.18</f>
        <v>2838.9830508474579</v>
      </c>
      <c r="I47" s="128">
        <f t="shared" si="0"/>
        <v>511.0169491525424</v>
      </c>
      <c r="K47" s="128">
        <f t="shared" si="1"/>
        <v>3350.0000000000005</v>
      </c>
      <c r="L47" s="83" t="s">
        <v>2850</v>
      </c>
      <c r="M47" s="83" t="s">
        <v>3498</v>
      </c>
      <c r="P47" s="83" t="s">
        <v>2873</v>
      </c>
      <c r="Q47" s="126">
        <v>41007</v>
      </c>
    </row>
    <row r="48" spans="1:18" x14ac:dyDescent="0.2">
      <c r="A48" s="83" t="s">
        <v>408</v>
      </c>
      <c r="B48" s="126">
        <v>40926</v>
      </c>
      <c r="C48" s="126" t="s">
        <v>2971</v>
      </c>
      <c r="D48" s="83" t="s">
        <v>2964</v>
      </c>
      <c r="E48" s="83" t="s">
        <v>2965</v>
      </c>
      <c r="F48" s="83" t="s">
        <v>2966</v>
      </c>
      <c r="G48" s="83" t="s">
        <v>2967</v>
      </c>
      <c r="H48" s="128">
        <f>7050/1.18</f>
        <v>5974.5762711864409</v>
      </c>
      <c r="I48" s="128">
        <f t="shared" si="0"/>
        <v>1075.4237288135594</v>
      </c>
      <c r="J48" s="128"/>
      <c r="K48" s="128">
        <f t="shared" si="1"/>
        <v>7050</v>
      </c>
      <c r="L48" s="83" t="s">
        <v>2968</v>
      </c>
      <c r="M48" s="83" t="s">
        <v>31</v>
      </c>
      <c r="O48" s="126">
        <v>40757</v>
      </c>
      <c r="P48" s="83" t="s">
        <v>348</v>
      </c>
      <c r="Q48" s="126">
        <v>41094</v>
      </c>
    </row>
    <row r="49" spans="1:18" x14ac:dyDescent="0.2">
      <c r="A49" s="83" t="s">
        <v>12</v>
      </c>
      <c r="B49" s="126">
        <v>40927</v>
      </c>
      <c r="C49" s="143">
        <v>2012100065</v>
      </c>
      <c r="D49" s="83" t="s">
        <v>14</v>
      </c>
      <c r="E49" s="83" t="s">
        <v>13</v>
      </c>
      <c r="F49" s="83" t="s">
        <v>2629</v>
      </c>
      <c r="G49" s="83" t="s">
        <v>2640</v>
      </c>
      <c r="H49" s="128">
        <v>4322.03</v>
      </c>
      <c r="I49" s="128">
        <f t="shared" si="0"/>
        <v>777.96539999999993</v>
      </c>
      <c r="K49" s="128">
        <f t="shared" si="1"/>
        <v>5099.9953999999998</v>
      </c>
      <c r="L49" s="83" t="s">
        <v>2709</v>
      </c>
      <c r="N49" s="83"/>
      <c r="P49" s="83" t="s">
        <v>2873</v>
      </c>
      <c r="Q49" s="126">
        <v>41007</v>
      </c>
    </row>
    <row r="50" spans="1:18" x14ac:dyDescent="0.2">
      <c r="A50" s="83" t="s">
        <v>12</v>
      </c>
      <c r="B50" s="126">
        <v>40927</v>
      </c>
      <c r="C50" s="143">
        <v>2012100064</v>
      </c>
      <c r="D50" s="83" t="s">
        <v>14</v>
      </c>
      <c r="E50" s="83" t="s">
        <v>13</v>
      </c>
      <c r="F50" s="83" t="s">
        <v>2629</v>
      </c>
      <c r="G50" s="83" t="s">
        <v>2641</v>
      </c>
      <c r="H50" s="128">
        <v>4152.54</v>
      </c>
      <c r="I50" s="128">
        <f t="shared" si="0"/>
        <v>747.45719999999994</v>
      </c>
      <c r="K50" s="128">
        <f t="shared" si="1"/>
        <v>4899.9971999999998</v>
      </c>
      <c r="L50" s="83" t="s">
        <v>2709</v>
      </c>
      <c r="N50" s="83"/>
      <c r="P50" s="83" t="s">
        <v>2873</v>
      </c>
      <c r="Q50" s="126">
        <v>41007</v>
      </c>
    </row>
    <row r="51" spans="1:18" x14ac:dyDescent="0.2">
      <c r="A51" s="83" t="s">
        <v>12</v>
      </c>
      <c r="B51" s="126">
        <v>40927</v>
      </c>
      <c r="C51" s="143">
        <v>2012100063</v>
      </c>
      <c r="D51" s="83" t="s">
        <v>14</v>
      </c>
      <c r="E51" s="83" t="s">
        <v>13</v>
      </c>
      <c r="F51" s="83" t="s">
        <v>2629</v>
      </c>
      <c r="G51" s="83" t="s">
        <v>2642</v>
      </c>
      <c r="H51" s="128">
        <v>3983.05</v>
      </c>
      <c r="I51" s="128">
        <f t="shared" si="0"/>
        <v>716.94899999999996</v>
      </c>
      <c r="K51" s="128">
        <f t="shared" si="1"/>
        <v>4699.9989999999998</v>
      </c>
      <c r="L51" s="83" t="s">
        <v>2709</v>
      </c>
      <c r="N51" s="83"/>
      <c r="P51" s="83" t="s">
        <v>2873</v>
      </c>
      <c r="Q51" s="126">
        <v>41007</v>
      </c>
    </row>
    <row r="52" spans="1:18" x14ac:dyDescent="0.2">
      <c r="A52" s="83" t="s">
        <v>408</v>
      </c>
      <c r="B52" s="126">
        <v>40927</v>
      </c>
      <c r="C52" s="143" t="s">
        <v>2762</v>
      </c>
      <c r="D52" s="83" t="s">
        <v>2763</v>
      </c>
      <c r="E52" s="83" t="s">
        <v>2764</v>
      </c>
      <c r="F52" s="83" t="s">
        <v>2657</v>
      </c>
      <c r="G52" s="83" t="s">
        <v>2517</v>
      </c>
      <c r="H52" s="128">
        <f>5700/1.18</f>
        <v>4830.5084745762715</v>
      </c>
      <c r="I52" s="128">
        <f t="shared" si="0"/>
        <v>869.49152542372883</v>
      </c>
      <c r="K52" s="128">
        <f t="shared" si="1"/>
        <v>5700</v>
      </c>
      <c r="L52" s="83" t="s">
        <v>2765</v>
      </c>
      <c r="M52" s="83" t="s">
        <v>3498</v>
      </c>
      <c r="P52" s="83" t="s">
        <v>2873</v>
      </c>
      <c r="Q52" s="126">
        <v>41007</v>
      </c>
    </row>
    <row r="53" spans="1:18" x14ac:dyDescent="0.2">
      <c r="A53" s="83" t="s">
        <v>408</v>
      </c>
      <c r="B53" s="126">
        <v>40927</v>
      </c>
      <c r="C53" s="143" t="s">
        <v>2787</v>
      </c>
      <c r="D53" s="83" t="s">
        <v>2788</v>
      </c>
      <c r="E53" s="83" t="s">
        <v>2789</v>
      </c>
      <c r="F53" s="83" t="s">
        <v>619</v>
      </c>
      <c r="G53" s="83" t="s">
        <v>2790</v>
      </c>
      <c r="J53" s="83" t="s">
        <v>21</v>
      </c>
      <c r="K53" s="83">
        <v>250</v>
      </c>
      <c r="L53" s="83" t="s">
        <v>2786</v>
      </c>
      <c r="M53" s="83" t="s">
        <v>2791</v>
      </c>
      <c r="P53" s="83" t="s">
        <v>2873</v>
      </c>
      <c r="Q53" s="126">
        <v>41007</v>
      </c>
    </row>
    <row r="54" spans="1:18" x14ac:dyDescent="0.2">
      <c r="A54" s="83" t="s">
        <v>408</v>
      </c>
      <c r="B54" s="126">
        <v>40927</v>
      </c>
      <c r="C54" s="143" t="s">
        <v>2830</v>
      </c>
      <c r="D54" s="83" t="s">
        <v>2831</v>
      </c>
      <c r="E54" s="83" t="s">
        <v>2832</v>
      </c>
      <c r="F54" s="83" t="s">
        <v>353</v>
      </c>
      <c r="G54" s="83" t="s">
        <v>2833</v>
      </c>
      <c r="J54" s="83" t="s">
        <v>21</v>
      </c>
      <c r="K54" s="83">
        <v>250</v>
      </c>
      <c r="L54" s="84" t="s">
        <v>2922</v>
      </c>
      <c r="M54" s="83" t="s">
        <v>31</v>
      </c>
      <c r="P54" s="83" t="s">
        <v>2873</v>
      </c>
      <c r="Q54" s="126">
        <v>41007</v>
      </c>
    </row>
    <row r="55" spans="1:18" x14ac:dyDescent="0.2">
      <c r="A55" s="149" t="s">
        <v>408</v>
      </c>
      <c r="B55" s="150">
        <v>40928</v>
      </c>
      <c r="C55" s="151" t="s">
        <v>2841</v>
      </c>
      <c r="D55" s="83" t="s">
        <v>2842</v>
      </c>
      <c r="E55" s="83" t="s">
        <v>2843</v>
      </c>
      <c r="F55" s="83" t="s">
        <v>362</v>
      </c>
      <c r="G55" s="83" t="s">
        <v>2844</v>
      </c>
      <c r="H55" s="128">
        <f>4200/1.18</f>
        <v>3559.3220338983051</v>
      </c>
      <c r="I55" s="128">
        <f t="shared" ref="I55:I83" si="2">+H55*0.18</f>
        <v>640.67796610169489</v>
      </c>
      <c r="K55" s="128">
        <f t="shared" ref="K55:K83" si="3">+H55+I55</f>
        <v>4200</v>
      </c>
      <c r="L55" s="83" t="s">
        <v>2840</v>
      </c>
      <c r="M55" s="83" t="s">
        <v>3474</v>
      </c>
      <c r="P55" s="83" t="s">
        <v>2873</v>
      </c>
      <c r="Q55" s="126">
        <v>41007</v>
      </c>
      <c r="R55" s="83" t="s">
        <v>3187</v>
      </c>
    </row>
    <row r="56" spans="1:18" x14ac:dyDescent="0.2">
      <c r="A56" s="83" t="s">
        <v>408</v>
      </c>
      <c r="B56" s="126">
        <v>40928</v>
      </c>
      <c r="C56" s="143" t="s">
        <v>2846</v>
      </c>
      <c r="D56" s="83" t="s">
        <v>2847</v>
      </c>
      <c r="E56" s="83" t="s">
        <v>2848</v>
      </c>
      <c r="F56" s="83" t="s">
        <v>1044</v>
      </c>
      <c r="G56" s="83" t="s">
        <v>2292</v>
      </c>
      <c r="H56" s="128">
        <f>4100/1.18</f>
        <v>3474.5762711864409</v>
      </c>
      <c r="I56" s="128">
        <f t="shared" si="2"/>
        <v>625.42372881355936</v>
      </c>
      <c r="K56" s="128">
        <f t="shared" si="3"/>
        <v>4100</v>
      </c>
      <c r="L56" s="83" t="s">
        <v>2845</v>
      </c>
      <c r="M56" s="83" t="s">
        <v>3475</v>
      </c>
      <c r="P56" s="83" t="s">
        <v>2873</v>
      </c>
      <c r="Q56" s="126">
        <v>41007</v>
      </c>
    </row>
    <row r="57" spans="1:18" x14ac:dyDescent="0.2">
      <c r="A57" s="83" t="s">
        <v>408</v>
      </c>
      <c r="B57" s="126">
        <v>40931</v>
      </c>
      <c r="C57" s="143" t="s">
        <v>3132</v>
      </c>
      <c r="D57" s="83" t="s">
        <v>3133</v>
      </c>
      <c r="E57" s="83" t="s">
        <v>3134</v>
      </c>
      <c r="F57" s="83" t="s">
        <v>2504</v>
      </c>
      <c r="G57" s="83" t="s">
        <v>2505</v>
      </c>
      <c r="H57" s="128">
        <f>3450/1.18</f>
        <v>2923.7288135593221</v>
      </c>
      <c r="I57" s="128">
        <f t="shared" si="2"/>
        <v>526.27118644067798</v>
      </c>
      <c r="K57" s="128">
        <f t="shared" si="3"/>
        <v>3450</v>
      </c>
      <c r="L57" s="83" t="s">
        <v>2710</v>
      </c>
      <c r="M57" s="83" t="s">
        <v>3500</v>
      </c>
      <c r="P57" s="83" t="s">
        <v>348</v>
      </c>
      <c r="Q57" s="126">
        <v>41100</v>
      </c>
    </row>
    <row r="58" spans="1:18" x14ac:dyDescent="0.2">
      <c r="A58" s="83" t="s">
        <v>408</v>
      </c>
      <c r="B58" s="126">
        <v>40932</v>
      </c>
      <c r="C58" s="143" t="s">
        <v>2766</v>
      </c>
      <c r="D58" s="83" t="s">
        <v>2767</v>
      </c>
      <c r="E58" s="83" t="s">
        <v>2768</v>
      </c>
      <c r="F58" s="83" t="s">
        <v>929</v>
      </c>
      <c r="G58" s="83" t="s">
        <v>2769</v>
      </c>
      <c r="H58" s="128">
        <f>6900/1.18</f>
        <v>5847.4576271186443</v>
      </c>
      <c r="I58" s="128">
        <f t="shared" si="2"/>
        <v>1052.542372881356</v>
      </c>
      <c r="K58" s="128">
        <f t="shared" si="3"/>
        <v>6900</v>
      </c>
      <c r="L58" s="83" t="s">
        <v>2770</v>
      </c>
      <c r="M58" s="83" t="s">
        <v>3472</v>
      </c>
      <c r="P58" s="83" t="s">
        <v>2873</v>
      </c>
      <c r="Q58" s="126">
        <v>41007</v>
      </c>
    </row>
    <row r="59" spans="1:18" x14ac:dyDescent="0.2">
      <c r="A59" s="83" t="s">
        <v>12</v>
      </c>
      <c r="B59" s="126">
        <v>40933</v>
      </c>
      <c r="C59" s="147" t="s">
        <v>2885</v>
      </c>
      <c r="D59" s="83" t="s">
        <v>1946</v>
      </c>
      <c r="E59" s="83" t="s">
        <v>26</v>
      </c>
      <c r="F59" s="83" t="s">
        <v>400</v>
      </c>
      <c r="G59" s="83" t="s">
        <v>2678</v>
      </c>
      <c r="H59" s="128">
        <v>2542.37</v>
      </c>
      <c r="I59" s="128">
        <f t="shared" si="2"/>
        <v>457.62659999999994</v>
      </c>
      <c r="K59" s="128">
        <f t="shared" si="3"/>
        <v>2999.9965999999999</v>
      </c>
      <c r="L59" s="83" t="s">
        <v>2709</v>
      </c>
      <c r="N59" s="83"/>
      <c r="P59" s="83" t="s">
        <v>2873</v>
      </c>
      <c r="Q59" s="126">
        <v>41007</v>
      </c>
    </row>
    <row r="60" spans="1:18" x14ac:dyDescent="0.2">
      <c r="A60" s="83" t="s">
        <v>408</v>
      </c>
      <c r="B60" s="126">
        <v>40933</v>
      </c>
      <c r="C60" s="143" t="s">
        <v>2772</v>
      </c>
      <c r="D60" s="83" t="s">
        <v>2712</v>
      </c>
      <c r="E60" s="83" t="s">
        <v>2352</v>
      </c>
      <c r="F60" s="83" t="s">
        <v>2773</v>
      </c>
      <c r="G60" s="83" t="s">
        <v>2774</v>
      </c>
      <c r="H60" s="128">
        <f>9200/1.18</f>
        <v>7796.610169491526</v>
      </c>
      <c r="I60" s="128">
        <f t="shared" si="2"/>
        <v>1403.3898305084747</v>
      </c>
      <c r="K60" s="128">
        <f t="shared" si="3"/>
        <v>9200</v>
      </c>
      <c r="L60" s="83" t="s">
        <v>2771</v>
      </c>
      <c r="M60" s="83" t="s">
        <v>31</v>
      </c>
      <c r="P60" s="83" t="s">
        <v>2873</v>
      </c>
      <c r="Q60" s="126">
        <v>41007</v>
      </c>
    </row>
    <row r="61" spans="1:18" x14ac:dyDescent="0.2">
      <c r="A61" s="149" t="s">
        <v>408</v>
      </c>
      <c r="B61" s="150">
        <v>40933</v>
      </c>
      <c r="C61" s="151" t="s">
        <v>2776</v>
      </c>
      <c r="D61" s="83" t="s">
        <v>2777</v>
      </c>
      <c r="E61" s="83" t="s">
        <v>2778</v>
      </c>
      <c r="F61" s="83" t="s">
        <v>381</v>
      </c>
      <c r="G61" s="83" t="s">
        <v>2779</v>
      </c>
      <c r="H61" s="128">
        <f>3200/1.18</f>
        <v>2711.8644067796613</v>
      </c>
      <c r="I61" s="128">
        <f t="shared" si="2"/>
        <v>488.13559322033899</v>
      </c>
      <c r="K61" s="128">
        <f t="shared" si="3"/>
        <v>3200.0000000000005</v>
      </c>
      <c r="L61" s="83" t="s">
        <v>2775</v>
      </c>
      <c r="M61" s="83" t="s">
        <v>31</v>
      </c>
      <c r="P61" s="83" t="s">
        <v>2873</v>
      </c>
      <c r="Q61" s="126">
        <v>41007</v>
      </c>
      <c r="R61" s="83" t="s">
        <v>3187</v>
      </c>
    </row>
    <row r="62" spans="1:18" x14ac:dyDescent="0.2">
      <c r="A62" s="83" t="s">
        <v>408</v>
      </c>
      <c r="B62" s="126">
        <v>40933</v>
      </c>
      <c r="C62" s="143" t="s">
        <v>2780</v>
      </c>
      <c r="D62" s="83" t="s">
        <v>2750</v>
      </c>
      <c r="E62" s="83" t="s">
        <v>2751</v>
      </c>
      <c r="F62" s="83" t="s">
        <v>353</v>
      </c>
      <c r="G62" s="83" t="s">
        <v>2675</v>
      </c>
      <c r="H62" s="128">
        <f>4300/1.18</f>
        <v>3644.0677966101698</v>
      </c>
      <c r="I62" s="128">
        <f t="shared" si="2"/>
        <v>655.93220338983053</v>
      </c>
      <c r="K62" s="128">
        <f t="shared" si="3"/>
        <v>4300</v>
      </c>
      <c r="L62" s="83" t="s">
        <v>2747</v>
      </c>
      <c r="M62" s="83" t="s">
        <v>3472</v>
      </c>
      <c r="P62" s="83" t="s">
        <v>2873</v>
      </c>
      <c r="Q62" s="126">
        <v>41007</v>
      </c>
    </row>
    <row r="63" spans="1:18" x14ac:dyDescent="0.2">
      <c r="A63" s="83" t="s">
        <v>408</v>
      </c>
      <c r="B63" s="126">
        <v>40937</v>
      </c>
      <c r="C63" s="143" t="s">
        <v>2748</v>
      </c>
      <c r="D63" s="83" t="s">
        <v>2703</v>
      </c>
      <c r="E63" s="83" t="s">
        <v>2244</v>
      </c>
      <c r="F63" s="83" t="s">
        <v>362</v>
      </c>
      <c r="G63" s="83" t="s">
        <v>2677</v>
      </c>
      <c r="H63" s="128">
        <f>3800/1.18</f>
        <v>3220.3389830508477</v>
      </c>
      <c r="I63" s="128">
        <f t="shared" si="2"/>
        <v>579.66101694915255</v>
      </c>
      <c r="K63" s="128">
        <f t="shared" si="3"/>
        <v>3800</v>
      </c>
      <c r="L63" s="83" t="s">
        <v>2747</v>
      </c>
      <c r="M63" s="83" t="s">
        <v>3472</v>
      </c>
      <c r="P63" s="83" t="s">
        <v>2873</v>
      </c>
      <c r="Q63" s="126">
        <v>41007</v>
      </c>
    </row>
    <row r="64" spans="1:18" x14ac:dyDescent="0.2">
      <c r="A64" s="83" t="s">
        <v>12</v>
      </c>
      <c r="B64" s="126">
        <v>40938</v>
      </c>
      <c r="C64" s="143" t="s">
        <v>2884</v>
      </c>
      <c r="D64" s="83" t="s">
        <v>1946</v>
      </c>
      <c r="E64" s="83" t="s">
        <v>26</v>
      </c>
      <c r="F64" s="83" t="s">
        <v>362</v>
      </c>
      <c r="G64" s="83" t="s">
        <v>2679</v>
      </c>
      <c r="H64" s="128">
        <v>2711.8649999999998</v>
      </c>
      <c r="I64" s="128">
        <f t="shared" si="2"/>
        <v>488.13569999999993</v>
      </c>
      <c r="K64" s="128">
        <f t="shared" si="3"/>
        <v>3200.0006999999996</v>
      </c>
      <c r="L64" s="83" t="s">
        <v>2709</v>
      </c>
      <c r="N64" s="83"/>
      <c r="P64" s="83" t="s">
        <v>2873</v>
      </c>
      <c r="Q64" s="126">
        <v>41007</v>
      </c>
    </row>
    <row r="65" spans="1:18" x14ac:dyDescent="0.2">
      <c r="A65" s="83" t="s">
        <v>408</v>
      </c>
      <c r="B65" s="126">
        <v>40939</v>
      </c>
      <c r="C65" s="143" t="s">
        <v>2737</v>
      </c>
      <c r="D65" s="83" t="s">
        <v>2738</v>
      </c>
      <c r="E65" s="83" t="s">
        <v>2739</v>
      </c>
      <c r="F65" s="83" t="s">
        <v>2740</v>
      </c>
      <c r="G65" s="83" t="s">
        <v>2741</v>
      </c>
      <c r="H65" s="128">
        <f>3200/1.18</f>
        <v>2711.8644067796613</v>
      </c>
      <c r="I65" s="128">
        <f t="shared" si="2"/>
        <v>488.13559322033899</v>
      </c>
      <c r="K65" s="128">
        <f t="shared" si="3"/>
        <v>3200.0000000000005</v>
      </c>
      <c r="L65" s="83" t="s">
        <v>2742</v>
      </c>
      <c r="M65" s="83" t="s">
        <v>3475</v>
      </c>
      <c r="P65" s="83" t="s">
        <v>2873</v>
      </c>
      <c r="Q65" s="126">
        <v>41007</v>
      </c>
    </row>
    <row r="66" spans="1:18" x14ac:dyDescent="0.2">
      <c r="A66" s="83" t="s">
        <v>408</v>
      </c>
      <c r="B66" s="126">
        <v>40939</v>
      </c>
      <c r="C66" s="143" t="s">
        <v>2783</v>
      </c>
      <c r="D66" s="83" t="s">
        <v>2712</v>
      </c>
      <c r="E66" s="83" t="s">
        <v>2352</v>
      </c>
      <c r="F66" s="83" t="s">
        <v>362</v>
      </c>
      <c r="G66" s="83" t="s">
        <v>2679</v>
      </c>
      <c r="H66" s="128">
        <f>3400/1.18</f>
        <v>2881.3559322033898</v>
      </c>
      <c r="I66" s="128">
        <f t="shared" si="2"/>
        <v>518.6440677966101</v>
      </c>
      <c r="K66" s="128">
        <f t="shared" si="3"/>
        <v>3400</v>
      </c>
      <c r="L66" s="83" t="s">
        <v>2784</v>
      </c>
      <c r="M66" s="83" t="s">
        <v>31</v>
      </c>
      <c r="P66" s="83" t="s">
        <v>2873</v>
      </c>
      <c r="Q66" s="126">
        <v>41007</v>
      </c>
    </row>
    <row r="67" spans="1:18" x14ac:dyDescent="0.2">
      <c r="A67" s="83" t="s">
        <v>408</v>
      </c>
      <c r="B67" s="126">
        <v>40941</v>
      </c>
      <c r="C67" s="143" t="s">
        <v>2702</v>
      </c>
      <c r="D67" s="83" t="s">
        <v>2703</v>
      </c>
      <c r="E67" s="83" t="s">
        <v>2244</v>
      </c>
      <c r="F67" s="83" t="s">
        <v>392</v>
      </c>
      <c r="G67" s="83" t="s">
        <v>2704</v>
      </c>
      <c r="H67" s="83">
        <v>2118.64</v>
      </c>
      <c r="I67" s="128">
        <f t="shared" si="2"/>
        <v>381.35519999999997</v>
      </c>
      <c r="K67" s="128">
        <f t="shared" si="3"/>
        <v>2499.9951999999998</v>
      </c>
      <c r="L67" s="83" t="s">
        <v>2705</v>
      </c>
      <c r="M67" s="83" t="s">
        <v>3475</v>
      </c>
      <c r="P67" s="83" t="s">
        <v>2873</v>
      </c>
      <c r="Q67" s="126">
        <v>41007</v>
      </c>
    </row>
    <row r="68" spans="1:18" x14ac:dyDescent="0.2">
      <c r="A68" s="83" t="s">
        <v>408</v>
      </c>
      <c r="B68" s="126">
        <v>40941</v>
      </c>
      <c r="C68" s="143" t="s">
        <v>2785</v>
      </c>
      <c r="D68" s="83" t="s">
        <v>2703</v>
      </c>
      <c r="E68" s="83" t="s">
        <v>2244</v>
      </c>
      <c r="F68" s="83" t="s">
        <v>362</v>
      </c>
      <c r="G68" s="83" t="s">
        <v>2668</v>
      </c>
      <c r="H68" s="128">
        <f>3300/1.18</f>
        <v>2796.6101694915255</v>
      </c>
      <c r="I68" s="128">
        <f t="shared" si="2"/>
        <v>503.38983050847457</v>
      </c>
      <c r="K68" s="128">
        <f t="shared" si="3"/>
        <v>3300</v>
      </c>
      <c r="L68" s="83" t="s">
        <v>2729</v>
      </c>
      <c r="M68" s="83" t="s">
        <v>3468</v>
      </c>
      <c r="P68" s="83" t="s">
        <v>2873</v>
      </c>
      <c r="Q68" s="126">
        <v>41007</v>
      </c>
    </row>
    <row r="69" spans="1:18" x14ac:dyDescent="0.2">
      <c r="A69" s="83" t="s">
        <v>12</v>
      </c>
      <c r="B69" s="126">
        <v>40942</v>
      </c>
      <c r="C69" s="143">
        <v>2012100115</v>
      </c>
      <c r="D69" s="83" t="s">
        <v>14</v>
      </c>
      <c r="E69" s="83" t="s">
        <v>13</v>
      </c>
      <c r="F69" s="83" t="s">
        <v>2629</v>
      </c>
      <c r="G69" s="83" t="s">
        <v>2680</v>
      </c>
      <c r="H69" s="128">
        <f>4800/1.18</f>
        <v>4067.7966101694919</v>
      </c>
      <c r="I69" s="128">
        <f t="shared" si="2"/>
        <v>732.20338983050851</v>
      </c>
      <c r="K69" s="128">
        <f t="shared" si="3"/>
        <v>4800</v>
      </c>
      <c r="L69" s="83" t="s">
        <v>2709</v>
      </c>
      <c r="N69" s="83"/>
      <c r="P69" s="83" t="s">
        <v>2873</v>
      </c>
      <c r="Q69" s="126">
        <v>41007</v>
      </c>
    </row>
    <row r="70" spans="1:18" x14ac:dyDescent="0.2">
      <c r="A70" s="83" t="s">
        <v>408</v>
      </c>
      <c r="B70" s="126">
        <v>40945</v>
      </c>
      <c r="C70" s="143" t="s">
        <v>2749</v>
      </c>
      <c r="D70" s="83" t="s">
        <v>2750</v>
      </c>
      <c r="E70" s="83" t="s">
        <v>2751</v>
      </c>
      <c r="F70" s="83" t="s">
        <v>2663</v>
      </c>
      <c r="G70" s="83" t="s">
        <v>2666</v>
      </c>
      <c r="H70" s="128">
        <f>3300/1.18</f>
        <v>2796.6101694915255</v>
      </c>
      <c r="I70" s="128">
        <f t="shared" si="2"/>
        <v>503.38983050847457</v>
      </c>
      <c r="K70" s="128">
        <f t="shared" si="3"/>
        <v>3300</v>
      </c>
      <c r="L70" s="83" t="s">
        <v>2729</v>
      </c>
      <c r="M70" s="83" t="s">
        <v>3475</v>
      </c>
      <c r="P70" s="83" t="s">
        <v>2873</v>
      </c>
      <c r="Q70" s="126">
        <v>41007</v>
      </c>
    </row>
    <row r="71" spans="1:18" x14ac:dyDescent="0.2">
      <c r="A71" s="83" t="s">
        <v>12</v>
      </c>
      <c r="B71" s="126">
        <v>40946</v>
      </c>
      <c r="C71" s="143">
        <v>1604</v>
      </c>
      <c r="D71" s="83" t="s">
        <v>3290</v>
      </c>
      <c r="E71" s="83" t="s">
        <v>2106</v>
      </c>
      <c r="F71" s="83" t="s">
        <v>929</v>
      </c>
      <c r="G71" s="83" t="s">
        <v>3102</v>
      </c>
      <c r="H71" s="83">
        <v>2542.37</v>
      </c>
      <c r="I71" s="128">
        <f t="shared" si="2"/>
        <v>457.62659999999994</v>
      </c>
      <c r="K71" s="128">
        <f t="shared" si="3"/>
        <v>2999.9965999999999</v>
      </c>
      <c r="L71" s="83" t="s">
        <v>2709</v>
      </c>
      <c r="N71" s="83"/>
      <c r="P71" s="83" t="s">
        <v>429</v>
      </c>
      <c r="Q71" s="126">
        <v>41200</v>
      </c>
    </row>
    <row r="72" spans="1:18" x14ac:dyDescent="0.2">
      <c r="A72" s="83" t="s">
        <v>12</v>
      </c>
      <c r="B72" s="126">
        <v>40948</v>
      </c>
      <c r="C72" s="143" t="s">
        <v>2882</v>
      </c>
      <c r="D72" s="83" t="s">
        <v>1946</v>
      </c>
      <c r="E72" s="83" t="s">
        <v>26</v>
      </c>
      <c r="F72" s="83" t="s">
        <v>2681</v>
      </c>
      <c r="G72" s="83" t="s">
        <v>2682</v>
      </c>
      <c r="H72" s="83">
        <v>3050.85</v>
      </c>
      <c r="I72" s="128">
        <f t="shared" si="2"/>
        <v>549.15300000000002</v>
      </c>
      <c r="K72" s="128">
        <f t="shared" si="3"/>
        <v>3600.0029999999997</v>
      </c>
      <c r="L72" s="83" t="s">
        <v>2709</v>
      </c>
      <c r="N72" s="83"/>
      <c r="P72" s="83" t="s">
        <v>2873</v>
      </c>
      <c r="Q72" s="126">
        <v>41007</v>
      </c>
    </row>
    <row r="73" spans="1:18" x14ac:dyDescent="0.2">
      <c r="A73" s="83" t="s">
        <v>408</v>
      </c>
      <c r="B73" s="126">
        <v>40948</v>
      </c>
      <c r="C73" s="143" t="s">
        <v>2802</v>
      </c>
      <c r="D73" s="83" t="s">
        <v>2750</v>
      </c>
      <c r="E73" s="83" t="s">
        <v>2751</v>
      </c>
      <c r="F73" s="83" t="s">
        <v>400</v>
      </c>
      <c r="G73" s="83" t="s">
        <v>2678</v>
      </c>
      <c r="H73" s="128">
        <f>3300/1.18</f>
        <v>2796.6101694915255</v>
      </c>
      <c r="I73" s="128">
        <f t="shared" si="2"/>
        <v>503.38983050847457</v>
      </c>
      <c r="K73" s="128">
        <f t="shared" si="3"/>
        <v>3300</v>
      </c>
      <c r="L73" s="83" t="s">
        <v>2801</v>
      </c>
      <c r="M73" s="83" t="s">
        <v>3478</v>
      </c>
      <c r="P73" s="83" t="s">
        <v>2873</v>
      </c>
      <c r="Q73" s="126">
        <v>41007</v>
      </c>
    </row>
    <row r="74" spans="1:18" x14ac:dyDescent="0.2">
      <c r="A74" s="149" t="s">
        <v>408</v>
      </c>
      <c r="B74" s="150">
        <v>40950</v>
      </c>
      <c r="C74" s="151" t="s">
        <v>2797</v>
      </c>
      <c r="D74" s="83" t="s">
        <v>2798</v>
      </c>
      <c r="E74" s="83" t="s">
        <v>2799</v>
      </c>
      <c r="F74" s="83" t="s">
        <v>406</v>
      </c>
      <c r="G74" s="83" t="s">
        <v>2800</v>
      </c>
      <c r="H74" s="128">
        <f>3700/1.18</f>
        <v>3135.5932203389834</v>
      </c>
      <c r="I74" s="128">
        <f t="shared" si="2"/>
        <v>564.40677966101703</v>
      </c>
      <c r="K74" s="128">
        <f t="shared" si="3"/>
        <v>3700.0000000000005</v>
      </c>
      <c r="L74" s="83" t="s">
        <v>2796</v>
      </c>
      <c r="M74" s="83" t="s">
        <v>3478</v>
      </c>
      <c r="P74" s="83" t="s">
        <v>2873</v>
      </c>
      <c r="Q74" s="126">
        <v>41007</v>
      </c>
      <c r="R74" s="83" t="s">
        <v>3187</v>
      </c>
    </row>
    <row r="75" spans="1:18" x14ac:dyDescent="0.2">
      <c r="A75" s="83" t="s">
        <v>12</v>
      </c>
      <c r="B75" s="126">
        <v>40953</v>
      </c>
      <c r="C75" s="143">
        <v>2012100140</v>
      </c>
      <c r="D75" s="83" t="s">
        <v>14</v>
      </c>
      <c r="E75" s="83" t="s">
        <v>13</v>
      </c>
      <c r="F75" s="83" t="s">
        <v>392</v>
      </c>
      <c r="G75" s="83" t="s">
        <v>2643</v>
      </c>
      <c r="H75" s="128">
        <v>2372.88</v>
      </c>
      <c r="I75" s="128">
        <f t="shared" si="2"/>
        <v>427.11840000000001</v>
      </c>
      <c r="K75" s="128">
        <f t="shared" si="3"/>
        <v>2799.9983999999999</v>
      </c>
      <c r="L75" s="83" t="s">
        <v>2709</v>
      </c>
      <c r="N75" s="83"/>
      <c r="P75" s="83" t="s">
        <v>2873</v>
      </c>
      <c r="Q75" s="126">
        <v>41007</v>
      </c>
    </row>
    <row r="76" spans="1:18" x14ac:dyDescent="0.2">
      <c r="A76" s="83" t="s">
        <v>12</v>
      </c>
      <c r="B76" s="126">
        <v>40953</v>
      </c>
      <c r="C76" s="143">
        <v>2012100141</v>
      </c>
      <c r="D76" s="83" t="s">
        <v>14</v>
      </c>
      <c r="E76" s="83" t="s">
        <v>13</v>
      </c>
      <c r="F76" s="83" t="s">
        <v>381</v>
      </c>
      <c r="G76" s="83" t="s">
        <v>2644</v>
      </c>
      <c r="H76" s="128">
        <v>2542.37</v>
      </c>
      <c r="I76" s="128">
        <f t="shared" si="2"/>
        <v>457.62659999999994</v>
      </c>
      <c r="K76" s="128">
        <f t="shared" si="3"/>
        <v>2999.9965999999999</v>
      </c>
      <c r="L76" s="83" t="s">
        <v>2709</v>
      </c>
      <c r="N76" s="83"/>
      <c r="P76" s="83" t="s">
        <v>2873</v>
      </c>
      <c r="Q76" s="126">
        <v>41007</v>
      </c>
    </row>
    <row r="77" spans="1:18" x14ac:dyDescent="0.2">
      <c r="A77" s="83" t="s">
        <v>12</v>
      </c>
      <c r="B77" s="126">
        <v>40953</v>
      </c>
      <c r="C77" s="143">
        <v>2012100139</v>
      </c>
      <c r="D77" s="83" t="s">
        <v>14</v>
      </c>
      <c r="E77" s="83" t="s">
        <v>13</v>
      </c>
      <c r="F77" s="83" t="s">
        <v>2646</v>
      </c>
      <c r="G77" s="83" t="s">
        <v>2645</v>
      </c>
      <c r="H77" s="128">
        <v>2966.1</v>
      </c>
      <c r="I77" s="128">
        <f t="shared" si="2"/>
        <v>533.89799999999991</v>
      </c>
      <c r="K77" s="128">
        <f t="shared" si="3"/>
        <v>3499.9979999999996</v>
      </c>
      <c r="L77" s="83" t="s">
        <v>2709</v>
      </c>
      <c r="N77" s="83"/>
      <c r="P77" s="83" t="s">
        <v>2873</v>
      </c>
      <c r="Q77" s="126">
        <v>41007</v>
      </c>
    </row>
    <row r="78" spans="1:18" x14ac:dyDescent="0.2">
      <c r="A78" s="84" t="s">
        <v>408</v>
      </c>
      <c r="B78" s="129">
        <v>40953</v>
      </c>
      <c r="C78" s="147" t="s">
        <v>2804</v>
      </c>
      <c r="D78" s="84" t="s">
        <v>2826</v>
      </c>
      <c r="E78" s="84" t="s">
        <v>2805</v>
      </c>
      <c r="F78" s="84" t="s">
        <v>2806</v>
      </c>
      <c r="G78" s="84" t="s">
        <v>2807</v>
      </c>
      <c r="H78" s="131">
        <f>3000/1.18</f>
        <v>2542.3728813559323</v>
      </c>
      <c r="I78" s="131">
        <f t="shared" si="2"/>
        <v>457.62711864406782</v>
      </c>
      <c r="J78" s="84"/>
      <c r="K78" s="131">
        <f t="shared" si="3"/>
        <v>3000</v>
      </c>
      <c r="L78" s="84" t="s">
        <v>2803</v>
      </c>
      <c r="M78" s="84" t="s">
        <v>3490</v>
      </c>
      <c r="N78" s="147"/>
      <c r="O78" s="84"/>
      <c r="P78" s="84" t="s">
        <v>2873</v>
      </c>
      <c r="Q78" s="129">
        <v>41007</v>
      </c>
      <c r="R78" s="83" t="s">
        <v>3182</v>
      </c>
    </row>
    <row r="79" spans="1:18" x14ac:dyDescent="0.2">
      <c r="A79" s="83" t="s">
        <v>12</v>
      </c>
      <c r="B79" s="126">
        <v>40954</v>
      </c>
      <c r="C79" s="143" t="s">
        <v>2624</v>
      </c>
      <c r="D79" s="83" t="s">
        <v>2625</v>
      </c>
      <c r="E79" s="83" t="s">
        <v>2626</v>
      </c>
      <c r="F79" s="83" t="s">
        <v>2627</v>
      </c>
      <c r="G79" s="83" t="s">
        <v>2628</v>
      </c>
      <c r="H79" s="128">
        <v>5932.2</v>
      </c>
      <c r="I79" s="128">
        <f t="shared" si="2"/>
        <v>1067.7959999999998</v>
      </c>
      <c r="K79" s="128">
        <f t="shared" si="3"/>
        <v>6999.9959999999992</v>
      </c>
      <c r="L79" s="83" t="s">
        <v>2709</v>
      </c>
      <c r="N79" s="83"/>
      <c r="P79" s="83" t="s">
        <v>2873</v>
      </c>
      <c r="Q79" s="126">
        <v>41007</v>
      </c>
    </row>
    <row r="80" spans="1:18" x14ac:dyDescent="0.2">
      <c r="A80" s="83" t="s">
        <v>408</v>
      </c>
      <c r="B80" s="126">
        <v>40954</v>
      </c>
      <c r="C80" s="143" t="s">
        <v>2808</v>
      </c>
      <c r="D80" s="83" t="s">
        <v>2809</v>
      </c>
      <c r="E80" s="83" t="s">
        <v>2810</v>
      </c>
      <c r="F80" s="83" t="s">
        <v>392</v>
      </c>
      <c r="G80" s="83" t="s">
        <v>2811</v>
      </c>
      <c r="H80" s="128">
        <f>3600/1.18</f>
        <v>3050.8474576271187</v>
      </c>
      <c r="I80" s="128">
        <f t="shared" si="2"/>
        <v>549.15254237288138</v>
      </c>
      <c r="K80" s="128">
        <f t="shared" si="3"/>
        <v>3600</v>
      </c>
      <c r="L80" s="83" t="s">
        <v>2697</v>
      </c>
      <c r="M80" s="83" t="s">
        <v>3478</v>
      </c>
      <c r="P80" s="83" t="s">
        <v>2873</v>
      </c>
      <c r="Q80" s="126">
        <v>41007</v>
      </c>
    </row>
    <row r="81" spans="1:18" x14ac:dyDescent="0.2">
      <c r="A81" s="83" t="s">
        <v>408</v>
      </c>
      <c r="B81" s="126">
        <v>40954</v>
      </c>
      <c r="C81" s="143" t="s">
        <v>2986</v>
      </c>
      <c r="D81" s="83" t="s">
        <v>2987</v>
      </c>
      <c r="E81" s="83" t="s">
        <v>2988</v>
      </c>
      <c r="F81" s="83" t="s">
        <v>469</v>
      </c>
      <c r="G81" s="83" t="s">
        <v>2989</v>
      </c>
      <c r="H81" s="128">
        <f>4000/1.18</f>
        <v>3389.8305084745766</v>
      </c>
      <c r="I81" s="128">
        <f t="shared" si="2"/>
        <v>610.16949152542372</v>
      </c>
      <c r="J81" s="128"/>
      <c r="K81" s="128">
        <f t="shared" si="3"/>
        <v>4000.0000000000005</v>
      </c>
      <c r="L81" s="83" t="s">
        <v>2985</v>
      </c>
      <c r="M81" s="83" t="s">
        <v>3479</v>
      </c>
      <c r="P81" s="83" t="s">
        <v>348</v>
      </c>
      <c r="Q81" s="126">
        <v>41094</v>
      </c>
    </row>
    <row r="82" spans="1:18" x14ac:dyDescent="0.2">
      <c r="A82" s="83" t="s">
        <v>12</v>
      </c>
      <c r="B82" s="126">
        <v>40955</v>
      </c>
      <c r="C82" s="143" t="s">
        <v>3179</v>
      </c>
      <c r="D82" s="83" t="s">
        <v>1946</v>
      </c>
      <c r="E82" s="83" t="s">
        <v>26</v>
      </c>
      <c r="F82" s="83" t="s">
        <v>2657</v>
      </c>
      <c r="G82" s="83" t="s">
        <v>2919</v>
      </c>
      <c r="H82" s="128">
        <v>4661.0200000000004</v>
      </c>
      <c r="I82" s="128">
        <f t="shared" si="2"/>
        <v>838.98360000000002</v>
      </c>
      <c r="J82" s="128"/>
      <c r="K82" s="128">
        <f t="shared" si="3"/>
        <v>5500.0036</v>
      </c>
      <c r="L82" s="83" t="s">
        <v>2709</v>
      </c>
      <c r="N82" s="83"/>
      <c r="P82" s="83" t="s">
        <v>348</v>
      </c>
      <c r="Q82" s="126">
        <v>41100</v>
      </c>
    </row>
    <row r="83" spans="1:18" x14ac:dyDescent="0.2">
      <c r="A83" s="83" t="s">
        <v>408</v>
      </c>
      <c r="B83" s="126">
        <v>40956</v>
      </c>
      <c r="C83" s="143" t="s">
        <v>2813</v>
      </c>
      <c r="D83" s="83" t="s">
        <v>2814</v>
      </c>
      <c r="E83" s="83" t="s">
        <v>2815</v>
      </c>
      <c r="F83" s="83" t="s">
        <v>908</v>
      </c>
      <c r="G83" s="83" t="s">
        <v>2816</v>
      </c>
      <c r="H83" s="128">
        <f>3000/1.18</f>
        <v>2542.3728813559323</v>
      </c>
      <c r="I83" s="128">
        <f t="shared" si="2"/>
        <v>457.62711864406782</v>
      </c>
      <c r="K83" s="128">
        <f t="shared" si="3"/>
        <v>3000</v>
      </c>
      <c r="L83" s="83" t="s">
        <v>2812</v>
      </c>
      <c r="M83" s="83" t="s">
        <v>31</v>
      </c>
      <c r="P83" s="83" t="s">
        <v>2873</v>
      </c>
      <c r="Q83" s="126">
        <v>41007</v>
      </c>
    </row>
    <row r="84" spans="1:18" x14ac:dyDescent="0.2">
      <c r="A84" s="83" t="s">
        <v>12</v>
      </c>
      <c r="B84" s="126">
        <v>40956</v>
      </c>
      <c r="C84" s="143" t="s">
        <v>944</v>
      </c>
      <c r="D84" s="83" t="s">
        <v>3217</v>
      </c>
      <c r="E84" s="83" t="s">
        <v>3218</v>
      </c>
      <c r="F84" s="83" t="s">
        <v>906</v>
      </c>
      <c r="G84" s="83" t="s">
        <v>3060</v>
      </c>
      <c r="J84" s="83" t="s">
        <v>303</v>
      </c>
      <c r="K84" s="83">
        <v>4600</v>
      </c>
      <c r="L84" s="83" t="s">
        <v>3216</v>
      </c>
      <c r="M84" s="83" t="s">
        <v>31</v>
      </c>
      <c r="N84" s="83"/>
      <c r="P84" s="83" t="s">
        <v>429</v>
      </c>
      <c r="Q84" s="126">
        <v>41190</v>
      </c>
    </row>
    <row r="85" spans="1:18" x14ac:dyDescent="0.2">
      <c r="A85" s="83" t="s">
        <v>408</v>
      </c>
      <c r="B85" s="126">
        <v>40959</v>
      </c>
      <c r="C85" s="143" t="s">
        <v>132</v>
      </c>
      <c r="D85" s="83" t="s">
        <v>2861</v>
      </c>
      <c r="E85" s="83" t="s">
        <v>2862</v>
      </c>
      <c r="F85" s="83" t="s">
        <v>693</v>
      </c>
      <c r="G85" s="83" t="s">
        <v>2863</v>
      </c>
      <c r="J85" s="83" t="s">
        <v>21</v>
      </c>
      <c r="K85" s="83">
        <v>7000</v>
      </c>
      <c r="L85" s="84" t="s">
        <v>2927</v>
      </c>
      <c r="M85" s="83" t="s">
        <v>3475</v>
      </c>
      <c r="P85" s="83" t="s">
        <v>2873</v>
      </c>
      <c r="Q85" s="126">
        <v>41007</v>
      </c>
    </row>
    <row r="86" spans="1:18" x14ac:dyDescent="0.2">
      <c r="A86" s="149" t="s">
        <v>408</v>
      </c>
      <c r="B86" s="150">
        <v>40959</v>
      </c>
      <c r="C86" s="151" t="s">
        <v>133</v>
      </c>
      <c r="D86" s="83" t="s">
        <v>2865</v>
      </c>
      <c r="E86" s="83" t="s">
        <v>2866</v>
      </c>
      <c r="F86" s="83" t="s">
        <v>1771</v>
      </c>
      <c r="G86" s="83" t="s">
        <v>1953</v>
      </c>
      <c r="H86" s="128">
        <f>5400/1.18</f>
        <v>4576.2711864406783</v>
      </c>
      <c r="I86" s="128">
        <f>+H86*0.18</f>
        <v>823.72881355932202</v>
      </c>
      <c r="K86" s="128">
        <f>+H86+I86</f>
        <v>5400</v>
      </c>
      <c r="L86" s="83" t="s">
        <v>2864</v>
      </c>
      <c r="M86" s="83" t="s">
        <v>3310</v>
      </c>
      <c r="P86" s="83" t="s">
        <v>2873</v>
      </c>
      <c r="Q86" s="126">
        <v>41007</v>
      </c>
      <c r="R86" s="83" t="s">
        <v>3187</v>
      </c>
    </row>
    <row r="87" spans="1:18" x14ac:dyDescent="0.2">
      <c r="A87" s="83" t="s">
        <v>408</v>
      </c>
      <c r="B87" s="126">
        <v>40961</v>
      </c>
      <c r="C87" s="143" t="s">
        <v>2818</v>
      </c>
      <c r="D87" s="83" t="s">
        <v>2819</v>
      </c>
      <c r="E87" s="83" t="s">
        <v>2820</v>
      </c>
      <c r="F87" s="83" t="s">
        <v>2629</v>
      </c>
      <c r="G87" s="83" t="s">
        <v>2640</v>
      </c>
      <c r="H87" s="128">
        <f>5800/1.18</f>
        <v>4915.2542372881362</v>
      </c>
      <c r="I87" s="128">
        <f>+H87*0.18</f>
        <v>884.74576271186447</v>
      </c>
      <c r="K87" s="128">
        <f>+H87+I87</f>
        <v>5800.0000000000009</v>
      </c>
      <c r="L87" s="83" t="s">
        <v>2817</v>
      </c>
      <c r="M87" s="83" t="s">
        <v>3481</v>
      </c>
      <c r="P87" s="83" t="s">
        <v>2873</v>
      </c>
      <c r="Q87" s="126">
        <v>41007</v>
      </c>
    </row>
    <row r="88" spans="1:18" x14ac:dyDescent="0.2">
      <c r="A88" s="84" t="s">
        <v>408</v>
      </c>
      <c r="B88" s="129">
        <v>40961</v>
      </c>
      <c r="C88" s="147" t="s">
        <v>2825</v>
      </c>
      <c r="D88" s="84" t="s">
        <v>2826</v>
      </c>
      <c r="E88" s="84" t="s">
        <v>2805</v>
      </c>
      <c r="F88" s="84" t="s">
        <v>2646</v>
      </c>
      <c r="G88" s="84" t="s">
        <v>2645</v>
      </c>
      <c r="H88" s="131">
        <f>3800/1.18</f>
        <v>3220.3389830508477</v>
      </c>
      <c r="I88" s="131">
        <f>+H88*0.18</f>
        <v>579.66101694915255</v>
      </c>
      <c r="J88" s="84"/>
      <c r="K88" s="131">
        <f>+H88+I88</f>
        <v>3800</v>
      </c>
      <c r="L88" s="84" t="s">
        <v>2827</v>
      </c>
      <c r="M88" s="83" t="s">
        <v>3479</v>
      </c>
      <c r="N88" s="147"/>
      <c r="O88" s="84"/>
      <c r="P88" s="84" t="s">
        <v>2873</v>
      </c>
      <c r="Q88" s="129">
        <v>41007</v>
      </c>
      <c r="R88" s="83" t="s">
        <v>3182</v>
      </c>
    </row>
    <row r="89" spans="1:18" x14ac:dyDescent="0.2">
      <c r="A89" s="84" t="s">
        <v>408</v>
      </c>
      <c r="B89" s="129">
        <v>40961</v>
      </c>
      <c r="C89" s="147" t="s">
        <v>2828</v>
      </c>
      <c r="D89" s="84" t="s">
        <v>2826</v>
      </c>
      <c r="E89" s="84" t="s">
        <v>2805</v>
      </c>
      <c r="F89" s="84" t="s">
        <v>2681</v>
      </c>
      <c r="G89" s="84" t="s">
        <v>2682</v>
      </c>
      <c r="H89" s="131">
        <f>3800/1.18</f>
        <v>3220.3389830508477</v>
      </c>
      <c r="I89" s="131">
        <f>+H89*0.18</f>
        <v>579.66101694915255</v>
      </c>
      <c r="J89" s="84"/>
      <c r="K89" s="131">
        <f>+H89+I89</f>
        <v>3800</v>
      </c>
      <c r="L89" s="84" t="s">
        <v>2829</v>
      </c>
      <c r="M89" s="83" t="s">
        <v>3479</v>
      </c>
      <c r="N89" s="147"/>
      <c r="O89" s="84"/>
      <c r="P89" s="84" t="s">
        <v>2873</v>
      </c>
      <c r="Q89" s="129">
        <v>41007</v>
      </c>
      <c r="R89" s="83" t="s">
        <v>3182</v>
      </c>
    </row>
    <row r="90" spans="1:18" x14ac:dyDescent="0.2">
      <c r="A90" s="83" t="s">
        <v>408</v>
      </c>
      <c r="B90" s="126">
        <v>40961</v>
      </c>
      <c r="C90" s="143" t="s">
        <v>2835</v>
      </c>
      <c r="D90" s="83" t="s">
        <v>2836</v>
      </c>
      <c r="E90" s="83" t="s">
        <v>2837</v>
      </c>
      <c r="F90" s="83" t="s">
        <v>2838</v>
      </c>
      <c r="G90" s="83" t="s">
        <v>2839</v>
      </c>
      <c r="K90" s="83">
        <v>7000</v>
      </c>
      <c r="L90" s="83" t="s">
        <v>2834</v>
      </c>
      <c r="M90" s="83" t="s">
        <v>31</v>
      </c>
      <c r="P90" s="83" t="s">
        <v>2873</v>
      </c>
      <c r="Q90" s="126">
        <v>41007</v>
      </c>
    </row>
    <row r="91" spans="1:18" x14ac:dyDescent="0.2">
      <c r="A91" s="83" t="s">
        <v>408</v>
      </c>
      <c r="B91" s="126">
        <v>40961</v>
      </c>
      <c r="C91" s="143" t="s">
        <v>2990</v>
      </c>
      <c r="D91" s="83" t="s">
        <v>2703</v>
      </c>
      <c r="E91" s="83" t="s">
        <v>2991</v>
      </c>
      <c r="F91" s="83" t="s">
        <v>392</v>
      </c>
      <c r="G91" s="83" t="s">
        <v>2643</v>
      </c>
      <c r="H91" s="128">
        <f>3300/1.18</f>
        <v>2796.6101694915255</v>
      </c>
      <c r="I91" s="128">
        <f t="shared" ref="I91:I101" si="4">+H91*0.18</f>
        <v>503.38983050847457</v>
      </c>
      <c r="J91" s="128"/>
      <c r="K91" s="128">
        <f t="shared" ref="K91:K101" si="5">+H91+I91</f>
        <v>3300</v>
      </c>
      <c r="L91" s="83" t="s">
        <v>2827</v>
      </c>
      <c r="M91" s="83" t="s">
        <v>3478</v>
      </c>
      <c r="P91" s="83" t="s">
        <v>348</v>
      </c>
      <c r="Q91" s="126">
        <v>41094</v>
      </c>
    </row>
    <row r="92" spans="1:18" x14ac:dyDescent="0.2">
      <c r="A92" s="149" t="s">
        <v>408</v>
      </c>
      <c r="B92" s="150">
        <v>40961</v>
      </c>
      <c r="C92" s="151" t="s">
        <v>3004</v>
      </c>
      <c r="D92" s="83" t="s">
        <v>3005</v>
      </c>
      <c r="E92" s="83" t="s">
        <v>3006</v>
      </c>
      <c r="F92" s="83" t="s">
        <v>1342</v>
      </c>
      <c r="G92" s="83" t="s">
        <v>1965</v>
      </c>
      <c r="H92" s="128">
        <f>5000/1.18</f>
        <v>4237.2881355932204</v>
      </c>
      <c r="I92" s="128">
        <f t="shared" si="4"/>
        <v>762.71186440677968</v>
      </c>
      <c r="J92" s="128"/>
      <c r="K92" s="128">
        <f t="shared" si="5"/>
        <v>5000</v>
      </c>
      <c r="L92" s="83" t="s">
        <v>2860</v>
      </c>
      <c r="M92" s="83" t="s">
        <v>3481</v>
      </c>
      <c r="P92" s="83" t="s">
        <v>348</v>
      </c>
      <c r="Q92" s="126">
        <v>41094</v>
      </c>
      <c r="R92" s="83" t="s">
        <v>3187</v>
      </c>
    </row>
    <row r="93" spans="1:18" x14ac:dyDescent="0.2">
      <c r="A93" s="149" t="s">
        <v>408</v>
      </c>
      <c r="B93" s="150">
        <v>40962</v>
      </c>
      <c r="C93" s="151" t="s">
        <v>2822</v>
      </c>
      <c r="D93" s="83" t="s">
        <v>2823</v>
      </c>
      <c r="E93" s="83" t="s">
        <v>2824</v>
      </c>
      <c r="F93" s="83" t="s">
        <v>2629</v>
      </c>
      <c r="G93" s="83" t="s">
        <v>2680</v>
      </c>
      <c r="H93" s="128">
        <f>6500/1.18</f>
        <v>5508.4745762711864</v>
      </c>
      <c r="I93" s="128">
        <f t="shared" si="4"/>
        <v>991.52542372881351</v>
      </c>
      <c r="K93" s="128">
        <f t="shared" si="5"/>
        <v>6500</v>
      </c>
      <c r="L93" s="83" t="s">
        <v>2821</v>
      </c>
      <c r="M93" s="83" t="s">
        <v>3311</v>
      </c>
      <c r="P93" s="83" t="s">
        <v>2873</v>
      </c>
      <c r="Q93" s="126">
        <v>41007</v>
      </c>
      <c r="R93" s="83" t="s">
        <v>3187</v>
      </c>
    </row>
    <row r="94" spans="1:18" x14ac:dyDescent="0.2">
      <c r="A94" s="83" t="s">
        <v>408</v>
      </c>
      <c r="B94" s="126">
        <v>40962</v>
      </c>
      <c r="C94" s="143" t="s">
        <v>3001</v>
      </c>
      <c r="D94" s="83" t="s">
        <v>3002</v>
      </c>
      <c r="E94" s="83" t="s">
        <v>3003</v>
      </c>
      <c r="F94" s="83" t="s">
        <v>1635</v>
      </c>
      <c r="G94" s="83" t="s">
        <v>1636</v>
      </c>
      <c r="H94" s="128">
        <f>12000/1.18</f>
        <v>10169.491525423729</v>
      </c>
      <c r="I94" s="128">
        <f t="shared" si="4"/>
        <v>1830.5084745762713</v>
      </c>
      <c r="J94" s="128"/>
      <c r="K94" s="128">
        <f t="shared" si="5"/>
        <v>12000</v>
      </c>
      <c r="L94" s="83" t="s">
        <v>2968</v>
      </c>
      <c r="M94" s="83" t="s">
        <v>3481</v>
      </c>
      <c r="P94" s="83" t="s">
        <v>348</v>
      </c>
      <c r="Q94" s="126">
        <v>41094</v>
      </c>
    </row>
    <row r="95" spans="1:18" x14ac:dyDescent="0.2">
      <c r="A95" s="83" t="s">
        <v>408</v>
      </c>
      <c r="B95" s="126">
        <v>40963</v>
      </c>
      <c r="C95" s="143" t="s">
        <v>131</v>
      </c>
      <c r="D95" s="83" t="s">
        <v>1701</v>
      </c>
      <c r="E95" s="83" t="s">
        <v>1702</v>
      </c>
      <c r="F95" s="83" t="s">
        <v>53</v>
      </c>
      <c r="G95" s="83" t="s">
        <v>1964</v>
      </c>
      <c r="H95" s="128">
        <f>3850/1.18</f>
        <v>3262.71186440678</v>
      </c>
      <c r="I95" s="128">
        <f t="shared" si="4"/>
        <v>587.28813559322043</v>
      </c>
      <c r="K95" s="128">
        <f t="shared" si="5"/>
        <v>3850.0000000000005</v>
      </c>
      <c r="L95" s="83" t="s">
        <v>2860</v>
      </c>
      <c r="M95" s="83" t="s">
        <v>31</v>
      </c>
      <c r="P95" s="83" t="s">
        <v>2873</v>
      </c>
      <c r="Q95" s="126">
        <v>41007</v>
      </c>
    </row>
    <row r="96" spans="1:18" x14ac:dyDescent="0.2">
      <c r="A96" s="83" t="s">
        <v>12</v>
      </c>
      <c r="B96" s="126">
        <v>40966</v>
      </c>
      <c r="C96" s="143">
        <v>2012100180</v>
      </c>
      <c r="D96" s="83" t="s">
        <v>14</v>
      </c>
      <c r="E96" s="83" t="s">
        <v>13</v>
      </c>
      <c r="F96" s="83" t="s">
        <v>392</v>
      </c>
      <c r="G96" s="83" t="s">
        <v>2647</v>
      </c>
      <c r="H96" s="128">
        <v>2012.98</v>
      </c>
      <c r="I96" s="128">
        <f t="shared" si="4"/>
        <v>362.33639999999997</v>
      </c>
      <c r="K96" s="128">
        <f t="shared" si="5"/>
        <v>2375.3164000000002</v>
      </c>
      <c r="L96" s="83" t="s">
        <v>2507</v>
      </c>
      <c r="N96" s="83"/>
      <c r="P96" s="83" t="s">
        <v>2873</v>
      </c>
      <c r="Q96" s="126">
        <v>41007</v>
      </c>
    </row>
    <row r="97" spans="1:17" x14ac:dyDescent="0.2">
      <c r="A97" s="83" t="s">
        <v>12</v>
      </c>
      <c r="B97" s="126">
        <v>40966</v>
      </c>
      <c r="C97" s="147" t="s">
        <v>2891</v>
      </c>
      <c r="D97" s="83" t="s">
        <v>1946</v>
      </c>
      <c r="E97" s="83" t="s">
        <v>26</v>
      </c>
      <c r="F97" s="83" t="s">
        <v>2657</v>
      </c>
      <c r="G97" s="83" t="s">
        <v>2684</v>
      </c>
      <c r="H97" s="128">
        <f>5200/1.18</f>
        <v>4406.7796610169498</v>
      </c>
      <c r="I97" s="128">
        <f t="shared" si="4"/>
        <v>793.22033898305096</v>
      </c>
      <c r="K97" s="128">
        <f t="shared" si="5"/>
        <v>5200.0000000000009</v>
      </c>
      <c r="L97" s="83" t="s">
        <v>2709</v>
      </c>
      <c r="N97" s="83"/>
      <c r="P97" s="83" t="s">
        <v>2873</v>
      </c>
      <c r="Q97" s="126">
        <v>41007</v>
      </c>
    </row>
    <row r="98" spans="1:17" x14ac:dyDescent="0.2">
      <c r="A98" s="83" t="s">
        <v>12</v>
      </c>
      <c r="B98" s="126">
        <v>40967</v>
      </c>
      <c r="C98" s="147" t="s">
        <v>2899</v>
      </c>
      <c r="D98" s="83" t="s">
        <v>1946</v>
      </c>
      <c r="E98" s="83" t="s">
        <v>26</v>
      </c>
      <c r="F98" s="83" t="s">
        <v>2657</v>
      </c>
      <c r="G98" s="83" t="s">
        <v>2683</v>
      </c>
      <c r="H98" s="128">
        <f>5500/1.18</f>
        <v>4661.016949152543</v>
      </c>
      <c r="I98" s="128">
        <f t="shared" si="4"/>
        <v>838.98305084745766</v>
      </c>
      <c r="K98" s="128">
        <f t="shared" si="5"/>
        <v>5500.0000000000009</v>
      </c>
      <c r="L98" s="83" t="s">
        <v>2709</v>
      </c>
      <c r="N98" s="83"/>
      <c r="P98" s="83" t="s">
        <v>2873</v>
      </c>
      <c r="Q98" s="126">
        <v>41007</v>
      </c>
    </row>
    <row r="99" spans="1:17" x14ac:dyDescent="0.2">
      <c r="A99" s="83" t="s">
        <v>12</v>
      </c>
      <c r="B99" s="126">
        <v>40967</v>
      </c>
      <c r="C99" s="143" t="s">
        <v>2918</v>
      </c>
      <c r="D99" s="83" t="s">
        <v>2625</v>
      </c>
      <c r="E99" s="83" t="s">
        <v>2626</v>
      </c>
      <c r="F99" s="83" t="s">
        <v>2911</v>
      </c>
      <c r="G99" s="83" t="s">
        <v>2912</v>
      </c>
      <c r="H99" s="83">
        <v>5508.4750000000004</v>
      </c>
      <c r="I99" s="128">
        <f t="shared" si="4"/>
        <v>991.52550000000008</v>
      </c>
      <c r="K99" s="128">
        <f t="shared" si="5"/>
        <v>6500.0005000000001</v>
      </c>
      <c r="L99" s="83" t="s">
        <v>2709</v>
      </c>
      <c r="N99" s="83"/>
      <c r="P99" s="83" t="s">
        <v>348</v>
      </c>
      <c r="Q99" s="126">
        <v>41094</v>
      </c>
    </row>
    <row r="100" spans="1:17" x14ac:dyDescent="0.2">
      <c r="A100" s="83" t="s">
        <v>408</v>
      </c>
      <c r="B100" s="126">
        <v>40967</v>
      </c>
      <c r="C100" s="143" t="s">
        <v>2992</v>
      </c>
      <c r="D100" s="83" t="s">
        <v>2750</v>
      </c>
      <c r="E100" s="83" t="s">
        <v>2751</v>
      </c>
      <c r="F100" s="83" t="s">
        <v>381</v>
      </c>
      <c r="G100" s="83" t="s">
        <v>2644</v>
      </c>
      <c r="H100" s="128">
        <f>3300/1.18</f>
        <v>2796.6101694915255</v>
      </c>
      <c r="I100" s="128">
        <f t="shared" si="4"/>
        <v>503.38983050847457</v>
      </c>
      <c r="J100" s="128"/>
      <c r="K100" s="128">
        <f t="shared" si="5"/>
        <v>3300</v>
      </c>
      <c r="L100" s="83" t="s">
        <v>2827</v>
      </c>
      <c r="M100" s="83" t="s">
        <v>31</v>
      </c>
      <c r="P100" s="83" t="s">
        <v>348</v>
      </c>
      <c r="Q100" s="126">
        <v>41094</v>
      </c>
    </row>
    <row r="101" spans="1:17" x14ac:dyDescent="0.2">
      <c r="A101" s="83" t="s">
        <v>408</v>
      </c>
      <c r="B101" s="126">
        <v>40967</v>
      </c>
      <c r="C101" s="143" t="s">
        <v>2993</v>
      </c>
      <c r="D101" s="83" t="s">
        <v>2931</v>
      </c>
      <c r="E101" s="83" t="s">
        <v>2352</v>
      </c>
      <c r="F101" s="83" t="s">
        <v>2629</v>
      </c>
      <c r="G101" s="83" t="s">
        <v>2630</v>
      </c>
      <c r="H101" s="128">
        <f>5900/1.18</f>
        <v>5000</v>
      </c>
      <c r="I101" s="128">
        <f t="shared" si="4"/>
        <v>900</v>
      </c>
      <c r="J101" s="128"/>
      <c r="K101" s="128">
        <f t="shared" si="5"/>
        <v>5900</v>
      </c>
      <c r="L101" s="83" t="s">
        <v>2857</v>
      </c>
      <c r="M101" s="154" t="s">
        <v>3485</v>
      </c>
      <c r="P101" s="83" t="s">
        <v>348</v>
      </c>
      <c r="Q101" s="126">
        <v>41094</v>
      </c>
    </row>
    <row r="102" spans="1:17" x14ac:dyDescent="0.2">
      <c r="A102" s="83" t="s">
        <v>12</v>
      </c>
      <c r="B102" s="126">
        <v>40967</v>
      </c>
      <c r="C102" s="143" t="s">
        <v>944</v>
      </c>
      <c r="D102" s="83" t="s">
        <v>3220</v>
      </c>
      <c r="E102" s="83" t="s">
        <v>3221</v>
      </c>
      <c r="F102" s="83" t="s">
        <v>3075</v>
      </c>
      <c r="G102" s="83" t="s">
        <v>3076</v>
      </c>
      <c r="J102" s="83" t="s">
        <v>303</v>
      </c>
      <c r="K102" s="83">
        <v>750</v>
      </c>
      <c r="L102" s="83" t="s">
        <v>2507</v>
      </c>
      <c r="M102" s="83" t="s">
        <v>31</v>
      </c>
      <c r="N102" s="83"/>
      <c r="P102" s="83" t="s">
        <v>429</v>
      </c>
      <c r="Q102" s="126">
        <v>41190</v>
      </c>
    </row>
    <row r="103" spans="1:17" x14ac:dyDescent="0.2">
      <c r="A103" s="83" t="s">
        <v>408</v>
      </c>
      <c r="B103" s="126">
        <v>40968</v>
      </c>
      <c r="C103" s="143" t="s">
        <v>2998</v>
      </c>
      <c r="D103" s="83" t="s">
        <v>2999</v>
      </c>
      <c r="E103" s="83" t="s">
        <v>3000</v>
      </c>
      <c r="F103" s="83" t="s">
        <v>442</v>
      </c>
      <c r="G103" s="83" t="s">
        <v>2090</v>
      </c>
      <c r="H103" s="83">
        <f>14500/1.18</f>
        <v>12288.135593220341</v>
      </c>
      <c r="I103" s="128">
        <f>+H103*0.18</f>
        <v>2211.8644067796613</v>
      </c>
      <c r="K103" s="128">
        <f>+H103+I103</f>
        <v>14500.000000000002</v>
      </c>
      <c r="L103" s="83" t="s">
        <v>2867</v>
      </c>
      <c r="M103" s="83" t="s">
        <v>2921</v>
      </c>
      <c r="P103" s="83" t="s">
        <v>348</v>
      </c>
      <c r="Q103" s="126">
        <v>41094</v>
      </c>
    </row>
    <row r="104" spans="1:17" x14ac:dyDescent="0.2">
      <c r="A104" s="83" t="s">
        <v>408</v>
      </c>
      <c r="B104" s="126">
        <v>40968</v>
      </c>
      <c r="C104" s="143" t="s">
        <v>2995</v>
      </c>
      <c r="D104" s="83" t="s">
        <v>2996</v>
      </c>
      <c r="E104" s="83" t="s">
        <v>2997</v>
      </c>
      <c r="F104" s="83" t="s">
        <v>2446</v>
      </c>
      <c r="G104" s="83" t="s">
        <v>2959</v>
      </c>
      <c r="J104" s="83" t="s">
        <v>21</v>
      </c>
      <c r="K104" s="83">
        <v>250</v>
      </c>
      <c r="L104" s="83" t="s">
        <v>2994</v>
      </c>
      <c r="M104" s="83" t="s">
        <v>31</v>
      </c>
      <c r="P104" s="83" t="s">
        <v>348</v>
      </c>
      <c r="Q104" s="126">
        <v>41094</v>
      </c>
    </row>
    <row r="105" spans="1:17" x14ac:dyDescent="0.2">
      <c r="A105" s="83" t="s">
        <v>408</v>
      </c>
      <c r="B105" s="126">
        <v>40969</v>
      </c>
      <c r="C105" s="147" t="s">
        <v>3007</v>
      </c>
      <c r="D105" s="83" t="s">
        <v>2913</v>
      </c>
      <c r="E105" s="83" t="s">
        <v>2914</v>
      </c>
      <c r="F105" s="83" t="s">
        <v>400</v>
      </c>
      <c r="G105" s="83" t="s">
        <v>2915</v>
      </c>
      <c r="H105" s="83">
        <f>2000/1.18</f>
        <v>1694.9152542372883</v>
      </c>
      <c r="I105" s="128">
        <f>+H105*0.18</f>
        <v>305.08474576271186</v>
      </c>
      <c r="K105" s="128">
        <f>+H105+I105</f>
        <v>2000.0000000000002</v>
      </c>
      <c r="L105" s="83" t="s">
        <v>2710</v>
      </c>
      <c r="M105" s="83" t="s">
        <v>31</v>
      </c>
      <c r="P105" s="83" t="s">
        <v>348</v>
      </c>
      <c r="Q105" s="126">
        <v>41094</v>
      </c>
    </row>
    <row r="106" spans="1:17" x14ac:dyDescent="0.2">
      <c r="A106" s="83" t="s">
        <v>12</v>
      </c>
      <c r="B106" s="126">
        <v>40970</v>
      </c>
      <c r="C106" s="143">
        <v>2012100195</v>
      </c>
      <c r="D106" s="83" t="s">
        <v>14</v>
      </c>
      <c r="E106" s="83" t="s">
        <v>13</v>
      </c>
      <c r="F106" s="83" t="s">
        <v>392</v>
      </c>
      <c r="G106" s="83" t="s">
        <v>2648</v>
      </c>
      <c r="H106" s="128">
        <v>2372.88</v>
      </c>
      <c r="I106" s="128">
        <f>+H106*0.18</f>
        <v>427.11840000000001</v>
      </c>
      <c r="K106" s="128">
        <f>+H106+I106</f>
        <v>2799.9983999999999</v>
      </c>
      <c r="L106" s="83" t="s">
        <v>2709</v>
      </c>
      <c r="N106" s="83"/>
      <c r="P106" s="83" t="s">
        <v>2873</v>
      </c>
      <c r="Q106" s="126">
        <v>41007</v>
      </c>
    </row>
    <row r="107" spans="1:17" x14ac:dyDescent="0.2">
      <c r="A107" s="83" t="s">
        <v>12</v>
      </c>
      <c r="B107" s="126">
        <v>40970</v>
      </c>
      <c r="C107" s="143">
        <v>2012100194</v>
      </c>
      <c r="D107" s="83" t="s">
        <v>14</v>
      </c>
      <c r="E107" s="83" t="s">
        <v>13</v>
      </c>
      <c r="F107" s="83" t="s">
        <v>400</v>
      </c>
      <c r="G107" s="83" t="s">
        <v>2649</v>
      </c>
      <c r="H107" s="128">
        <v>2542.37</v>
      </c>
      <c r="I107" s="128">
        <f>+H107*0.18</f>
        <v>457.62659999999994</v>
      </c>
      <c r="K107" s="128">
        <f>+H107+I107</f>
        <v>2999.9965999999999</v>
      </c>
      <c r="L107" s="83" t="s">
        <v>3935</v>
      </c>
      <c r="N107" s="83"/>
      <c r="P107" s="83" t="s">
        <v>2873</v>
      </c>
      <c r="Q107" s="126">
        <v>41007</v>
      </c>
    </row>
    <row r="108" spans="1:17" x14ac:dyDescent="0.2">
      <c r="A108" s="83" t="s">
        <v>12</v>
      </c>
      <c r="B108" s="126">
        <v>40970</v>
      </c>
      <c r="C108" s="143">
        <v>2012100193</v>
      </c>
      <c r="D108" s="83" t="s">
        <v>14</v>
      </c>
      <c r="E108" s="83" t="s">
        <v>13</v>
      </c>
      <c r="F108" s="83" t="s">
        <v>2646</v>
      </c>
      <c r="G108" s="83" t="s">
        <v>2650</v>
      </c>
      <c r="H108" s="128">
        <v>2966.1</v>
      </c>
      <c r="I108" s="128">
        <f>+H108*0.18</f>
        <v>533.89799999999991</v>
      </c>
      <c r="K108" s="128">
        <f>+H108+I108</f>
        <v>3499.9979999999996</v>
      </c>
      <c r="L108" s="83" t="s">
        <v>2709</v>
      </c>
      <c r="N108" s="83"/>
      <c r="P108" s="83" t="s">
        <v>2873</v>
      </c>
      <c r="Q108" s="126">
        <v>41007</v>
      </c>
    </row>
    <row r="109" spans="1:17" x14ac:dyDescent="0.2">
      <c r="A109" s="83" t="s">
        <v>12</v>
      </c>
      <c r="B109" s="126">
        <v>40970</v>
      </c>
      <c r="C109" s="143" t="s">
        <v>944</v>
      </c>
      <c r="D109" s="83" t="s">
        <v>2868</v>
      </c>
      <c r="E109" s="83" t="s">
        <v>2955</v>
      </c>
      <c r="F109" s="83" t="s">
        <v>2956</v>
      </c>
      <c r="G109" s="83" t="s">
        <v>2957</v>
      </c>
      <c r="J109" s="83" t="s">
        <v>21</v>
      </c>
      <c r="K109" s="83">
        <v>4000</v>
      </c>
      <c r="L109" s="83" t="s">
        <v>2709</v>
      </c>
      <c r="M109" s="83" t="s">
        <v>2958</v>
      </c>
      <c r="N109" s="83"/>
      <c r="P109" s="83" t="s">
        <v>348</v>
      </c>
      <c r="Q109" s="126">
        <v>41094</v>
      </c>
    </row>
    <row r="110" spans="1:17" x14ac:dyDescent="0.2">
      <c r="A110" s="83" t="s">
        <v>408</v>
      </c>
      <c r="B110" s="126">
        <v>40970</v>
      </c>
      <c r="C110" s="143" t="s">
        <v>2322</v>
      </c>
      <c r="D110" s="83" t="s">
        <v>2931</v>
      </c>
      <c r="E110" s="83" t="s">
        <v>2352</v>
      </c>
      <c r="F110" s="83" t="s">
        <v>2629</v>
      </c>
      <c r="G110" s="83" t="s">
        <v>2642</v>
      </c>
      <c r="H110" s="128">
        <f>5100/1.18</f>
        <v>4322.0338983050851</v>
      </c>
      <c r="I110" s="128">
        <f>+H110*0.18</f>
        <v>777.96610169491532</v>
      </c>
      <c r="K110" s="128">
        <f>+H110+I110</f>
        <v>5100</v>
      </c>
      <c r="L110" s="83" t="s">
        <v>2817</v>
      </c>
      <c r="M110" s="83" t="s">
        <v>3486</v>
      </c>
      <c r="P110" s="83" t="s">
        <v>348</v>
      </c>
      <c r="Q110" s="126">
        <v>41100</v>
      </c>
    </row>
    <row r="111" spans="1:17" x14ac:dyDescent="0.2">
      <c r="A111" s="83" t="s">
        <v>12</v>
      </c>
      <c r="B111" s="126">
        <v>40973</v>
      </c>
      <c r="C111" s="143" t="s">
        <v>944</v>
      </c>
      <c r="D111" s="83" t="s">
        <v>2916</v>
      </c>
      <c r="E111" s="83" t="s">
        <v>1683</v>
      </c>
      <c r="F111" s="83" t="s">
        <v>3008</v>
      </c>
      <c r="G111" s="83" t="s">
        <v>2917</v>
      </c>
      <c r="J111" s="83" t="s">
        <v>21</v>
      </c>
      <c r="K111" s="83">
        <v>1800</v>
      </c>
      <c r="L111" s="83" t="s">
        <v>2709</v>
      </c>
      <c r="M111" s="83" t="s">
        <v>31</v>
      </c>
      <c r="N111" s="83"/>
      <c r="P111" s="83" t="s">
        <v>348</v>
      </c>
      <c r="Q111" s="126">
        <v>41094</v>
      </c>
    </row>
    <row r="112" spans="1:17" x14ac:dyDescent="0.2">
      <c r="A112" s="83" t="s">
        <v>408</v>
      </c>
      <c r="B112" s="126">
        <v>40973</v>
      </c>
      <c r="C112" s="143" t="s">
        <v>3009</v>
      </c>
      <c r="D112" s="83" t="s">
        <v>3010</v>
      </c>
      <c r="E112" s="83" t="s">
        <v>3011</v>
      </c>
      <c r="F112" s="83" t="s">
        <v>3008</v>
      </c>
      <c r="G112" s="83" t="s">
        <v>2917</v>
      </c>
      <c r="J112" s="83" t="s">
        <v>21</v>
      </c>
      <c r="K112" s="83">
        <v>1800</v>
      </c>
      <c r="L112" s="83" t="s">
        <v>3012</v>
      </c>
      <c r="M112" s="83" t="s">
        <v>31</v>
      </c>
      <c r="P112" s="83" t="s">
        <v>348</v>
      </c>
      <c r="Q112" s="126">
        <v>41094</v>
      </c>
    </row>
    <row r="113" spans="1:18" x14ac:dyDescent="0.2">
      <c r="A113" s="83" t="s">
        <v>408</v>
      </c>
      <c r="B113" s="126">
        <v>40973</v>
      </c>
      <c r="C113" s="143" t="s">
        <v>3021</v>
      </c>
      <c r="D113" s="83" t="s">
        <v>3023</v>
      </c>
      <c r="E113" s="83" t="s">
        <v>3022</v>
      </c>
      <c r="F113" s="83" t="s">
        <v>47</v>
      </c>
      <c r="G113" s="83" t="s">
        <v>2490</v>
      </c>
      <c r="J113" s="83" t="s">
        <v>21</v>
      </c>
      <c r="K113" s="83">
        <v>1000</v>
      </c>
      <c r="L113" s="83" t="s">
        <v>3020</v>
      </c>
      <c r="M113" s="83" t="s">
        <v>31</v>
      </c>
      <c r="P113" s="83" t="s">
        <v>348</v>
      </c>
      <c r="Q113" s="126">
        <v>41094</v>
      </c>
      <c r="R113" s="83" t="s">
        <v>3188</v>
      </c>
    </row>
    <row r="114" spans="1:18" x14ac:dyDescent="0.2">
      <c r="A114" s="83" t="s">
        <v>12</v>
      </c>
      <c r="B114" s="126">
        <v>40974</v>
      </c>
      <c r="C114" s="143">
        <v>2012100204</v>
      </c>
      <c r="D114" s="83" t="s">
        <v>14</v>
      </c>
      <c r="E114" s="83" t="s">
        <v>13</v>
      </c>
      <c r="F114" s="83" t="s">
        <v>392</v>
      </c>
      <c r="G114" s="83" t="s">
        <v>2651</v>
      </c>
      <c r="H114" s="128">
        <v>2372.88</v>
      </c>
      <c r="I114" s="128">
        <f t="shared" ref="I114:I135" si="6">+H114*0.18</f>
        <v>427.11840000000001</v>
      </c>
      <c r="K114" s="128">
        <f t="shared" ref="K114:K121" si="7">+H114+I114</f>
        <v>2799.9983999999999</v>
      </c>
      <c r="L114" s="83" t="s">
        <v>2709</v>
      </c>
      <c r="N114" s="83"/>
      <c r="P114" s="83" t="s">
        <v>2873</v>
      </c>
      <c r="Q114" s="126">
        <v>41007</v>
      </c>
    </row>
    <row r="115" spans="1:18" x14ac:dyDescent="0.2">
      <c r="A115" s="83" t="s">
        <v>12</v>
      </c>
      <c r="B115" s="126">
        <v>40974</v>
      </c>
      <c r="C115" s="143" t="s">
        <v>2879</v>
      </c>
      <c r="D115" s="83" t="s">
        <v>1946</v>
      </c>
      <c r="E115" s="83" t="s">
        <v>26</v>
      </c>
      <c r="F115" s="83" t="s">
        <v>368</v>
      </c>
      <c r="G115" s="83" t="s">
        <v>2686</v>
      </c>
      <c r="H115" s="128">
        <f>3100/1.18</f>
        <v>2627.1186440677966</v>
      </c>
      <c r="I115" s="128">
        <f t="shared" si="6"/>
        <v>472.88135593220335</v>
      </c>
      <c r="K115" s="128">
        <f t="shared" si="7"/>
        <v>3100</v>
      </c>
      <c r="L115" s="83" t="s">
        <v>2709</v>
      </c>
      <c r="N115" s="83"/>
      <c r="P115" s="83" t="s">
        <v>2873</v>
      </c>
      <c r="Q115" s="126">
        <v>41007</v>
      </c>
    </row>
    <row r="116" spans="1:18" x14ac:dyDescent="0.2">
      <c r="A116" s="149" t="s">
        <v>408</v>
      </c>
      <c r="B116" s="150">
        <v>40974</v>
      </c>
      <c r="C116" s="151" t="s">
        <v>3013</v>
      </c>
      <c r="D116" s="83" t="s">
        <v>3014</v>
      </c>
      <c r="E116" s="83" t="s">
        <v>3015</v>
      </c>
      <c r="F116" s="83" t="s">
        <v>2629</v>
      </c>
      <c r="G116" s="83" t="s">
        <v>2641</v>
      </c>
      <c r="H116" s="128">
        <f>5300/1.18</f>
        <v>4491.5254237288136</v>
      </c>
      <c r="I116" s="128">
        <f t="shared" si="6"/>
        <v>808.47457627118638</v>
      </c>
      <c r="J116" s="128"/>
      <c r="K116" s="128">
        <f t="shared" si="7"/>
        <v>5300</v>
      </c>
      <c r="L116" s="83" t="s">
        <v>2817</v>
      </c>
      <c r="M116" s="83" t="s">
        <v>3488</v>
      </c>
      <c r="P116" s="83" t="s">
        <v>348</v>
      </c>
      <c r="Q116" s="126">
        <v>41094</v>
      </c>
      <c r="R116" s="83" t="s">
        <v>3187</v>
      </c>
    </row>
    <row r="117" spans="1:18" x14ac:dyDescent="0.2">
      <c r="A117" s="83" t="s">
        <v>408</v>
      </c>
      <c r="B117" s="126">
        <v>40977</v>
      </c>
      <c r="C117" s="143" t="s">
        <v>3019</v>
      </c>
      <c r="D117" s="83" t="s">
        <v>2750</v>
      </c>
      <c r="E117" s="83" t="s">
        <v>2751</v>
      </c>
      <c r="F117" s="83" t="s">
        <v>2657</v>
      </c>
      <c r="G117" s="83" t="s">
        <v>2685</v>
      </c>
      <c r="H117" s="128">
        <f>5600/1.18</f>
        <v>4745.7627118644068</v>
      </c>
      <c r="I117" s="128">
        <f t="shared" si="6"/>
        <v>854.23728813559319</v>
      </c>
      <c r="J117" s="128"/>
      <c r="K117" s="128">
        <f t="shared" si="7"/>
        <v>5600</v>
      </c>
      <c r="L117" s="83" t="s">
        <v>3018</v>
      </c>
      <c r="M117" s="83" t="s">
        <v>3486</v>
      </c>
      <c r="P117" s="83" t="s">
        <v>348</v>
      </c>
      <c r="Q117" s="126">
        <v>41094</v>
      </c>
    </row>
    <row r="118" spans="1:18" x14ac:dyDescent="0.2">
      <c r="A118" s="83" t="s">
        <v>408</v>
      </c>
      <c r="B118" s="126">
        <v>40980</v>
      </c>
      <c r="C118" s="143" t="s">
        <v>3016</v>
      </c>
      <c r="D118" s="83" t="s">
        <v>2750</v>
      </c>
      <c r="E118" s="83" t="s">
        <v>2751</v>
      </c>
      <c r="F118" s="83" t="s">
        <v>472</v>
      </c>
      <c r="G118" s="83" t="s">
        <v>3017</v>
      </c>
      <c r="H118" s="128">
        <f>2450/1.18</f>
        <v>2076.2711864406779</v>
      </c>
      <c r="I118" s="128">
        <f t="shared" si="6"/>
        <v>373.72881355932202</v>
      </c>
      <c r="J118" s="128"/>
      <c r="K118" s="128">
        <f t="shared" si="7"/>
        <v>2450</v>
      </c>
      <c r="L118" s="84" t="s">
        <v>3181</v>
      </c>
      <c r="M118" s="83" t="s">
        <v>31</v>
      </c>
      <c r="P118" s="83" t="s">
        <v>348</v>
      </c>
      <c r="Q118" s="126">
        <v>41094</v>
      </c>
    </row>
    <row r="119" spans="1:18" x14ac:dyDescent="0.2">
      <c r="A119" s="83" t="s">
        <v>408</v>
      </c>
      <c r="B119" s="126">
        <v>40980</v>
      </c>
      <c r="C119" s="143" t="s">
        <v>3025</v>
      </c>
      <c r="D119" s="83" t="s">
        <v>3026</v>
      </c>
      <c r="E119" s="83" t="s">
        <v>3027</v>
      </c>
      <c r="F119" s="83" t="s">
        <v>2646</v>
      </c>
      <c r="G119" s="83" t="s">
        <v>2650</v>
      </c>
      <c r="H119" s="128">
        <f>3800/1.18</f>
        <v>3220.3389830508477</v>
      </c>
      <c r="I119" s="128">
        <f t="shared" si="6"/>
        <v>579.66101694915255</v>
      </c>
      <c r="J119" s="128"/>
      <c r="K119" s="128">
        <f t="shared" si="7"/>
        <v>3800</v>
      </c>
      <c r="L119" s="83" t="s">
        <v>3024</v>
      </c>
      <c r="M119" s="83" t="s">
        <v>31</v>
      </c>
      <c r="P119" s="83" t="s">
        <v>348</v>
      </c>
      <c r="Q119" s="126">
        <v>41094</v>
      </c>
    </row>
    <row r="120" spans="1:18" x14ac:dyDescent="0.2">
      <c r="A120" s="83" t="s">
        <v>408</v>
      </c>
      <c r="B120" s="126">
        <v>40981</v>
      </c>
      <c r="C120" s="143" t="s">
        <v>2961</v>
      </c>
      <c r="D120" s="83" t="s">
        <v>2962</v>
      </c>
      <c r="E120" s="83" t="s">
        <v>2963</v>
      </c>
      <c r="F120" s="83" t="s">
        <v>2634</v>
      </c>
      <c r="G120" s="83" t="s">
        <v>2635</v>
      </c>
      <c r="H120" s="128">
        <f>7900/1.18</f>
        <v>6694.9152542372885</v>
      </c>
      <c r="I120" s="128">
        <f t="shared" si="6"/>
        <v>1205.0847457627119</v>
      </c>
      <c r="J120" s="128"/>
      <c r="K120" s="128">
        <f t="shared" si="7"/>
        <v>7900</v>
      </c>
      <c r="L120" s="83" t="s">
        <v>2872</v>
      </c>
      <c r="M120" s="83" t="s">
        <v>3488</v>
      </c>
      <c r="P120" s="83" t="s">
        <v>348</v>
      </c>
      <c r="Q120" s="126">
        <v>41094</v>
      </c>
    </row>
    <row r="121" spans="1:18" x14ac:dyDescent="0.2">
      <c r="A121" s="83" t="s">
        <v>12</v>
      </c>
      <c r="B121" s="126">
        <v>40983</v>
      </c>
      <c r="C121" s="143">
        <v>15104096</v>
      </c>
      <c r="D121" s="83" t="s">
        <v>2902</v>
      </c>
      <c r="E121" s="83" t="s">
        <v>2903</v>
      </c>
      <c r="F121" s="83" t="s">
        <v>2904</v>
      </c>
      <c r="G121" s="83" t="s">
        <v>2905</v>
      </c>
      <c r="H121" s="83">
        <v>4661.0200000000004</v>
      </c>
      <c r="I121" s="128">
        <f t="shared" si="6"/>
        <v>838.98360000000002</v>
      </c>
      <c r="K121" s="128">
        <f t="shared" si="7"/>
        <v>5500.0036</v>
      </c>
      <c r="L121" s="83" t="s">
        <v>2709</v>
      </c>
      <c r="M121" s="83" t="s">
        <v>2906</v>
      </c>
      <c r="N121" s="83"/>
      <c r="P121" s="83" t="s">
        <v>348</v>
      </c>
      <c r="Q121" s="126">
        <v>41094</v>
      </c>
    </row>
    <row r="122" spans="1:18" x14ac:dyDescent="0.2">
      <c r="A122" s="83" t="s">
        <v>12</v>
      </c>
      <c r="B122" s="126">
        <v>40983</v>
      </c>
      <c r="C122" s="143">
        <v>15104092</v>
      </c>
      <c r="D122" s="83" t="s">
        <v>2902</v>
      </c>
      <c r="E122" s="83" t="s">
        <v>2903</v>
      </c>
      <c r="F122" s="83" t="s">
        <v>2907</v>
      </c>
      <c r="G122" s="83" t="s">
        <v>2908</v>
      </c>
      <c r="I122" s="128">
        <f t="shared" si="6"/>
        <v>0</v>
      </c>
      <c r="J122" s="83" t="s">
        <v>21</v>
      </c>
      <c r="K122" s="128">
        <v>5000</v>
      </c>
      <c r="L122" s="83" t="s">
        <v>2709</v>
      </c>
      <c r="M122" s="83" t="s">
        <v>2906</v>
      </c>
      <c r="N122" s="83"/>
      <c r="P122" s="83" t="s">
        <v>348</v>
      </c>
      <c r="Q122" s="126">
        <v>41094</v>
      </c>
    </row>
    <row r="123" spans="1:18" x14ac:dyDescent="0.2">
      <c r="A123" s="83" t="s">
        <v>12</v>
      </c>
      <c r="B123" s="126">
        <v>40983</v>
      </c>
      <c r="C123" s="143">
        <v>15104093</v>
      </c>
      <c r="D123" s="83" t="s">
        <v>2902</v>
      </c>
      <c r="E123" s="83" t="s">
        <v>2903</v>
      </c>
      <c r="F123" s="83" t="s">
        <v>2909</v>
      </c>
      <c r="G123" s="83" t="s">
        <v>2910</v>
      </c>
      <c r="I123" s="128">
        <f t="shared" si="6"/>
        <v>0</v>
      </c>
      <c r="J123" s="83" t="s">
        <v>21</v>
      </c>
      <c r="K123" s="128">
        <v>1500</v>
      </c>
      <c r="L123" s="83" t="s">
        <v>2709</v>
      </c>
      <c r="M123" s="83" t="s">
        <v>2906</v>
      </c>
      <c r="N123" s="83"/>
      <c r="P123" s="83" t="s">
        <v>348</v>
      </c>
      <c r="Q123" s="126">
        <v>41094</v>
      </c>
    </row>
    <row r="124" spans="1:18" x14ac:dyDescent="0.2">
      <c r="A124" s="83" t="s">
        <v>408</v>
      </c>
      <c r="B124" s="126">
        <v>40983</v>
      </c>
      <c r="C124" s="143" t="s">
        <v>3029</v>
      </c>
      <c r="D124" s="83" t="s">
        <v>3030</v>
      </c>
      <c r="E124" s="83" t="s">
        <v>3031</v>
      </c>
      <c r="F124" s="83" t="s">
        <v>2196</v>
      </c>
      <c r="G124" s="83" t="s">
        <v>2194</v>
      </c>
      <c r="H124" s="128">
        <f>9700/1.18</f>
        <v>8220.3389830508477</v>
      </c>
      <c r="I124" s="128">
        <f t="shared" si="6"/>
        <v>1479.6610169491526</v>
      </c>
      <c r="J124" s="128"/>
      <c r="K124" s="128">
        <f t="shared" ref="K124:K135" si="8">+H124+I124</f>
        <v>9700</v>
      </c>
      <c r="L124" s="83" t="s">
        <v>3028</v>
      </c>
      <c r="M124" s="83" t="s">
        <v>3473</v>
      </c>
      <c r="P124" s="83" t="s">
        <v>348</v>
      </c>
      <c r="Q124" s="126">
        <v>41094</v>
      </c>
    </row>
    <row r="125" spans="1:18" ht="12.75" x14ac:dyDescent="0.2">
      <c r="A125" s="83" t="s">
        <v>408</v>
      </c>
      <c r="B125" s="126">
        <v>40983</v>
      </c>
      <c r="C125" s="143" t="s">
        <v>3038</v>
      </c>
      <c r="D125" s="83" t="s">
        <v>3039</v>
      </c>
      <c r="E125" s="83" t="s">
        <v>3040</v>
      </c>
      <c r="F125" s="1" t="s">
        <v>1584</v>
      </c>
      <c r="G125" s="1" t="s">
        <v>1585</v>
      </c>
      <c r="H125" s="128">
        <f>1500/1.18</f>
        <v>1271.1864406779662</v>
      </c>
      <c r="I125" s="128">
        <f t="shared" si="6"/>
        <v>228.81355932203391</v>
      </c>
      <c r="J125" s="128"/>
      <c r="K125" s="128">
        <f t="shared" si="8"/>
        <v>1500</v>
      </c>
      <c r="L125" s="83" t="s">
        <v>3037</v>
      </c>
      <c r="M125" s="83" t="s">
        <v>3501</v>
      </c>
      <c r="P125" s="83" t="s">
        <v>348</v>
      </c>
      <c r="Q125" s="126">
        <v>41094</v>
      </c>
    </row>
    <row r="126" spans="1:18" x14ac:dyDescent="0.2">
      <c r="A126" s="83" t="s">
        <v>408</v>
      </c>
      <c r="B126" s="126">
        <v>40984</v>
      </c>
      <c r="C126" s="143" t="s">
        <v>3032</v>
      </c>
      <c r="D126" s="83" t="s">
        <v>3033</v>
      </c>
      <c r="E126" s="83" t="s">
        <v>3034</v>
      </c>
      <c r="F126" s="83" t="s">
        <v>2657</v>
      </c>
      <c r="G126" s="83" t="s">
        <v>2919</v>
      </c>
      <c r="H126" s="83">
        <f>5800/1.18</f>
        <v>4915.2542372881362</v>
      </c>
      <c r="I126" s="128">
        <f t="shared" si="6"/>
        <v>884.74576271186447</v>
      </c>
      <c r="K126" s="128">
        <f t="shared" si="8"/>
        <v>5800.0000000000009</v>
      </c>
      <c r="L126" s="83" t="s">
        <v>3178</v>
      </c>
      <c r="M126" s="83" t="s">
        <v>2920</v>
      </c>
      <c r="P126" s="83" t="s">
        <v>348</v>
      </c>
      <c r="Q126" s="126">
        <v>41094</v>
      </c>
    </row>
    <row r="127" spans="1:18" x14ac:dyDescent="0.2">
      <c r="A127" s="83" t="s">
        <v>12</v>
      </c>
      <c r="B127" s="126">
        <v>40989</v>
      </c>
      <c r="C127" s="143">
        <v>2012100244</v>
      </c>
      <c r="D127" s="83" t="s">
        <v>14</v>
      </c>
      <c r="E127" s="83" t="s">
        <v>13</v>
      </c>
      <c r="F127" s="83" t="s">
        <v>2652</v>
      </c>
      <c r="G127" s="83" t="s">
        <v>2653</v>
      </c>
      <c r="H127" s="128">
        <v>11016.95</v>
      </c>
      <c r="I127" s="128">
        <f t="shared" si="6"/>
        <v>1983.0510000000002</v>
      </c>
      <c r="K127" s="128">
        <f t="shared" si="8"/>
        <v>13000.001</v>
      </c>
      <c r="L127" s="83" t="s">
        <v>3509</v>
      </c>
      <c r="N127" s="83"/>
      <c r="P127" s="83" t="s">
        <v>2873</v>
      </c>
      <c r="Q127" s="126">
        <v>41007</v>
      </c>
    </row>
    <row r="128" spans="1:18" x14ac:dyDescent="0.2">
      <c r="A128" s="83" t="s">
        <v>12</v>
      </c>
      <c r="B128" s="126">
        <v>40989</v>
      </c>
      <c r="C128" s="143">
        <v>2012100243</v>
      </c>
      <c r="D128" s="83" t="s">
        <v>14</v>
      </c>
      <c r="E128" s="83" t="s">
        <v>13</v>
      </c>
      <c r="F128" s="83" t="s">
        <v>2646</v>
      </c>
      <c r="G128" s="83" t="s">
        <v>2654</v>
      </c>
      <c r="H128" s="128">
        <v>2542.37</v>
      </c>
      <c r="I128" s="128">
        <f t="shared" si="6"/>
        <v>457.62659999999994</v>
      </c>
      <c r="K128" s="128">
        <f t="shared" si="8"/>
        <v>2999.9965999999999</v>
      </c>
      <c r="L128" s="83" t="s">
        <v>2709</v>
      </c>
      <c r="N128" s="83"/>
      <c r="P128" s="83" t="s">
        <v>2873</v>
      </c>
      <c r="Q128" s="126">
        <v>41007</v>
      </c>
    </row>
    <row r="129" spans="1:18" x14ac:dyDescent="0.2">
      <c r="A129" s="83" t="s">
        <v>12</v>
      </c>
      <c r="B129" s="126">
        <v>40989</v>
      </c>
      <c r="C129" s="147" t="s">
        <v>2900</v>
      </c>
      <c r="D129" s="83" t="s">
        <v>1946</v>
      </c>
      <c r="E129" s="83" t="s">
        <v>26</v>
      </c>
      <c r="F129" s="83" t="s">
        <v>2638</v>
      </c>
      <c r="G129" s="83" t="s">
        <v>2687</v>
      </c>
      <c r="H129" s="128">
        <f>1100/1.18</f>
        <v>932.20338983050851</v>
      </c>
      <c r="I129" s="128">
        <f t="shared" si="6"/>
        <v>167.79661016949152</v>
      </c>
      <c r="K129" s="128">
        <f t="shared" si="8"/>
        <v>1100</v>
      </c>
      <c r="L129" s="83" t="s">
        <v>2709</v>
      </c>
      <c r="N129" s="83"/>
      <c r="P129" s="83" t="s">
        <v>2873</v>
      </c>
      <c r="Q129" s="126">
        <v>41007</v>
      </c>
    </row>
    <row r="130" spans="1:18" x14ac:dyDescent="0.2">
      <c r="A130" s="83" t="s">
        <v>12</v>
      </c>
      <c r="B130" s="126">
        <v>40989</v>
      </c>
      <c r="C130" s="143" t="s">
        <v>2901</v>
      </c>
      <c r="D130" s="83" t="s">
        <v>1946</v>
      </c>
      <c r="E130" s="83" t="s">
        <v>26</v>
      </c>
      <c r="F130" s="83" t="s">
        <v>390</v>
      </c>
      <c r="G130" s="83" t="s">
        <v>2688</v>
      </c>
      <c r="H130" s="128">
        <f>3100/1.18</f>
        <v>2627.1186440677966</v>
      </c>
      <c r="I130" s="128">
        <f t="shared" si="6"/>
        <v>472.88135593220335</v>
      </c>
      <c r="K130" s="128">
        <f t="shared" si="8"/>
        <v>3100</v>
      </c>
      <c r="L130" s="83" t="s">
        <v>2709</v>
      </c>
      <c r="N130" s="83"/>
      <c r="P130" s="83" t="s">
        <v>2873</v>
      </c>
      <c r="Q130" s="126">
        <v>41007</v>
      </c>
    </row>
    <row r="131" spans="1:18" x14ac:dyDescent="0.2">
      <c r="A131" s="83" t="s">
        <v>408</v>
      </c>
      <c r="B131" s="126">
        <v>40989</v>
      </c>
      <c r="C131" s="143" t="s">
        <v>3124</v>
      </c>
      <c r="D131" s="83" t="s">
        <v>3035</v>
      </c>
      <c r="E131" s="83" t="s">
        <v>3036</v>
      </c>
      <c r="F131" s="83" t="s">
        <v>2636</v>
      </c>
      <c r="G131" s="83" t="s">
        <v>2637</v>
      </c>
      <c r="H131" s="128">
        <f>3800/1.18</f>
        <v>3220.3389830508477</v>
      </c>
      <c r="I131" s="128">
        <f t="shared" si="6"/>
        <v>579.66101694915255</v>
      </c>
      <c r="J131" s="128"/>
      <c r="K131" s="128">
        <f t="shared" si="8"/>
        <v>3800</v>
      </c>
      <c r="L131" s="83" t="s">
        <v>2872</v>
      </c>
      <c r="M131" s="83" t="s">
        <v>3488</v>
      </c>
      <c r="P131" s="83" t="s">
        <v>348</v>
      </c>
      <c r="Q131" s="126">
        <v>41094</v>
      </c>
    </row>
    <row r="132" spans="1:18" x14ac:dyDescent="0.2">
      <c r="A132" s="84" t="s">
        <v>408</v>
      </c>
      <c r="B132" s="129">
        <v>40989</v>
      </c>
      <c r="C132" s="147" t="s">
        <v>3042</v>
      </c>
      <c r="D132" s="84" t="s">
        <v>2826</v>
      </c>
      <c r="E132" s="84" t="s">
        <v>2805</v>
      </c>
      <c r="F132" s="84" t="s">
        <v>2657</v>
      </c>
      <c r="G132" s="84" t="s">
        <v>2684</v>
      </c>
      <c r="H132" s="131">
        <f>5800/1.18</f>
        <v>4915.2542372881362</v>
      </c>
      <c r="I132" s="131">
        <f t="shared" si="6"/>
        <v>884.74576271186447</v>
      </c>
      <c r="J132" s="131"/>
      <c r="K132" s="131">
        <f t="shared" si="8"/>
        <v>5800.0000000000009</v>
      </c>
      <c r="L132" s="84" t="s">
        <v>3041</v>
      </c>
      <c r="M132" s="84" t="s">
        <v>31</v>
      </c>
      <c r="N132" s="147"/>
      <c r="O132" s="84"/>
      <c r="P132" s="84" t="s">
        <v>348</v>
      </c>
      <c r="Q132" s="129">
        <v>41094</v>
      </c>
      <c r="R132" s="83" t="s">
        <v>3182</v>
      </c>
    </row>
    <row r="133" spans="1:18" x14ac:dyDescent="0.2">
      <c r="A133" s="83" t="s">
        <v>408</v>
      </c>
      <c r="B133" s="126">
        <v>40991</v>
      </c>
      <c r="C133" s="143" t="s">
        <v>3043</v>
      </c>
      <c r="D133" s="83" t="s">
        <v>3044</v>
      </c>
      <c r="E133" s="83" t="s">
        <v>1200</v>
      </c>
      <c r="F133" s="83" t="s">
        <v>59</v>
      </c>
      <c r="G133" s="83" t="s">
        <v>2496</v>
      </c>
      <c r="H133" s="128">
        <f>2900/1.18</f>
        <v>2457.6271186440681</v>
      </c>
      <c r="I133" s="128">
        <f t="shared" si="6"/>
        <v>442.37288135593224</v>
      </c>
      <c r="J133" s="128"/>
      <c r="K133" s="128">
        <f t="shared" si="8"/>
        <v>2900.0000000000005</v>
      </c>
      <c r="L133" s="83" t="s">
        <v>2710</v>
      </c>
      <c r="M133" s="83" t="s">
        <v>3313</v>
      </c>
      <c r="P133" s="83" t="s">
        <v>348</v>
      </c>
      <c r="Q133" s="126">
        <v>41094</v>
      </c>
    </row>
    <row r="134" spans="1:18" x14ac:dyDescent="0.2">
      <c r="A134" s="83" t="s">
        <v>408</v>
      </c>
      <c r="B134" s="126">
        <v>40994</v>
      </c>
      <c r="C134" s="143" t="s">
        <v>3045</v>
      </c>
      <c r="D134" s="83" t="s">
        <v>3046</v>
      </c>
      <c r="E134" s="83" t="s">
        <v>3047</v>
      </c>
      <c r="F134" s="83" t="s">
        <v>368</v>
      </c>
      <c r="G134" s="83" t="s">
        <v>2686</v>
      </c>
      <c r="H134" s="128">
        <f>3400/1.18</f>
        <v>2881.3559322033898</v>
      </c>
      <c r="I134" s="128">
        <f t="shared" si="6"/>
        <v>518.6440677966101</v>
      </c>
      <c r="J134" s="128"/>
      <c r="K134" s="128">
        <f t="shared" si="8"/>
        <v>3400</v>
      </c>
      <c r="L134" s="83" t="s">
        <v>3048</v>
      </c>
      <c r="M134" s="83" t="s">
        <v>3488</v>
      </c>
      <c r="P134" s="83" t="s">
        <v>348</v>
      </c>
      <c r="Q134" s="126">
        <v>41094</v>
      </c>
    </row>
    <row r="135" spans="1:18" x14ac:dyDescent="0.2">
      <c r="A135" s="83" t="s">
        <v>408</v>
      </c>
      <c r="B135" s="126">
        <v>40994</v>
      </c>
      <c r="C135" s="143" t="s">
        <v>3049</v>
      </c>
      <c r="D135" s="83" t="s">
        <v>3050</v>
      </c>
      <c r="E135" s="83" t="s">
        <v>3051</v>
      </c>
      <c r="F135" s="83" t="s">
        <v>392</v>
      </c>
      <c r="G135" s="83" t="s">
        <v>2651</v>
      </c>
      <c r="H135" s="128">
        <f>3100/1.18</f>
        <v>2627.1186440677966</v>
      </c>
      <c r="I135" s="128">
        <f t="shared" si="6"/>
        <v>472.88135593220335</v>
      </c>
      <c r="J135" s="128"/>
      <c r="K135" s="128">
        <f t="shared" si="8"/>
        <v>3100</v>
      </c>
      <c r="L135" s="83" t="s">
        <v>3052</v>
      </c>
      <c r="M135" s="83" t="s">
        <v>31</v>
      </c>
      <c r="P135" s="83" t="s">
        <v>348</v>
      </c>
      <c r="Q135" s="126">
        <v>41094</v>
      </c>
    </row>
    <row r="136" spans="1:18" x14ac:dyDescent="0.2">
      <c r="A136" s="83" t="s">
        <v>408</v>
      </c>
      <c r="B136" s="126">
        <v>40996</v>
      </c>
      <c r="C136" s="143" t="s">
        <v>3053</v>
      </c>
      <c r="D136" s="148" t="s">
        <v>3054</v>
      </c>
      <c r="E136" s="83" t="s">
        <v>3055</v>
      </c>
      <c r="F136" s="83" t="s">
        <v>2932</v>
      </c>
      <c r="G136" s="83" t="s">
        <v>3056</v>
      </c>
      <c r="J136" s="83" t="s">
        <v>21</v>
      </c>
      <c r="K136" s="83">
        <v>5700</v>
      </c>
      <c r="L136" s="83" t="s">
        <v>3057</v>
      </c>
      <c r="M136" s="83" t="s">
        <v>3489</v>
      </c>
      <c r="P136" s="83" t="s">
        <v>348</v>
      </c>
      <c r="Q136" s="126">
        <v>41094</v>
      </c>
      <c r="R136" s="83" t="s">
        <v>3188</v>
      </c>
    </row>
    <row r="137" spans="1:18" x14ac:dyDescent="0.2">
      <c r="A137" s="83" t="s">
        <v>12</v>
      </c>
      <c r="B137" s="126">
        <v>40997</v>
      </c>
      <c r="C137" s="143" t="s">
        <v>2878</v>
      </c>
      <c r="D137" s="83" t="s">
        <v>1946</v>
      </c>
      <c r="E137" s="83" t="s">
        <v>26</v>
      </c>
      <c r="F137" s="83" t="s">
        <v>2657</v>
      </c>
      <c r="G137" s="83" t="s">
        <v>2685</v>
      </c>
      <c r="H137" s="128">
        <f>4900/1.18</f>
        <v>4152.5423728813557</v>
      </c>
      <c r="I137" s="128">
        <f t="shared" ref="I137:I150" si="9">+H137*0.18</f>
        <v>747.45762711864404</v>
      </c>
      <c r="K137" s="128">
        <f t="shared" ref="K137:K150" si="10">+H137+I137</f>
        <v>4900</v>
      </c>
      <c r="L137" s="83" t="s">
        <v>2709</v>
      </c>
      <c r="N137" s="83"/>
      <c r="P137" s="83" t="s">
        <v>2873</v>
      </c>
      <c r="Q137" s="126">
        <v>41007</v>
      </c>
    </row>
    <row r="138" spans="1:18" x14ac:dyDescent="0.2">
      <c r="A138" s="83" t="s">
        <v>408</v>
      </c>
      <c r="B138" s="126">
        <v>40997</v>
      </c>
      <c r="C138" s="143" t="s">
        <v>134</v>
      </c>
      <c r="D138" s="83" t="s">
        <v>2868</v>
      </c>
      <c r="E138" s="83" t="s">
        <v>2869</v>
      </c>
      <c r="F138" s="83" t="s">
        <v>65</v>
      </c>
      <c r="G138" s="83" t="s">
        <v>2089</v>
      </c>
      <c r="H138" s="128">
        <f>4000/1.18</f>
        <v>3389.8305084745766</v>
      </c>
      <c r="I138" s="128">
        <f t="shared" si="9"/>
        <v>610.16949152542372</v>
      </c>
      <c r="K138" s="128">
        <f t="shared" si="10"/>
        <v>4000.0000000000005</v>
      </c>
      <c r="L138" s="83" t="s">
        <v>2867</v>
      </c>
      <c r="M138" s="83" t="s">
        <v>31</v>
      </c>
      <c r="P138" s="83" t="s">
        <v>2873</v>
      </c>
      <c r="Q138" s="126">
        <v>41007</v>
      </c>
    </row>
    <row r="139" spans="1:18" x14ac:dyDescent="0.2">
      <c r="A139" s="83" t="s">
        <v>408</v>
      </c>
      <c r="B139" s="126">
        <v>40998</v>
      </c>
      <c r="C139" s="143" t="s">
        <v>135</v>
      </c>
      <c r="D139" s="83" t="s">
        <v>2875</v>
      </c>
      <c r="E139" s="83" t="s">
        <v>2876</v>
      </c>
      <c r="F139" s="83" t="s">
        <v>59</v>
      </c>
      <c r="G139" s="83" t="s">
        <v>2500</v>
      </c>
      <c r="H139" s="128">
        <v>2900</v>
      </c>
      <c r="I139" s="128">
        <f t="shared" si="9"/>
        <v>522</v>
      </c>
      <c r="J139" s="83" t="s">
        <v>2871</v>
      </c>
      <c r="K139" s="128">
        <f t="shared" si="10"/>
        <v>3422</v>
      </c>
      <c r="L139" s="83" t="s">
        <v>2870</v>
      </c>
      <c r="M139" s="83" t="s">
        <v>3476</v>
      </c>
      <c r="P139" s="83" t="s">
        <v>2873</v>
      </c>
      <c r="Q139" s="126">
        <v>41007</v>
      </c>
    </row>
    <row r="140" spans="1:18" x14ac:dyDescent="0.2">
      <c r="A140" s="83" t="s">
        <v>408</v>
      </c>
      <c r="B140" s="126">
        <v>40998</v>
      </c>
      <c r="C140" s="143" t="s">
        <v>135</v>
      </c>
      <c r="D140" s="83" t="s">
        <v>2875</v>
      </c>
      <c r="E140" s="83" t="s">
        <v>2877</v>
      </c>
      <c r="F140" s="83" t="s">
        <v>2638</v>
      </c>
      <c r="G140" s="83" t="s">
        <v>2639</v>
      </c>
      <c r="H140" s="128">
        <v>3000</v>
      </c>
      <c r="I140" s="128">
        <f t="shared" si="9"/>
        <v>540</v>
      </c>
      <c r="J140" s="83" t="s">
        <v>2871</v>
      </c>
      <c r="K140" s="128">
        <f t="shared" si="10"/>
        <v>3540</v>
      </c>
      <c r="L140" s="83" t="s">
        <v>2872</v>
      </c>
      <c r="M140" s="83" t="s">
        <v>3476</v>
      </c>
      <c r="P140" s="83" t="s">
        <v>2873</v>
      </c>
      <c r="Q140" s="126">
        <v>41007</v>
      </c>
    </row>
    <row r="141" spans="1:18" x14ac:dyDescent="0.2">
      <c r="A141" s="83" t="s">
        <v>12</v>
      </c>
      <c r="B141" s="126">
        <v>40998</v>
      </c>
      <c r="C141" s="143">
        <v>2012100289</v>
      </c>
      <c r="D141" s="83" t="s">
        <v>14</v>
      </c>
      <c r="E141" s="83" t="s">
        <v>13</v>
      </c>
      <c r="F141" s="83" t="s">
        <v>400</v>
      </c>
      <c r="G141" s="83" t="s">
        <v>2930</v>
      </c>
      <c r="H141" s="83">
        <v>2542.37</v>
      </c>
      <c r="I141" s="128">
        <f t="shared" si="9"/>
        <v>457.62659999999994</v>
      </c>
      <c r="K141" s="128">
        <f t="shared" si="10"/>
        <v>2999.9965999999999</v>
      </c>
      <c r="L141" s="83" t="s">
        <v>2709</v>
      </c>
      <c r="N141" s="83"/>
      <c r="P141" s="83" t="s">
        <v>348</v>
      </c>
      <c r="Q141" s="126">
        <v>41094</v>
      </c>
    </row>
    <row r="142" spans="1:18" x14ac:dyDescent="0.2">
      <c r="A142" s="83" t="s">
        <v>408</v>
      </c>
      <c r="B142" s="126">
        <v>41000</v>
      </c>
      <c r="C142" s="143" t="s">
        <v>3162</v>
      </c>
      <c r="D142" s="83" t="s">
        <v>3163</v>
      </c>
      <c r="E142" s="83" t="s">
        <v>3164</v>
      </c>
      <c r="F142" s="83" t="s">
        <v>2657</v>
      </c>
      <c r="G142" s="83" t="s">
        <v>2683</v>
      </c>
      <c r="H142" s="83">
        <v>5084.75</v>
      </c>
      <c r="I142" s="128">
        <f t="shared" si="9"/>
        <v>915.255</v>
      </c>
      <c r="K142" s="128">
        <f t="shared" si="10"/>
        <v>6000.0050000000001</v>
      </c>
      <c r="L142" s="83" t="s">
        <v>3180</v>
      </c>
      <c r="M142" s="83" t="s">
        <v>31</v>
      </c>
      <c r="P142" s="83" t="s">
        <v>348</v>
      </c>
      <c r="Q142" s="126">
        <v>41100</v>
      </c>
    </row>
    <row r="143" spans="1:18" x14ac:dyDescent="0.2">
      <c r="A143" s="83" t="s">
        <v>12</v>
      </c>
      <c r="B143" s="126">
        <v>41001</v>
      </c>
      <c r="C143" s="143" t="s">
        <v>2892</v>
      </c>
      <c r="D143" s="83" t="s">
        <v>1946</v>
      </c>
      <c r="E143" s="83" t="s">
        <v>26</v>
      </c>
      <c r="F143" s="83" t="s">
        <v>2893</v>
      </c>
      <c r="G143" s="83" t="s">
        <v>2894</v>
      </c>
      <c r="H143" s="83">
        <v>19491.53</v>
      </c>
      <c r="I143" s="128">
        <f t="shared" si="9"/>
        <v>3508.4753999999998</v>
      </c>
      <c r="K143" s="128">
        <f t="shared" si="10"/>
        <v>23000.005399999998</v>
      </c>
      <c r="L143" s="83" t="s">
        <v>2709</v>
      </c>
      <c r="N143" s="83"/>
      <c r="P143" s="83" t="s">
        <v>348</v>
      </c>
      <c r="Q143" s="126">
        <v>41094</v>
      </c>
    </row>
    <row r="144" spans="1:18" x14ac:dyDescent="0.2">
      <c r="A144" s="83" t="s">
        <v>12</v>
      </c>
      <c r="B144" s="126">
        <v>41001</v>
      </c>
      <c r="C144" s="143" t="s">
        <v>3176</v>
      </c>
      <c r="D144" s="83" t="s">
        <v>1946</v>
      </c>
      <c r="E144" s="83" t="s">
        <v>26</v>
      </c>
      <c r="F144" s="83" t="s">
        <v>2657</v>
      </c>
      <c r="G144" s="83" t="s">
        <v>3151</v>
      </c>
      <c r="H144" s="128">
        <f>5500/1.18</f>
        <v>4661.016949152543</v>
      </c>
      <c r="I144" s="128">
        <f t="shared" si="9"/>
        <v>838.98305084745766</v>
      </c>
      <c r="K144" s="128">
        <f t="shared" si="10"/>
        <v>5500.0000000000009</v>
      </c>
      <c r="L144" s="83" t="s">
        <v>2709</v>
      </c>
      <c r="N144" s="83"/>
      <c r="P144" s="83" t="s">
        <v>348</v>
      </c>
      <c r="Q144" s="126">
        <v>41100</v>
      </c>
    </row>
    <row r="145" spans="1:18" x14ac:dyDescent="0.2">
      <c r="A145" s="83" t="s">
        <v>12</v>
      </c>
      <c r="B145" s="126">
        <v>41008</v>
      </c>
      <c r="C145" s="143">
        <v>2012100279</v>
      </c>
      <c r="D145" s="83" t="s">
        <v>14</v>
      </c>
      <c r="E145" s="83" t="s">
        <v>13</v>
      </c>
      <c r="F145" s="83" t="s">
        <v>373</v>
      </c>
      <c r="G145" s="83" t="s">
        <v>2928</v>
      </c>
      <c r="H145" s="83">
        <v>2966.1</v>
      </c>
      <c r="I145" s="128">
        <f t="shared" si="9"/>
        <v>533.89799999999991</v>
      </c>
      <c r="K145" s="128">
        <f t="shared" si="10"/>
        <v>3499.9979999999996</v>
      </c>
      <c r="L145" s="83" t="s">
        <v>2709</v>
      </c>
      <c r="N145" s="83"/>
      <c r="P145" s="83" t="s">
        <v>348</v>
      </c>
      <c r="Q145" s="126">
        <v>41094</v>
      </c>
    </row>
    <row r="146" spans="1:18" x14ac:dyDescent="0.2">
      <c r="A146" s="84" t="s">
        <v>408</v>
      </c>
      <c r="B146" s="129">
        <v>41008</v>
      </c>
      <c r="C146" s="147" t="s">
        <v>3161</v>
      </c>
      <c r="D146" s="84" t="s">
        <v>2826</v>
      </c>
      <c r="E146" s="84" t="s">
        <v>2805</v>
      </c>
      <c r="F146" s="84" t="s">
        <v>2657</v>
      </c>
      <c r="G146" s="84" t="s">
        <v>3151</v>
      </c>
      <c r="H146" s="131">
        <f>5700/1.18</f>
        <v>4830.5084745762715</v>
      </c>
      <c r="I146" s="131">
        <f t="shared" si="9"/>
        <v>869.49152542372883</v>
      </c>
      <c r="J146" s="84"/>
      <c r="K146" s="131">
        <f t="shared" si="10"/>
        <v>5700</v>
      </c>
      <c r="L146" s="84" t="s">
        <v>3177</v>
      </c>
      <c r="M146" s="83" t="s">
        <v>3489</v>
      </c>
      <c r="N146" s="147"/>
      <c r="O146" s="84"/>
      <c r="P146" s="84" t="s">
        <v>348</v>
      </c>
      <c r="Q146" s="129">
        <v>41100</v>
      </c>
      <c r="R146" s="83" t="s">
        <v>3182</v>
      </c>
    </row>
    <row r="147" spans="1:18" x14ac:dyDescent="0.2">
      <c r="A147" s="83" t="s">
        <v>12</v>
      </c>
      <c r="B147" s="126">
        <v>41009</v>
      </c>
      <c r="C147" s="143" t="s">
        <v>2895</v>
      </c>
      <c r="D147" s="83" t="s">
        <v>1946</v>
      </c>
      <c r="E147" s="83" t="s">
        <v>26</v>
      </c>
      <c r="F147" s="83" t="s">
        <v>353</v>
      </c>
      <c r="G147" s="83" t="s">
        <v>2896</v>
      </c>
      <c r="H147" s="83">
        <v>3389.83</v>
      </c>
      <c r="I147" s="128">
        <f t="shared" si="9"/>
        <v>610.1694</v>
      </c>
      <c r="K147" s="128">
        <f t="shared" si="10"/>
        <v>3999.9993999999997</v>
      </c>
      <c r="L147" s="83" t="s">
        <v>2709</v>
      </c>
      <c r="N147" s="83"/>
      <c r="P147" s="83" t="s">
        <v>348</v>
      </c>
      <c r="Q147" s="126">
        <v>41094</v>
      </c>
    </row>
    <row r="148" spans="1:18" x14ac:dyDescent="0.2">
      <c r="A148" s="83" t="s">
        <v>408</v>
      </c>
      <c r="B148" s="126">
        <v>41009</v>
      </c>
      <c r="C148" s="143" t="s">
        <v>136</v>
      </c>
      <c r="D148" s="83" t="s">
        <v>3141</v>
      </c>
      <c r="E148" s="83" t="s">
        <v>1907</v>
      </c>
      <c r="F148" s="83" t="s">
        <v>2087</v>
      </c>
      <c r="G148" s="83" t="s">
        <v>2088</v>
      </c>
      <c r="H148" s="128">
        <f>11200/1.18</f>
        <v>9491.5254237288136</v>
      </c>
      <c r="I148" s="128">
        <f t="shared" si="9"/>
        <v>1708.4745762711864</v>
      </c>
      <c r="K148" s="128">
        <f t="shared" si="10"/>
        <v>11200</v>
      </c>
      <c r="L148" s="83" t="s">
        <v>2867</v>
      </c>
      <c r="M148" s="83" t="s">
        <v>3477</v>
      </c>
      <c r="P148" s="83" t="s">
        <v>348</v>
      </c>
      <c r="Q148" s="126">
        <v>41100</v>
      </c>
    </row>
    <row r="149" spans="1:18" x14ac:dyDescent="0.2">
      <c r="A149" s="83" t="s">
        <v>12</v>
      </c>
      <c r="B149" s="126">
        <v>41010</v>
      </c>
      <c r="C149" s="143" t="s">
        <v>2897</v>
      </c>
      <c r="D149" s="83" t="s">
        <v>1946</v>
      </c>
      <c r="E149" s="83" t="s">
        <v>26</v>
      </c>
      <c r="F149" s="83" t="s">
        <v>400</v>
      </c>
      <c r="G149" s="83" t="s">
        <v>2898</v>
      </c>
      <c r="H149" s="83">
        <v>1440.68</v>
      </c>
      <c r="I149" s="128">
        <f t="shared" si="9"/>
        <v>259.32240000000002</v>
      </c>
      <c r="K149" s="128">
        <f t="shared" si="10"/>
        <v>1700.0024000000001</v>
      </c>
      <c r="L149" s="83" t="s">
        <v>2709</v>
      </c>
      <c r="N149" s="83"/>
      <c r="P149" s="83" t="s">
        <v>348</v>
      </c>
      <c r="Q149" s="126">
        <v>41094</v>
      </c>
    </row>
    <row r="150" spans="1:18" x14ac:dyDescent="0.2">
      <c r="A150" s="149" t="s">
        <v>408</v>
      </c>
      <c r="B150" s="150">
        <v>41010</v>
      </c>
      <c r="C150" s="151" t="s">
        <v>3287</v>
      </c>
      <c r="D150" s="83" t="s">
        <v>3288</v>
      </c>
      <c r="E150" s="83" t="s">
        <v>3289</v>
      </c>
      <c r="F150" s="83" t="s">
        <v>3308</v>
      </c>
      <c r="G150" s="83" t="s">
        <v>2447</v>
      </c>
      <c r="H150" s="128">
        <f>4000/1.18</f>
        <v>3389.8305084745766</v>
      </c>
      <c r="I150" s="128">
        <f t="shared" si="9"/>
        <v>610.16949152542372</v>
      </c>
      <c r="K150" s="128">
        <f t="shared" si="10"/>
        <v>4000.0000000000005</v>
      </c>
      <c r="L150" s="83" t="s">
        <v>3286</v>
      </c>
      <c r="M150" s="83" t="s">
        <v>3489</v>
      </c>
      <c r="P150" s="83" t="s">
        <v>429</v>
      </c>
      <c r="Q150" s="126">
        <v>41200</v>
      </c>
      <c r="R150" s="83" t="s">
        <v>3309</v>
      </c>
    </row>
    <row r="151" spans="1:18" x14ac:dyDescent="0.2">
      <c r="A151" s="83" t="s">
        <v>408</v>
      </c>
      <c r="B151" s="126">
        <v>41023</v>
      </c>
      <c r="C151" s="143" t="s">
        <v>3061</v>
      </c>
      <c r="D151" s="83" t="s">
        <v>3058</v>
      </c>
      <c r="E151" s="83" t="s">
        <v>3059</v>
      </c>
      <c r="F151" s="83" t="s">
        <v>906</v>
      </c>
      <c r="G151" s="83" t="s">
        <v>3060</v>
      </c>
      <c r="J151" s="83" t="s">
        <v>21</v>
      </c>
      <c r="K151" s="83">
        <v>4800</v>
      </c>
      <c r="L151" s="83" t="s">
        <v>3215</v>
      </c>
      <c r="M151" s="83" t="s">
        <v>3489</v>
      </c>
      <c r="P151" s="83" t="s">
        <v>348</v>
      </c>
      <c r="Q151" s="126">
        <v>41100</v>
      </c>
    </row>
    <row r="152" spans="1:18" x14ac:dyDescent="0.2">
      <c r="A152" s="83" t="s">
        <v>12</v>
      </c>
      <c r="B152" s="126">
        <v>41025</v>
      </c>
      <c r="C152" s="143" t="s">
        <v>951</v>
      </c>
      <c r="D152" s="83" t="s">
        <v>2826</v>
      </c>
      <c r="E152" s="83" t="s">
        <v>2805</v>
      </c>
      <c r="F152" s="83" t="s">
        <v>2806</v>
      </c>
      <c r="G152" s="83" t="s">
        <v>2807</v>
      </c>
      <c r="H152" s="128"/>
      <c r="I152" s="128"/>
      <c r="K152" s="128">
        <v>3000</v>
      </c>
      <c r="L152" s="83" t="s">
        <v>2507</v>
      </c>
      <c r="N152" s="83"/>
      <c r="P152" s="83" t="s">
        <v>348</v>
      </c>
      <c r="Q152" s="126">
        <v>41094</v>
      </c>
    </row>
    <row r="153" spans="1:18" x14ac:dyDescent="0.2">
      <c r="A153" s="83" t="s">
        <v>408</v>
      </c>
      <c r="B153" s="126">
        <v>41025</v>
      </c>
      <c r="C153" s="143" t="s">
        <v>3083</v>
      </c>
      <c r="D153" s="83" t="s">
        <v>3084</v>
      </c>
      <c r="E153" s="83" t="s">
        <v>3085</v>
      </c>
      <c r="F153" s="83" t="s">
        <v>1357</v>
      </c>
      <c r="G153" s="83" t="s">
        <v>2085</v>
      </c>
      <c r="H153" s="128">
        <f>10500/1.18</f>
        <v>8898.3050847457635</v>
      </c>
      <c r="I153" s="128">
        <f>+H153*0.18</f>
        <v>1601.6949152542375</v>
      </c>
      <c r="K153" s="128">
        <f>+H153+I153</f>
        <v>10500</v>
      </c>
      <c r="L153" s="83" t="s">
        <v>3082</v>
      </c>
      <c r="M153" s="83" t="s">
        <v>3314</v>
      </c>
      <c r="P153" s="83" t="s">
        <v>348</v>
      </c>
      <c r="Q153" s="126">
        <v>41100</v>
      </c>
      <c r="R153" s="83" t="s">
        <v>3188</v>
      </c>
    </row>
    <row r="154" spans="1:18" x14ac:dyDescent="0.2">
      <c r="A154" s="83" t="s">
        <v>12</v>
      </c>
      <c r="B154" s="126">
        <v>41026</v>
      </c>
      <c r="C154" s="143" t="s">
        <v>944</v>
      </c>
      <c r="D154" s="83" t="s">
        <v>2947</v>
      </c>
      <c r="E154" s="83" t="s">
        <v>2948</v>
      </c>
      <c r="F154" s="83" t="s">
        <v>906</v>
      </c>
      <c r="G154" s="83" t="s">
        <v>2949</v>
      </c>
      <c r="J154" s="83" t="s">
        <v>21</v>
      </c>
      <c r="K154" s="83">
        <v>2500</v>
      </c>
      <c r="L154" s="83" t="s">
        <v>2709</v>
      </c>
      <c r="M154" s="83" t="s">
        <v>2950</v>
      </c>
      <c r="N154" s="83"/>
      <c r="P154" s="83" t="s">
        <v>348</v>
      </c>
      <c r="Q154" s="126">
        <v>41094</v>
      </c>
    </row>
    <row r="155" spans="1:18" x14ac:dyDescent="0.2">
      <c r="A155" s="83" t="s">
        <v>12</v>
      </c>
      <c r="B155" s="126">
        <v>41029</v>
      </c>
      <c r="C155" s="143" t="s">
        <v>944</v>
      </c>
      <c r="D155" s="83" t="s">
        <v>2951</v>
      </c>
      <c r="E155" s="83" t="s">
        <v>2952</v>
      </c>
      <c r="F155" s="83" t="s">
        <v>381</v>
      </c>
      <c r="G155" s="83" t="s">
        <v>2953</v>
      </c>
      <c r="J155" s="83" t="s">
        <v>21</v>
      </c>
      <c r="K155" s="83">
        <v>1200</v>
      </c>
      <c r="L155" s="83" t="s">
        <v>2709</v>
      </c>
      <c r="M155" s="83" t="s">
        <v>2954</v>
      </c>
      <c r="N155" s="83"/>
      <c r="P155" s="83" t="s">
        <v>348</v>
      </c>
      <c r="Q155" s="126">
        <v>41094</v>
      </c>
    </row>
    <row r="156" spans="1:18" x14ac:dyDescent="0.2">
      <c r="A156" s="83" t="s">
        <v>408</v>
      </c>
      <c r="B156" s="126">
        <v>41029</v>
      </c>
      <c r="C156" s="143" t="s">
        <v>2983</v>
      </c>
      <c r="D156" s="83" t="s">
        <v>2984</v>
      </c>
      <c r="E156" s="83" t="s">
        <v>2952</v>
      </c>
      <c r="F156" s="83" t="s">
        <v>2981</v>
      </c>
      <c r="G156" s="83" t="s">
        <v>2905</v>
      </c>
      <c r="H156" s="128">
        <f>5800/1.18</f>
        <v>4915.2542372881362</v>
      </c>
      <c r="I156" s="128">
        <f>+H156*0.18</f>
        <v>884.74576271186447</v>
      </c>
      <c r="J156" s="128"/>
      <c r="K156" s="128">
        <f>+H156+I156</f>
        <v>5800.0000000000009</v>
      </c>
      <c r="L156" s="83" t="s">
        <v>2982</v>
      </c>
      <c r="M156" s="83" t="s">
        <v>3490</v>
      </c>
      <c r="P156" s="83" t="s">
        <v>348</v>
      </c>
      <c r="Q156" s="126">
        <v>41094</v>
      </c>
    </row>
    <row r="157" spans="1:18" x14ac:dyDescent="0.2">
      <c r="A157" s="149" t="s">
        <v>408</v>
      </c>
      <c r="B157" s="150">
        <v>41033</v>
      </c>
      <c r="C157" s="151" t="s">
        <v>3062</v>
      </c>
      <c r="D157" s="83" t="s">
        <v>3063</v>
      </c>
      <c r="E157" s="83" t="s">
        <v>3064</v>
      </c>
      <c r="F157" s="83" t="s">
        <v>2627</v>
      </c>
      <c r="G157" s="83" t="s">
        <v>2912</v>
      </c>
      <c r="H157" s="128">
        <f>6800/1.18</f>
        <v>5762.7118644067796</v>
      </c>
      <c r="I157" s="128">
        <f>+H157*0.18</f>
        <v>1037.2881355932202</v>
      </c>
      <c r="K157" s="128">
        <f>+H157+I157</f>
        <v>6800</v>
      </c>
      <c r="L157" s="83" t="s">
        <v>3065</v>
      </c>
      <c r="M157" s="83" t="s">
        <v>31</v>
      </c>
      <c r="P157" s="83" t="s">
        <v>348</v>
      </c>
      <c r="Q157" s="126">
        <v>41100</v>
      </c>
      <c r="R157" s="83" t="s">
        <v>3187</v>
      </c>
    </row>
    <row r="158" spans="1:18" x14ac:dyDescent="0.2">
      <c r="A158" s="83" t="s">
        <v>408</v>
      </c>
      <c r="B158" s="126">
        <v>41033</v>
      </c>
      <c r="C158" s="143" t="s">
        <v>3067</v>
      </c>
      <c r="D158" s="83" t="s">
        <v>3068</v>
      </c>
      <c r="E158" s="83" t="s">
        <v>3069</v>
      </c>
      <c r="F158" s="83" t="s">
        <v>2907</v>
      </c>
      <c r="G158" s="83" t="s">
        <v>2908</v>
      </c>
      <c r="J158" s="83" t="s">
        <v>21</v>
      </c>
      <c r="K158" s="83">
        <v>5200</v>
      </c>
      <c r="L158" s="83" t="s">
        <v>2982</v>
      </c>
      <c r="M158" s="83" t="s">
        <v>3490</v>
      </c>
      <c r="P158" s="83" t="s">
        <v>348</v>
      </c>
      <c r="Q158" s="126">
        <v>41100</v>
      </c>
      <c r="R158" s="83" t="s">
        <v>3188</v>
      </c>
    </row>
    <row r="159" spans="1:18" x14ac:dyDescent="0.2">
      <c r="A159" s="83" t="s">
        <v>408</v>
      </c>
      <c r="B159" s="126">
        <v>41040</v>
      </c>
      <c r="C159" s="143" t="s">
        <v>3066</v>
      </c>
      <c r="D159" s="83" t="s">
        <v>2942</v>
      </c>
      <c r="E159" s="83" t="s">
        <v>2943</v>
      </c>
      <c r="F159" s="83" t="s">
        <v>2806</v>
      </c>
      <c r="G159" s="83" t="s">
        <v>2807</v>
      </c>
      <c r="K159" s="83">
        <v>3400</v>
      </c>
      <c r="L159" s="83" t="s">
        <v>2944</v>
      </c>
      <c r="M159" s="83" t="s">
        <v>31</v>
      </c>
      <c r="P159" s="83" t="s">
        <v>348</v>
      </c>
      <c r="Q159" s="126">
        <v>41094</v>
      </c>
    </row>
    <row r="160" spans="1:18" x14ac:dyDescent="0.2">
      <c r="A160" s="83" t="s">
        <v>408</v>
      </c>
      <c r="B160" s="126">
        <v>41040</v>
      </c>
      <c r="C160" s="143" t="s">
        <v>3452</v>
      </c>
      <c r="D160" s="83" t="s">
        <v>3078</v>
      </c>
      <c r="E160" s="83" t="s">
        <v>3077</v>
      </c>
      <c r="F160" s="83" t="s">
        <v>3075</v>
      </c>
      <c r="G160" s="83" t="s">
        <v>3076</v>
      </c>
      <c r="J160" s="83" t="s">
        <v>21</v>
      </c>
      <c r="K160" s="83">
        <v>850</v>
      </c>
      <c r="L160" s="83" t="s">
        <v>3219</v>
      </c>
      <c r="M160" s="83" t="s">
        <v>31</v>
      </c>
      <c r="P160" s="83" t="s">
        <v>348</v>
      </c>
      <c r="Q160" s="126">
        <v>41100</v>
      </c>
    </row>
    <row r="161" spans="1:18" x14ac:dyDescent="0.2">
      <c r="A161" s="83" t="s">
        <v>408</v>
      </c>
      <c r="B161" s="126">
        <v>41043</v>
      </c>
      <c r="C161" s="143" t="s">
        <v>3071</v>
      </c>
      <c r="D161" s="83" t="s">
        <v>3072</v>
      </c>
      <c r="E161" s="83" t="s">
        <v>3073</v>
      </c>
      <c r="F161" s="83" t="s">
        <v>906</v>
      </c>
      <c r="G161" s="83" t="s">
        <v>3070</v>
      </c>
      <c r="H161" s="128">
        <f>5090/1.18</f>
        <v>4313.5593220338988</v>
      </c>
      <c r="I161" s="128">
        <f>+H161*0.18</f>
        <v>776.4406779661017</v>
      </c>
      <c r="K161" s="128">
        <f>+H161+I161</f>
        <v>5090</v>
      </c>
      <c r="L161" s="83" t="s">
        <v>3074</v>
      </c>
      <c r="M161" s="83" t="s">
        <v>3317</v>
      </c>
      <c r="P161" s="83" t="s">
        <v>348</v>
      </c>
      <c r="Q161" s="126">
        <v>41100</v>
      </c>
    </row>
    <row r="162" spans="1:18" x14ac:dyDescent="0.2">
      <c r="A162" s="83" t="s">
        <v>408</v>
      </c>
      <c r="B162" s="126">
        <v>41043</v>
      </c>
      <c r="C162" s="143" t="s">
        <v>3081</v>
      </c>
      <c r="D162" s="83" t="s">
        <v>2703</v>
      </c>
      <c r="E162" s="83" t="s">
        <v>2991</v>
      </c>
      <c r="F162" s="83" t="s">
        <v>3079</v>
      </c>
      <c r="G162" s="83" t="s">
        <v>3080</v>
      </c>
      <c r="J162" s="83" t="s">
        <v>21</v>
      </c>
      <c r="K162" s="83">
        <v>4800</v>
      </c>
      <c r="L162" s="83" t="s">
        <v>3306</v>
      </c>
      <c r="M162" s="83" t="s">
        <v>31</v>
      </c>
      <c r="P162" s="83" t="s">
        <v>348</v>
      </c>
      <c r="Q162" s="126">
        <v>41100</v>
      </c>
    </row>
    <row r="163" spans="1:18" x14ac:dyDescent="0.2">
      <c r="A163" s="83" t="s">
        <v>12</v>
      </c>
      <c r="B163" s="126">
        <v>41050</v>
      </c>
      <c r="C163" s="143">
        <v>2012100384</v>
      </c>
      <c r="D163" s="83" t="s">
        <v>14</v>
      </c>
      <c r="E163" s="83" t="s">
        <v>13</v>
      </c>
      <c r="F163" s="83" t="s">
        <v>2657</v>
      </c>
      <c r="G163" s="83" t="s">
        <v>2945</v>
      </c>
      <c r="H163" s="83">
        <v>4237.29</v>
      </c>
      <c r="I163" s="128">
        <f>+H163*0.18</f>
        <v>762.71219999999994</v>
      </c>
      <c r="K163" s="128">
        <f>+H163+I163</f>
        <v>5000.0021999999999</v>
      </c>
      <c r="L163" s="83" t="s">
        <v>2709</v>
      </c>
      <c r="M163" s="83" t="s">
        <v>3328</v>
      </c>
      <c r="N163" s="83"/>
      <c r="P163" s="83" t="s">
        <v>348</v>
      </c>
      <c r="Q163" s="126">
        <v>41094</v>
      </c>
    </row>
    <row r="164" spans="1:18" x14ac:dyDescent="0.2">
      <c r="A164" s="83" t="s">
        <v>12</v>
      </c>
      <c r="B164" s="126">
        <v>41050</v>
      </c>
      <c r="C164" s="143">
        <v>2012100383</v>
      </c>
      <c r="D164" s="83" t="s">
        <v>14</v>
      </c>
      <c r="E164" s="83" t="s">
        <v>13</v>
      </c>
      <c r="F164" s="83" t="s">
        <v>2718</v>
      </c>
      <c r="G164" s="83" t="s">
        <v>2946</v>
      </c>
      <c r="H164" s="83">
        <v>5338.98</v>
      </c>
      <c r="I164" s="128">
        <f>+H164*0.18</f>
        <v>961.01639999999986</v>
      </c>
      <c r="K164" s="128">
        <f>+H164+I164</f>
        <v>6299.9963999999991</v>
      </c>
      <c r="L164" s="83" t="s">
        <v>2709</v>
      </c>
      <c r="N164" s="83"/>
      <c r="P164" s="83" t="s">
        <v>348</v>
      </c>
      <c r="Q164" s="126">
        <v>41094</v>
      </c>
    </row>
    <row r="165" spans="1:18" x14ac:dyDescent="0.2">
      <c r="A165" s="83" t="s">
        <v>408</v>
      </c>
      <c r="B165" s="126">
        <v>41050</v>
      </c>
      <c r="C165" s="143" t="s">
        <v>3087</v>
      </c>
      <c r="D165" s="83" t="s">
        <v>3088</v>
      </c>
      <c r="E165" s="83" t="s">
        <v>3089</v>
      </c>
      <c r="F165" s="83" t="s">
        <v>2487</v>
      </c>
      <c r="G165" s="83" t="s">
        <v>2488</v>
      </c>
      <c r="J165" s="83" t="s">
        <v>21</v>
      </c>
      <c r="K165" s="83">
        <v>500</v>
      </c>
      <c r="L165" s="83" t="s">
        <v>3086</v>
      </c>
      <c r="M165" s="83" t="s">
        <v>31</v>
      </c>
      <c r="P165" s="83" t="s">
        <v>348</v>
      </c>
      <c r="Q165" s="126">
        <v>41100</v>
      </c>
      <c r="R165" s="83" t="s">
        <v>3188</v>
      </c>
    </row>
    <row r="166" spans="1:18" x14ac:dyDescent="0.2">
      <c r="A166" s="83" t="s">
        <v>12</v>
      </c>
      <c r="B166" s="126">
        <v>41051</v>
      </c>
      <c r="C166" s="143">
        <v>15102271</v>
      </c>
      <c r="D166" s="83" t="s">
        <v>2436</v>
      </c>
      <c r="E166" s="83" t="s">
        <v>2439</v>
      </c>
      <c r="F166" s="83" t="s">
        <v>3079</v>
      </c>
      <c r="G166" s="83" t="s">
        <v>3080</v>
      </c>
      <c r="J166" s="83" t="s">
        <v>21</v>
      </c>
      <c r="K166" s="83">
        <v>4500</v>
      </c>
      <c r="L166" s="83" t="s">
        <v>2709</v>
      </c>
      <c r="N166" s="83"/>
      <c r="P166" s="83" t="s">
        <v>429</v>
      </c>
      <c r="Q166" s="126">
        <v>41200</v>
      </c>
    </row>
    <row r="167" spans="1:18" x14ac:dyDescent="0.2">
      <c r="A167" s="83" t="s">
        <v>408</v>
      </c>
      <c r="B167" s="126">
        <v>41052</v>
      </c>
      <c r="C167" s="143" t="s">
        <v>3136</v>
      </c>
      <c r="D167" s="83" t="s">
        <v>3137</v>
      </c>
      <c r="E167" s="83" t="s">
        <v>3138</v>
      </c>
      <c r="F167" s="83" t="s">
        <v>65</v>
      </c>
      <c r="G167" s="83" t="s">
        <v>1776</v>
      </c>
      <c r="H167" s="128">
        <f>2800/1.18</f>
        <v>2372.8813559322034</v>
      </c>
      <c r="I167" s="128">
        <f>+H167*0.18</f>
        <v>427.11864406779659</v>
      </c>
      <c r="K167" s="128">
        <f>+H167+I167</f>
        <v>2800</v>
      </c>
      <c r="L167" s="83" t="s">
        <v>3135</v>
      </c>
      <c r="M167" s="83" t="s">
        <v>3491</v>
      </c>
      <c r="P167" s="83" t="s">
        <v>348</v>
      </c>
      <c r="Q167" s="126">
        <v>41100</v>
      </c>
    </row>
    <row r="168" spans="1:18" x14ac:dyDescent="0.2">
      <c r="A168" s="83" t="s">
        <v>12</v>
      </c>
      <c r="B168" s="126">
        <v>41054</v>
      </c>
      <c r="C168" s="143">
        <v>2012100396</v>
      </c>
      <c r="D168" s="83" t="s">
        <v>14</v>
      </c>
      <c r="E168" s="83" t="s">
        <v>13</v>
      </c>
      <c r="F168" s="83" t="s">
        <v>2657</v>
      </c>
      <c r="G168" s="83" t="s">
        <v>2929</v>
      </c>
      <c r="H168" s="83">
        <v>4237.29</v>
      </c>
      <c r="I168" s="128">
        <f>+H168*0.18</f>
        <v>762.71219999999994</v>
      </c>
      <c r="K168" s="128">
        <f>+H168+I168</f>
        <v>5000.0021999999999</v>
      </c>
      <c r="L168" s="128" t="s">
        <v>3555</v>
      </c>
      <c r="N168" s="83"/>
      <c r="P168" s="83" t="s">
        <v>348</v>
      </c>
      <c r="Q168" s="126">
        <v>41094</v>
      </c>
    </row>
    <row r="169" spans="1:18" x14ac:dyDescent="0.2">
      <c r="A169" s="83" t="s">
        <v>408</v>
      </c>
      <c r="B169" s="126">
        <v>41054</v>
      </c>
      <c r="C169" s="143" t="s">
        <v>3091</v>
      </c>
      <c r="D169" s="83" t="s">
        <v>3092</v>
      </c>
      <c r="E169" s="83" t="s">
        <v>3093</v>
      </c>
      <c r="F169" s="83" t="s">
        <v>373</v>
      </c>
      <c r="G169" s="83" t="s">
        <v>2928</v>
      </c>
      <c r="H169" s="128">
        <f>3800/1.18</f>
        <v>3220.3389830508477</v>
      </c>
      <c r="I169" s="128">
        <f>+H169*0.18</f>
        <v>579.66101694915255</v>
      </c>
      <c r="K169" s="128">
        <f>+H169+I169</f>
        <v>3800</v>
      </c>
      <c r="L169" s="83" t="s">
        <v>3090</v>
      </c>
      <c r="M169" s="83" t="s">
        <v>31</v>
      </c>
      <c r="P169" s="83" t="s">
        <v>348</v>
      </c>
      <c r="Q169" s="126">
        <v>41100</v>
      </c>
      <c r="R169" s="83" t="s">
        <v>3186</v>
      </c>
    </row>
    <row r="170" spans="1:18" x14ac:dyDescent="0.2">
      <c r="A170" s="149" t="s">
        <v>408</v>
      </c>
      <c r="B170" s="150">
        <v>41055</v>
      </c>
      <c r="C170" s="151" t="s">
        <v>3095</v>
      </c>
      <c r="D170" s="83" t="s">
        <v>3096</v>
      </c>
      <c r="E170" s="83" t="s">
        <v>3097</v>
      </c>
      <c r="F170" s="83" t="s">
        <v>353</v>
      </c>
      <c r="G170" s="83" t="s">
        <v>2896</v>
      </c>
      <c r="H170" s="128">
        <f>4200/1.18</f>
        <v>3559.3220338983051</v>
      </c>
      <c r="I170" s="128">
        <f>+H170*0.18</f>
        <v>640.67796610169489</v>
      </c>
      <c r="K170" s="128">
        <f>+H170+I170</f>
        <v>4200</v>
      </c>
      <c r="L170" s="83" t="s">
        <v>3094</v>
      </c>
      <c r="M170" s="83" t="s">
        <v>3491</v>
      </c>
      <c r="P170" s="83" t="s">
        <v>348</v>
      </c>
      <c r="Q170" s="126">
        <v>41100</v>
      </c>
      <c r="R170" s="83" t="s">
        <v>3187</v>
      </c>
    </row>
    <row r="171" spans="1:18" x14ac:dyDescent="0.2">
      <c r="A171" s="83" t="s">
        <v>12</v>
      </c>
      <c r="B171" s="126">
        <v>41058</v>
      </c>
      <c r="C171" s="143" t="s">
        <v>944</v>
      </c>
      <c r="D171" s="83" t="s">
        <v>2935</v>
      </c>
      <c r="E171" s="83" t="s">
        <v>2936</v>
      </c>
      <c r="F171" s="83" t="s">
        <v>2937</v>
      </c>
      <c r="G171" s="83" t="s">
        <v>2938</v>
      </c>
      <c r="J171" s="83" t="s">
        <v>21</v>
      </c>
      <c r="K171" s="83">
        <v>1200</v>
      </c>
      <c r="L171" s="83" t="s">
        <v>2709</v>
      </c>
      <c r="M171" s="83" t="s">
        <v>2939</v>
      </c>
      <c r="N171" s="83"/>
      <c r="P171" s="83" t="s">
        <v>348</v>
      </c>
      <c r="Q171" s="126">
        <v>41094</v>
      </c>
    </row>
    <row r="172" spans="1:18" x14ac:dyDescent="0.2">
      <c r="A172" s="83" t="s">
        <v>12</v>
      </c>
      <c r="B172" s="126">
        <v>41058</v>
      </c>
      <c r="C172" s="147" t="s">
        <v>2676</v>
      </c>
      <c r="D172" s="83" t="s">
        <v>1946</v>
      </c>
      <c r="E172" s="83" t="s">
        <v>26</v>
      </c>
      <c r="F172" s="83" t="s">
        <v>390</v>
      </c>
      <c r="G172" s="83" t="s">
        <v>3152</v>
      </c>
      <c r="H172" s="128">
        <f>2600/1.18</f>
        <v>2203.3898305084749</v>
      </c>
      <c r="I172" s="128">
        <f>+H172*0.18</f>
        <v>396.61016949152548</v>
      </c>
      <c r="K172" s="128">
        <f>+H172+I172</f>
        <v>2600.0000000000005</v>
      </c>
      <c r="L172" s="83" t="s">
        <v>2709</v>
      </c>
      <c r="M172" s="83" t="s">
        <v>3378</v>
      </c>
      <c r="N172" s="83"/>
      <c r="P172" s="83" t="s">
        <v>348</v>
      </c>
      <c r="Q172" s="126">
        <v>41100</v>
      </c>
    </row>
    <row r="173" spans="1:18" x14ac:dyDescent="0.2">
      <c r="A173" s="83" t="s">
        <v>12</v>
      </c>
      <c r="B173" s="126">
        <v>41060</v>
      </c>
      <c r="C173" s="143">
        <v>19</v>
      </c>
      <c r="D173" s="143" t="s">
        <v>2940</v>
      </c>
      <c r="E173" s="83" t="s">
        <v>1319</v>
      </c>
      <c r="F173" s="83" t="s">
        <v>377</v>
      </c>
      <c r="G173" s="83" t="s">
        <v>874</v>
      </c>
      <c r="H173" s="83">
        <v>1060</v>
      </c>
      <c r="I173" s="128">
        <f>+H173*0.18</f>
        <v>190.79999999999998</v>
      </c>
      <c r="K173" s="128">
        <f>+H173+I173</f>
        <v>1250.8</v>
      </c>
      <c r="L173" s="83" t="s">
        <v>2709</v>
      </c>
      <c r="M173" s="83" t="s">
        <v>2941</v>
      </c>
      <c r="N173" s="83"/>
      <c r="P173" s="83" t="s">
        <v>348</v>
      </c>
      <c r="Q173" s="126">
        <v>41094</v>
      </c>
    </row>
    <row r="174" spans="1:18" x14ac:dyDescent="0.2">
      <c r="A174" s="83" t="s">
        <v>12</v>
      </c>
      <c r="B174" s="126">
        <v>41066</v>
      </c>
      <c r="C174" s="143">
        <v>25</v>
      </c>
      <c r="D174" s="83" t="s">
        <v>2931</v>
      </c>
      <c r="E174" s="83" t="s">
        <v>2352</v>
      </c>
      <c r="F174" s="83" t="s">
        <v>2932</v>
      </c>
      <c r="G174" s="83" t="s">
        <v>2933</v>
      </c>
      <c r="J174" s="83" t="s">
        <v>21</v>
      </c>
      <c r="K174" s="83">
        <v>3450</v>
      </c>
      <c r="L174" s="83" t="s">
        <v>2709</v>
      </c>
      <c r="M174" s="83" t="s">
        <v>2934</v>
      </c>
      <c r="N174" s="83"/>
      <c r="P174" s="83" t="s">
        <v>348</v>
      </c>
      <c r="Q174" s="126">
        <v>41094</v>
      </c>
    </row>
    <row r="175" spans="1:18" x14ac:dyDescent="0.2">
      <c r="A175" s="83" t="s">
        <v>408</v>
      </c>
      <c r="B175" s="126">
        <v>41068</v>
      </c>
      <c r="C175" s="143" t="s">
        <v>137</v>
      </c>
      <c r="D175" s="83" t="s">
        <v>3141</v>
      </c>
      <c r="E175" s="83" t="s">
        <v>1907</v>
      </c>
      <c r="F175" s="83" t="s">
        <v>2932</v>
      </c>
      <c r="G175" s="83" t="s">
        <v>2933</v>
      </c>
      <c r="H175" s="128"/>
      <c r="I175" s="128"/>
      <c r="J175" s="83" t="s">
        <v>21</v>
      </c>
      <c r="K175" s="128">
        <v>4000</v>
      </c>
      <c r="L175" s="83" t="s">
        <v>3142</v>
      </c>
      <c r="M175" s="83" t="s">
        <v>3480</v>
      </c>
      <c r="P175" s="83" t="s">
        <v>348</v>
      </c>
      <c r="Q175" s="126">
        <v>41100</v>
      </c>
    </row>
    <row r="176" spans="1:18" x14ac:dyDescent="0.2">
      <c r="A176" s="83" t="s">
        <v>408</v>
      </c>
      <c r="B176" s="126">
        <v>41071</v>
      </c>
      <c r="C176" s="143" t="s">
        <v>138</v>
      </c>
      <c r="D176" s="83" t="s">
        <v>3143</v>
      </c>
      <c r="E176" s="83" t="s">
        <v>3144</v>
      </c>
      <c r="F176" s="83" t="s">
        <v>59</v>
      </c>
      <c r="G176" s="83" t="s">
        <v>2270</v>
      </c>
      <c r="J176" s="83" t="s">
        <v>21</v>
      </c>
      <c r="K176" s="83">
        <v>3700</v>
      </c>
      <c r="L176" s="83" t="s">
        <v>3145</v>
      </c>
      <c r="M176" s="83" t="s">
        <v>3486</v>
      </c>
      <c r="P176" s="83" t="s">
        <v>348</v>
      </c>
      <c r="Q176" s="126">
        <v>41100</v>
      </c>
    </row>
    <row r="177" spans="1:18" x14ac:dyDescent="0.2">
      <c r="A177" s="83" t="s">
        <v>408</v>
      </c>
      <c r="B177" s="126">
        <v>41072</v>
      </c>
      <c r="C177" s="143" t="s">
        <v>3108</v>
      </c>
      <c r="D177" s="83" t="s">
        <v>3109</v>
      </c>
      <c r="E177" s="83" t="s">
        <v>3110</v>
      </c>
      <c r="F177" s="83" t="s">
        <v>2937</v>
      </c>
      <c r="G177" s="83" t="s">
        <v>2938</v>
      </c>
      <c r="J177" s="83" t="s">
        <v>21</v>
      </c>
      <c r="K177" s="83">
        <v>1500</v>
      </c>
      <c r="L177" s="83" t="s">
        <v>3107</v>
      </c>
      <c r="M177" s="83" t="s">
        <v>31</v>
      </c>
      <c r="P177" s="83" t="s">
        <v>348</v>
      </c>
      <c r="Q177" s="126">
        <v>41100</v>
      </c>
      <c r="R177" s="83" t="s">
        <v>3186</v>
      </c>
    </row>
    <row r="178" spans="1:18" x14ac:dyDescent="0.2">
      <c r="A178" s="83" t="s">
        <v>408</v>
      </c>
      <c r="B178" s="126">
        <v>41073</v>
      </c>
      <c r="C178" s="143" t="s">
        <v>3098</v>
      </c>
      <c r="D178" s="83" t="s">
        <v>3099</v>
      </c>
      <c r="E178" s="83" t="s">
        <v>3100</v>
      </c>
      <c r="F178" s="83" t="s">
        <v>3101</v>
      </c>
      <c r="G178" s="83" t="s">
        <v>3102</v>
      </c>
      <c r="H178" s="128">
        <f>4500/1.18</f>
        <v>3813.5593220338983</v>
      </c>
      <c r="I178" s="128">
        <f>+H178*0.18</f>
        <v>686.4406779661017</v>
      </c>
      <c r="K178" s="128">
        <f>+H178+I178</f>
        <v>4500</v>
      </c>
      <c r="L178" s="83" t="s">
        <v>3291</v>
      </c>
      <c r="M178" s="83" t="s">
        <v>3491</v>
      </c>
      <c r="P178" s="83" t="s">
        <v>348</v>
      </c>
      <c r="Q178" s="126">
        <v>41100</v>
      </c>
    </row>
    <row r="179" spans="1:18" x14ac:dyDescent="0.2">
      <c r="A179" s="83" t="s">
        <v>12</v>
      </c>
      <c r="B179" s="126">
        <v>41073</v>
      </c>
      <c r="C179" s="143">
        <v>2012100445</v>
      </c>
      <c r="D179" s="83" t="s">
        <v>14</v>
      </c>
      <c r="E179" s="83" t="s">
        <v>13</v>
      </c>
      <c r="F179" s="83" t="s">
        <v>929</v>
      </c>
      <c r="G179" s="83" t="s">
        <v>3153</v>
      </c>
      <c r="H179" s="128">
        <f>5650/1.18</f>
        <v>4788.1355932203396</v>
      </c>
      <c r="I179" s="128">
        <f>+H179*0.18</f>
        <v>861.86440677966107</v>
      </c>
      <c r="K179" s="128">
        <f>+H179+I179</f>
        <v>5650.0000000000009</v>
      </c>
      <c r="L179" s="83" t="s">
        <v>2709</v>
      </c>
      <c r="M179" s="83" t="s">
        <v>3379</v>
      </c>
      <c r="N179" s="83"/>
      <c r="P179" s="83" t="s">
        <v>348</v>
      </c>
      <c r="Q179" s="126">
        <v>41100</v>
      </c>
    </row>
    <row r="180" spans="1:18" x14ac:dyDescent="0.2">
      <c r="A180" s="83" t="s">
        <v>408</v>
      </c>
      <c r="B180" s="126">
        <v>41073</v>
      </c>
      <c r="C180" s="143" t="s">
        <v>3173</v>
      </c>
      <c r="D180" s="83" t="s">
        <v>3174</v>
      </c>
      <c r="E180" s="83" t="s">
        <v>3175</v>
      </c>
      <c r="F180" s="83" t="s">
        <v>2718</v>
      </c>
      <c r="G180" s="83" t="s">
        <v>2946</v>
      </c>
      <c r="H180" s="128">
        <f>6500/1.18</f>
        <v>5508.4745762711864</v>
      </c>
      <c r="I180" s="128">
        <f>+H180*0.18</f>
        <v>991.52542372881351</v>
      </c>
      <c r="J180" s="128"/>
      <c r="K180" s="128">
        <f>+H180+I180</f>
        <v>6500</v>
      </c>
      <c r="L180" s="83" t="s">
        <v>3172</v>
      </c>
      <c r="M180" s="83" t="s">
        <v>3492</v>
      </c>
      <c r="P180" s="83" t="s">
        <v>348</v>
      </c>
      <c r="Q180" s="126">
        <v>41100</v>
      </c>
    </row>
    <row r="181" spans="1:18" x14ac:dyDescent="0.2">
      <c r="A181" s="149" t="s">
        <v>408</v>
      </c>
      <c r="B181" s="150">
        <v>41074</v>
      </c>
      <c r="C181" s="151" t="s">
        <v>3104</v>
      </c>
      <c r="D181" s="83" t="s">
        <v>3105</v>
      </c>
      <c r="E181" s="83" t="s">
        <v>3106</v>
      </c>
      <c r="F181" s="83" t="s">
        <v>400</v>
      </c>
      <c r="G181" s="83" t="s">
        <v>2930</v>
      </c>
      <c r="H181" s="128">
        <f>3200/1.18</f>
        <v>2711.8644067796613</v>
      </c>
      <c r="I181" s="128">
        <f>+H181*0.18</f>
        <v>488.13559322033899</v>
      </c>
      <c r="K181" s="128">
        <f>+H181+I181</f>
        <v>3200.0000000000005</v>
      </c>
      <c r="L181" s="83" t="s">
        <v>3103</v>
      </c>
      <c r="M181" s="83" t="s">
        <v>3491</v>
      </c>
      <c r="P181" s="83" t="s">
        <v>348</v>
      </c>
      <c r="Q181" s="126">
        <v>41100</v>
      </c>
      <c r="R181" s="83" t="s">
        <v>3187</v>
      </c>
    </row>
    <row r="182" spans="1:18" x14ac:dyDescent="0.2">
      <c r="A182" s="83" t="s">
        <v>408</v>
      </c>
      <c r="B182" s="126">
        <v>41074</v>
      </c>
      <c r="C182" s="143" t="s">
        <v>3112</v>
      </c>
      <c r="D182" s="83" t="s">
        <v>3113</v>
      </c>
      <c r="E182" s="83" t="s">
        <v>3114</v>
      </c>
      <c r="F182" s="83" t="s">
        <v>3115</v>
      </c>
      <c r="G182" s="83" t="s">
        <v>3116</v>
      </c>
      <c r="J182" s="83" t="s">
        <v>21</v>
      </c>
      <c r="K182" s="83">
        <v>3500</v>
      </c>
      <c r="L182" s="83" t="s">
        <v>3211</v>
      </c>
      <c r="M182" s="83" t="s">
        <v>31</v>
      </c>
      <c r="N182" s="83" t="s">
        <v>3111</v>
      </c>
      <c r="P182" s="83" t="s">
        <v>348</v>
      </c>
      <c r="Q182" s="126">
        <v>41100</v>
      </c>
      <c r="R182" s="83" t="s">
        <v>3186</v>
      </c>
    </row>
    <row r="183" spans="1:18" x14ac:dyDescent="0.2">
      <c r="A183" s="83" t="s">
        <v>408</v>
      </c>
      <c r="B183" s="126">
        <v>41074</v>
      </c>
      <c r="C183" s="143" t="s">
        <v>3112</v>
      </c>
      <c r="D183" s="83" t="s">
        <v>3118</v>
      </c>
      <c r="E183" s="83" t="s">
        <v>3119</v>
      </c>
      <c r="F183" s="83" t="s">
        <v>381</v>
      </c>
      <c r="G183" s="83" t="s">
        <v>2953</v>
      </c>
      <c r="J183" s="83" t="s">
        <v>21</v>
      </c>
      <c r="K183" s="83">
        <v>1400</v>
      </c>
      <c r="L183" s="83" t="s">
        <v>3117</v>
      </c>
      <c r="M183" s="83" t="s">
        <v>31</v>
      </c>
      <c r="P183" s="83" t="s">
        <v>348</v>
      </c>
      <c r="Q183" s="126">
        <v>41100</v>
      </c>
      <c r="R183" s="83" t="s">
        <v>3186</v>
      </c>
    </row>
    <row r="184" spans="1:18" x14ac:dyDescent="0.2">
      <c r="A184" s="83" t="s">
        <v>408</v>
      </c>
      <c r="B184" s="126">
        <v>41074</v>
      </c>
      <c r="C184" s="143" t="s">
        <v>3121</v>
      </c>
      <c r="D184" s="83" t="s">
        <v>3122</v>
      </c>
      <c r="E184" s="83" t="s">
        <v>3123</v>
      </c>
      <c r="F184" s="83" t="s">
        <v>390</v>
      </c>
      <c r="G184" s="83" t="s">
        <v>2688</v>
      </c>
      <c r="H184" s="128">
        <f>3300/1.18</f>
        <v>2796.6101694915255</v>
      </c>
      <c r="I184" s="128">
        <f>+H184*0.18</f>
        <v>503.38983050847457</v>
      </c>
      <c r="K184" s="128">
        <f>+H184+I184</f>
        <v>3300</v>
      </c>
      <c r="L184" s="83" t="s">
        <v>3120</v>
      </c>
      <c r="M184" s="83" t="s">
        <v>3492</v>
      </c>
      <c r="P184" s="83" t="s">
        <v>348</v>
      </c>
      <c r="Q184" s="126">
        <v>41100</v>
      </c>
      <c r="R184" s="83" t="s">
        <v>3186</v>
      </c>
    </row>
    <row r="185" spans="1:18" x14ac:dyDescent="0.2">
      <c r="A185" s="83" t="s">
        <v>12</v>
      </c>
      <c r="B185" s="126">
        <v>41076</v>
      </c>
      <c r="C185" s="143">
        <v>2012100459</v>
      </c>
      <c r="D185" s="83" t="s">
        <v>14</v>
      </c>
      <c r="E185" s="83" t="s">
        <v>13</v>
      </c>
      <c r="F185" s="83" t="s">
        <v>3210</v>
      </c>
      <c r="G185" s="83" t="s">
        <v>3154</v>
      </c>
      <c r="H185" s="128">
        <f>6800/1.18</f>
        <v>5762.7118644067796</v>
      </c>
      <c r="I185" s="128">
        <f>+H185*0.18</f>
        <v>1037.2881355932202</v>
      </c>
      <c r="K185" s="128">
        <f>+H185+I185</f>
        <v>6800</v>
      </c>
      <c r="L185" s="83" t="s">
        <v>2709</v>
      </c>
      <c r="M185" s="83" t="s">
        <v>3380</v>
      </c>
      <c r="N185" s="83"/>
      <c r="P185" s="83" t="s">
        <v>348</v>
      </c>
      <c r="Q185" s="126">
        <v>41100</v>
      </c>
    </row>
    <row r="186" spans="1:18" x14ac:dyDescent="0.2">
      <c r="A186" s="83" t="s">
        <v>12</v>
      </c>
      <c r="B186" s="126">
        <v>41076</v>
      </c>
      <c r="C186" s="143">
        <v>2012100458</v>
      </c>
      <c r="D186" s="83" t="s">
        <v>14</v>
      </c>
      <c r="E186" s="83" t="s">
        <v>13</v>
      </c>
      <c r="F186" s="83" t="s">
        <v>381</v>
      </c>
      <c r="G186" s="83" t="s">
        <v>3155</v>
      </c>
      <c r="H186" s="128">
        <f>2900/1.18</f>
        <v>2457.6271186440681</v>
      </c>
      <c r="I186" s="128">
        <f>+H186*0.18</f>
        <v>442.37288135593224</v>
      </c>
      <c r="K186" s="128">
        <f>+H186+I186</f>
        <v>2900.0000000000005</v>
      </c>
      <c r="L186" s="83" t="s">
        <v>2709</v>
      </c>
      <c r="M186" s="83" t="s">
        <v>3380</v>
      </c>
      <c r="N186" s="83"/>
      <c r="P186" s="83" t="s">
        <v>348</v>
      </c>
      <c r="Q186" s="126">
        <v>41100</v>
      </c>
    </row>
    <row r="187" spans="1:18" x14ac:dyDescent="0.2">
      <c r="A187" s="83" t="s">
        <v>408</v>
      </c>
      <c r="B187" s="126">
        <v>41078</v>
      </c>
      <c r="C187" s="143" t="s">
        <v>139</v>
      </c>
      <c r="D187" s="83" t="s">
        <v>3146</v>
      </c>
      <c r="E187" s="83" t="s">
        <v>3147</v>
      </c>
      <c r="F187" s="83" t="s">
        <v>2909</v>
      </c>
      <c r="G187" s="83" t="s">
        <v>2910</v>
      </c>
      <c r="J187" s="83" t="s">
        <v>21</v>
      </c>
      <c r="K187" s="83">
        <v>1600</v>
      </c>
      <c r="L187" s="83" t="s">
        <v>2982</v>
      </c>
      <c r="M187" s="83" t="s">
        <v>3486</v>
      </c>
      <c r="P187" s="83" t="s">
        <v>348</v>
      </c>
      <c r="Q187" s="126">
        <v>41100</v>
      </c>
    </row>
    <row r="188" spans="1:18" x14ac:dyDescent="0.2">
      <c r="A188" s="83" t="s">
        <v>408</v>
      </c>
      <c r="B188" s="126">
        <v>41079</v>
      </c>
      <c r="C188" s="143" t="s">
        <v>140</v>
      </c>
      <c r="D188" s="83" t="s">
        <v>3148</v>
      </c>
      <c r="E188" s="83" t="s">
        <v>3149</v>
      </c>
      <c r="F188" s="83" t="s">
        <v>1628</v>
      </c>
      <c r="G188" s="83" t="s">
        <v>2513</v>
      </c>
      <c r="H188" s="128">
        <f>2700/1.18</f>
        <v>2288.1355932203392</v>
      </c>
      <c r="I188" s="128">
        <f t="shared" ref="I188:I198" si="11">+H188*0.18</f>
        <v>411.86440677966101</v>
      </c>
      <c r="K188" s="128">
        <f t="shared" ref="K188:K198" si="12">+H188+I188</f>
        <v>2700</v>
      </c>
      <c r="L188" s="83" t="s">
        <v>3150</v>
      </c>
      <c r="M188" s="83" t="s">
        <v>3482</v>
      </c>
      <c r="P188" s="83" t="s">
        <v>348</v>
      </c>
      <c r="Q188" s="126">
        <v>41100</v>
      </c>
    </row>
    <row r="189" spans="1:18" x14ac:dyDescent="0.2">
      <c r="A189" s="83" t="s">
        <v>12</v>
      </c>
      <c r="B189" s="126">
        <v>41079</v>
      </c>
      <c r="C189" s="147" t="s">
        <v>2676</v>
      </c>
      <c r="D189" s="83" t="s">
        <v>1946</v>
      </c>
      <c r="E189" s="83" t="s">
        <v>26</v>
      </c>
      <c r="F189" s="83" t="s">
        <v>906</v>
      </c>
      <c r="G189" s="83" t="s">
        <v>3274</v>
      </c>
      <c r="H189" s="128">
        <f>4000/1.18</f>
        <v>3389.8305084745766</v>
      </c>
      <c r="I189" s="128">
        <f t="shared" si="11"/>
        <v>610.16949152542372</v>
      </c>
      <c r="K189" s="128">
        <f t="shared" si="12"/>
        <v>4000.0000000000005</v>
      </c>
      <c r="L189" s="83" t="s">
        <v>2709</v>
      </c>
      <c r="M189" s="83" t="s">
        <v>3391</v>
      </c>
      <c r="N189" s="83"/>
      <c r="P189" s="83" t="s">
        <v>429</v>
      </c>
      <c r="Q189" s="126">
        <v>41200</v>
      </c>
    </row>
    <row r="190" spans="1:18" x14ac:dyDescent="0.2">
      <c r="A190" s="83" t="s">
        <v>408</v>
      </c>
      <c r="B190" s="126">
        <v>41081</v>
      </c>
      <c r="C190" s="143" t="s">
        <v>3139</v>
      </c>
      <c r="D190" s="83" t="s">
        <v>333</v>
      </c>
      <c r="E190" s="83" t="s">
        <v>3140</v>
      </c>
      <c r="F190" s="83" t="s">
        <v>392</v>
      </c>
      <c r="G190" s="83" t="s">
        <v>2648</v>
      </c>
      <c r="H190" s="128">
        <f>3000/1.18</f>
        <v>2542.3728813559323</v>
      </c>
      <c r="I190" s="128">
        <f t="shared" si="11"/>
        <v>457.62711864406782</v>
      </c>
      <c r="K190" s="128">
        <f t="shared" si="12"/>
        <v>3000</v>
      </c>
      <c r="L190" s="83" t="s">
        <v>3024</v>
      </c>
      <c r="M190" s="83" t="s">
        <v>3483</v>
      </c>
      <c r="P190" s="83" t="s">
        <v>348</v>
      </c>
      <c r="Q190" s="126">
        <v>41100</v>
      </c>
    </row>
    <row r="191" spans="1:18" x14ac:dyDescent="0.2">
      <c r="A191" s="83" t="s">
        <v>12</v>
      </c>
      <c r="B191" s="126">
        <v>41085</v>
      </c>
      <c r="C191" s="143" t="s">
        <v>3292</v>
      </c>
      <c r="D191" s="83" t="s">
        <v>1946</v>
      </c>
      <c r="E191" s="83" t="s">
        <v>26</v>
      </c>
      <c r="F191" s="83" t="s">
        <v>3156</v>
      </c>
      <c r="G191" s="83" t="s">
        <v>3157</v>
      </c>
      <c r="H191" s="128">
        <f>4100/1.18</f>
        <v>3474.5762711864409</v>
      </c>
      <c r="I191" s="128">
        <f t="shared" si="11"/>
        <v>625.42372881355936</v>
      </c>
      <c r="K191" s="128">
        <f t="shared" si="12"/>
        <v>4100</v>
      </c>
      <c r="L191" s="83" t="s">
        <v>2709</v>
      </c>
      <c r="M191" s="83" t="s">
        <v>3381</v>
      </c>
      <c r="N191" s="83"/>
      <c r="P191" s="83" t="s">
        <v>348</v>
      </c>
      <c r="Q191" s="126">
        <v>41100</v>
      </c>
    </row>
    <row r="192" spans="1:18" x14ac:dyDescent="0.2">
      <c r="A192" s="83" t="s">
        <v>12</v>
      </c>
      <c r="B192" s="126">
        <v>41085</v>
      </c>
      <c r="C192" s="147" t="s">
        <v>2676</v>
      </c>
      <c r="D192" s="83" t="s">
        <v>1946</v>
      </c>
      <c r="E192" s="83" t="s">
        <v>26</v>
      </c>
      <c r="F192" s="83" t="s">
        <v>906</v>
      </c>
      <c r="G192" s="83" t="s">
        <v>3158</v>
      </c>
      <c r="H192" s="128">
        <f>4000/1.18</f>
        <v>3389.8305084745766</v>
      </c>
      <c r="I192" s="128">
        <f t="shared" si="11"/>
        <v>610.16949152542372</v>
      </c>
      <c r="K192" s="128">
        <f t="shared" si="12"/>
        <v>4000.0000000000005</v>
      </c>
      <c r="L192" s="83" t="s">
        <v>2709</v>
      </c>
      <c r="M192" s="83" t="s">
        <v>3381</v>
      </c>
      <c r="N192" s="83"/>
      <c r="P192" s="83" t="s">
        <v>348</v>
      </c>
      <c r="Q192" s="126">
        <v>41100</v>
      </c>
    </row>
    <row r="193" spans="1:18" x14ac:dyDescent="0.2">
      <c r="A193" s="83" t="s">
        <v>408</v>
      </c>
      <c r="B193" s="126">
        <v>41085</v>
      </c>
      <c r="C193" s="143" t="s">
        <v>3223</v>
      </c>
      <c r="D193" s="83" t="s">
        <v>2750</v>
      </c>
      <c r="E193" s="83" t="s">
        <v>3224</v>
      </c>
      <c r="F193" s="83" t="s">
        <v>906</v>
      </c>
      <c r="G193" s="83" t="s">
        <v>3158</v>
      </c>
      <c r="H193" s="128">
        <f>4200/1.18</f>
        <v>3559.3220338983051</v>
      </c>
      <c r="I193" s="128">
        <f t="shared" si="11"/>
        <v>640.67796610169489</v>
      </c>
      <c r="K193" s="128">
        <f t="shared" si="12"/>
        <v>4200</v>
      </c>
      <c r="L193" s="83" t="s">
        <v>3222</v>
      </c>
      <c r="M193" s="83" t="s">
        <v>31</v>
      </c>
      <c r="P193" s="83" t="s">
        <v>429</v>
      </c>
      <c r="Q193" s="126">
        <v>41190</v>
      </c>
    </row>
    <row r="194" spans="1:18" x14ac:dyDescent="0.2">
      <c r="A194" s="149" t="s">
        <v>408</v>
      </c>
      <c r="B194" s="150">
        <v>41085</v>
      </c>
      <c r="C194" s="151" t="s">
        <v>3275</v>
      </c>
      <c r="D194" s="83" t="s">
        <v>2703</v>
      </c>
      <c r="E194" s="83" t="s">
        <v>2991</v>
      </c>
      <c r="F194" s="83" t="s">
        <v>2932</v>
      </c>
      <c r="G194" s="83" t="s">
        <v>3274</v>
      </c>
      <c r="H194" s="128">
        <f>4200/1.18</f>
        <v>3559.3220338983051</v>
      </c>
      <c r="I194" s="128">
        <f t="shared" si="11"/>
        <v>640.67796610169489</v>
      </c>
      <c r="J194" s="128"/>
      <c r="K194" s="128">
        <f t="shared" si="12"/>
        <v>4200</v>
      </c>
      <c r="L194" s="83" t="s">
        <v>3285</v>
      </c>
      <c r="M194" s="83" t="s">
        <v>3492</v>
      </c>
      <c r="P194" s="83" t="s">
        <v>429</v>
      </c>
      <c r="Q194" s="126">
        <v>41200</v>
      </c>
      <c r="R194" s="83" t="s">
        <v>3309</v>
      </c>
    </row>
    <row r="195" spans="1:18" x14ac:dyDescent="0.2">
      <c r="A195" s="83" t="s">
        <v>408</v>
      </c>
      <c r="B195" s="126">
        <v>41086</v>
      </c>
      <c r="C195" s="143" t="s">
        <v>3165</v>
      </c>
      <c r="D195" s="83" t="s">
        <v>3166</v>
      </c>
      <c r="E195" s="83" t="s">
        <v>3167</v>
      </c>
      <c r="F195" s="83" t="s">
        <v>929</v>
      </c>
      <c r="G195" s="83" t="s">
        <v>3153</v>
      </c>
      <c r="H195" s="128">
        <f>5850/1.18</f>
        <v>4957.6271186440681</v>
      </c>
      <c r="I195" s="128">
        <f t="shared" si="11"/>
        <v>892.37288135593224</v>
      </c>
      <c r="J195" s="128"/>
      <c r="K195" s="128">
        <f t="shared" si="12"/>
        <v>5850</v>
      </c>
      <c r="L195" s="83" t="s">
        <v>3168</v>
      </c>
      <c r="M195" s="83" t="s">
        <v>31</v>
      </c>
      <c r="P195" s="83" t="s">
        <v>348</v>
      </c>
      <c r="Q195" s="126">
        <v>41100</v>
      </c>
    </row>
    <row r="196" spans="1:18" x14ac:dyDescent="0.2">
      <c r="A196" s="83" t="s">
        <v>12</v>
      </c>
      <c r="B196" s="126">
        <v>41087</v>
      </c>
      <c r="C196" s="143" t="s">
        <v>3330</v>
      </c>
      <c r="D196" s="83" t="s">
        <v>1946</v>
      </c>
      <c r="E196" s="83" t="s">
        <v>26</v>
      </c>
      <c r="F196" s="83" t="s">
        <v>368</v>
      </c>
      <c r="G196" s="83" t="s">
        <v>3159</v>
      </c>
      <c r="H196" s="128">
        <f>3100/1.18</f>
        <v>2627.1186440677966</v>
      </c>
      <c r="I196" s="128">
        <f t="shared" si="11"/>
        <v>472.88135593220335</v>
      </c>
      <c r="K196" s="128">
        <f t="shared" si="12"/>
        <v>3100</v>
      </c>
      <c r="L196" s="83" t="s">
        <v>2709</v>
      </c>
      <c r="M196" s="83" t="s">
        <v>3382</v>
      </c>
      <c r="N196" s="83"/>
      <c r="P196" s="83" t="s">
        <v>348</v>
      </c>
      <c r="Q196" s="126">
        <v>41100</v>
      </c>
    </row>
    <row r="197" spans="1:18" x14ac:dyDescent="0.2">
      <c r="A197" s="83" t="s">
        <v>12</v>
      </c>
      <c r="B197" s="126">
        <v>41087</v>
      </c>
      <c r="C197" s="143" t="s">
        <v>3329</v>
      </c>
      <c r="D197" s="83" t="s">
        <v>1946</v>
      </c>
      <c r="E197" s="83" t="s">
        <v>26</v>
      </c>
      <c r="F197" s="83" t="s">
        <v>906</v>
      </c>
      <c r="G197" s="83" t="s">
        <v>3160</v>
      </c>
      <c r="H197" s="128">
        <f>4000/1.18</f>
        <v>3389.8305084745766</v>
      </c>
      <c r="I197" s="128">
        <f t="shared" si="11"/>
        <v>610.16949152542372</v>
      </c>
      <c r="K197" s="128">
        <f t="shared" si="12"/>
        <v>4000.0000000000005</v>
      </c>
      <c r="L197" s="83" t="s">
        <v>3509</v>
      </c>
      <c r="M197" s="83" t="s">
        <v>3382</v>
      </c>
      <c r="N197" s="83"/>
      <c r="P197" s="83" t="s">
        <v>348</v>
      </c>
      <c r="Q197" s="126">
        <v>41100</v>
      </c>
    </row>
    <row r="198" spans="1:18" x14ac:dyDescent="0.2">
      <c r="A198" s="83" t="s">
        <v>408</v>
      </c>
      <c r="B198" s="126">
        <v>41088</v>
      </c>
      <c r="C198" s="143" t="s">
        <v>3129</v>
      </c>
      <c r="D198" s="83" t="s">
        <v>3130</v>
      </c>
      <c r="E198" s="83" t="s">
        <v>3131</v>
      </c>
      <c r="F198" s="83" t="s">
        <v>2632</v>
      </c>
      <c r="G198" s="83" t="s">
        <v>2633</v>
      </c>
      <c r="H198" s="128">
        <f>7500/1.18</f>
        <v>6355.9322033898306</v>
      </c>
      <c r="I198" s="128">
        <f t="shared" si="11"/>
        <v>1144.0677966101696</v>
      </c>
      <c r="K198" s="128">
        <f t="shared" si="12"/>
        <v>7500</v>
      </c>
      <c r="L198" s="83" t="s">
        <v>2872</v>
      </c>
      <c r="M198" s="83" t="s">
        <v>3315</v>
      </c>
      <c r="P198" s="83" t="s">
        <v>348</v>
      </c>
      <c r="Q198" s="126">
        <v>41100</v>
      </c>
    </row>
    <row r="199" spans="1:18" x14ac:dyDescent="0.2">
      <c r="A199" s="83" t="s">
        <v>408</v>
      </c>
      <c r="B199" s="126">
        <v>41091</v>
      </c>
      <c r="C199" s="143" t="s">
        <v>3171</v>
      </c>
      <c r="D199" s="83" t="s">
        <v>3170</v>
      </c>
      <c r="F199" s="83" t="s">
        <v>2627</v>
      </c>
      <c r="G199" s="83" t="s">
        <v>2628</v>
      </c>
      <c r="K199" s="83">
        <v>8200</v>
      </c>
      <c r="L199" s="83" t="s">
        <v>3169</v>
      </c>
      <c r="M199" s="83" t="s">
        <v>31</v>
      </c>
      <c r="P199" s="83" t="s">
        <v>348</v>
      </c>
      <c r="Q199" s="126">
        <v>41100</v>
      </c>
    </row>
    <row r="200" spans="1:18" x14ac:dyDescent="0.2">
      <c r="A200" s="83" t="s">
        <v>408</v>
      </c>
      <c r="B200" s="126">
        <v>41092</v>
      </c>
      <c r="C200" s="143" t="s">
        <v>3225</v>
      </c>
      <c r="D200" s="83" t="s">
        <v>3226</v>
      </c>
      <c r="E200" s="83" t="s">
        <v>3227</v>
      </c>
      <c r="F200" s="83" t="s">
        <v>906</v>
      </c>
      <c r="G200" s="83" t="s">
        <v>2949</v>
      </c>
      <c r="J200" s="83" t="s">
        <v>21</v>
      </c>
      <c r="K200" s="83">
        <v>2800</v>
      </c>
      <c r="L200" s="83" t="s">
        <v>3228</v>
      </c>
      <c r="M200" s="83" t="s">
        <v>31</v>
      </c>
      <c r="P200" s="83" t="s">
        <v>429</v>
      </c>
      <c r="Q200" s="126">
        <v>41190</v>
      </c>
    </row>
    <row r="201" spans="1:18" x14ac:dyDescent="0.2">
      <c r="A201" s="83" t="s">
        <v>408</v>
      </c>
      <c r="B201" s="126">
        <v>41093</v>
      </c>
      <c r="C201" s="143" t="s">
        <v>3277</v>
      </c>
      <c r="D201" s="83" t="s">
        <v>3278</v>
      </c>
      <c r="E201" s="83" t="s">
        <v>3279</v>
      </c>
      <c r="F201" s="83" t="s">
        <v>2638</v>
      </c>
      <c r="G201" s="83" t="s">
        <v>2687</v>
      </c>
      <c r="H201" s="128">
        <f>1200/1.18</f>
        <v>1016.949152542373</v>
      </c>
      <c r="I201" s="128">
        <f t="shared" ref="I201:I208" si="13">+H201*0.18</f>
        <v>183.05084745762713</v>
      </c>
      <c r="K201" s="128">
        <f t="shared" ref="K201:K208" si="14">+H201+I201</f>
        <v>1200</v>
      </c>
      <c r="L201" s="83" t="s">
        <v>3280</v>
      </c>
      <c r="M201" s="83" t="s">
        <v>3484</v>
      </c>
      <c r="P201" s="83" t="s">
        <v>429</v>
      </c>
      <c r="Q201" s="126">
        <v>41200</v>
      </c>
    </row>
    <row r="202" spans="1:18" x14ac:dyDescent="0.2">
      <c r="A202" s="83" t="s">
        <v>408</v>
      </c>
      <c r="B202" s="126">
        <v>41095</v>
      </c>
      <c r="C202" s="143" t="s">
        <v>3229</v>
      </c>
      <c r="D202" s="83" t="s">
        <v>3230</v>
      </c>
      <c r="E202" s="83" t="s">
        <v>3231</v>
      </c>
      <c r="F202" s="83" t="s">
        <v>2646</v>
      </c>
      <c r="G202" s="83" t="s">
        <v>2654</v>
      </c>
      <c r="H202" s="83">
        <v>2796.61</v>
      </c>
      <c r="I202" s="128">
        <f t="shared" si="13"/>
        <v>503.38979999999998</v>
      </c>
      <c r="K202" s="128">
        <f t="shared" si="14"/>
        <v>3299.9998000000001</v>
      </c>
      <c r="L202" s="83" t="s">
        <v>3232</v>
      </c>
      <c r="M202" s="83" t="s">
        <v>31</v>
      </c>
      <c r="P202" s="83" t="s">
        <v>429</v>
      </c>
      <c r="Q202" s="126">
        <v>41190</v>
      </c>
    </row>
    <row r="203" spans="1:18" x14ac:dyDescent="0.2">
      <c r="A203" s="149" t="s">
        <v>408</v>
      </c>
      <c r="B203" s="150">
        <v>41095</v>
      </c>
      <c r="C203" s="151" t="s">
        <v>3282</v>
      </c>
      <c r="D203" s="83" t="s">
        <v>3283</v>
      </c>
      <c r="E203" s="83" t="s">
        <v>3284</v>
      </c>
      <c r="F203" s="83" t="s">
        <v>1975</v>
      </c>
      <c r="G203" s="83" t="s">
        <v>2197</v>
      </c>
      <c r="H203" s="128">
        <f>4000/1.18</f>
        <v>3389.8305084745766</v>
      </c>
      <c r="I203" s="128">
        <f t="shared" si="13"/>
        <v>610.16949152542372</v>
      </c>
      <c r="K203" s="128">
        <f t="shared" si="14"/>
        <v>4000.0000000000005</v>
      </c>
      <c r="L203" s="83" t="s">
        <v>3281</v>
      </c>
      <c r="M203" s="83" t="s">
        <v>31</v>
      </c>
      <c r="P203" s="83" t="s">
        <v>429</v>
      </c>
      <c r="Q203" s="126">
        <v>41200</v>
      </c>
      <c r="R203" s="83" t="s">
        <v>3309</v>
      </c>
    </row>
    <row r="204" spans="1:18" x14ac:dyDescent="0.2">
      <c r="A204" s="83" t="s">
        <v>408</v>
      </c>
      <c r="B204" s="126">
        <v>41100</v>
      </c>
      <c r="C204" s="143" t="s">
        <v>3233</v>
      </c>
      <c r="D204" s="83" t="s">
        <v>3234</v>
      </c>
      <c r="E204" s="83" t="s">
        <v>3235</v>
      </c>
      <c r="F204" s="83" t="s">
        <v>2806</v>
      </c>
      <c r="G204" s="83" t="s">
        <v>3236</v>
      </c>
      <c r="H204" s="128">
        <f>1500/1.18</f>
        <v>1271.1864406779662</v>
      </c>
      <c r="I204" s="128">
        <f t="shared" si="13"/>
        <v>228.81355932203391</v>
      </c>
      <c r="J204" s="128"/>
      <c r="K204" s="128">
        <f t="shared" si="14"/>
        <v>1500</v>
      </c>
      <c r="L204" s="83" t="s">
        <v>3237</v>
      </c>
      <c r="M204" s="83" t="s">
        <v>31</v>
      </c>
      <c r="P204" s="83" t="s">
        <v>429</v>
      </c>
      <c r="Q204" s="126">
        <v>41190</v>
      </c>
    </row>
    <row r="205" spans="1:18" x14ac:dyDescent="0.2">
      <c r="A205" s="83" t="s">
        <v>408</v>
      </c>
      <c r="B205" s="126">
        <v>41108</v>
      </c>
      <c r="C205" s="143" t="s">
        <v>3238</v>
      </c>
      <c r="D205" s="83" t="s">
        <v>3239</v>
      </c>
      <c r="E205" s="83" t="s">
        <v>3240</v>
      </c>
      <c r="F205" s="83" t="s">
        <v>2893</v>
      </c>
      <c r="G205" s="83" t="s">
        <v>2894</v>
      </c>
      <c r="H205" s="83">
        <v>20300</v>
      </c>
      <c r="I205" s="128">
        <f t="shared" si="13"/>
        <v>3654</v>
      </c>
      <c r="K205" s="128">
        <f t="shared" si="14"/>
        <v>23954</v>
      </c>
      <c r="L205" s="83" t="s">
        <v>3241</v>
      </c>
      <c r="M205" s="83" t="s">
        <v>3316</v>
      </c>
      <c r="P205" s="83" t="s">
        <v>429</v>
      </c>
      <c r="Q205" s="126">
        <v>41190</v>
      </c>
    </row>
    <row r="206" spans="1:18" x14ac:dyDescent="0.2">
      <c r="A206" s="83" t="s">
        <v>12</v>
      </c>
      <c r="B206" s="126">
        <v>41110</v>
      </c>
      <c r="C206" s="143" t="s">
        <v>3192</v>
      </c>
      <c r="D206" s="83" t="s">
        <v>2625</v>
      </c>
      <c r="E206" s="83" t="s">
        <v>3193</v>
      </c>
      <c r="F206" s="83" t="s">
        <v>3194</v>
      </c>
      <c r="G206" s="83" t="s">
        <v>3195</v>
      </c>
      <c r="H206" s="128">
        <v>5084.75</v>
      </c>
      <c r="I206" s="128">
        <f t="shared" si="13"/>
        <v>915.255</v>
      </c>
      <c r="J206" s="128"/>
      <c r="K206" s="128">
        <f t="shared" si="14"/>
        <v>6000.0050000000001</v>
      </c>
      <c r="L206" s="83" t="s">
        <v>3509</v>
      </c>
      <c r="M206" s="83" t="s">
        <v>31</v>
      </c>
      <c r="N206" s="83"/>
      <c r="P206" s="83" t="s">
        <v>429</v>
      </c>
      <c r="Q206" s="126">
        <v>41190</v>
      </c>
    </row>
    <row r="207" spans="1:18" x14ac:dyDescent="0.2">
      <c r="A207" s="83" t="s">
        <v>12</v>
      </c>
      <c r="B207" s="126">
        <v>41110</v>
      </c>
      <c r="C207" s="143" t="s">
        <v>3196</v>
      </c>
      <c r="D207" s="83" t="s">
        <v>2625</v>
      </c>
      <c r="E207" s="83" t="s">
        <v>3193</v>
      </c>
      <c r="F207" s="83" t="s">
        <v>3194</v>
      </c>
      <c r="G207" s="83" t="s">
        <v>3197</v>
      </c>
      <c r="H207" s="128">
        <v>4830.51</v>
      </c>
      <c r="I207" s="128">
        <f t="shared" si="13"/>
        <v>869.49180000000001</v>
      </c>
      <c r="J207" s="128"/>
      <c r="K207" s="128">
        <f t="shared" si="14"/>
        <v>5700.0018</v>
      </c>
      <c r="L207" s="83" t="s">
        <v>3509</v>
      </c>
      <c r="M207" s="83" t="s">
        <v>31</v>
      </c>
      <c r="N207" s="83"/>
      <c r="P207" s="83" t="s">
        <v>429</v>
      </c>
      <c r="Q207" s="126">
        <v>41190</v>
      </c>
    </row>
    <row r="208" spans="1:18" x14ac:dyDescent="0.2">
      <c r="A208" s="83" t="s">
        <v>408</v>
      </c>
      <c r="B208" s="126">
        <v>41114</v>
      </c>
      <c r="C208" s="143" t="s">
        <v>3242</v>
      </c>
      <c r="D208" s="83" t="s">
        <v>3243</v>
      </c>
      <c r="E208" s="83" t="s">
        <v>3244</v>
      </c>
      <c r="F208" s="83" t="s">
        <v>392</v>
      </c>
      <c r="G208" s="83" t="s">
        <v>3245</v>
      </c>
      <c r="H208" s="83">
        <v>1694.92</v>
      </c>
      <c r="I208" s="128">
        <f t="shared" si="13"/>
        <v>305.0856</v>
      </c>
      <c r="K208" s="128">
        <f t="shared" si="14"/>
        <v>2000.0056</v>
      </c>
      <c r="L208" s="83" t="s">
        <v>3246</v>
      </c>
      <c r="M208" s="83" t="s">
        <v>31</v>
      </c>
      <c r="P208" s="83" t="s">
        <v>429</v>
      </c>
      <c r="Q208" s="126">
        <v>41190</v>
      </c>
    </row>
    <row r="209" spans="1:17" x14ac:dyDescent="0.2">
      <c r="A209" s="83" t="s">
        <v>12</v>
      </c>
      <c r="B209" s="126">
        <v>41115</v>
      </c>
      <c r="C209" s="143" t="s">
        <v>944</v>
      </c>
      <c r="D209" s="83" t="s">
        <v>3189</v>
      </c>
      <c r="E209" s="83" t="s">
        <v>3190</v>
      </c>
      <c r="F209" s="83" t="s">
        <v>906</v>
      </c>
      <c r="G209" s="83" t="s">
        <v>3191</v>
      </c>
      <c r="J209" s="83" t="s">
        <v>21</v>
      </c>
      <c r="K209" s="83">
        <v>2000</v>
      </c>
      <c r="L209" s="83" t="s">
        <v>2709</v>
      </c>
      <c r="M209" s="83" t="s">
        <v>31</v>
      </c>
      <c r="N209" s="83"/>
      <c r="P209" s="83" t="s">
        <v>429</v>
      </c>
      <c r="Q209" s="126">
        <v>41190</v>
      </c>
    </row>
    <row r="210" spans="1:17" x14ac:dyDescent="0.2">
      <c r="A210" s="83" t="s">
        <v>408</v>
      </c>
      <c r="B210" s="126">
        <v>41115</v>
      </c>
      <c r="C210" s="143" t="s">
        <v>3247</v>
      </c>
      <c r="D210" s="83" t="s">
        <v>3189</v>
      </c>
      <c r="E210" s="83" t="s">
        <v>3190</v>
      </c>
      <c r="F210" s="83" t="s">
        <v>3210</v>
      </c>
      <c r="G210" s="83" t="s">
        <v>3154</v>
      </c>
      <c r="H210" s="128">
        <f>5300/1.18</f>
        <v>4491.5254237288136</v>
      </c>
      <c r="I210" s="128">
        <f>+H210*0.18</f>
        <v>808.47457627118638</v>
      </c>
      <c r="K210" s="128">
        <f>+H210+I210</f>
        <v>5300</v>
      </c>
      <c r="L210" s="83" t="s">
        <v>3248</v>
      </c>
      <c r="M210" s="83" t="s">
        <v>31</v>
      </c>
      <c r="P210" s="83" t="s">
        <v>429</v>
      </c>
      <c r="Q210" s="126">
        <v>41190</v>
      </c>
    </row>
    <row r="211" spans="1:17" x14ac:dyDescent="0.2">
      <c r="A211" s="83" t="s">
        <v>408</v>
      </c>
      <c r="B211" s="126">
        <v>41118</v>
      </c>
      <c r="C211" s="143" t="s">
        <v>3249</v>
      </c>
      <c r="D211" s="83" t="s">
        <v>3250</v>
      </c>
      <c r="E211" s="83" t="s">
        <v>3251</v>
      </c>
      <c r="F211" s="83" t="s">
        <v>3156</v>
      </c>
      <c r="G211" s="83" t="s">
        <v>3157</v>
      </c>
      <c r="H211" s="128">
        <f>4300/1.18</f>
        <v>3644.0677966101698</v>
      </c>
      <c r="I211" s="128">
        <f>+H211*0.18</f>
        <v>655.93220338983053</v>
      </c>
      <c r="K211" s="128">
        <f>+H211+I211</f>
        <v>4300</v>
      </c>
      <c r="L211" s="83" t="s">
        <v>3252</v>
      </c>
      <c r="M211" s="83" t="s">
        <v>31</v>
      </c>
      <c r="P211" s="83" t="s">
        <v>429</v>
      </c>
      <c r="Q211" s="126">
        <v>41190</v>
      </c>
    </row>
    <row r="212" spans="1:17" x14ac:dyDescent="0.2">
      <c r="A212" s="83" t="s">
        <v>12</v>
      </c>
      <c r="B212" s="126">
        <v>41120</v>
      </c>
      <c r="C212" s="143" t="s">
        <v>944</v>
      </c>
      <c r="D212" s="83" t="s">
        <v>3198</v>
      </c>
      <c r="E212" s="83" t="s">
        <v>3199</v>
      </c>
      <c r="F212" s="83" t="s">
        <v>3200</v>
      </c>
      <c r="G212" s="83" t="s">
        <v>3201</v>
      </c>
      <c r="J212" s="83" t="s">
        <v>21</v>
      </c>
      <c r="K212" s="83">
        <v>2000</v>
      </c>
      <c r="L212" s="83" t="s">
        <v>2709</v>
      </c>
      <c r="M212" s="83" t="s">
        <v>31</v>
      </c>
      <c r="N212" s="83"/>
      <c r="P212" s="83" t="s">
        <v>429</v>
      </c>
      <c r="Q212" s="126">
        <v>41190</v>
      </c>
    </row>
    <row r="213" spans="1:17" x14ac:dyDescent="0.2">
      <c r="A213" s="83" t="s">
        <v>408</v>
      </c>
      <c r="B213" s="126">
        <v>41120</v>
      </c>
      <c r="C213" s="143" t="s">
        <v>3253</v>
      </c>
      <c r="D213" s="83" t="s">
        <v>3254</v>
      </c>
      <c r="E213" s="83" t="s">
        <v>3255</v>
      </c>
      <c r="F213" s="83" t="s">
        <v>368</v>
      </c>
      <c r="G213" s="83" t="s">
        <v>3159</v>
      </c>
      <c r="H213" s="128">
        <f>3300/1.18</f>
        <v>2796.6101694915255</v>
      </c>
      <c r="I213" s="128">
        <f>+H213*0.18</f>
        <v>503.38983050847457</v>
      </c>
      <c r="K213" s="128">
        <f>+H213+I213</f>
        <v>3300</v>
      </c>
      <c r="L213" s="83" t="s">
        <v>3256</v>
      </c>
      <c r="M213" s="83" t="s">
        <v>31</v>
      </c>
      <c r="P213" s="83" t="s">
        <v>429</v>
      </c>
      <c r="Q213" s="126">
        <v>41190</v>
      </c>
    </row>
    <row r="214" spans="1:17" x14ac:dyDescent="0.2">
      <c r="A214" s="83" t="s">
        <v>408</v>
      </c>
      <c r="B214" s="126">
        <v>41120</v>
      </c>
      <c r="C214" s="143" t="s">
        <v>144</v>
      </c>
      <c r="D214" s="83" t="s">
        <v>3453</v>
      </c>
      <c r="E214" s="83" t="s">
        <v>3454</v>
      </c>
      <c r="F214" s="83" t="s">
        <v>929</v>
      </c>
      <c r="G214" s="83" t="s">
        <v>3455</v>
      </c>
      <c r="H214" s="83">
        <v>3813.56</v>
      </c>
      <c r="I214" s="128">
        <f>+H214*0.18</f>
        <v>686.44079999999997</v>
      </c>
      <c r="K214" s="128">
        <f>+H214+I214</f>
        <v>4500.0007999999998</v>
      </c>
      <c r="L214" s="83" t="s">
        <v>2009</v>
      </c>
      <c r="M214" s="83" t="s">
        <v>31</v>
      </c>
      <c r="P214" s="83" t="s">
        <v>663</v>
      </c>
      <c r="Q214" s="126">
        <v>41290</v>
      </c>
    </row>
    <row r="215" spans="1:17" x14ac:dyDescent="0.2">
      <c r="A215" s="83" t="s">
        <v>408</v>
      </c>
      <c r="B215" s="126">
        <v>41121</v>
      </c>
      <c r="C215" s="143" t="s">
        <v>3257</v>
      </c>
      <c r="D215" s="83" t="s">
        <v>3258</v>
      </c>
      <c r="E215" s="83" t="s">
        <v>3259</v>
      </c>
      <c r="F215" s="83" t="s">
        <v>392</v>
      </c>
      <c r="G215" s="83" t="s">
        <v>3260</v>
      </c>
      <c r="H215" s="128">
        <f>1000/1.18</f>
        <v>847.45762711864415</v>
      </c>
      <c r="I215" s="128">
        <f>+H215*0.18</f>
        <v>152.54237288135593</v>
      </c>
      <c r="K215" s="128">
        <f>+H215+I215</f>
        <v>1000.0000000000001</v>
      </c>
      <c r="L215" s="83" t="s">
        <v>3261</v>
      </c>
      <c r="M215" s="83" t="s">
        <v>31</v>
      </c>
      <c r="P215" s="83" t="s">
        <v>429</v>
      </c>
      <c r="Q215" s="126">
        <v>41190</v>
      </c>
    </row>
    <row r="216" spans="1:17" x14ac:dyDescent="0.2">
      <c r="A216" s="83" t="s">
        <v>12</v>
      </c>
      <c r="B216" s="126">
        <v>41123</v>
      </c>
      <c r="C216" s="143" t="s">
        <v>944</v>
      </c>
      <c r="D216" s="83" t="s">
        <v>3204</v>
      </c>
      <c r="E216" s="83" t="s">
        <v>3205</v>
      </c>
      <c r="F216" s="83" t="s">
        <v>3206</v>
      </c>
      <c r="G216" s="83" t="s">
        <v>3207</v>
      </c>
      <c r="J216" s="83" t="s">
        <v>21</v>
      </c>
      <c r="K216" s="83">
        <v>1000</v>
      </c>
      <c r="L216" s="83" t="s">
        <v>2709</v>
      </c>
      <c r="M216" s="83" t="s">
        <v>31</v>
      </c>
      <c r="N216" s="83"/>
      <c r="P216" s="83" t="s">
        <v>429</v>
      </c>
      <c r="Q216" s="126">
        <v>41190</v>
      </c>
    </row>
    <row r="217" spans="1:17" x14ac:dyDescent="0.2">
      <c r="A217" s="134" t="s">
        <v>408</v>
      </c>
      <c r="B217" s="135">
        <v>41124</v>
      </c>
      <c r="C217" s="155" t="s">
        <v>145</v>
      </c>
      <c r="D217" s="134" t="s">
        <v>3458</v>
      </c>
      <c r="E217" s="134" t="s">
        <v>3459</v>
      </c>
      <c r="F217" s="134" t="s">
        <v>3456</v>
      </c>
      <c r="G217" s="134" t="s">
        <v>3457</v>
      </c>
      <c r="H217" s="134"/>
      <c r="I217" s="134"/>
      <c r="J217" s="134" t="s">
        <v>21</v>
      </c>
      <c r="K217" s="134">
        <v>2000</v>
      </c>
      <c r="L217" s="134" t="s">
        <v>3549</v>
      </c>
      <c r="M217" s="134" t="s">
        <v>31</v>
      </c>
      <c r="N217" s="155"/>
      <c r="O217" s="134"/>
      <c r="P217" s="134" t="s">
        <v>663</v>
      </c>
      <c r="Q217" s="135">
        <v>41290</v>
      </c>
    </row>
    <row r="218" spans="1:17" x14ac:dyDescent="0.2">
      <c r="A218" s="83" t="s">
        <v>408</v>
      </c>
      <c r="B218" s="126">
        <v>41134</v>
      </c>
      <c r="C218" s="143" t="s">
        <v>3264</v>
      </c>
      <c r="D218" s="83" t="s">
        <v>2750</v>
      </c>
      <c r="E218" s="83" t="s">
        <v>2751</v>
      </c>
      <c r="F218" s="83" t="s">
        <v>3206</v>
      </c>
      <c r="G218" s="83" t="s">
        <v>3207</v>
      </c>
      <c r="J218" s="83" t="s">
        <v>21</v>
      </c>
      <c r="K218" s="83">
        <v>1200</v>
      </c>
      <c r="L218" s="83" t="s">
        <v>3265</v>
      </c>
      <c r="M218" s="83" t="s">
        <v>31</v>
      </c>
      <c r="P218" s="83" t="s">
        <v>429</v>
      </c>
      <c r="Q218" s="126">
        <v>41190</v>
      </c>
    </row>
    <row r="219" spans="1:17" x14ac:dyDescent="0.2">
      <c r="A219" s="83" t="s">
        <v>12</v>
      </c>
      <c r="B219" s="126">
        <v>41137</v>
      </c>
      <c r="C219" s="143">
        <v>2012100574</v>
      </c>
      <c r="D219" s="83" t="s">
        <v>14</v>
      </c>
      <c r="E219" s="83" t="s">
        <v>13</v>
      </c>
      <c r="F219" s="83" t="s">
        <v>2629</v>
      </c>
      <c r="G219" s="83" t="s">
        <v>3212</v>
      </c>
      <c r="H219" s="83">
        <v>3686.44</v>
      </c>
      <c r="I219" s="128">
        <f>+H219*0.18</f>
        <v>663.55920000000003</v>
      </c>
      <c r="K219" s="128">
        <f>+H219+I219</f>
        <v>4349.9992000000002</v>
      </c>
      <c r="L219" s="83" t="s">
        <v>3555</v>
      </c>
      <c r="M219" s="83" t="s">
        <v>3383</v>
      </c>
      <c r="N219" s="83"/>
      <c r="P219" s="83" t="s">
        <v>429</v>
      </c>
      <c r="Q219" s="126">
        <v>41190</v>
      </c>
    </row>
    <row r="220" spans="1:17" x14ac:dyDescent="0.2">
      <c r="A220" s="83" t="s">
        <v>12</v>
      </c>
      <c r="B220" s="126">
        <v>41137</v>
      </c>
      <c r="C220" s="143">
        <v>2012100575</v>
      </c>
      <c r="D220" s="83" t="s">
        <v>14</v>
      </c>
      <c r="E220" s="83" t="s">
        <v>13</v>
      </c>
      <c r="F220" s="83" t="s">
        <v>623</v>
      </c>
      <c r="G220" s="83" t="s">
        <v>3213</v>
      </c>
      <c r="H220" s="83">
        <v>5018.58</v>
      </c>
      <c r="I220" s="128">
        <f>+H220*0.18</f>
        <v>903.34439999999995</v>
      </c>
      <c r="K220" s="128">
        <f>+H220+I220</f>
        <v>5921.9243999999999</v>
      </c>
      <c r="L220" s="83" t="s">
        <v>2709</v>
      </c>
      <c r="M220" s="83" t="s">
        <v>3383</v>
      </c>
      <c r="N220" s="83"/>
      <c r="P220" s="83" t="s">
        <v>429</v>
      </c>
      <c r="Q220" s="126">
        <v>41190</v>
      </c>
    </row>
    <row r="221" spans="1:17" x14ac:dyDescent="0.2">
      <c r="A221" s="83" t="s">
        <v>12</v>
      </c>
      <c r="B221" s="126">
        <v>41137</v>
      </c>
      <c r="C221" s="143">
        <v>2012100554</v>
      </c>
      <c r="D221" s="83" t="s">
        <v>14</v>
      </c>
      <c r="E221" s="83" t="s">
        <v>13</v>
      </c>
      <c r="F221" s="83" t="s">
        <v>2629</v>
      </c>
      <c r="G221" s="83" t="s">
        <v>3214</v>
      </c>
      <c r="H221" s="83">
        <v>3893.03</v>
      </c>
      <c r="I221" s="128">
        <f>+H221*0.18</f>
        <v>700.74540000000002</v>
      </c>
      <c r="K221" s="128">
        <f>+H221+I221</f>
        <v>4593.7754000000004</v>
      </c>
      <c r="L221" s="83" t="s">
        <v>2709</v>
      </c>
      <c r="M221" s="83" t="s">
        <v>3387</v>
      </c>
      <c r="N221" s="83"/>
      <c r="P221" s="83" t="s">
        <v>429</v>
      </c>
      <c r="Q221" s="126">
        <v>41190</v>
      </c>
    </row>
    <row r="222" spans="1:17" x14ac:dyDescent="0.2">
      <c r="A222" s="83" t="s">
        <v>12</v>
      </c>
      <c r="B222" s="126">
        <v>41137</v>
      </c>
      <c r="C222" s="143" t="s">
        <v>3331</v>
      </c>
      <c r="D222" s="83" t="s">
        <v>1946</v>
      </c>
      <c r="E222" s="83" t="s">
        <v>26</v>
      </c>
      <c r="F222" s="83" t="s">
        <v>362</v>
      </c>
      <c r="G222" s="83" t="s">
        <v>3332</v>
      </c>
      <c r="H222" s="83">
        <v>4237.29</v>
      </c>
      <c r="I222" s="128">
        <f>+H222*0.18</f>
        <v>762.71219999999994</v>
      </c>
      <c r="K222" s="128">
        <f>+H222+I222</f>
        <v>5000.0021999999999</v>
      </c>
      <c r="L222" s="83" t="s">
        <v>3555</v>
      </c>
      <c r="M222" s="83" t="s">
        <v>3384</v>
      </c>
      <c r="N222" s="83"/>
      <c r="P222" s="83" t="s">
        <v>663</v>
      </c>
      <c r="Q222" s="126">
        <v>41290</v>
      </c>
    </row>
    <row r="223" spans="1:17" x14ac:dyDescent="0.2">
      <c r="A223" s="83" t="s">
        <v>12</v>
      </c>
      <c r="B223" s="126">
        <v>41138</v>
      </c>
      <c r="C223" s="143" t="s">
        <v>3325</v>
      </c>
      <c r="D223" s="83" t="s">
        <v>1946</v>
      </c>
      <c r="E223" s="83" t="s">
        <v>26</v>
      </c>
      <c r="F223" s="83" t="s">
        <v>3326</v>
      </c>
      <c r="G223" s="83" t="s">
        <v>3327</v>
      </c>
      <c r="H223" s="83">
        <v>4237.29</v>
      </c>
      <c r="I223" s="128">
        <f>+H223*0.18</f>
        <v>762.71219999999994</v>
      </c>
      <c r="K223" s="128">
        <f>+H223+I223</f>
        <v>5000.0021999999999</v>
      </c>
      <c r="L223" s="83" t="s">
        <v>2709</v>
      </c>
      <c r="M223" s="83" t="s">
        <v>3385</v>
      </c>
      <c r="N223" s="83"/>
      <c r="P223" s="83" t="s">
        <v>663</v>
      </c>
      <c r="Q223" s="126">
        <v>41290</v>
      </c>
    </row>
    <row r="224" spans="1:17" x14ac:dyDescent="0.2">
      <c r="A224" s="83" t="s">
        <v>408</v>
      </c>
      <c r="B224" s="126">
        <v>41139</v>
      </c>
      <c r="C224" s="143" t="s">
        <v>3262</v>
      </c>
      <c r="D224" s="83" t="s">
        <v>333</v>
      </c>
      <c r="E224" s="83" t="s">
        <v>3140</v>
      </c>
      <c r="F224" s="83" t="s">
        <v>2956</v>
      </c>
      <c r="G224" s="83" t="s">
        <v>2957</v>
      </c>
      <c r="J224" s="83" t="s">
        <v>21</v>
      </c>
      <c r="K224" s="83">
        <v>5450</v>
      </c>
      <c r="L224" s="83" t="s">
        <v>3263</v>
      </c>
      <c r="M224" s="83" t="s">
        <v>31</v>
      </c>
      <c r="P224" s="83" t="s">
        <v>429</v>
      </c>
      <c r="Q224" s="126">
        <v>41190</v>
      </c>
    </row>
    <row r="225" spans="1:17" x14ac:dyDescent="0.2">
      <c r="A225" s="83" t="s">
        <v>408</v>
      </c>
      <c r="B225" s="126">
        <v>41141</v>
      </c>
      <c r="C225" s="143" t="s">
        <v>3266</v>
      </c>
      <c r="D225" s="83" t="s">
        <v>3267</v>
      </c>
      <c r="E225" s="83" t="s">
        <v>3268</v>
      </c>
      <c r="F225" s="83" t="s">
        <v>2629</v>
      </c>
      <c r="G225" s="83" t="s">
        <v>3214</v>
      </c>
      <c r="H225" s="128">
        <f>4800/1.18</f>
        <v>4067.7966101694919</v>
      </c>
      <c r="I225" s="128">
        <f>+H225*0.18</f>
        <v>732.20338983050851</v>
      </c>
      <c r="K225" s="128">
        <f>+H225+I225</f>
        <v>4800</v>
      </c>
      <c r="L225" s="83" t="s">
        <v>3269</v>
      </c>
      <c r="M225" s="83" t="s">
        <v>31</v>
      </c>
      <c r="P225" s="83" t="s">
        <v>429</v>
      </c>
      <c r="Q225" s="126">
        <v>41190</v>
      </c>
    </row>
    <row r="226" spans="1:17" x14ac:dyDescent="0.2">
      <c r="A226" s="83" t="s">
        <v>408</v>
      </c>
      <c r="B226" s="126">
        <v>41141</v>
      </c>
      <c r="C226" s="143" t="s">
        <v>3270</v>
      </c>
      <c r="D226" s="83" t="s">
        <v>3271</v>
      </c>
      <c r="E226" s="83" t="s">
        <v>3272</v>
      </c>
      <c r="F226" s="83" t="s">
        <v>377</v>
      </c>
      <c r="G226" s="83" t="s">
        <v>874</v>
      </c>
      <c r="H226" s="128">
        <f>1500/1.18</f>
        <v>1271.1864406779662</v>
      </c>
      <c r="I226" s="128">
        <f>+H226*0.18</f>
        <v>228.81355932203391</v>
      </c>
      <c r="K226" s="128">
        <f>+H226+I226</f>
        <v>1500</v>
      </c>
      <c r="L226" s="83" t="s">
        <v>3273</v>
      </c>
      <c r="M226" s="83" t="s">
        <v>3487</v>
      </c>
      <c r="P226" s="83" t="s">
        <v>429</v>
      </c>
      <c r="Q226" s="126">
        <v>41190</v>
      </c>
    </row>
    <row r="227" spans="1:17" x14ac:dyDescent="0.2">
      <c r="A227" s="83" t="s">
        <v>12</v>
      </c>
      <c r="B227" s="126">
        <v>41142</v>
      </c>
      <c r="C227" s="143" t="s">
        <v>3202</v>
      </c>
      <c r="D227" s="83" t="s">
        <v>333</v>
      </c>
      <c r="E227" s="83" t="s">
        <v>3140</v>
      </c>
      <c r="F227" s="83" t="s">
        <v>2487</v>
      </c>
      <c r="G227" s="83" t="s">
        <v>3203</v>
      </c>
      <c r="H227" s="128">
        <v>2080</v>
      </c>
      <c r="I227" s="128">
        <f>+H227*0.18</f>
        <v>374.4</v>
      </c>
      <c r="J227" s="128"/>
      <c r="K227" s="128">
        <f>+H227+I227</f>
        <v>2454.4</v>
      </c>
      <c r="L227" s="83" t="s">
        <v>2709</v>
      </c>
      <c r="M227" s="83" t="s">
        <v>31</v>
      </c>
      <c r="N227" s="83"/>
      <c r="P227" s="83" t="s">
        <v>429</v>
      </c>
      <c r="Q227" s="126">
        <v>41190</v>
      </c>
    </row>
    <row r="228" spans="1:17" x14ac:dyDescent="0.2">
      <c r="A228" s="83" t="s">
        <v>12</v>
      </c>
      <c r="B228" s="126">
        <v>41149</v>
      </c>
      <c r="C228" s="143">
        <v>2012100608</v>
      </c>
      <c r="D228" s="83" t="s">
        <v>14</v>
      </c>
      <c r="E228" s="83" t="s">
        <v>13</v>
      </c>
      <c r="F228" s="83" t="s">
        <v>366</v>
      </c>
      <c r="G228" s="83" t="s">
        <v>3276</v>
      </c>
      <c r="H228" s="83">
        <v>3118.88</v>
      </c>
      <c r="I228" s="128">
        <f>+H228*0.18</f>
        <v>561.39840000000004</v>
      </c>
      <c r="J228" s="128"/>
      <c r="K228" s="128">
        <f>+H228+I228</f>
        <v>3680.2784000000001</v>
      </c>
      <c r="L228" s="83" t="s">
        <v>2709</v>
      </c>
      <c r="M228" s="83" t="s">
        <v>3386</v>
      </c>
      <c r="N228" s="83"/>
      <c r="P228" s="83" t="s">
        <v>429</v>
      </c>
      <c r="Q228" s="126">
        <v>41200</v>
      </c>
    </row>
    <row r="229" spans="1:17" x14ac:dyDescent="0.2">
      <c r="A229" s="83" t="s">
        <v>408</v>
      </c>
      <c r="B229" s="126">
        <v>41156</v>
      </c>
      <c r="C229" s="143" t="s">
        <v>3294</v>
      </c>
      <c r="D229" s="83" t="s">
        <v>3295</v>
      </c>
      <c r="E229" s="152" t="s">
        <v>3304</v>
      </c>
      <c r="F229" s="83" t="s">
        <v>2267</v>
      </c>
      <c r="G229" s="83" t="s">
        <v>2268</v>
      </c>
      <c r="H229" s="128"/>
      <c r="I229" s="128"/>
      <c r="K229" s="128">
        <v>5000</v>
      </c>
      <c r="L229" s="83" t="s">
        <v>3293</v>
      </c>
      <c r="M229" s="83" t="s">
        <v>31</v>
      </c>
      <c r="P229" s="83" t="s">
        <v>429</v>
      </c>
      <c r="Q229" s="126">
        <v>41200</v>
      </c>
    </row>
    <row r="230" spans="1:17" x14ac:dyDescent="0.2">
      <c r="A230" s="83" t="s">
        <v>12</v>
      </c>
      <c r="B230" s="126">
        <v>41159</v>
      </c>
      <c r="C230" s="153" t="s">
        <v>3299</v>
      </c>
      <c r="D230" s="83" t="s">
        <v>3300</v>
      </c>
      <c r="E230" s="83" t="s">
        <v>3301</v>
      </c>
      <c r="F230" s="83" t="s">
        <v>3302</v>
      </c>
      <c r="G230" s="83" t="s">
        <v>3303</v>
      </c>
      <c r="H230" s="128">
        <f>2420/1.21</f>
        <v>2000</v>
      </c>
      <c r="I230" s="128">
        <f>+H230*0.21</f>
        <v>420</v>
      </c>
      <c r="K230" s="128">
        <f>+H230+I230</f>
        <v>2420</v>
      </c>
      <c r="L230" s="83" t="s">
        <v>3934</v>
      </c>
      <c r="M230" s="83" t="s">
        <v>31</v>
      </c>
      <c r="N230" s="83"/>
      <c r="P230" s="83" t="s">
        <v>3305</v>
      </c>
    </row>
    <row r="231" spans="1:17" x14ac:dyDescent="0.2">
      <c r="A231" s="83" t="s">
        <v>408</v>
      </c>
      <c r="B231" s="126">
        <v>41162</v>
      </c>
      <c r="C231" s="143" t="s">
        <v>3493</v>
      </c>
      <c r="D231" s="83" t="s">
        <v>3494</v>
      </c>
      <c r="E231" s="83" t="s">
        <v>3495</v>
      </c>
      <c r="F231" s="83" t="s">
        <v>2706</v>
      </c>
      <c r="G231" s="83" t="s">
        <v>2707</v>
      </c>
      <c r="J231" s="83" t="s">
        <v>21</v>
      </c>
      <c r="K231" s="83">
        <v>5000</v>
      </c>
      <c r="L231" s="83" t="s">
        <v>3497</v>
      </c>
      <c r="M231" s="83" t="s">
        <v>3496</v>
      </c>
      <c r="P231" s="83" t="s">
        <v>663</v>
      </c>
      <c r="Q231" s="126">
        <v>41298</v>
      </c>
    </row>
    <row r="232" spans="1:17" x14ac:dyDescent="0.2">
      <c r="A232" s="83" t="s">
        <v>408</v>
      </c>
      <c r="B232" s="126">
        <v>41167</v>
      </c>
      <c r="C232" s="143" t="s">
        <v>3296</v>
      </c>
      <c r="D232" s="83" t="s">
        <v>3297</v>
      </c>
      <c r="E232" s="83" t="s">
        <v>3307</v>
      </c>
      <c r="F232" s="83" t="s">
        <v>390</v>
      </c>
      <c r="G232" s="83" t="s">
        <v>3152</v>
      </c>
      <c r="H232" s="128">
        <f>3000/1.18</f>
        <v>2542.3728813559323</v>
      </c>
      <c r="I232" s="128">
        <f>+H232*0.18</f>
        <v>457.62711864406782</v>
      </c>
      <c r="K232" s="128">
        <f>+H232+I232</f>
        <v>3000</v>
      </c>
      <c r="L232" s="83" t="s">
        <v>3298</v>
      </c>
      <c r="M232" s="83" t="s">
        <v>31</v>
      </c>
      <c r="P232" s="83" t="s">
        <v>429</v>
      </c>
      <c r="Q232" s="126">
        <v>41200</v>
      </c>
    </row>
    <row r="233" spans="1:17" x14ac:dyDescent="0.2">
      <c r="A233" s="83" t="s">
        <v>12</v>
      </c>
      <c r="B233" s="126">
        <v>41176</v>
      </c>
      <c r="C233" s="143" t="s">
        <v>951</v>
      </c>
      <c r="D233" s="83" t="s">
        <v>3333</v>
      </c>
      <c r="E233" s="83" t="s">
        <v>3334</v>
      </c>
      <c r="F233" s="83" t="s">
        <v>3335</v>
      </c>
      <c r="G233" s="83" t="s">
        <v>3336</v>
      </c>
      <c r="J233" s="83" t="s">
        <v>21</v>
      </c>
      <c r="K233" s="83">
        <v>3300</v>
      </c>
      <c r="L233" s="83" t="s">
        <v>2709</v>
      </c>
      <c r="M233" s="83" t="s">
        <v>31</v>
      </c>
      <c r="N233" s="83"/>
      <c r="P233" s="83" t="s">
        <v>663</v>
      </c>
      <c r="Q233" s="126">
        <v>41290</v>
      </c>
    </row>
    <row r="234" spans="1:17" x14ac:dyDescent="0.2">
      <c r="A234" s="83" t="s">
        <v>12</v>
      </c>
      <c r="B234" s="126">
        <v>41177</v>
      </c>
      <c r="C234" s="143">
        <v>15104364</v>
      </c>
      <c r="D234" s="83" t="s">
        <v>2902</v>
      </c>
      <c r="E234" s="83" t="s">
        <v>2903</v>
      </c>
      <c r="F234" s="83" t="s">
        <v>3318</v>
      </c>
      <c r="G234" s="83" t="s">
        <v>3319</v>
      </c>
      <c r="J234" s="83" t="s">
        <v>21</v>
      </c>
      <c r="K234" s="83">
        <v>3000</v>
      </c>
      <c r="L234" s="83" t="s">
        <v>2709</v>
      </c>
      <c r="M234" s="83" t="s">
        <v>3320</v>
      </c>
      <c r="N234" s="83"/>
      <c r="P234" s="83" t="s">
        <v>663</v>
      </c>
      <c r="Q234" s="126">
        <v>41290</v>
      </c>
    </row>
    <row r="235" spans="1:17" x14ac:dyDescent="0.2">
      <c r="A235" s="83" t="s">
        <v>12</v>
      </c>
      <c r="B235" s="126">
        <v>41183</v>
      </c>
      <c r="C235" s="143">
        <v>4058</v>
      </c>
      <c r="D235" s="83" t="s">
        <v>3337</v>
      </c>
      <c r="E235" s="83" t="s">
        <v>3338</v>
      </c>
      <c r="F235" s="83" t="s">
        <v>3340</v>
      </c>
      <c r="G235" s="83" t="s">
        <v>3341</v>
      </c>
      <c r="H235" s="83">
        <v>4958.68</v>
      </c>
      <c r="I235" s="128">
        <f t="shared" ref="I235:I245" si="15">+H235*0.21</f>
        <v>1041.3227999999999</v>
      </c>
      <c r="K235" s="128">
        <f t="shared" ref="K235:K245" si="16">+H235+I235</f>
        <v>6000.0028000000002</v>
      </c>
      <c r="L235" s="83" t="s">
        <v>2709</v>
      </c>
      <c r="M235" s="83" t="s">
        <v>31</v>
      </c>
      <c r="N235" s="83"/>
      <c r="P235" s="83" t="s">
        <v>663</v>
      </c>
      <c r="Q235" s="126">
        <v>41290</v>
      </c>
    </row>
    <row r="236" spans="1:17" x14ac:dyDescent="0.2">
      <c r="A236" s="83" t="s">
        <v>12</v>
      </c>
      <c r="B236" s="126">
        <v>41183</v>
      </c>
      <c r="C236" s="143">
        <v>4059</v>
      </c>
      <c r="D236" s="83" t="s">
        <v>3337</v>
      </c>
      <c r="E236" s="83" t="s">
        <v>3338</v>
      </c>
      <c r="F236" s="83" t="s">
        <v>3357</v>
      </c>
      <c r="G236" s="83" t="s">
        <v>3358</v>
      </c>
      <c r="H236" s="83">
        <v>4958.68</v>
      </c>
      <c r="I236" s="128">
        <f t="shared" si="15"/>
        <v>1041.3227999999999</v>
      </c>
      <c r="J236" s="128"/>
      <c r="K236" s="128">
        <f t="shared" si="16"/>
        <v>6000.0028000000002</v>
      </c>
      <c r="L236" s="83" t="s">
        <v>2709</v>
      </c>
      <c r="M236" s="83" t="s">
        <v>31</v>
      </c>
      <c r="N236" s="83"/>
      <c r="P236" s="83" t="s">
        <v>663</v>
      </c>
      <c r="Q236" s="126">
        <v>41290</v>
      </c>
    </row>
    <row r="237" spans="1:17" x14ac:dyDescent="0.2">
      <c r="A237" s="83" t="s">
        <v>12</v>
      </c>
      <c r="B237" s="126">
        <v>41183</v>
      </c>
      <c r="C237" s="143">
        <v>4055</v>
      </c>
      <c r="D237" s="83" t="s">
        <v>3337</v>
      </c>
      <c r="E237" s="83" t="s">
        <v>3338</v>
      </c>
      <c r="F237" s="83" t="s">
        <v>3357</v>
      </c>
      <c r="G237" s="83" t="s">
        <v>3359</v>
      </c>
      <c r="H237" s="83">
        <v>4958.68</v>
      </c>
      <c r="I237" s="128">
        <f t="shared" si="15"/>
        <v>1041.3227999999999</v>
      </c>
      <c r="J237" s="128"/>
      <c r="K237" s="128">
        <f t="shared" si="16"/>
        <v>6000.0028000000002</v>
      </c>
      <c r="L237" s="83" t="s">
        <v>3555</v>
      </c>
      <c r="N237" s="83"/>
      <c r="P237" s="83" t="s">
        <v>663</v>
      </c>
      <c r="Q237" s="126">
        <v>41290</v>
      </c>
    </row>
    <row r="238" spans="1:17" x14ac:dyDescent="0.2">
      <c r="A238" s="83" t="s">
        <v>408</v>
      </c>
      <c r="B238" s="126">
        <v>41191</v>
      </c>
      <c r="C238" s="143" t="s">
        <v>146</v>
      </c>
      <c r="D238" s="83" t="s">
        <v>3141</v>
      </c>
      <c r="E238" s="83" t="s">
        <v>1907</v>
      </c>
      <c r="F238" s="83" t="s">
        <v>3340</v>
      </c>
      <c r="G238" s="83" t="s">
        <v>3341</v>
      </c>
      <c r="H238" s="128">
        <f>6750/1.21</f>
        <v>5578.5123966942147</v>
      </c>
      <c r="I238" s="128">
        <f t="shared" si="15"/>
        <v>1171.4876033057851</v>
      </c>
      <c r="K238" s="128">
        <f t="shared" si="16"/>
        <v>6750</v>
      </c>
      <c r="L238" s="83" t="s">
        <v>3460</v>
      </c>
      <c r="M238" s="83" t="s">
        <v>3461</v>
      </c>
      <c r="P238" s="83" t="s">
        <v>663</v>
      </c>
      <c r="Q238" s="126">
        <v>41290</v>
      </c>
    </row>
    <row r="239" spans="1:17" x14ac:dyDescent="0.2">
      <c r="A239" s="83" t="s">
        <v>408</v>
      </c>
      <c r="B239" s="126">
        <v>41191</v>
      </c>
      <c r="C239" s="143" t="s">
        <v>3462</v>
      </c>
      <c r="D239" s="83" t="s">
        <v>3141</v>
      </c>
      <c r="E239" s="83" t="s">
        <v>1907</v>
      </c>
      <c r="F239" s="83" t="s">
        <v>3357</v>
      </c>
      <c r="G239" s="83" t="s">
        <v>3358</v>
      </c>
      <c r="H239" s="83">
        <v>5578.51</v>
      </c>
      <c r="I239" s="128">
        <f t="shared" si="15"/>
        <v>1171.4871000000001</v>
      </c>
      <c r="J239" s="128"/>
      <c r="K239" s="128">
        <f t="shared" si="16"/>
        <v>6749.9971000000005</v>
      </c>
      <c r="L239" s="83" t="s">
        <v>3460</v>
      </c>
      <c r="M239" s="83" t="s">
        <v>3463</v>
      </c>
      <c r="P239" s="83" t="s">
        <v>663</v>
      </c>
      <c r="Q239" s="126">
        <v>41290</v>
      </c>
    </row>
    <row r="240" spans="1:17" x14ac:dyDescent="0.2">
      <c r="A240" s="83" t="s">
        <v>408</v>
      </c>
      <c r="B240" s="126">
        <v>41192</v>
      </c>
      <c r="C240" s="143" t="s">
        <v>3393</v>
      </c>
      <c r="D240" s="83" t="s">
        <v>1226</v>
      </c>
      <c r="E240" s="83" t="s">
        <v>3394</v>
      </c>
      <c r="F240" s="83" t="s">
        <v>623</v>
      </c>
      <c r="G240" s="83" t="s">
        <v>3213</v>
      </c>
      <c r="H240" s="128">
        <f>6200/1.21</f>
        <v>5123.9669421487606</v>
      </c>
      <c r="I240" s="128">
        <f t="shared" si="15"/>
        <v>1076.0330578512396</v>
      </c>
      <c r="K240" s="128">
        <f t="shared" si="16"/>
        <v>6200</v>
      </c>
      <c r="L240" s="83" t="s">
        <v>3395</v>
      </c>
      <c r="M240" s="83" t="s">
        <v>31</v>
      </c>
      <c r="P240" s="83" t="s">
        <v>663</v>
      </c>
      <c r="Q240" s="126">
        <v>41290</v>
      </c>
    </row>
    <row r="241" spans="1:17" x14ac:dyDescent="0.2">
      <c r="A241" s="83" t="s">
        <v>408</v>
      </c>
      <c r="B241" s="126">
        <v>41192</v>
      </c>
      <c r="C241" s="143" t="s">
        <v>3396</v>
      </c>
      <c r="D241" s="83" t="s">
        <v>3397</v>
      </c>
      <c r="E241" s="83" t="s">
        <v>3398</v>
      </c>
      <c r="F241" s="83" t="s">
        <v>3326</v>
      </c>
      <c r="G241" s="83" t="s">
        <v>3327</v>
      </c>
      <c r="H241" s="128">
        <f>5200/1.21</f>
        <v>4297.5206611570247</v>
      </c>
      <c r="I241" s="128">
        <f t="shared" si="15"/>
        <v>902.47933884297515</v>
      </c>
      <c r="K241" s="128">
        <f t="shared" si="16"/>
        <v>5200</v>
      </c>
      <c r="L241" s="83" t="s">
        <v>3399</v>
      </c>
      <c r="M241" s="83" t="s">
        <v>31</v>
      </c>
      <c r="P241" s="83" t="s">
        <v>663</v>
      </c>
      <c r="Q241" s="126">
        <v>41290</v>
      </c>
    </row>
    <row r="242" spans="1:17" x14ac:dyDescent="0.2">
      <c r="A242" s="83" t="s">
        <v>408</v>
      </c>
      <c r="B242" s="126">
        <v>41192</v>
      </c>
      <c r="C242" s="143" t="s">
        <v>3400</v>
      </c>
      <c r="D242" s="83" t="s">
        <v>3401</v>
      </c>
      <c r="E242" s="83" t="s">
        <v>3402</v>
      </c>
      <c r="F242" s="83" t="s">
        <v>2504</v>
      </c>
      <c r="G242" s="83" t="s">
        <v>2898</v>
      </c>
      <c r="H242" s="128">
        <f>2000/1.21</f>
        <v>1652.8925619834711</v>
      </c>
      <c r="I242" s="128">
        <f t="shared" si="15"/>
        <v>347.10743801652893</v>
      </c>
      <c r="K242" s="128">
        <f t="shared" si="16"/>
        <v>2000</v>
      </c>
      <c r="L242" s="83" t="s">
        <v>3403</v>
      </c>
      <c r="M242" s="83" t="s">
        <v>31</v>
      </c>
      <c r="P242" s="83" t="s">
        <v>663</v>
      </c>
      <c r="Q242" s="126">
        <v>41290</v>
      </c>
    </row>
    <row r="243" spans="1:17" x14ac:dyDescent="0.2">
      <c r="A243" s="83" t="s">
        <v>408</v>
      </c>
      <c r="B243" s="126">
        <v>41196</v>
      </c>
      <c r="C243" s="143" t="s">
        <v>3404</v>
      </c>
      <c r="D243" s="83" t="s">
        <v>3405</v>
      </c>
      <c r="E243" s="83" t="s">
        <v>3406</v>
      </c>
      <c r="F243" s="83" t="s">
        <v>381</v>
      </c>
      <c r="G243" s="83" t="s">
        <v>3155</v>
      </c>
      <c r="H243" s="128">
        <f>2500/1.21</f>
        <v>2066.1157024793388</v>
      </c>
      <c r="I243" s="128">
        <f t="shared" si="15"/>
        <v>433.88429752066111</v>
      </c>
      <c r="K243" s="128">
        <f t="shared" si="16"/>
        <v>2500</v>
      </c>
      <c r="L243" s="83" t="s">
        <v>3248</v>
      </c>
      <c r="M243" s="83" t="s">
        <v>31</v>
      </c>
      <c r="P243" s="83" t="s">
        <v>663</v>
      </c>
      <c r="Q243" s="126">
        <v>41290</v>
      </c>
    </row>
    <row r="244" spans="1:17" x14ac:dyDescent="0.2">
      <c r="A244" s="83" t="s">
        <v>12</v>
      </c>
      <c r="B244" s="126">
        <v>41201</v>
      </c>
      <c r="C244" s="143" t="s">
        <v>3347</v>
      </c>
      <c r="D244" s="83" t="s">
        <v>2625</v>
      </c>
      <c r="E244" s="83" t="s">
        <v>3193</v>
      </c>
      <c r="F244" s="83" t="s">
        <v>3348</v>
      </c>
      <c r="G244" s="83" t="s">
        <v>3349</v>
      </c>
      <c r="H244" s="83">
        <v>537.19000000000005</v>
      </c>
      <c r="I244" s="128">
        <f t="shared" si="15"/>
        <v>112.80990000000001</v>
      </c>
      <c r="J244" s="128"/>
      <c r="K244" s="128">
        <f t="shared" si="16"/>
        <v>649.99990000000003</v>
      </c>
      <c r="L244" s="83" t="s">
        <v>3555</v>
      </c>
      <c r="M244" s="83" t="s">
        <v>3350</v>
      </c>
      <c r="N244" s="83"/>
      <c r="P244" s="83" t="s">
        <v>663</v>
      </c>
      <c r="Q244" s="126">
        <v>41290</v>
      </c>
    </row>
    <row r="245" spans="1:17" x14ac:dyDescent="0.2">
      <c r="A245" s="83" t="s">
        <v>12</v>
      </c>
      <c r="B245" s="126">
        <v>41201</v>
      </c>
      <c r="C245" s="143" t="s">
        <v>3354</v>
      </c>
      <c r="D245" s="83" t="s">
        <v>2625</v>
      </c>
      <c r="E245" s="83" t="s">
        <v>3193</v>
      </c>
      <c r="F245" s="83" t="s">
        <v>3355</v>
      </c>
      <c r="G245" s="83" t="s">
        <v>3356</v>
      </c>
      <c r="H245" s="83">
        <v>5950.41</v>
      </c>
      <c r="I245" s="128">
        <f t="shared" si="15"/>
        <v>1249.5861</v>
      </c>
      <c r="J245" s="128"/>
      <c r="K245" s="128">
        <f t="shared" si="16"/>
        <v>7199.9961000000003</v>
      </c>
      <c r="L245" s="83" t="s">
        <v>2709</v>
      </c>
      <c r="M245" s="83" t="s">
        <v>3328</v>
      </c>
      <c r="N245" s="83"/>
      <c r="P245" s="83" t="s">
        <v>663</v>
      </c>
      <c r="Q245" s="126">
        <v>41290</v>
      </c>
    </row>
    <row r="246" spans="1:17" x14ac:dyDescent="0.2">
      <c r="A246" s="83" t="s">
        <v>12</v>
      </c>
      <c r="B246" s="126">
        <v>41207</v>
      </c>
      <c r="C246" s="143" t="s">
        <v>944</v>
      </c>
      <c r="D246" s="83" t="s">
        <v>3363</v>
      </c>
      <c r="E246" s="83" t="s">
        <v>3364</v>
      </c>
      <c r="F246" s="83" t="s">
        <v>693</v>
      </c>
      <c r="G246" s="83" t="s">
        <v>3365</v>
      </c>
      <c r="J246" s="83" t="s">
        <v>21</v>
      </c>
      <c r="K246" s="83">
        <v>1200</v>
      </c>
      <c r="L246" s="83" t="s">
        <v>2709</v>
      </c>
      <c r="M246" s="83" t="s">
        <v>31</v>
      </c>
      <c r="N246" s="83"/>
      <c r="P246" s="83" t="s">
        <v>663</v>
      </c>
      <c r="Q246" s="126">
        <v>41290</v>
      </c>
    </row>
    <row r="247" spans="1:17" x14ac:dyDescent="0.2">
      <c r="A247" s="83" t="s">
        <v>408</v>
      </c>
      <c r="B247" s="126">
        <v>41208</v>
      </c>
      <c r="C247" s="143" t="s">
        <v>3407</v>
      </c>
      <c r="D247" s="83" t="s">
        <v>3363</v>
      </c>
      <c r="E247" s="83" t="s">
        <v>3364</v>
      </c>
      <c r="F247" s="83" t="s">
        <v>366</v>
      </c>
      <c r="G247" s="83" t="s">
        <v>3276</v>
      </c>
      <c r="H247" s="128">
        <f>3800/1.21</f>
        <v>3140.495867768595</v>
      </c>
      <c r="I247" s="128">
        <f>+H247*0.21</f>
        <v>659.50413223140492</v>
      </c>
      <c r="J247" s="128"/>
      <c r="K247" s="128">
        <f>+H247+I247</f>
        <v>3800</v>
      </c>
      <c r="L247" s="83" t="s">
        <v>3408</v>
      </c>
      <c r="M247" s="83" t="s">
        <v>31</v>
      </c>
      <c r="P247" s="83" t="s">
        <v>663</v>
      </c>
      <c r="Q247" s="126">
        <v>41290</v>
      </c>
    </row>
    <row r="248" spans="1:17" x14ac:dyDescent="0.2">
      <c r="A248" s="83" t="s">
        <v>12</v>
      </c>
      <c r="B248" s="126">
        <v>41215</v>
      </c>
      <c r="C248" s="143">
        <v>2012100746</v>
      </c>
      <c r="D248" s="83" t="s">
        <v>14</v>
      </c>
      <c r="E248" s="83" t="s">
        <v>13</v>
      </c>
      <c r="F248" s="83" t="s">
        <v>3376</v>
      </c>
      <c r="G248" s="83" t="s">
        <v>3377</v>
      </c>
      <c r="H248" s="83">
        <v>4132.2299999999996</v>
      </c>
      <c r="I248" s="128">
        <f>+H248*0.21</f>
        <v>867.76829999999984</v>
      </c>
      <c r="J248" s="128"/>
      <c r="K248" s="128">
        <f>+H248+I248</f>
        <v>4999.9982999999993</v>
      </c>
      <c r="L248" s="83" t="s">
        <v>3542</v>
      </c>
      <c r="M248" s="83" t="s">
        <v>3388</v>
      </c>
      <c r="N248" s="83"/>
      <c r="P248" s="83" t="s">
        <v>663</v>
      </c>
      <c r="Q248" s="126">
        <v>41290</v>
      </c>
    </row>
    <row r="249" spans="1:17" x14ac:dyDescent="0.2">
      <c r="A249" s="83" t="s">
        <v>408</v>
      </c>
      <c r="B249" s="126">
        <v>41215</v>
      </c>
      <c r="C249" s="143" t="s">
        <v>3409</v>
      </c>
      <c r="D249" s="83" t="s">
        <v>3410</v>
      </c>
      <c r="E249" s="83" t="s">
        <v>3411</v>
      </c>
      <c r="F249" s="83" t="s">
        <v>693</v>
      </c>
      <c r="G249" s="83" t="s">
        <v>3365</v>
      </c>
      <c r="J249" s="83" t="s">
        <v>21</v>
      </c>
      <c r="K249" s="83">
        <v>1450</v>
      </c>
      <c r="L249" s="83" t="s">
        <v>3412</v>
      </c>
      <c r="M249" s="83" t="s">
        <v>31</v>
      </c>
      <c r="P249" s="83" t="s">
        <v>663</v>
      </c>
      <c r="Q249" s="126">
        <v>41290</v>
      </c>
    </row>
    <row r="250" spans="1:17" x14ac:dyDescent="0.2">
      <c r="A250" s="83" t="s">
        <v>12</v>
      </c>
      <c r="B250" s="126">
        <v>41219</v>
      </c>
      <c r="C250" s="147" t="s">
        <v>2676</v>
      </c>
      <c r="D250" s="83" t="s">
        <v>3290</v>
      </c>
      <c r="E250" s="83" t="s">
        <v>2106</v>
      </c>
      <c r="F250" s="83" t="s">
        <v>442</v>
      </c>
      <c r="G250" s="83" t="s">
        <v>3389</v>
      </c>
      <c r="H250" s="128">
        <f>10800/1.21</f>
        <v>8925.6198347107438</v>
      </c>
      <c r="I250" s="128">
        <f>+H250*0.21</f>
        <v>1874.3801652892562</v>
      </c>
      <c r="K250" s="128">
        <f>+H250+I250</f>
        <v>10800</v>
      </c>
      <c r="L250" s="83" t="s">
        <v>3555</v>
      </c>
      <c r="M250" s="83" t="s">
        <v>3390</v>
      </c>
      <c r="N250" s="83"/>
      <c r="P250" s="83" t="s">
        <v>663</v>
      </c>
      <c r="Q250" s="126">
        <v>41290</v>
      </c>
    </row>
    <row r="251" spans="1:17" x14ac:dyDescent="0.2">
      <c r="A251" s="83" t="s">
        <v>408</v>
      </c>
      <c r="B251" s="126">
        <v>41219</v>
      </c>
      <c r="C251" s="143" t="s">
        <v>3413</v>
      </c>
      <c r="D251" s="83" t="s">
        <v>3414</v>
      </c>
      <c r="E251" s="83" t="s">
        <v>3415</v>
      </c>
      <c r="F251" s="83" t="s">
        <v>3355</v>
      </c>
      <c r="G251" s="83" t="s">
        <v>3356</v>
      </c>
      <c r="H251" s="128">
        <f>7500/1.21</f>
        <v>6198.3471074380168</v>
      </c>
      <c r="I251" s="128">
        <f>+H251*0.21</f>
        <v>1301.6528925619834</v>
      </c>
      <c r="J251" s="128"/>
      <c r="K251" s="128">
        <f>+H251+I251</f>
        <v>7500</v>
      </c>
      <c r="L251" s="83" t="s">
        <v>3416</v>
      </c>
      <c r="M251" s="83" t="s">
        <v>31</v>
      </c>
      <c r="P251" s="83" t="s">
        <v>663</v>
      </c>
      <c r="Q251" s="126">
        <v>41290</v>
      </c>
    </row>
    <row r="252" spans="1:17" x14ac:dyDescent="0.2">
      <c r="A252" s="83" t="s">
        <v>12</v>
      </c>
      <c r="B252" s="126">
        <v>41220</v>
      </c>
      <c r="C252" s="143" t="s">
        <v>3368</v>
      </c>
      <c r="D252" s="83" t="s">
        <v>3369</v>
      </c>
      <c r="E252" s="83" t="s">
        <v>3502</v>
      </c>
      <c r="F252" s="83" t="s">
        <v>3370</v>
      </c>
      <c r="G252" s="83" t="s">
        <v>3371</v>
      </c>
      <c r="H252" s="83">
        <v>4958.68</v>
      </c>
      <c r="I252" s="128">
        <f>+H252*0.21</f>
        <v>1041.3227999999999</v>
      </c>
      <c r="J252" s="128"/>
      <c r="K252" s="128">
        <f>+H252+I252</f>
        <v>6000.0028000000002</v>
      </c>
      <c r="L252" s="83" t="s">
        <v>3542</v>
      </c>
      <c r="M252" s="83" t="s">
        <v>3372</v>
      </c>
      <c r="N252" s="83"/>
      <c r="P252" s="83" t="s">
        <v>663</v>
      </c>
      <c r="Q252" s="126">
        <v>41290</v>
      </c>
    </row>
    <row r="253" spans="1:17" x14ac:dyDescent="0.2">
      <c r="A253" s="83" t="s">
        <v>408</v>
      </c>
      <c r="B253" s="126">
        <v>41233</v>
      </c>
      <c r="C253" s="143" t="s">
        <v>3417</v>
      </c>
      <c r="D253" s="83" t="s">
        <v>3418</v>
      </c>
      <c r="E253" s="83" t="s">
        <v>3419</v>
      </c>
      <c r="F253" s="83" t="s">
        <v>3360</v>
      </c>
      <c r="G253" s="83" t="s">
        <v>3361</v>
      </c>
      <c r="I253" s="128">
        <f>+H253*0.21</f>
        <v>0</v>
      </c>
      <c r="J253" s="128" t="s">
        <v>21</v>
      </c>
      <c r="K253" s="128">
        <v>7200</v>
      </c>
      <c r="L253" s="83" t="s">
        <v>3420</v>
      </c>
      <c r="M253" s="83" t="s">
        <v>3421</v>
      </c>
      <c r="P253" s="83" t="s">
        <v>663</v>
      </c>
      <c r="Q253" s="126">
        <v>41290</v>
      </c>
    </row>
    <row r="254" spans="1:17" x14ac:dyDescent="0.2">
      <c r="A254" s="83" t="s">
        <v>408</v>
      </c>
      <c r="B254" s="126">
        <v>41233</v>
      </c>
      <c r="C254" s="143" t="s">
        <v>3422</v>
      </c>
      <c r="D254" s="83" t="s">
        <v>3423</v>
      </c>
      <c r="E254" s="83" t="s">
        <v>3424</v>
      </c>
      <c r="F254" s="83" t="s">
        <v>2932</v>
      </c>
      <c r="G254" s="83" t="s">
        <v>3336</v>
      </c>
      <c r="J254" s="83" t="s">
        <v>21</v>
      </c>
      <c r="K254" s="83">
        <v>3600</v>
      </c>
      <c r="L254" s="83" t="s">
        <v>3426</v>
      </c>
      <c r="M254" s="83" t="s">
        <v>3425</v>
      </c>
      <c r="P254" s="83" t="s">
        <v>663</v>
      </c>
      <c r="Q254" s="126">
        <v>41290</v>
      </c>
    </row>
    <row r="255" spans="1:17" x14ac:dyDescent="0.2">
      <c r="A255" s="83" t="s">
        <v>12</v>
      </c>
      <c r="B255" s="126">
        <v>41234</v>
      </c>
      <c r="C255" s="143">
        <v>15102532</v>
      </c>
      <c r="D255" s="83" t="s">
        <v>2436</v>
      </c>
      <c r="E255" s="83" t="s">
        <v>2439</v>
      </c>
      <c r="F255" s="83" t="s">
        <v>3360</v>
      </c>
      <c r="G255" s="83" t="s">
        <v>3361</v>
      </c>
      <c r="I255" s="128">
        <f>+H255*0.21</f>
        <v>0</v>
      </c>
      <c r="J255" s="128" t="s">
        <v>21</v>
      </c>
      <c r="K255" s="128">
        <v>7000</v>
      </c>
      <c r="L255" s="83" t="s">
        <v>2709</v>
      </c>
      <c r="M255" s="83" t="s">
        <v>3362</v>
      </c>
      <c r="N255" s="83"/>
      <c r="P255" s="83" t="s">
        <v>663</v>
      </c>
      <c r="Q255" s="126">
        <v>41290</v>
      </c>
    </row>
    <row r="256" spans="1:17" x14ac:dyDescent="0.2">
      <c r="A256" s="83" t="s">
        <v>12</v>
      </c>
      <c r="B256" s="126">
        <v>41242</v>
      </c>
      <c r="C256" s="143">
        <v>12024048</v>
      </c>
      <c r="D256" s="83" t="s">
        <v>3324</v>
      </c>
      <c r="E256" s="83" t="s">
        <v>20</v>
      </c>
      <c r="F256" s="83" t="s">
        <v>3321</v>
      </c>
      <c r="G256" s="83" t="s">
        <v>3322</v>
      </c>
      <c r="J256" s="83" t="s">
        <v>21</v>
      </c>
      <c r="K256" s="83">
        <v>7500</v>
      </c>
      <c r="L256" s="83" t="s">
        <v>2507</v>
      </c>
      <c r="M256" s="83" t="s">
        <v>3323</v>
      </c>
      <c r="N256" s="83"/>
      <c r="P256" s="83" t="s">
        <v>663</v>
      </c>
      <c r="Q256" s="126">
        <v>41290</v>
      </c>
    </row>
    <row r="257" spans="1:17" x14ac:dyDescent="0.2">
      <c r="A257" s="83" t="s">
        <v>408</v>
      </c>
      <c r="B257" s="126">
        <v>41248</v>
      </c>
      <c r="C257" s="143" t="s">
        <v>3427</v>
      </c>
      <c r="D257" s="83" t="s">
        <v>3428</v>
      </c>
      <c r="E257" s="83" t="s">
        <v>3429</v>
      </c>
      <c r="F257" s="83" t="s">
        <v>2487</v>
      </c>
      <c r="G257" s="83" t="s">
        <v>3203</v>
      </c>
      <c r="H257" s="128">
        <f>2350/1.21</f>
        <v>1942.1487603305786</v>
      </c>
      <c r="I257" s="128">
        <f>+H257*0.21</f>
        <v>407.85123966942149</v>
      </c>
      <c r="J257" s="128"/>
      <c r="K257" s="128">
        <f>+H257+I257</f>
        <v>2350</v>
      </c>
      <c r="L257" s="83" t="s">
        <v>3464</v>
      </c>
      <c r="M257" s="83" t="s">
        <v>31</v>
      </c>
      <c r="P257" s="83" t="s">
        <v>663</v>
      </c>
      <c r="Q257" s="126">
        <v>41290</v>
      </c>
    </row>
    <row r="258" spans="1:17" x14ac:dyDescent="0.2">
      <c r="A258" s="83" t="s">
        <v>12</v>
      </c>
      <c r="B258" s="126">
        <v>41255</v>
      </c>
      <c r="C258" s="147" t="s">
        <v>2676</v>
      </c>
      <c r="D258" s="83" t="s">
        <v>2625</v>
      </c>
      <c r="E258" s="83" t="s">
        <v>3193</v>
      </c>
      <c r="F258" s="83" t="s">
        <v>2629</v>
      </c>
      <c r="G258" s="83" t="s">
        <v>3367</v>
      </c>
      <c r="H258" s="128">
        <f>6000/1.21</f>
        <v>4958.6776859504134</v>
      </c>
      <c r="I258" s="128">
        <f>+H258*0.21</f>
        <v>1041.3223140495868</v>
      </c>
      <c r="J258" s="128"/>
      <c r="K258" s="128">
        <f>+H258+I258</f>
        <v>6000</v>
      </c>
      <c r="L258" s="83" t="s">
        <v>2709</v>
      </c>
      <c r="M258" s="83" t="s">
        <v>3366</v>
      </c>
      <c r="N258" s="83"/>
      <c r="P258" s="83" t="s">
        <v>663</v>
      </c>
      <c r="Q258" s="126">
        <v>41290</v>
      </c>
    </row>
    <row r="259" spans="1:17" x14ac:dyDescent="0.2">
      <c r="A259" s="83" t="s">
        <v>408</v>
      </c>
      <c r="B259" s="126">
        <v>41255</v>
      </c>
      <c r="C259" s="143" t="s">
        <v>3430</v>
      </c>
      <c r="D259" s="83" t="s">
        <v>3431</v>
      </c>
      <c r="E259" s="83" t="s">
        <v>3432</v>
      </c>
      <c r="F259" s="83" t="s">
        <v>2657</v>
      </c>
      <c r="G259" s="83" t="s">
        <v>2945</v>
      </c>
      <c r="H259" s="128">
        <f>7100/1.21</f>
        <v>5867.7685950413224</v>
      </c>
      <c r="I259" s="128">
        <f>+H259*0.21</f>
        <v>1232.2314049586776</v>
      </c>
      <c r="K259" s="128">
        <f>+H259+I259</f>
        <v>7100</v>
      </c>
      <c r="L259" s="83" t="s">
        <v>3433</v>
      </c>
      <c r="M259" s="83" t="s">
        <v>3434</v>
      </c>
      <c r="P259" s="83" t="s">
        <v>663</v>
      </c>
      <c r="Q259" s="126">
        <v>41290</v>
      </c>
    </row>
    <row r="260" spans="1:17" x14ac:dyDescent="0.2">
      <c r="A260" s="83" t="s">
        <v>12</v>
      </c>
      <c r="B260" s="126">
        <v>41260</v>
      </c>
      <c r="C260" s="143">
        <v>23848</v>
      </c>
      <c r="D260" s="83" t="s">
        <v>3337</v>
      </c>
      <c r="E260" s="83" t="s">
        <v>3338</v>
      </c>
      <c r="F260" s="83" t="s">
        <v>706</v>
      </c>
      <c r="G260" s="83" t="s">
        <v>3339</v>
      </c>
      <c r="J260" s="83" t="s">
        <v>21</v>
      </c>
      <c r="K260" s="83">
        <v>2200</v>
      </c>
      <c r="L260" s="83" t="s">
        <v>3555</v>
      </c>
      <c r="M260" s="83" t="s">
        <v>31</v>
      </c>
      <c r="N260" s="83"/>
      <c r="P260" s="83" t="s">
        <v>663</v>
      </c>
      <c r="Q260" s="126">
        <v>41290</v>
      </c>
    </row>
    <row r="261" spans="1:17" x14ac:dyDescent="0.2">
      <c r="A261" s="83" t="s">
        <v>408</v>
      </c>
      <c r="B261" s="126">
        <v>41261</v>
      </c>
      <c r="C261" s="143" t="s">
        <v>3435</v>
      </c>
      <c r="D261" s="83" t="s">
        <v>3436</v>
      </c>
      <c r="E261" s="83" t="s">
        <v>3437</v>
      </c>
      <c r="F261" s="83" t="s">
        <v>2629</v>
      </c>
      <c r="G261" s="83" t="s">
        <v>3367</v>
      </c>
      <c r="H261" s="128">
        <f>6300/1.21</f>
        <v>5206.6115702479337</v>
      </c>
      <c r="I261" s="128">
        <f>+H261*0.21</f>
        <v>1093.388429752066</v>
      </c>
      <c r="J261" s="128"/>
      <c r="K261" s="128">
        <f>+H261+I261</f>
        <v>6300</v>
      </c>
      <c r="L261" s="83" t="s">
        <v>3438</v>
      </c>
      <c r="M261" s="83" t="s">
        <v>3439</v>
      </c>
      <c r="P261" s="83" t="s">
        <v>663</v>
      </c>
      <c r="Q261" s="126">
        <v>41290</v>
      </c>
    </row>
    <row r="262" spans="1:17" x14ac:dyDescent="0.2">
      <c r="A262" s="83" t="s">
        <v>12</v>
      </c>
      <c r="B262" s="126">
        <v>41269</v>
      </c>
      <c r="C262" s="143" t="s">
        <v>3351</v>
      </c>
      <c r="D262" s="83" t="s">
        <v>2625</v>
      </c>
      <c r="E262" s="83" t="s">
        <v>3193</v>
      </c>
      <c r="F262" s="83" t="s">
        <v>3348</v>
      </c>
      <c r="G262" s="83" t="s">
        <v>3352</v>
      </c>
      <c r="H262" s="83">
        <v>413.22</v>
      </c>
      <c r="I262" s="128">
        <f>+H262*0.21</f>
        <v>86.776200000000003</v>
      </c>
      <c r="J262" s="128"/>
      <c r="K262" s="128">
        <f>+H262+I262</f>
        <v>499.99620000000004</v>
      </c>
      <c r="L262" s="83" t="s">
        <v>3555</v>
      </c>
      <c r="M262" s="83" t="s">
        <v>3353</v>
      </c>
      <c r="N262" s="83"/>
      <c r="P262" s="83" t="s">
        <v>663</v>
      </c>
      <c r="Q262" s="126">
        <v>41290</v>
      </c>
    </row>
    <row r="263" spans="1:17" x14ac:dyDescent="0.2">
      <c r="A263" s="83" t="s">
        <v>12</v>
      </c>
      <c r="B263" s="126">
        <v>41270</v>
      </c>
      <c r="C263" s="143">
        <v>72</v>
      </c>
      <c r="D263" s="83" t="s">
        <v>2931</v>
      </c>
      <c r="E263" s="83" t="s">
        <v>2352</v>
      </c>
      <c r="F263" s="83" t="s">
        <v>353</v>
      </c>
      <c r="G263" s="83" t="s">
        <v>3342</v>
      </c>
      <c r="J263" s="83" t="s">
        <v>21</v>
      </c>
      <c r="K263" s="83">
        <v>1800</v>
      </c>
      <c r="L263" s="83" t="s">
        <v>3555</v>
      </c>
      <c r="M263" s="83" t="s">
        <v>3343</v>
      </c>
      <c r="N263" s="83"/>
      <c r="P263" s="83" t="s">
        <v>663</v>
      </c>
      <c r="Q263" s="126">
        <v>41290</v>
      </c>
    </row>
    <row r="264" spans="1:17" x14ac:dyDescent="0.2">
      <c r="A264" s="83" t="s">
        <v>12</v>
      </c>
      <c r="B264" s="126">
        <v>41270</v>
      </c>
      <c r="C264" s="143">
        <v>71</v>
      </c>
      <c r="D264" s="83" t="s">
        <v>2931</v>
      </c>
      <c r="E264" s="83" t="s">
        <v>2352</v>
      </c>
      <c r="F264" s="83" t="s">
        <v>3344</v>
      </c>
      <c r="G264" s="83" t="s">
        <v>3345</v>
      </c>
      <c r="J264" s="83" t="s">
        <v>21</v>
      </c>
      <c r="K264" s="83">
        <v>6000</v>
      </c>
      <c r="L264" s="83" t="s">
        <v>3555</v>
      </c>
      <c r="M264" s="83" t="s">
        <v>3343</v>
      </c>
      <c r="N264" s="83"/>
      <c r="P264" s="83" t="s">
        <v>663</v>
      </c>
      <c r="Q264" s="126">
        <v>41290</v>
      </c>
    </row>
    <row r="265" spans="1:17" x14ac:dyDescent="0.2">
      <c r="A265" s="83" t="s">
        <v>12</v>
      </c>
      <c r="B265" s="126">
        <v>41270</v>
      </c>
      <c r="C265" s="143">
        <v>73</v>
      </c>
      <c r="D265" s="83" t="s">
        <v>2931</v>
      </c>
      <c r="E265" s="83" t="s">
        <v>2352</v>
      </c>
      <c r="F265" s="83" t="s">
        <v>362</v>
      </c>
      <c r="G265" s="83" t="s">
        <v>3346</v>
      </c>
      <c r="H265" s="83">
        <v>2479.34</v>
      </c>
      <c r="I265" s="128">
        <f>+H265*0.21</f>
        <v>520.66139999999996</v>
      </c>
      <c r="J265" s="83" t="s">
        <v>21</v>
      </c>
      <c r="K265" s="128">
        <f>+H265+I265</f>
        <v>3000.0014000000001</v>
      </c>
      <c r="L265" s="83" t="s">
        <v>3555</v>
      </c>
      <c r="M265" s="83" t="s">
        <v>3343</v>
      </c>
      <c r="N265" s="83"/>
      <c r="P265" s="83" t="s">
        <v>663</v>
      </c>
      <c r="Q265" s="126">
        <v>41290</v>
      </c>
    </row>
    <row r="266" spans="1:17" x14ac:dyDescent="0.2">
      <c r="A266" s="83" t="s">
        <v>408</v>
      </c>
      <c r="B266" s="126">
        <v>41270</v>
      </c>
      <c r="C266" s="143" t="s">
        <v>3440</v>
      </c>
      <c r="D266" s="83" t="s">
        <v>2931</v>
      </c>
      <c r="E266" s="83" t="s">
        <v>2352</v>
      </c>
      <c r="F266" s="83" t="s">
        <v>3321</v>
      </c>
      <c r="G266" s="83" t="s">
        <v>3322</v>
      </c>
      <c r="J266" s="83" t="s">
        <v>21</v>
      </c>
      <c r="K266" s="83">
        <v>7500</v>
      </c>
      <c r="L266" s="83" t="s">
        <v>3441</v>
      </c>
      <c r="M266" s="83" t="s">
        <v>3442</v>
      </c>
      <c r="P266" s="83" t="s">
        <v>663</v>
      </c>
      <c r="Q266" s="126">
        <v>41290</v>
      </c>
    </row>
    <row r="267" spans="1:17" x14ac:dyDescent="0.2">
      <c r="A267" s="83" t="s">
        <v>408</v>
      </c>
      <c r="B267" s="126">
        <v>41270</v>
      </c>
      <c r="C267" s="143" t="s">
        <v>3444</v>
      </c>
      <c r="D267" s="83" t="s">
        <v>2931</v>
      </c>
      <c r="E267" s="83" t="s">
        <v>2352</v>
      </c>
      <c r="F267" s="83" t="s">
        <v>906</v>
      </c>
      <c r="G267" s="83" t="s">
        <v>3191</v>
      </c>
      <c r="J267" s="83" t="s">
        <v>21</v>
      </c>
      <c r="K267" s="83">
        <v>3500</v>
      </c>
      <c r="L267" s="83" t="s">
        <v>3443</v>
      </c>
      <c r="M267" s="83" t="s">
        <v>3442</v>
      </c>
      <c r="P267" s="83" t="s">
        <v>663</v>
      </c>
      <c r="Q267" s="126">
        <v>41290</v>
      </c>
    </row>
    <row r="268" spans="1:17" x14ac:dyDescent="0.2">
      <c r="A268" s="83" t="s">
        <v>408</v>
      </c>
      <c r="B268" s="126">
        <v>41270</v>
      </c>
      <c r="C268" s="143" t="s">
        <v>3445</v>
      </c>
      <c r="D268" s="83" t="s">
        <v>2931</v>
      </c>
      <c r="E268" s="83" t="s">
        <v>2352</v>
      </c>
      <c r="F268" s="83" t="s">
        <v>3318</v>
      </c>
      <c r="G268" s="83" t="s">
        <v>3319</v>
      </c>
      <c r="J268" s="83" t="s">
        <v>21</v>
      </c>
      <c r="K268" s="83">
        <v>3000</v>
      </c>
      <c r="L268" s="83" t="s">
        <v>3446</v>
      </c>
      <c r="M268" s="83" t="s">
        <v>3442</v>
      </c>
      <c r="P268" s="83" t="s">
        <v>663</v>
      </c>
      <c r="Q268" s="126">
        <v>41290</v>
      </c>
    </row>
    <row r="269" spans="1:17" x14ac:dyDescent="0.2">
      <c r="A269" s="83" t="s">
        <v>408</v>
      </c>
      <c r="B269" s="126">
        <v>41271</v>
      </c>
      <c r="C269" s="143" t="s">
        <v>3447</v>
      </c>
      <c r="D269" s="83" t="s">
        <v>3448</v>
      </c>
      <c r="E269" s="83" t="s">
        <v>3449</v>
      </c>
      <c r="F269" s="83" t="s">
        <v>3200</v>
      </c>
      <c r="G269" s="83" t="s">
        <v>3201</v>
      </c>
      <c r="J269" s="83" t="s">
        <v>21</v>
      </c>
      <c r="K269" s="83">
        <v>2300</v>
      </c>
      <c r="L269" s="83" t="s">
        <v>3451</v>
      </c>
      <c r="M269" s="83" t="s">
        <v>3450</v>
      </c>
      <c r="P269" s="83" t="s">
        <v>663</v>
      </c>
      <c r="Q269" s="126">
        <v>41290</v>
      </c>
    </row>
    <row r="270" spans="1:17" x14ac:dyDescent="0.2">
      <c r="A270" s="83" t="s">
        <v>12</v>
      </c>
      <c r="B270" s="126">
        <v>41274</v>
      </c>
      <c r="C270" s="143">
        <v>2012100807</v>
      </c>
      <c r="D270" s="83" t="s">
        <v>14</v>
      </c>
      <c r="E270" s="83" t="s">
        <v>13</v>
      </c>
      <c r="F270" s="83" t="s">
        <v>929</v>
      </c>
      <c r="G270" s="83" t="s">
        <v>3373</v>
      </c>
      <c r="H270" s="83">
        <v>4214.88</v>
      </c>
      <c r="I270" s="128">
        <f>+H270*0.21</f>
        <v>885.12479999999994</v>
      </c>
      <c r="J270" s="128"/>
      <c r="K270" s="128">
        <f>+H270+I270</f>
        <v>5100.0047999999997</v>
      </c>
      <c r="L270" s="83" t="s">
        <v>3555</v>
      </c>
      <c r="M270" s="83" t="s">
        <v>3392</v>
      </c>
      <c r="N270" s="83"/>
      <c r="P270" s="83" t="s">
        <v>663</v>
      </c>
      <c r="Q270" s="126">
        <v>41290</v>
      </c>
    </row>
    <row r="271" spans="1:17" x14ac:dyDescent="0.2">
      <c r="A271" s="83" t="s">
        <v>12</v>
      </c>
      <c r="B271" s="126">
        <v>41274</v>
      </c>
      <c r="C271" s="143">
        <v>2012100806</v>
      </c>
      <c r="D271" s="83" t="s">
        <v>14</v>
      </c>
      <c r="E271" s="83" t="s">
        <v>13</v>
      </c>
      <c r="F271" s="83" t="s">
        <v>929</v>
      </c>
      <c r="G271" s="83" t="s">
        <v>3374</v>
      </c>
      <c r="H271" s="83">
        <v>4214.88</v>
      </c>
      <c r="I271" s="128">
        <f>+H271*0.21</f>
        <v>885.12479999999994</v>
      </c>
      <c r="J271" s="128"/>
      <c r="K271" s="128">
        <f>+H271+I271</f>
        <v>5100.0047999999997</v>
      </c>
      <c r="L271" s="83" t="s">
        <v>3555</v>
      </c>
      <c r="M271" s="83" t="s">
        <v>3392</v>
      </c>
      <c r="N271" s="83"/>
      <c r="P271" s="83" t="s">
        <v>663</v>
      </c>
      <c r="Q271" s="126">
        <v>41290</v>
      </c>
    </row>
    <row r="272" spans="1:17" x14ac:dyDescent="0.2">
      <c r="A272" s="83" t="s">
        <v>12</v>
      </c>
      <c r="B272" s="126">
        <v>41274</v>
      </c>
      <c r="C272" s="143">
        <v>2012100805</v>
      </c>
      <c r="D272" s="83" t="s">
        <v>14</v>
      </c>
      <c r="E272" s="83" t="s">
        <v>13</v>
      </c>
      <c r="F272" s="83" t="s">
        <v>929</v>
      </c>
      <c r="G272" s="83" t="s">
        <v>3375</v>
      </c>
      <c r="H272" s="83">
        <v>4380.17</v>
      </c>
      <c r="I272" s="128">
        <f>+H272*0.21</f>
        <v>919.83569999999997</v>
      </c>
      <c r="J272" s="128"/>
      <c r="K272" s="128">
        <f>+H272+I272</f>
        <v>5300.0056999999997</v>
      </c>
      <c r="L272" s="83" t="s">
        <v>3555</v>
      </c>
      <c r="M272" s="83" t="s">
        <v>3392</v>
      </c>
      <c r="N272" s="83"/>
      <c r="P272" s="83" t="s">
        <v>663</v>
      </c>
      <c r="Q272" s="126">
        <v>41290</v>
      </c>
    </row>
    <row r="273" spans="1:17" x14ac:dyDescent="0.2">
      <c r="A273" s="134" t="s">
        <v>12</v>
      </c>
      <c r="B273" s="135">
        <v>40757</v>
      </c>
      <c r="C273" s="155" t="s">
        <v>944</v>
      </c>
      <c r="D273" s="134" t="s">
        <v>3547</v>
      </c>
      <c r="E273" s="134" t="s">
        <v>3548</v>
      </c>
      <c r="F273" s="134" t="s">
        <v>3456</v>
      </c>
      <c r="G273" s="134" t="s">
        <v>3457</v>
      </c>
      <c r="H273" s="134"/>
      <c r="I273" s="134"/>
      <c r="J273" s="134" t="s">
        <v>21</v>
      </c>
      <c r="K273" s="134">
        <v>3000</v>
      </c>
      <c r="L273" s="134" t="s">
        <v>2507</v>
      </c>
      <c r="M273" s="134" t="s">
        <v>31</v>
      </c>
      <c r="N273" s="134"/>
      <c r="O273" s="134"/>
      <c r="P273" s="134" t="s">
        <v>663</v>
      </c>
      <c r="Q273" s="135">
        <v>41290</v>
      </c>
    </row>
    <row r="274" spans="1:17" s="161" customFormat="1" x14ac:dyDescent="0.2">
      <c r="A274" s="161" t="s">
        <v>408</v>
      </c>
      <c r="B274" s="162">
        <v>41183</v>
      </c>
      <c r="C274" s="161" t="s">
        <v>3507</v>
      </c>
      <c r="D274" s="161" t="s">
        <v>3505</v>
      </c>
      <c r="E274" s="161" t="s">
        <v>3506</v>
      </c>
      <c r="F274" s="161" t="s">
        <v>3194</v>
      </c>
      <c r="G274" s="161" t="s">
        <v>3195</v>
      </c>
      <c r="H274" s="161">
        <f>6000/1.21</f>
        <v>4958.6776859504134</v>
      </c>
      <c r="I274" s="163">
        <f>+H274*0.21</f>
        <v>1041.3223140495868</v>
      </c>
      <c r="K274" s="163">
        <f>+H274+I274</f>
        <v>6000</v>
      </c>
      <c r="L274" s="161" t="s">
        <v>3510</v>
      </c>
      <c r="M274" s="161" t="s">
        <v>31</v>
      </c>
      <c r="O274" s="162"/>
      <c r="P274" s="161" t="s">
        <v>663</v>
      </c>
      <c r="Q274" s="162">
        <v>41304</v>
      </c>
    </row>
    <row r="275" spans="1:17" x14ac:dyDescent="0.2">
      <c r="A275" s="134" t="s">
        <v>408</v>
      </c>
      <c r="B275" s="135">
        <v>40967</v>
      </c>
      <c r="C275" s="155" t="s">
        <v>3550</v>
      </c>
      <c r="D275" s="134" t="s">
        <v>2703</v>
      </c>
      <c r="E275" s="134" t="s">
        <v>2244</v>
      </c>
      <c r="F275" s="134" t="s">
        <v>392</v>
      </c>
      <c r="G275" s="134" t="s">
        <v>2647</v>
      </c>
      <c r="H275" s="137">
        <f>2600/1.18</f>
        <v>2203.3898305084749</v>
      </c>
      <c r="I275" s="137">
        <f>+H275*0.18</f>
        <v>396.61016949152548</v>
      </c>
      <c r="J275" s="134"/>
      <c r="K275" s="137">
        <f>+H275+I275</f>
        <v>2600.0000000000005</v>
      </c>
      <c r="L275" s="134" t="s">
        <v>3551</v>
      </c>
    </row>
  </sheetData>
  <autoFilter ref="A1:S275" xr:uid="{00000000-0009-0000-0000-000008000000}"/>
  <sortState xmlns:xlrd2="http://schemas.microsoft.com/office/spreadsheetml/2017/richdata2" ref="A2:R273">
    <sortCondition ref="B2:B273"/>
  </sortState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Q390"/>
  <sheetViews>
    <sheetView topLeftCell="A61" zoomScaleNormal="100" workbookViewId="0">
      <selection activeCell="B54" sqref="B54"/>
    </sheetView>
  </sheetViews>
  <sheetFormatPr baseColWidth="10" defaultColWidth="11.42578125" defaultRowHeight="11.25" x14ac:dyDescent="0.2"/>
  <cols>
    <col min="1" max="1" width="5.7109375" style="83" customWidth="1"/>
    <col min="2" max="2" width="9" style="83" bestFit="1" customWidth="1"/>
    <col min="3" max="3" width="9.5703125" style="83" bestFit="1" customWidth="1"/>
    <col min="4" max="4" width="22.5703125" style="83" customWidth="1"/>
    <col min="5" max="5" width="11.7109375" style="83" customWidth="1"/>
    <col min="6" max="7" width="8.7109375" style="83" customWidth="1"/>
    <col min="8" max="8" width="9" style="83" customWidth="1"/>
    <col min="9" max="9" width="7.7109375" style="83" customWidth="1"/>
    <col min="10" max="10" width="4.5703125" style="83" customWidth="1"/>
    <col min="11" max="11" width="8.5703125" style="83" bestFit="1" customWidth="1"/>
    <col min="12" max="12" width="37.5703125" style="83" customWidth="1"/>
    <col min="13" max="13" width="31.5703125" style="83" customWidth="1"/>
    <col min="14" max="14" width="12" style="83" bestFit="1" customWidth="1"/>
    <col min="15" max="15" width="11.28515625" style="83" bestFit="1" customWidth="1"/>
    <col min="16" max="16" width="14.42578125" style="83" bestFit="1" customWidth="1"/>
    <col min="17" max="17" width="10.7109375" style="83" bestFit="1" customWidth="1"/>
    <col min="18" max="16384" width="11.42578125" style="83"/>
  </cols>
  <sheetData>
    <row r="1" spans="1:17" x14ac:dyDescent="0.2">
      <c r="A1" s="144" t="s">
        <v>0</v>
      </c>
      <c r="B1" s="121" t="s">
        <v>1</v>
      </c>
      <c r="C1" s="122" t="s">
        <v>2</v>
      </c>
      <c r="D1" s="123" t="s">
        <v>3</v>
      </c>
      <c r="E1" s="124" t="s">
        <v>4</v>
      </c>
      <c r="F1" s="123" t="s">
        <v>5</v>
      </c>
      <c r="G1" s="123" t="s">
        <v>6</v>
      </c>
      <c r="H1" s="123" t="s">
        <v>7</v>
      </c>
      <c r="I1" s="123" t="s">
        <v>1289</v>
      </c>
      <c r="J1" s="123" t="s">
        <v>1630</v>
      </c>
      <c r="K1" s="123" t="s">
        <v>9</v>
      </c>
      <c r="L1" s="145" t="s">
        <v>83</v>
      </c>
      <c r="M1" s="123" t="s">
        <v>84</v>
      </c>
      <c r="N1" s="123" t="s">
        <v>85</v>
      </c>
      <c r="O1" s="123" t="s">
        <v>86</v>
      </c>
      <c r="P1" s="123" t="s">
        <v>11</v>
      </c>
      <c r="Q1" s="125" t="s">
        <v>30</v>
      </c>
    </row>
    <row r="2" spans="1:17" x14ac:dyDescent="0.2">
      <c r="A2" s="83" t="s">
        <v>408</v>
      </c>
      <c r="B2" s="126">
        <v>40544</v>
      </c>
      <c r="C2" s="83" t="s">
        <v>1602</v>
      </c>
      <c r="D2" s="127" t="s">
        <v>537</v>
      </c>
      <c r="H2" s="128"/>
      <c r="I2" s="128"/>
      <c r="K2" s="128">
        <f t="shared" ref="K2:K17" si="0">+H2+I2</f>
        <v>0</v>
      </c>
      <c r="M2" s="83" t="s">
        <v>2620</v>
      </c>
      <c r="P2" s="83" t="s">
        <v>961</v>
      </c>
      <c r="Q2" s="126">
        <v>40564</v>
      </c>
    </row>
    <row r="3" spans="1:17" x14ac:dyDescent="0.2">
      <c r="A3" s="83" t="s">
        <v>408</v>
      </c>
      <c r="B3" s="126">
        <v>40544</v>
      </c>
      <c r="C3" s="83" t="s">
        <v>1655</v>
      </c>
      <c r="D3" s="127" t="s">
        <v>537</v>
      </c>
      <c r="H3" s="128"/>
      <c r="I3" s="128"/>
      <c r="K3" s="128">
        <f t="shared" si="0"/>
        <v>0</v>
      </c>
      <c r="M3" s="83" t="s">
        <v>2620</v>
      </c>
      <c r="P3" s="83" t="s">
        <v>961</v>
      </c>
      <c r="Q3" s="126">
        <v>40564</v>
      </c>
    </row>
    <row r="4" spans="1:17" x14ac:dyDescent="0.2">
      <c r="A4" s="83" t="s">
        <v>408</v>
      </c>
      <c r="B4" s="126">
        <v>40546</v>
      </c>
      <c r="C4" s="83" t="s">
        <v>1656</v>
      </c>
      <c r="D4" s="127" t="s">
        <v>1677</v>
      </c>
      <c r="E4" s="127" t="s">
        <v>1678</v>
      </c>
      <c r="F4" s="83" t="s">
        <v>1357</v>
      </c>
      <c r="G4" s="83" t="s">
        <v>1359</v>
      </c>
      <c r="H4" s="128">
        <f>14500/1.18</f>
        <v>12288.135593220341</v>
      </c>
      <c r="I4" s="128">
        <f t="shared" ref="I4:I17" si="1">H4*0.18</f>
        <v>2211.8644067796613</v>
      </c>
      <c r="K4" s="128">
        <f t="shared" si="0"/>
        <v>14500.000000000002</v>
      </c>
      <c r="L4" s="83" t="s">
        <v>1679</v>
      </c>
      <c r="M4" s="83" t="s">
        <v>2560</v>
      </c>
      <c r="P4" s="83" t="s">
        <v>961</v>
      </c>
      <c r="Q4" s="126">
        <v>40564</v>
      </c>
    </row>
    <row r="5" spans="1:17" x14ac:dyDescent="0.2">
      <c r="A5" s="83" t="s">
        <v>408</v>
      </c>
      <c r="B5" s="126">
        <v>40546</v>
      </c>
      <c r="C5" s="83" t="s">
        <v>1662</v>
      </c>
      <c r="D5" s="127" t="s">
        <v>1668</v>
      </c>
      <c r="E5" s="127" t="s">
        <v>233</v>
      </c>
      <c r="F5" s="83" t="s">
        <v>1669</v>
      </c>
      <c r="G5" s="83" t="s">
        <v>1533</v>
      </c>
      <c r="H5" s="128">
        <f>5900/1.18</f>
        <v>5000</v>
      </c>
      <c r="I5" s="128">
        <f t="shared" si="1"/>
        <v>900</v>
      </c>
      <c r="K5" s="128">
        <f t="shared" si="0"/>
        <v>5900</v>
      </c>
      <c r="L5" s="83" t="s">
        <v>1670</v>
      </c>
      <c r="M5" s="83" t="s">
        <v>31</v>
      </c>
      <c r="P5" s="83" t="s">
        <v>961</v>
      </c>
      <c r="Q5" s="126">
        <v>40564</v>
      </c>
    </row>
    <row r="6" spans="1:17" x14ac:dyDescent="0.2">
      <c r="A6" s="83" t="s">
        <v>408</v>
      </c>
      <c r="B6" s="126">
        <v>40546</v>
      </c>
      <c r="C6" s="83" t="s">
        <v>1696</v>
      </c>
      <c r="D6" s="83" t="s">
        <v>1709</v>
      </c>
      <c r="E6" s="83" t="s">
        <v>1710</v>
      </c>
      <c r="F6" s="83" t="s">
        <v>1628</v>
      </c>
      <c r="G6" s="83" t="s">
        <v>1535</v>
      </c>
      <c r="H6" s="128">
        <f>4200/1.18</f>
        <v>3559.3220338983051</v>
      </c>
      <c r="I6" s="128">
        <f t="shared" si="1"/>
        <v>640.67796610169489</v>
      </c>
      <c r="K6" s="128">
        <f t="shared" si="0"/>
        <v>4200</v>
      </c>
      <c r="L6" s="83" t="s">
        <v>1670</v>
      </c>
      <c r="M6" s="83" t="s">
        <v>2418</v>
      </c>
      <c r="P6" s="83" t="s">
        <v>961</v>
      </c>
      <c r="Q6" s="126">
        <v>40564</v>
      </c>
    </row>
    <row r="7" spans="1:17" x14ac:dyDescent="0.2">
      <c r="A7" s="83" t="s">
        <v>408</v>
      </c>
      <c r="B7" s="126">
        <v>40546</v>
      </c>
      <c r="C7" s="83" t="s">
        <v>1697</v>
      </c>
      <c r="D7" s="83" t="s">
        <v>1711</v>
      </c>
      <c r="E7" s="83" t="s">
        <v>1712</v>
      </c>
      <c r="F7" s="83" t="s">
        <v>53</v>
      </c>
      <c r="G7" s="83" t="s">
        <v>67</v>
      </c>
      <c r="H7" s="128">
        <f>2400/1.18</f>
        <v>2033.898305084746</v>
      </c>
      <c r="I7" s="128">
        <f t="shared" si="1"/>
        <v>366.10169491525426</v>
      </c>
      <c r="K7" s="128">
        <f t="shared" si="0"/>
        <v>2400</v>
      </c>
      <c r="L7" s="83" t="s">
        <v>1713</v>
      </c>
      <c r="M7" s="83" t="s">
        <v>2620</v>
      </c>
      <c r="P7" s="83" t="s">
        <v>961</v>
      </c>
      <c r="Q7" s="126">
        <v>40564</v>
      </c>
    </row>
    <row r="8" spans="1:17" x14ac:dyDescent="0.2">
      <c r="A8" s="83" t="s">
        <v>408</v>
      </c>
      <c r="B8" s="126">
        <v>40546</v>
      </c>
      <c r="C8" s="83" t="s">
        <v>1698</v>
      </c>
      <c r="D8" s="83" t="s">
        <v>1714</v>
      </c>
      <c r="E8" s="83" t="s">
        <v>1715</v>
      </c>
      <c r="F8" s="83" t="s">
        <v>1342</v>
      </c>
      <c r="G8" s="83" t="s">
        <v>1343</v>
      </c>
      <c r="H8" s="128">
        <f>4700/1.18</f>
        <v>3983.0508474576272</v>
      </c>
      <c r="I8" s="128">
        <f t="shared" si="1"/>
        <v>716.94915254237287</v>
      </c>
      <c r="K8" s="128">
        <f t="shared" si="0"/>
        <v>4700</v>
      </c>
      <c r="L8" s="83" t="s">
        <v>1716</v>
      </c>
      <c r="M8" s="83" t="s">
        <v>31</v>
      </c>
      <c r="P8" s="83" t="s">
        <v>961</v>
      </c>
      <c r="Q8" s="126">
        <v>40564</v>
      </c>
    </row>
    <row r="9" spans="1:17" x14ac:dyDescent="0.2">
      <c r="A9" s="83" t="s">
        <v>408</v>
      </c>
      <c r="B9" s="126">
        <v>40546</v>
      </c>
      <c r="C9" s="83" t="s">
        <v>1699</v>
      </c>
      <c r="D9" s="83" t="s">
        <v>1717</v>
      </c>
      <c r="E9" s="83" t="s">
        <v>1718</v>
      </c>
      <c r="F9" s="83" t="s">
        <v>1012</v>
      </c>
      <c r="G9" s="83" t="s">
        <v>1468</v>
      </c>
      <c r="H9" s="128">
        <f>4700/1.18</f>
        <v>3983.0508474576272</v>
      </c>
      <c r="I9" s="128">
        <f t="shared" si="1"/>
        <v>716.94915254237287</v>
      </c>
      <c r="K9" s="128">
        <f t="shared" si="0"/>
        <v>4700</v>
      </c>
      <c r="L9" s="83" t="s">
        <v>1719</v>
      </c>
      <c r="M9" s="83" t="s">
        <v>2595</v>
      </c>
      <c r="P9" s="83" t="s">
        <v>961</v>
      </c>
      <c r="Q9" s="126">
        <v>40564</v>
      </c>
    </row>
    <row r="10" spans="1:17" x14ac:dyDescent="0.2">
      <c r="A10" s="83" t="s">
        <v>408</v>
      </c>
      <c r="B10" s="126">
        <v>40546</v>
      </c>
      <c r="C10" s="83" t="s">
        <v>128</v>
      </c>
      <c r="D10" s="127" t="s">
        <v>1269</v>
      </c>
      <c r="E10" s="127" t="s">
        <v>1270</v>
      </c>
      <c r="F10" s="83" t="s">
        <v>65</v>
      </c>
      <c r="G10" s="83" t="s">
        <v>1240</v>
      </c>
      <c r="H10" s="128">
        <f>3600/1.18</f>
        <v>3050.8474576271187</v>
      </c>
      <c r="I10" s="128">
        <f t="shared" si="1"/>
        <v>549.15254237288138</v>
      </c>
      <c r="K10" s="128">
        <f t="shared" si="0"/>
        <v>3600</v>
      </c>
      <c r="L10" s="83" t="s">
        <v>1700</v>
      </c>
      <c r="M10" s="83" t="s">
        <v>2596</v>
      </c>
      <c r="P10" s="83" t="s">
        <v>961</v>
      </c>
      <c r="Q10" s="126">
        <v>40564</v>
      </c>
    </row>
    <row r="11" spans="1:17" x14ac:dyDescent="0.2">
      <c r="A11" s="83" t="s">
        <v>12</v>
      </c>
      <c r="B11" s="126">
        <v>40547</v>
      </c>
      <c r="C11" s="83">
        <v>2011100010</v>
      </c>
      <c r="D11" s="127" t="s">
        <v>14</v>
      </c>
      <c r="E11" s="127" t="s">
        <v>13</v>
      </c>
      <c r="F11" s="83" t="s">
        <v>1628</v>
      </c>
      <c r="G11" s="83" t="s">
        <v>1629</v>
      </c>
      <c r="H11" s="83">
        <v>3001.49</v>
      </c>
      <c r="I11" s="128">
        <f t="shared" si="1"/>
        <v>540.26819999999998</v>
      </c>
      <c r="K11" s="128">
        <f t="shared" si="0"/>
        <v>3541.7581999999998</v>
      </c>
      <c r="L11" s="83" t="s">
        <v>2709</v>
      </c>
      <c r="P11" s="83" t="s">
        <v>961</v>
      </c>
      <c r="Q11" s="126">
        <v>40564</v>
      </c>
    </row>
    <row r="12" spans="1:17" x14ac:dyDescent="0.2">
      <c r="A12" s="83" t="s">
        <v>408</v>
      </c>
      <c r="B12" s="126">
        <v>40548</v>
      </c>
      <c r="C12" s="83" t="s">
        <v>127</v>
      </c>
      <c r="D12" s="83" t="s">
        <v>1701</v>
      </c>
      <c r="E12" s="83" t="s">
        <v>1702</v>
      </c>
      <c r="F12" s="83" t="s">
        <v>35</v>
      </c>
      <c r="G12" s="83" t="s">
        <v>1587</v>
      </c>
      <c r="H12" s="128">
        <f>6900/1.18</f>
        <v>5847.4576271186443</v>
      </c>
      <c r="I12" s="128">
        <f t="shared" si="1"/>
        <v>1052.542372881356</v>
      </c>
      <c r="K12" s="128">
        <f t="shared" si="0"/>
        <v>6900</v>
      </c>
      <c r="L12" s="83" t="s">
        <v>1674</v>
      </c>
      <c r="M12" s="83" t="s">
        <v>2418</v>
      </c>
      <c r="P12" s="83" t="s">
        <v>961</v>
      </c>
      <c r="Q12" s="126">
        <v>40564</v>
      </c>
    </row>
    <row r="13" spans="1:17" x14ac:dyDescent="0.2">
      <c r="A13" s="83" t="s">
        <v>12</v>
      </c>
      <c r="B13" s="126">
        <v>40554</v>
      </c>
      <c r="C13" s="83">
        <v>2011100036</v>
      </c>
      <c r="D13" s="127" t="s">
        <v>14</v>
      </c>
      <c r="E13" s="127" t="s">
        <v>13</v>
      </c>
      <c r="F13" s="83" t="s">
        <v>1631</v>
      </c>
      <c r="G13" s="83" t="s">
        <v>1632</v>
      </c>
      <c r="H13" s="83">
        <v>2584.59</v>
      </c>
      <c r="I13" s="128">
        <f t="shared" si="1"/>
        <v>465.22620000000001</v>
      </c>
      <c r="K13" s="128">
        <f t="shared" si="0"/>
        <v>3049.8162000000002</v>
      </c>
      <c r="P13" s="83" t="s">
        <v>961</v>
      </c>
      <c r="Q13" s="126">
        <v>40564</v>
      </c>
    </row>
    <row r="14" spans="1:17" x14ac:dyDescent="0.2">
      <c r="A14" s="83" t="s">
        <v>408</v>
      </c>
      <c r="B14" s="126">
        <v>40556</v>
      </c>
      <c r="C14" s="83" t="s">
        <v>1657</v>
      </c>
      <c r="D14" s="127" t="s">
        <v>1680</v>
      </c>
      <c r="E14" s="127" t="s">
        <v>1681</v>
      </c>
      <c r="F14" s="83" t="s">
        <v>1012</v>
      </c>
      <c r="G14" s="83" t="s">
        <v>1469</v>
      </c>
      <c r="H14" s="128">
        <f>5200/1.18</f>
        <v>4406.7796610169498</v>
      </c>
      <c r="I14" s="128">
        <f t="shared" si="1"/>
        <v>793.22033898305096</v>
      </c>
      <c r="K14" s="128">
        <f t="shared" si="0"/>
        <v>5200.0000000000009</v>
      </c>
      <c r="L14" s="83" t="s">
        <v>1684</v>
      </c>
      <c r="M14" s="83" t="s">
        <v>2597</v>
      </c>
      <c r="P14" s="83" t="s">
        <v>961</v>
      </c>
      <c r="Q14" s="126">
        <v>40564</v>
      </c>
    </row>
    <row r="15" spans="1:17" x14ac:dyDescent="0.2">
      <c r="A15" s="83" t="s">
        <v>12</v>
      </c>
      <c r="B15" s="126">
        <v>40557</v>
      </c>
      <c r="C15" s="83">
        <v>2011100046</v>
      </c>
      <c r="D15" s="127" t="s">
        <v>14</v>
      </c>
      <c r="E15" s="127" t="s">
        <v>13</v>
      </c>
      <c r="F15" s="83" t="s">
        <v>1633</v>
      </c>
      <c r="G15" s="83" t="s">
        <v>1634</v>
      </c>
      <c r="H15" s="83">
        <v>3944.48</v>
      </c>
      <c r="I15" s="128">
        <f t="shared" si="1"/>
        <v>710.00639999999999</v>
      </c>
      <c r="K15" s="128">
        <f t="shared" si="0"/>
        <v>4654.4863999999998</v>
      </c>
      <c r="L15" s="83" t="s">
        <v>1904</v>
      </c>
      <c r="P15" s="83" t="s">
        <v>961</v>
      </c>
      <c r="Q15" s="126">
        <v>40564</v>
      </c>
    </row>
    <row r="16" spans="1:17" x14ac:dyDescent="0.2">
      <c r="A16" s="83" t="s">
        <v>408</v>
      </c>
      <c r="B16" s="126">
        <v>40557</v>
      </c>
      <c r="C16" s="83" t="s">
        <v>1658</v>
      </c>
      <c r="D16" s="127" t="s">
        <v>1682</v>
      </c>
      <c r="E16" s="127" t="s">
        <v>1683</v>
      </c>
      <c r="F16" s="83" t="s">
        <v>59</v>
      </c>
      <c r="G16" s="83" t="s">
        <v>1582</v>
      </c>
      <c r="H16" s="128">
        <f>1000/1.18</f>
        <v>847.45762711864415</v>
      </c>
      <c r="I16" s="128">
        <f t="shared" si="1"/>
        <v>152.54237288135593</v>
      </c>
      <c r="K16" s="128">
        <f t="shared" si="0"/>
        <v>1000.0000000000001</v>
      </c>
      <c r="L16" s="83" t="s">
        <v>1685</v>
      </c>
      <c r="M16" s="83" t="s">
        <v>2620</v>
      </c>
      <c r="P16" s="83" t="s">
        <v>961</v>
      </c>
      <c r="Q16" s="126">
        <v>40564</v>
      </c>
    </row>
    <row r="17" spans="1:17" x14ac:dyDescent="0.2">
      <c r="A17" s="83" t="s">
        <v>408</v>
      </c>
      <c r="B17" s="126">
        <v>40561</v>
      </c>
      <c r="C17" s="83" t="s">
        <v>1659</v>
      </c>
      <c r="D17" s="127" t="s">
        <v>1686</v>
      </c>
      <c r="E17" s="127" t="s">
        <v>1687</v>
      </c>
      <c r="F17" s="83" t="s">
        <v>975</v>
      </c>
      <c r="G17" s="83" t="s">
        <v>1688</v>
      </c>
      <c r="H17" s="128">
        <f>4500/1.18</f>
        <v>3813.5593220338983</v>
      </c>
      <c r="I17" s="128">
        <f t="shared" si="1"/>
        <v>686.4406779661017</v>
      </c>
      <c r="K17" s="128">
        <f t="shared" si="0"/>
        <v>4500</v>
      </c>
      <c r="L17" s="83" t="s">
        <v>1689</v>
      </c>
      <c r="M17" s="83" t="s">
        <v>31</v>
      </c>
      <c r="P17" s="83" t="s">
        <v>961</v>
      </c>
      <c r="Q17" s="126">
        <v>40564</v>
      </c>
    </row>
    <row r="18" spans="1:17" x14ac:dyDescent="0.2">
      <c r="A18" s="83" t="s">
        <v>408</v>
      </c>
      <c r="B18" s="126">
        <v>40562</v>
      </c>
      <c r="C18" s="83" t="s">
        <v>1660</v>
      </c>
      <c r="D18" s="127" t="s">
        <v>1690</v>
      </c>
      <c r="E18" s="127" t="s">
        <v>1691</v>
      </c>
      <c r="F18" s="83" t="s">
        <v>1692</v>
      </c>
      <c r="G18" s="83" t="s">
        <v>1460</v>
      </c>
      <c r="H18" s="128"/>
      <c r="I18" s="128"/>
      <c r="J18" s="83" t="s">
        <v>303</v>
      </c>
      <c r="K18" s="128">
        <v>3500</v>
      </c>
      <c r="L18" s="83" t="s">
        <v>1693</v>
      </c>
      <c r="M18" s="83" t="s">
        <v>2598</v>
      </c>
      <c r="P18" s="83" t="s">
        <v>961</v>
      </c>
      <c r="Q18" s="126">
        <v>40564</v>
      </c>
    </row>
    <row r="19" spans="1:17" x14ac:dyDescent="0.2">
      <c r="A19" s="83" t="s">
        <v>408</v>
      </c>
      <c r="B19" s="126">
        <v>40562</v>
      </c>
      <c r="C19" s="83" t="s">
        <v>1661</v>
      </c>
      <c r="D19" s="127" t="s">
        <v>1694</v>
      </c>
      <c r="E19" s="127" t="s">
        <v>1695</v>
      </c>
      <c r="F19" s="83" t="s">
        <v>1012</v>
      </c>
      <c r="G19" s="83" t="s">
        <v>1592</v>
      </c>
      <c r="H19" s="128">
        <f>7500/1.18</f>
        <v>6355.9322033898306</v>
      </c>
      <c r="I19" s="128">
        <f t="shared" ref="I19:I50" si="2">H19*0.18</f>
        <v>1144.0677966101696</v>
      </c>
      <c r="K19" s="128">
        <f t="shared" ref="K19:K50" si="3">+H19+I19</f>
        <v>7500</v>
      </c>
      <c r="L19" s="83" t="s">
        <v>1674</v>
      </c>
      <c r="M19" s="83" t="s">
        <v>2598</v>
      </c>
      <c r="P19" s="83" t="s">
        <v>961</v>
      </c>
      <c r="Q19" s="126">
        <v>40564</v>
      </c>
    </row>
    <row r="20" spans="1:17" x14ac:dyDescent="0.2">
      <c r="A20" s="83" t="s">
        <v>12</v>
      </c>
      <c r="B20" s="126">
        <v>40568</v>
      </c>
      <c r="C20" s="83">
        <v>7</v>
      </c>
      <c r="D20" s="127" t="s">
        <v>185</v>
      </c>
      <c r="E20" s="127" t="s">
        <v>186</v>
      </c>
      <c r="F20" s="83" t="s">
        <v>47</v>
      </c>
      <c r="G20" s="83" t="s">
        <v>1746</v>
      </c>
      <c r="H20" s="83">
        <v>677.97</v>
      </c>
      <c r="I20" s="128">
        <f t="shared" si="2"/>
        <v>122.0346</v>
      </c>
      <c r="K20" s="128">
        <f t="shared" si="3"/>
        <v>800.00459999999998</v>
      </c>
      <c r="L20" s="83" t="s">
        <v>1904</v>
      </c>
      <c r="P20" s="83" t="s">
        <v>961</v>
      </c>
      <c r="Q20" s="126">
        <v>40622</v>
      </c>
    </row>
    <row r="21" spans="1:17" x14ac:dyDescent="0.2">
      <c r="A21" s="83" t="s">
        <v>408</v>
      </c>
      <c r="B21" s="126">
        <v>40568</v>
      </c>
      <c r="C21" s="83" t="s">
        <v>1663</v>
      </c>
      <c r="D21" s="127" t="s">
        <v>185</v>
      </c>
      <c r="E21" s="127" t="s">
        <v>186</v>
      </c>
      <c r="F21" s="83" t="s">
        <v>1012</v>
      </c>
      <c r="G21" s="83" t="s">
        <v>1467</v>
      </c>
      <c r="H21" s="83">
        <f>4300/1.18</f>
        <v>3644.0677966101698</v>
      </c>
      <c r="I21" s="128">
        <f t="shared" si="2"/>
        <v>655.93220338983053</v>
      </c>
      <c r="K21" s="128">
        <f t="shared" si="3"/>
        <v>4300</v>
      </c>
      <c r="L21" s="83" t="s">
        <v>1671</v>
      </c>
      <c r="M21" s="83" t="s">
        <v>2599</v>
      </c>
      <c r="P21" s="83" t="s">
        <v>961</v>
      </c>
      <c r="Q21" s="126">
        <v>40564</v>
      </c>
    </row>
    <row r="22" spans="1:17" x14ac:dyDescent="0.2">
      <c r="A22" s="83" t="s">
        <v>408</v>
      </c>
      <c r="B22" s="126">
        <v>40569</v>
      </c>
      <c r="C22" s="83" t="s">
        <v>1664</v>
      </c>
      <c r="D22" s="127" t="s">
        <v>537</v>
      </c>
      <c r="H22" s="128"/>
      <c r="I22" s="128"/>
      <c r="K22" s="128">
        <f t="shared" si="3"/>
        <v>0</v>
      </c>
      <c r="M22" s="83" t="s">
        <v>2620</v>
      </c>
      <c r="P22" s="83" t="s">
        <v>961</v>
      </c>
      <c r="Q22" s="126">
        <v>40564</v>
      </c>
    </row>
    <row r="23" spans="1:17" x14ac:dyDescent="0.2">
      <c r="A23" s="83" t="s">
        <v>408</v>
      </c>
      <c r="B23" s="126">
        <v>40569</v>
      </c>
      <c r="C23" s="83" t="s">
        <v>1665</v>
      </c>
      <c r="D23" s="127" t="s">
        <v>537</v>
      </c>
      <c r="H23" s="128"/>
      <c r="I23" s="128"/>
      <c r="K23" s="128">
        <f t="shared" si="3"/>
        <v>0</v>
      </c>
      <c r="M23" s="83" t="s">
        <v>2620</v>
      </c>
      <c r="P23" s="83" t="s">
        <v>961</v>
      </c>
      <c r="Q23" s="126">
        <v>40564</v>
      </c>
    </row>
    <row r="24" spans="1:17" x14ac:dyDescent="0.2">
      <c r="A24" s="83" t="s">
        <v>12</v>
      </c>
      <c r="B24" s="126">
        <v>40570</v>
      </c>
      <c r="C24" s="83">
        <v>2011100138</v>
      </c>
      <c r="D24" s="127" t="s">
        <v>14</v>
      </c>
      <c r="E24" s="127" t="s">
        <v>13</v>
      </c>
      <c r="F24" s="83" t="s">
        <v>1635</v>
      </c>
      <c r="G24" s="83" t="s">
        <v>1636</v>
      </c>
      <c r="H24" s="83">
        <v>8845.86</v>
      </c>
      <c r="I24" s="128">
        <f t="shared" si="2"/>
        <v>1592.2548000000002</v>
      </c>
      <c r="K24" s="128">
        <f t="shared" si="3"/>
        <v>10438.114800000001</v>
      </c>
      <c r="L24" s="83" t="s">
        <v>2709</v>
      </c>
      <c r="P24" s="83" t="s">
        <v>961</v>
      </c>
      <c r="Q24" s="126">
        <v>40564</v>
      </c>
    </row>
    <row r="25" spans="1:17" x14ac:dyDescent="0.2">
      <c r="A25" s="83" t="s">
        <v>12</v>
      </c>
      <c r="B25" s="126">
        <v>40570</v>
      </c>
      <c r="C25" s="83">
        <v>2011100139</v>
      </c>
      <c r="D25" s="127" t="s">
        <v>14</v>
      </c>
      <c r="E25" s="127" t="s">
        <v>13</v>
      </c>
      <c r="F25" s="83" t="s">
        <v>1637</v>
      </c>
      <c r="G25" s="83" t="s">
        <v>1638</v>
      </c>
      <c r="H25" s="83">
        <v>10847.46</v>
      </c>
      <c r="I25" s="128">
        <f t="shared" si="2"/>
        <v>1952.5427999999997</v>
      </c>
      <c r="K25" s="128">
        <f t="shared" si="3"/>
        <v>12800.002799999998</v>
      </c>
      <c r="L25" s="83" t="s">
        <v>1904</v>
      </c>
      <c r="P25" s="83" t="s">
        <v>961</v>
      </c>
      <c r="Q25" s="126">
        <v>40564</v>
      </c>
    </row>
    <row r="26" spans="1:17" x14ac:dyDescent="0.2">
      <c r="A26" s="83" t="s">
        <v>12</v>
      </c>
      <c r="B26" s="126">
        <v>40570</v>
      </c>
      <c r="C26" s="83">
        <v>2011100140</v>
      </c>
      <c r="D26" s="127" t="s">
        <v>14</v>
      </c>
      <c r="E26" s="127" t="s">
        <v>13</v>
      </c>
      <c r="F26" s="83" t="s">
        <v>49</v>
      </c>
      <c r="G26" s="83" t="s">
        <v>1639</v>
      </c>
      <c r="H26" s="83">
        <v>3131.68</v>
      </c>
      <c r="I26" s="128">
        <f t="shared" si="2"/>
        <v>563.7023999999999</v>
      </c>
      <c r="K26" s="128">
        <f t="shared" si="3"/>
        <v>3695.3823999999995</v>
      </c>
      <c r="L26" s="83" t="s">
        <v>1904</v>
      </c>
      <c r="P26" s="83" t="s">
        <v>961</v>
      </c>
      <c r="Q26" s="126">
        <v>40564</v>
      </c>
    </row>
    <row r="27" spans="1:17" x14ac:dyDescent="0.2">
      <c r="A27" s="83" t="s">
        <v>12</v>
      </c>
      <c r="B27" s="126">
        <v>40570</v>
      </c>
      <c r="C27" s="83">
        <v>2011100141</v>
      </c>
      <c r="D27" s="127" t="s">
        <v>14</v>
      </c>
      <c r="E27" s="127" t="s">
        <v>13</v>
      </c>
      <c r="F27" s="83" t="s">
        <v>49</v>
      </c>
      <c r="G27" s="83" t="s">
        <v>1640</v>
      </c>
      <c r="H27" s="83">
        <v>2118.64</v>
      </c>
      <c r="I27" s="128">
        <f t="shared" si="2"/>
        <v>381.35519999999997</v>
      </c>
      <c r="K27" s="128">
        <f t="shared" si="3"/>
        <v>2499.9951999999998</v>
      </c>
      <c r="L27" s="83" t="s">
        <v>1904</v>
      </c>
      <c r="P27" s="83" t="s">
        <v>961</v>
      </c>
      <c r="Q27" s="126">
        <v>40564</v>
      </c>
    </row>
    <row r="28" spans="1:17" x14ac:dyDescent="0.2">
      <c r="A28" s="83" t="s">
        <v>12</v>
      </c>
      <c r="B28" s="126">
        <v>40570</v>
      </c>
      <c r="C28" s="83">
        <v>2011100142</v>
      </c>
      <c r="D28" s="127" t="s">
        <v>14</v>
      </c>
      <c r="E28" s="127" t="s">
        <v>13</v>
      </c>
      <c r="F28" s="83" t="s">
        <v>1641</v>
      </c>
      <c r="G28" s="83" t="s">
        <v>1642</v>
      </c>
      <c r="H28" s="83">
        <v>7939.17</v>
      </c>
      <c r="I28" s="128">
        <f t="shared" si="2"/>
        <v>1429.0506</v>
      </c>
      <c r="K28" s="128">
        <f t="shared" si="3"/>
        <v>9368.2206000000006</v>
      </c>
      <c r="L28" s="83" t="s">
        <v>1904</v>
      </c>
      <c r="P28" s="83" t="s">
        <v>961</v>
      </c>
      <c r="Q28" s="126">
        <v>40564</v>
      </c>
    </row>
    <row r="29" spans="1:17" x14ac:dyDescent="0.2">
      <c r="A29" s="83" t="s">
        <v>12</v>
      </c>
      <c r="B29" s="126">
        <v>40570</v>
      </c>
      <c r="C29" s="83">
        <v>2011100143</v>
      </c>
      <c r="D29" s="127" t="s">
        <v>14</v>
      </c>
      <c r="E29" s="127" t="s">
        <v>13</v>
      </c>
      <c r="F29" s="83" t="s">
        <v>1358</v>
      </c>
      <c r="G29" s="83" t="s">
        <v>1643</v>
      </c>
      <c r="H29" s="83">
        <v>2288.14</v>
      </c>
      <c r="I29" s="128">
        <f t="shared" si="2"/>
        <v>411.86519999999996</v>
      </c>
      <c r="K29" s="128">
        <f t="shared" si="3"/>
        <v>2700.0051999999996</v>
      </c>
      <c r="L29" s="83" t="s">
        <v>1904</v>
      </c>
      <c r="P29" s="83" t="s">
        <v>961</v>
      </c>
      <c r="Q29" s="126">
        <v>40564</v>
      </c>
    </row>
    <row r="30" spans="1:17" x14ac:dyDescent="0.2">
      <c r="A30" s="83" t="s">
        <v>12</v>
      </c>
      <c r="B30" s="126">
        <v>40570</v>
      </c>
      <c r="C30" s="83">
        <v>2011100144</v>
      </c>
      <c r="D30" s="127" t="s">
        <v>14</v>
      </c>
      <c r="E30" s="127" t="s">
        <v>13</v>
      </c>
      <c r="F30" s="83" t="s">
        <v>1358</v>
      </c>
      <c r="G30" s="83" t="s">
        <v>1644</v>
      </c>
      <c r="H30" s="83">
        <v>2033.9</v>
      </c>
      <c r="I30" s="128">
        <f t="shared" si="2"/>
        <v>366.10199999999998</v>
      </c>
      <c r="K30" s="128">
        <f t="shared" si="3"/>
        <v>2400.002</v>
      </c>
      <c r="L30" s="83" t="s">
        <v>1904</v>
      </c>
      <c r="P30" s="83" t="s">
        <v>961</v>
      </c>
      <c r="Q30" s="126">
        <v>40564</v>
      </c>
    </row>
    <row r="31" spans="1:17" x14ac:dyDescent="0.2">
      <c r="A31" s="83" t="s">
        <v>12</v>
      </c>
      <c r="B31" s="126">
        <v>40570</v>
      </c>
      <c r="C31" s="83">
        <v>2011100145</v>
      </c>
      <c r="D31" s="127" t="s">
        <v>14</v>
      </c>
      <c r="E31" s="127" t="s">
        <v>13</v>
      </c>
      <c r="F31" s="83" t="s">
        <v>1358</v>
      </c>
      <c r="G31" s="83" t="s">
        <v>1645</v>
      </c>
      <c r="H31" s="83">
        <v>2288.14</v>
      </c>
      <c r="I31" s="128">
        <f t="shared" si="2"/>
        <v>411.86519999999996</v>
      </c>
      <c r="K31" s="128">
        <f t="shared" si="3"/>
        <v>2700.0051999999996</v>
      </c>
      <c r="L31" s="83" t="s">
        <v>1904</v>
      </c>
      <c r="P31" s="83" t="s">
        <v>961</v>
      </c>
      <c r="Q31" s="126">
        <v>40564</v>
      </c>
    </row>
    <row r="32" spans="1:17" x14ac:dyDescent="0.2">
      <c r="A32" s="83" t="s">
        <v>12</v>
      </c>
      <c r="B32" s="126">
        <v>40570</v>
      </c>
      <c r="C32" s="83">
        <v>2011100146</v>
      </c>
      <c r="D32" s="127" t="s">
        <v>14</v>
      </c>
      <c r="E32" s="127" t="s">
        <v>13</v>
      </c>
      <c r="F32" s="83" t="s">
        <v>78</v>
      </c>
      <c r="G32" s="83" t="s">
        <v>1646</v>
      </c>
      <c r="H32" s="83">
        <v>1531.7</v>
      </c>
      <c r="I32" s="128">
        <f t="shared" si="2"/>
        <v>275.70600000000002</v>
      </c>
      <c r="K32" s="128">
        <f t="shared" si="3"/>
        <v>1807.4059999999999</v>
      </c>
      <c r="L32" s="83" t="s">
        <v>1904</v>
      </c>
      <c r="P32" s="83" t="s">
        <v>961</v>
      </c>
      <c r="Q32" s="126">
        <v>40564</v>
      </c>
    </row>
    <row r="33" spans="1:17" x14ac:dyDescent="0.2">
      <c r="A33" s="83" t="s">
        <v>12</v>
      </c>
      <c r="B33" s="126">
        <v>40570</v>
      </c>
      <c r="C33" s="83">
        <v>2011100147</v>
      </c>
      <c r="D33" s="127" t="s">
        <v>14</v>
      </c>
      <c r="E33" s="127" t="s">
        <v>13</v>
      </c>
      <c r="F33" s="83" t="s">
        <v>1647</v>
      </c>
      <c r="G33" s="83" t="s">
        <v>1648</v>
      </c>
      <c r="H33" s="83">
        <v>3153.13</v>
      </c>
      <c r="I33" s="128">
        <f t="shared" si="2"/>
        <v>567.5634</v>
      </c>
      <c r="K33" s="128">
        <f t="shared" si="3"/>
        <v>3720.6934000000001</v>
      </c>
      <c r="L33" s="83" t="s">
        <v>1904</v>
      </c>
      <c r="P33" s="83" t="s">
        <v>961</v>
      </c>
      <c r="Q33" s="126">
        <v>40564</v>
      </c>
    </row>
    <row r="34" spans="1:17" x14ac:dyDescent="0.2">
      <c r="A34" s="83" t="s">
        <v>12</v>
      </c>
      <c r="B34" s="126">
        <v>40570</v>
      </c>
      <c r="C34" s="83">
        <v>2011100148</v>
      </c>
      <c r="D34" s="127" t="s">
        <v>14</v>
      </c>
      <c r="E34" s="127" t="s">
        <v>13</v>
      </c>
      <c r="F34" s="83" t="s">
        <v>1649</v>
      </c>
      <c r="G34" s="83" t="s">
        <v>1650</v>
      </c>
      <c r="H34" s="83">
        <v>6944.7</v>
      </c>
      <c r="I34" s="128">
        <f t="shared" si="2"/>
        <v>1250.0459999999998</v>
      </c>
      <c r="K34" s="128">
        <f t="shared" si="3"/>
        <v>8194.7459999999992</v>
      </c>
      <c r="L34" s="83" t="s">
        <v>2709</v>
      </c>
      <c r="P34" s="83" t="s">
        <v>961</v>
      </c>
      <c r="Q34" s="126">
        <v>40564</v>
      </c>
    </row>
    <row r="35" spans="1:17" x14ac:dyDescent="0.2">
      <c r="A35" s="83" t="s">
        <v>12</v>
      </c>
      <c r="B35" s="126">
        <v>40570</v>
      </c>
      <c r="C35" s="83">
        <v>2011100149</v>
      </c>
      <c r="D35" s="127" t="s">
        <v>14</v>
      </c>
      <c r="E35" s="127" t="s">
        <v>13</v>
      </c>
      <c r="F35" s="83" t="s">
        <v>1572</v>
      </c>
      <c r="G35" s="83" t="s">
        <v>1651</v>
      </c>
      <c r="H35" s="83">
        <v>2916.31</v>
      </c>
      <c r="I35" s="128">
        <f t="shared" si="2"/>
        <v>524.93579999999997</v>
      </c>
      <c r="K35" s="128">
        <f t="shared" si="3"/>
        <v>3441.2457999999997</v>
      </c>
      <c r="L35" s="83" t="s">
        <v>1904</v>
      </c>
      <c r="P35" s="83" t="s">
        <v>961</v>
      </c>
      <c r="Q35" s="126">
        <v>40564</v>
      </c>
    </row>
    <row r="36" spans="1:17" x14ac:dyDescent="0.2">
      <c r="A36" s="83" t="s">
        <v>12</v>
      </c>
      <c r="B36" s="126">
        <v>40570</v>
      </c>
      <c r="C36" s="83">
        <v>2011100150</v>
      </c>
      <c r="D36" s="127" t="s">
        <v>14</v>
      </c>
      <c r="E36" s="127" t="s">
        <v>13</v>
      </c>
      <c r="F36" s="83" t="s">
        <v>1652</v>
      </c>
      <c r="G36" s="83" t="s">
        <v>1653</v>
      </c>
      <c r="H36" s="83">
        <v>6265.83</v>
      </c>
      <c r="I36" s="128">
        <f t="shared" si="2"/>
        <v>1127.8493999999998</v>
      </c>
      <c r="K36" s="128">
        <f t="shared" si="3"/>
        <v>7393.6794</v>
      </c>
      <c r="L36" s="83" t="s">
        <v>1904</v>
      </c>
      <c r="P36" s="83" t="s">
        <v>961</v>
      </c>
      <c r="Q36" s="126">
        <v>40564</v>
      </c>
    </row>
    <row r="37" spans="1:17" x14ac:dyDescent="0.2">
      <c r="A37" s="83" t="s">
        <v>408</v>
      </c>
      <c r="B37" s="126">
        <v>40573</v>
      </c>
      <c r="C37" s="83" t="s">
        <v>129</v>
      </c>
      <c r="D37" s="83" t="s">
        <v>1703</v>
      </c>
      <c r="E37" s="83" t="s">
        <v>1704</v>
      </c>
      <c r="F37" s="83" t="s">
        <v>1357</v>
      </c>
      <c r="G37" s="83" t="s">
        <v>1623</v>
      </c>
      <c r="H37" s="83">
        <v>11864.41</v>
      </c>
      <c r="I37" s="128">
        <f t="shared" si="2"/>
        <v>2135.5938000000001</v>
      </c>
      <c r="K37" s="128">
        <f t="shared" si="3"/>
        <v>14000.0038</v>
      </c>
      <c r="L37" s="83" t="s">
        <v>1705</v>
      </c>
      <c r="M37" s="83" t="s">
        <v>2598</v>
      </c>
      <c r="P37" s="83" t="s">
        <v>961</v>
      </c>
      <c r="Q37" s="126">
        <v>40564</v>
      </c>
    </row>
    <row r="38" spans="1:17" x14ac:dyDescent="0.2">
      <c r="A38" s="83" t="s">
        <v>408</v>
      </c>
      <c r="B38" s="126">
        <v>40573</v>
      </c>
      <c r="C38" s="83" t="s">
        <v>130</v>
      </c>
      <c r="D38" s="83" t="s">
        <v>1706</v>
      </c>
      <c r="E38" s="83" t="s">
        <v>1707</v>
      </c>
      <c r="F38" s="83" t="s">
        <v>1708</v>
      </c>
      <c r="G38" s="83" t="s">
        <v>1356</v>
      </c>
      <c r="H38" s="128">
        <v>3220.34</v>
      </c>
      <c r="I38" s="128">
        <f t="shared" si="2"/>
        <v>579.66120000000001</v>
      </c>
      <c r="K38" s="128">
        <f t="shared" si="3"/>
        <v>3800.0012000000002</v>
      </c>
      <c r="L38" s="83" t="s">
        <v>1679</v>
      </c>
      <c r="M38" s="83" t="s">
        <v>2418</v>
      </c>
      <c r="P38" s="83" t="s">
        <v>961</v>
      </c>
      <c r="Q38" s="126">
        <v>40564</v>
      </c>
    </row>
    <row r="39" spans="1:17" x14ac:dyDescent="0.2">
      <c r="A39" s="83" t="s">
        <v>408</v>
      </c>
      <c r="B39" s="126">
        <v>40574</v>
      </c>
      <c r="C39" s="83" t="s">
        <v>1666</v>
      </c>
      <c r="D39" s="83" t="s">
        <v>1672</v>
      </c>
      <c r="E39" s="83" t="s">
        <v>1673</v>
      </c>
      <c r="F39" s="83" t="s">
        <v>70</v>
      </c>
      <c r="G39" s="83" t="s">
        <v>1586</v>
      </c>
      <c r="H39" s="128">
        <f>6000/1.18</f>
        <v>5084.7457627118647</v>
      </c>
      <c r="I39" s="128">
        <f t="shared" si="2"/>
        <v>915.25423728813564</v>
      </c>
      <c r="K39" s="128">
        <f t="shared" si="3"/>
        <v>6000</v>
      </c>
      <c r="L39" s="83" t="s">
        <v>1674</v>
      </c>
      <c r="M39" s="83" t="s">
        <v>2600</v>
      </c>
      <c r="P39" s="83" t="s">
        <v>961</v>
      </c>
      <c r="Q39" s="126">
        <v>40564</v>
      </c>
    </row>
    <row r="40" spans="1:17" x14ac:dyDescent="0.2">
      <c r="A40" s="83" t="s">
        <v>12</v>
      </c>
      <c r="B40" s="126">
        <v>40576</v>
      </c>
      <c r="C40" s="83">
        <v>2011100177</v>
      </c>
      <c r="D40" s="127" t="s">
        <v>14</v>
      </c>
      <c r="E40" s="127" t="s">
        <v>13</v>
      </c>
      <c r="F40" s="83" t="s">
        <v>49</v>
      </c>
      <c r="G40" s="83" t="s">
        <v>1654</v>
      </c>
      <c r="H40" s="83">
        <v>2288.14</v>
      </c>
      <c r="I40" s="128">
        <f t="shared" si="2"/>
        <v>411.86519999999996</v>
      </c>
      <c r="K40" s="128">
        <f t="shared" si="3"/>
        <v>2700.0051999999996</v>
      </c>
      <c r="L40" s="83" t="s">
        <v>1904</v>
      </c>
      <c r="P40" s="83" t="s">
        <v>961</v>
      </c>
      <c r="Q40" s="126">
        <v>40564</v>
      </c>
    </row>
    <row r="41" spans="1:17" x14ac:dyDescent="0.2">
      <c r="A41" s="83" t="s">
        <v>408</v>
      </c>
      <c r="B41" s="126">
        <v>40576</v>
      </c>
      <c r="C41" s="83" t="s">
        <v>1667</v>
      </c>
      <c r="D41" s="83" t="s">
        <v>1675</v>
      </c>
      <c r="E41" s="83" t="s">
        <v>1676</v>
      </c>
      <c r="F41" s="83" t="s">
        <v>1308</v>
      </c>
      <c r="G41" s="83" t="s">
        <v>1591</v>
      </c>
      <c r="H41" s="128">
        <f>5000/1.18</f>
        <v>4237.2881355932204</v>
      </c>
      <c r="I41" s="128">
        <f t="shared" si="2"/>
        <v>762.71186440677968</v>
      </c>
      <c r="K41" s="128">
        <f t="shared" si="3"/>
        <v>5000</v>
      </c>
      <c r="L41" s="83" t="s">
        <v>1674</v>
      </c>
      <c r="M41" s="83" t="s">
        <v>2601</v>
      </c>
      <c r="P41" s="83" t="s">
        <v>961</v>
      </c>
      <c r="Q41" s="126">
        <v>40564</v>
      </c>
    </row>
    <row r="42" spans="1:17" x14ac:dyDescent="0.2">
      <c r="A42" s="83" t="s">
        <v>408</v>
      </c>
      <c r="B42" s="126">
        <v>40583</v>
      </c>
      <c r="C42" s="83" t="s">
        <v>1747</v>
      </c>
      <c r="D42" s="127" t="s">
        <v>1748</v>
      </c>
      <c r="E42" s="127" t="s">
        <v>1749</v>
      </c>
      <c r="F42" s="83" t="s">
        <v>47</v>
      </c>
      <c r="G42" s="83" t="s">
        <v>1746</v>
      </c>
      <c r="H42" s="83">
        <v>847.46</v>
      </c>
      <c r="I42" s="128">
        <f t="shared" si="2"/>
        <v>152.5428</v>
      </c>
      <c r="K42" s="128">
        <f t="shared" si="3"/>
        <v>1000.0028</v>
      </c>
      <c r="L42" s="83" t="s">
        <v>1765</v>
      </c>
      <c r="M42" s="83" t="s">
        <v>2620</v>
      </c>
      <c r="P42" s="83" t="s">
        <v>961</v>
      </c>
      <c r="Q42" s="126">
        <v>40622</v>
      </c>
    </row>
    <row r="43" spans="1:17" s="84" customFormat="1" x14ac:dyDescent="0.2">
      <c r="A43" s="84" t="s">
        <v>408</v>
      </c>
      <c r="B43" s="129">
        <v>40710</v>
      </c>
      <c r="C43" s="84" t="s">
        <v>1997</v>
      </c>
      <c r="D43" s="130" t="s">
        <v>1995</v>
      </c>
      <c r="E43" s="130" t="s">
        <v>1996</v>
      </c>
      <c r="F43" s="84" t="s">
        <v>65</v>
      </c>
      <c r="G43" s="84" t="s">
        <v>1531</v>
      </c>
      <c r="H43" s="131">
        <f>4000/1.18</f>
        <v>3389.8305084745766</v>
      </c>
      <c r="I43" s="131">
        <f>H43*0.18</f>
        <v>610.16949152542372</v>
      </c>
      <c r="K43" s="131">
        <f>+H43+I43</f>
        <v>4000.0000000000005</v>
      </c>
      <c r="L43" s="84" t="s">
        <v>1750</v>
      </c>
      <c r="M43" s="84" t="s">
        <v>2559</v>
      </c>
      <c r="N43" s="84" t="s">
        <v>1998</v>
      </c>
      <c r="P43" s="84" t="s">
        <v>2071</v>
      </c>
      <c r="Q43" s="129">
        <v>40789</v>
      </c>
    </row>
    <row r="44" spans="1:17" x14ac:dyDescent="0.2">
      <c r="A44" s="83" t="s">
        <v>408</v>
      </c>
      <c r="B44" s="126">
        <v>40584</v>
      </c>
      <c r="C44" s="83" t="s">
        <v>1763</v>
      </c>
      <c r="D44" s="127" t="s">
        <v>651</v>
      </c>
      <c r="E44" s="127" t="s">
        <v>652</v>
      </c>
      <c r="F44" s="83" t="s">
        <v>59</v>
      </c>
      <c r="G44" s="83" t="s">
        <v>1299</v>
      </c>
      <c r="H44" s="128">
        <f>2000/1.18</f>
        <v>1694.9152542372883</v>
      </c>
      <c r="I44" s="128">
        <f t="shared" si="2"/>
        <v>305.08474576271186</v>
      </c>
      <c r="K44" s="128">
        <f t="shared" si="3"/>
        <v>2000.0000000000002</v>
      </c>
      <c r="L44" s="83" t="s">
        <v>1764</v>
      </c>
      <c r="M44" s="83" t="s">
        <v>2620</v>
      </c>
      <c r="P44" s="83" t="s">
        <v>961</v>
      </c>
      <c r="Q44" s="126">
        <v>40622</v>
      </c>
    </row>
    <row r="45" spans="1:17" x14ac:dyDescent="0.2">
      <c r="A45" s="83" t="s">
        <v>408</v>
      </c>
      <c r="B45" s="126">
        <v>40584</v>
      </c>
      <c r="C45" s="83" t="s">
        <v>131</v>
      </c>
      <c r="D45" s="127" t="s">
        <v>1269</v>
      </c>
      <c r="E45" s="127" t="s">
        <v>1270</v>
      </c>
      <c r="F45" s="83" t="s">
        <v>32</v>
      </c>
      <c r="G45" s="83" t="s">
        <v>1455</v>
      </c>
      <c r="H45" s="83">
        <v>2966.1</v>
      </c>
      <c r="I45" s="128">
        <f t="shared" si="2"/>
        <v>533.89799999999991</v>
      </c>
      <c r="K45" s="128">
        <f t="shared" si="3"/>
        <v>3499.9979999999996</v>
      </c>
      <c r="L45" s="83" t="s">
        <v>1745</v>
      </c>
      <c r="M45" s="83" t="s">
        <v>2602</v>
      </c>
      <c r="P45" s="83" t="s">
        <v>961</v>
      </c>
      <c r="Q45" s="126">
        <v>40622</v>
      </c>
    </row>
    <row r="46" spans="1:17" x14ac:dyDescent="0.2">
      <c r="A46" s="83" t="s">
        <v>408</v>
      </c>
      <c r="B46" s="126">
        <v>40587</v>
      </c>
      <c r="C46" s="83" t="s">
        <v>1756</v>
      </c>
      <c r="D46" s="127" t="s">
        <v>1757</v>
      </c>
      <c r="E46" s="127" t="s">
        <v>1758</v>
      </c>
      <c r="F46" s="83" t="s">
        <v>1637</v>
      </c>
      <c r="G46" s="83" t="s">
        <v>1638</v>
      </c>
      <c r="H46" s="128">
        <f>16500/1.18</f>
        <v>13983.050847457627</v>
      </c>
      <c r="I46" s="128">
        <f t="shared" si="2"/>
        <v>2516.9491525423728</v>
      </c>
      <c r="K46" s="128">
        <f t="shared" si="3"/>
        <v>16500</v>
      </c>
      <c r="L46" s="83" t="s">
        <v>1759</v>
      </c>
      <c r="M46" s="83" t="s">
        <v>2418</v>
      </c>
      <c r="P46" s="83" t="s">
        <v>961</v>
      </c>
      <c r="Q46" s="126">
        <v>40622</v>
      </c>
    </row>
    <row r="47" spans="1:17" x14ac:dyDescent="0.2">
      <c r="A47" s="83" t="s">
        <v>408</v>
      </c>
      <c r="B47" s="126">
        <v>40587</v>
      </c>
      <c r="C47" s="83" t="s">
        <v>1751</v>
      </c>
      <c r="D47" s="127" t="s">
        <v>1752</v>
      </c>
      <c r="E47" s="127" t="s">
        <v>1753</v>
      </c>
      <c r="F47" s="83" t="s">
        <v>1754</v>
      </c>
      <c r="G47" s="83" t="s">
        <v>1755</v>
      </c>
      <c r="H47" s="128">
        <f>7500/1.18</f>
        <v>6355.9322033898306</v>
      </c>
      <c r="I47" s="128">
        <f t="shared" si="2"/>
        <v>1144.0677966101696</v>
      </c>
      <c r="K47" s="128">
        <f t="shared" si="3"/>
        <v>7500</v>
      </c>
      <c r="L47" s="132" t="s">
        <v>1775</v>
      </c>
      <c r="M47" s="83" t="s">
        <v>2600</v>
      </c>
      <c r="P47" s="83" t="s">
        <v>961</v>
      </c>
      <c r="Q47" s="126">
        <v>40622</v>
      </c>
    </row>
    <row r="48" spans="1:17" x14ac:dyDescent="0.2">
      <c r="A48" s="83" t="s">
        <v>12</v>
      </c>
      <c r="B48" s="126">
        <v>40588</v>
      </c>
      <c r="C48" s="83">
        <v>2011100250</v>
      </c>
      <c r="D48" s="127" t="s">
        <v>14</v>
      </c>
      <c r="E48" s="127" t="s">
        <v>13</v>
      </c>
      <c r="F48" s="83" t="s">
        <v>1720</v>
      </c>
      <c r="G48" s="83" t="s">
        <v>1728</v>
      </c>
      <c r="H48" s="83">
        <v>7248.39</v>
      </c>
      <c r="I48" s="128">
        <f t="shared" si="2"/>
        <v>1304.7102</v>
      </c>
      <c r="K48" s="128">
        <f t="shared" si="3"/>
        <v>8553.1002000000008</v>
      </c>
      <c r="L48" s="83" t="s">
        <v>1904</v>
      </c>
      <c r="P48" s="83" t="s">
        <v>961</v>
      </c>
      <c r="Q48" s="126">
        <v>40622</v>
      </c>
    </row>
    <row r="49" spans="1:17" x14ac:dyDescent="0.2">
      <c r="A49" s="83" t="s">
        <v>12</v>
      </c>
      <c r="B49" s="126">
        <v>40588</v>
      </c>
      <c r="C49" s="83">
        <v>2011100251</v>
      </c>
      <c r="D49" s="127" t="s">
        <v>14</v>
      </c>
      <c r="E49" s="127" t="s">
        <v>13</v>
      </c>
      <c r="F49" s="83" t="s">
        <v>1035</v>
      </c>
      <c r="G49" s="83" t="s">
        <v>1729</v>
      </c>
      <c r="H49" s="83">
        <v>4914.3500000000004</v>
      </c>
      <c r="I49" s="128">
        <f t="shared" si="2"/>
        <v>884.58300000000008</v>
      </c>
      <c r="K49" s="128">
        <f t="shared" si="3"/>
        <v>5798.9330000000009</v>
      </c>
      <c r="L49" s="83" t="s">
        <v>1904</v>
      </c>
      <c r="P49" s="83" t="s">
        <v>961</v>
      </c>
      <c r="Q49" s="126">
        <v>40622</v>
      </c>
    </row>
    <row r="50" spans="1:17" x14ac:dyDescent="0.2">
      <c r="A50" s="83" t="s">
        <v>12</v>
      </c>
      <c r="B50" s="126">
        <v>40588</v>
      </c>
      <c r="C50" s="83">
        <v>2011100252</v>
      </c>
      <c r="D50" s="127" t="s">
        <v>14</v>
      </c>
      <c r="E50" s="127" t="s">
        <v>13</v>
      </c>
      <c r="F50" s="83" t="s">
        <v>1035</v>
      </c>
      <c r="G50" s="83" t="s">
        <v>1730</v>
      </c>
      <c r="H50" s="83">
        <v>4921.22</v>
      </c>
      <c r="I50" s="128">
        <f t="shared" si="2"/>
        <v>885.81960000000004</v>
      </c>
      <c r="K50" s="128">
        <f t="shared" si="3"/>
        <v>5807.0396000000001</v>
      </c>
      <c r="L50" s="83" t="s">
        <v>1904</v>
      </c>
      <c r="P50" s="83" t="s">
        <v>961</v>
      </c>
      <c r="Q50" s="126">
        <v>40622</v>
      </c>
    </row>
    <row r="51" spans="1:17" x14ac:dyDescent="0.2">
      <c r="A51" s="83" t="s">
        <v>12</v>
      </c>
      <c r="B51" s="126">
        <v>40588</v>
      </c>
      <c r="C51" s="83">
        <v>2011100253</v>
      </c>
      <c r="D51" s="127" t="s">
        <v>14</v>
      </c>
      <c r="E51" s="127" t="s">
        <v>13</v>
      </c>
      <c r="F51" s="83" t="s">
        <v>49</v>
      </c>
      <c r="G51" s="83" t="s">
        <v>1731</v>
      </c>
      <c r="H51" s="83">
        <v>2783.14</v>
      </c>
      <c r="I51" s="128">
        <f t="shared" ref="I51:I70" si="4">H51*0.18</f>
        <v>500.96519999999998</v>
      </c>
      <c r="K51" s="128">
        <f t="shared" ref="K51:K70" si="5">+H51+I51</f>
        <v>3284.1052</v>
      </c>
      <c r="L51" s="83" t="s">
        <v>2709</v>
      </c>
      <c r="P51" s="83" t="s">
        <v>961</v>
      </c>
      <c r="Q51" s="126">
        <v>40622</v>
      </c>
    </row>
    <row r="52" spans="1:17" x14ac:dyDescent="0.2">
      <c r="A52" s="83" t="s">
        <v>12</v>
      </c>
      <c r="B52" s="126">
        <v>40588</v>
      </c>
      <c r="C52" s="83">
        <v>2011100254</v>
      </c>
      <c r="D52" s="127" t="s">
        <v>14</v>
      </c>
      <c r="E52" s="127" t="s">
        <v>13</v>
      </c>
      <c r="F52" s="83" t="s">
        <v>44</v>
      </c>
      <c r="G52" s="83" t="s">
        <v>1732</v>
      </c>
      <c r="H52" s="83">
        <v>1894.25</v>
      </c>
      <c r="I52" s="128">
        <f t="shared" si="4"/>
        <v>340.96499999999997</v>
      </c>
      <c r="K52" s="128">
        <f t="shared" si="5"/>
        <v>2235.2150000000001</v>
      </c>
      <c r="L52" s="83" t="s">
        <v>1904</v>
      </c>
      <c r="P52" s="83" t="s">
        <v>961</v>
      </c>
      <c r="Q52" s="126">
        <v>40622</v>
      </c>
    </row>
    <row r="53" spans="1:17" x14ac:dyDescent="0.2">
      <c r="A53" s="83" t="s">
        <v>12</v>
      </c>
      <c r="B53" s="126">
        <v>40588</v>
      </c>
      <c r="C53" s="83">
        <v>2011100255</v>
      </c>
      <c r="D53" s="127" t="s">
        <v>14</v>
      </c>
      <c r="E53" s="127" t="s">
        <v>13</v>
      </c>
      <c r="F53" s="83" t="s">
        <v>32</v>
      </c>
      <c r="G53" s="83" t="s">
        <v>1733</v>
      </c>
      <c r="H53" s="83">
        <v>2901.47</v>
      </c>
      <c r="I53" s="128">
        <f t="shared" si="4"/>
        <v>522.26459999999997</v>
      </c>
      <c r="K53" s="128">
        <f t="shared" si="5"/>
        <v>3423.7345999999998</v>
      </c>
      <c r="L53" s="83" t="s">
        <v>1904</v>
      </c>
      <c r="P53" s="83" t="s">
        <v>961</v>
      </c>
      <c r="Q53" s="126">
        <v>40622</v>
      </c>
    </row>
    <row r="54" spans="1:17" x14ac:dyDescent="0.2">
      <c r="A54" s="83" t="s">
        <v>12</v>
      </c>
      <c r="B54" s="126">
        <v>40588</v>
      </c>
      <c r="C54" s="83">
        <v>2011100256</v>
      </c>
      <c r="D54" s="127" t="s">
        <v>14</v>
      </c>
      <c r="E54" s="127" t="s">
        <v>13</v>
      </c>
      <c r="F54" s="83" t="s">
        <v>1734</v>
      </c>
      <c r="G54" s="83" t="s">
        <v>1735</v>
      </c>
      <c r="H54" s="83">
        <v>2542.37</v>
      </c>
      <c r="I54" s="128">
        <f t="shared" si="4"/>
        <v>457.62659999999994</v>
      </c>
      <c r="K54" s="128">
        <f t="shared" si="5"/>
        <v>2999.9965999999999</v>
      </c>
      <c r="L54" s="83" t="s">
        <v>1904</v>
      </c>
      <c r="P54" s="83" t="s">
        <v>961</v>
      </c>
      <c r="Q54" s="126">
        <v>40622</v>
      </c>
    </row>
    <row r="55" spans="1:17" x14ac:dyDescent="0.2">
      <c r="A55" s="83" t="s">
        <v>12</v>
      </c>
      <c r="B55" s="126">
        <v>40588</v>
      </c>
      <c r="C55" s="83">
        <v>2011100257</v>
      </c>
      <c r="D55" s="127" t="s">
        <v>14</v>
      </c>
      <c r="E55" s="127" t="s">
        <v>13</v>
      </c>
      <c r="F55" s="83" t="s">
        <v>1736</v>
      </c>
      <c r="G55" s="83" t="s">
        <v>1737</v>
      </c>
      <c r="H55" s="83">
        <v>3114.91</v>
      </c>
      <c r="I55" s="128">
        <f t="shared" si="4"/>
        <v>560.68379999999991</v>
      </c>
      <c r="K55" s="128">
        <f t="shared" si="5"/>
        <v>3675.5937999999996</v>
      </c>
      <c r="P55" s="83" t="s">
        <v>961</v>
      </c>
      <c r="Q55" s="126">
        <v>40622</v>
      </c>
    </row>
    <row r="56" spans="1:17" x14ac:dyDescent="0.2">
      <c r="A56" s="83" t="s">
        <v>12</v>
      </c>
      <c r="B56" s="126">
        <v>40588</v>
      </c>
      <c r="C56" s="83">
        <v>2011100258</v>
      </c>
      <c r="D56" s="127" t="s">
        <v>14</v>
      </c>
      <c r="E56" s="127" t="s">
        <v>13</v>
      </c>
      <c r="F56" s="83" t="s">
        <v>1708</v>
      </c>
      <c r="G56" s="83" t="s">
        <v>1738</v>
      </c>
      <c r="H56" s="83">
        <v>2294.54</v>
      </c>
      <c r="I56" s="128">
        <f t="shared" si="4"/>
        <v>413.0172</v>
      </c>
      <c r="K56" s="128">
        <f t="shared" si="5"/>
        <v>2707.5572000000002</v>
      </c>
      <c r="P56" s="83" t="s">
        <v>961</v>
      </c>
      <c r="Q56" s="126">
        <v>40622</v>
      </c>
    </row>
    <row r="57" spans="1:17" x14ac:dyDescent="0.2">
      <c r="A57" s="83" t="s">
        <v>12</v>
      </c>
      <c r="B57" s="126">
        <v>40588</v>
      </c>
      <c r="C57" s="83">
        <v>2011100259</v>
      </c>
      <c r="D57" s="127" t="s">
        <v>14</v>
      </c>
      <c r="E57" s="127" t="s">
        <v>13</v>
      </c>
      <c r="F57" s="83" t="s">
        <v>1708</v>
      </c>
      <c r="G57" s="83" t="s">
        <v>1739</v>
      </c>
      <c r="H57" s="83">
        <v>2192.13</v>
      </c>
      <c r="I57" s="128">
        <f t="shared" si="4"/>
        <v>394.58339999999998</v>
      </c>
      <c r="K57" s="128">
        <f t="shared" si="5"/>
        <v>2586.7134000000001</v>
      </c>
      <c r="L57" s="83" t="s">
        <v>1904</v>
      </c>
      <c r="P57" s="83" t="s">
        <v>961</v>
      </c>
      <c r="Q57" s="126">
        <v>40622</v>
      </c>
    </row>
    <row r="58" spans="1:17" x14ac:dyDescent="0.2">
      <c r="A58" s="83" t="s">
        <v>12</v>
      </c>
      <c r="B58" s="126">
        <v>40588</v>
      </c>
      <c r="C58" s="83">
        <v>2011100260</v>
      </c>
      <c r="D58" s="127" t="s">
        <v>14</v>
      </c>
      <c r="E58" s="127" t="s">
        <v>13</v>
      </c>
      <c r="F58" s="83" t="s">
        <v>1740</v>
      </c>
      <c r="G58" s="83" t="s">
        <v>1741</v>
      </c>
      <c r="H58" s="83">
        <v>4713.53</v>
      </c>
      <c r="I58" s="128">
        <f t="shared" si="4"/>
        <v>848.43539999999996</v>
      </c>
      <c r="K58" s="128">
        <f t="shared" si="5"/>
        <v>5561.9654</v>
      </c>
      <c r="L58" s="83" t="s">
        <v>1904</v>
      </c>
      <c r="P58" s="83" t="s">
        <v>961</v>
      </c>
      <c r="Q58" s="126">
        <v>40622</v>
      </c>
    </row>
    <row r="59" spans="1:17" x14ac:dyDescent="0.2">
      <c r="A59" s="83" t="s">
        <v>12</v>
      </c>
      <c r="B59" s="126">
        <v>40588</v>
      </c>
      <c r="C59" s="83">
        <v>2011100261</v>
      </c>
      <c r="D59" s="127" t="s">
        <v>14</v>
      </c>
      <c r="E59" s="127" t="s">
        <v>13</v>
      </c>
      <c r="F59" s="83" t="s">
        <v>1628</v>
      </c>
      <c r="G59" s="83" t="s">
        <v>1742</v>
      </c>
      <c r="H59" s="83">
        <v>2372.88</v>
      </c>
      <c r="I59" s="128">
        <f t="shared" si="4"/>
        <v>427.11840000000001</v>
      </c>
      <c r="K59" s="128">
        <f t="shared" si="5"/>
        <v>2799.9983999999999</v>
      </c>
      <c r="L59" s="83" t="s">
        <v>1904</v>
      </c>
      <c r="P59" s="83" t="s">
        <v>961</v>
      </c>
      <c r="Q59" s="126">
        <v>40622</v>
      </c>
    </row>
    <row r="60" spans="1:17" x14ac:dyDescent="0.2">
      <c r="A60" s="83" t="s">
        <v>12</v>
      </c>
      <c r="B60" s="126">
        <v>40588</v>
      </c>
      <c r="C60" s="83">
        <v>2011100262</v>
      </c>
      <c r="D60" s="127" t="s">
        <v>14</v>
      </c>
      <c r="E60" s="127" t="s">
        <v>13</v>
      </c>
      <c r="F60" s="83" t="s">
        <v>1308</v>
      </c>
      <c r="G60" s="83" t="s">
        <v>1743</v>
      </c>
      <c r="H60" s="83">
        <v>5508.48</v>
      </c>
      <c r="I60" s="128">
        <f t="shared" si="4"/>
        <v>991.52639999999985</v>
      </c>
      <c r="K60" s="128">
        <f t="shared" si="5"/>
        <v>6500.0063999999993</v>
      </c>
      <c r="L60" s="83" t="s">
        <v>1904</v>
      </c>
      <c r="P60" s="83" t="s">
        <v>961</v>
      </c>
      <c r="Q60" s="126">
        <v>40622</v>
      </c>
    </row>
    <row r="61" spans="1:17" x14ac:dyDescent="0.2">
      <c r="A61" s="83" t="s">
        <v>12</v>
      </c>
      <c r="B61" s="126">
        <v>40588</v>
      </c>
      <c r="C61" s="83">
        <v>2011100263</v>
      </c>
      <c r="D61" s="127" t="s">
        <v>14</v>
      </c>
      <c r="E61" s="127" t="s">
        <v>13</v>
      </c>
      <c r="F61" s="83" t="s">
        <v>1308</v>
      </c>
      <c r="G61" s="83" t="s">
        <v>1744</v>
      </c>
      <c r="H61" s="83">
        <v>4411.22</v>
      </c>
      <c r="I61" s="128">
        <f t="shared" si="4"/>
        <v>794.01959999999997</v>
      </c>
      <c r="K61" s="128">
        <f t="shared" si="5"/>
        <v>5205.2395999999999</v>
      </c>
      <c r="L61" s="83" t="s">
        <v>1904</v>
      </c>
      <c r="P61" s="83" t="s">
        <v>961</v>
      </c>
      <c r="Q61" s="126">
        <v>40622</v>
      </c>
    </row>
    <row r="62" spans="1:17" x14ac:dyDescent="0.2">
      <c r="A62" s="83" t="s">
        <v>408</v>
      </c>
      <c r="B62" s="126">
        <v>40598</v>
      </c>
      <c r="C62" s="83" t="s">
        <v>1760</v>
      </c>
      <c r="D62" s="127" t="s">
        <v>1761</v>
      </c>
      <c r="E62" s="127" t="s">
        <v>1762</v>
      </c>
      <c r="F62" s="83" t="s">
        <v>1652</v>
      </c>
      <c r="G62" s="83" t="s">
        <v>1653</v>
      </c>
      <c r="H62" s="128">
        <f>11800/1.18</f>
        <v>10000</v>
      </c>
      <c r="I62" s="128">
        <f t="shared" si="4"/>
        <v>1800</v>
      </c>
      <c r="K62" s="128">
        <f t="shared" si="5"/>
        <v>11800</v>
      </c>
      <c r="L62" s="83" t="s">
        <v>1759</v>
      </c>
      <c r="M62" s="83" t="s">
        <v>2603</v>
      </c>
      <c r="P62" s="83" t="s">
        <v>961</v>
      </c>
      <c r="Q62" s="126">
        <v>40622</v>
      </c>
    </row>
    <row r="63" spans="1:17" x14ac:dyDescent="0.2">
      <c r="A63" s="83" t="s">
        <v>12</v>
      </c>
      <c r="B63" s="126">
        <v>40610</v>
      </c>
      <c r="C63" s="83">
        <v>2011100378</v>
      </c>
      <c r="D63" s="127" t="s">
        <v>14</v>
      </c>
      <c r="E63" s="127" t="s">
        <v>13</v>
      </c>
      <c r="F63" s="83" t="s">
        <v>1720</v>
      </c>
      <c r="G63" s="83" t="s">
        <v>1721</v>
      </c>
      <c r="H63" s="83">
        <v>4957.63</v>
      </c>
      <c r="I63" s="128">
        <f t="shared" si="4"/>
        <v>892.37339999999995</v>
      </c>
      <c r="K63" s="128">
        <f t="shared" si="5"/>
        <v>5850.0033999999996</v>
      </c>
      <c r="L63" s="83" t="s">
        <v>1904</v>
      </c>
      <c r="P63" s="83" t="s">
        <v>961</v>
      </c>
      <c r="Q63" s="126">
        <v>40622</v>
      </c>
    </row>
    <row r="64" spans="1:17" x14ac:dyDescent="0.2">
      <c r="A64" s="83" t="s">
        <v>12</v>
      </c>
      <c r="B64" s="126">
        <v>40610</v>
      </c>
      <c r="C64" s="83">
        <v>2011100379</v>
      </c>
      <c r="D64" s="127" t="s">
        <v>14</v>
      </c>
      <c r="E64" s="127" t="s">
        <v>13</v>
      </c>
      <c r="F64" s="83" t="s">
        <v>1720</v>
      </c>
      <c r="G64" s="83" t="s">
        <v>1722</v>
      </c>
      <c r="H64" s="83">
        <v>4969.49</v>
      </c>
      <c r="I64" s="128">
        <f t="shared" si="4"/>
        <v>894.50819999999987</v>
      </c>
      <c r="K64" s="128">
        <f t="shared" si="5"/>
        <v>5863.9982</v>
      </c>
      <c r="L64" s="83" t="s">
        <v>1904</v>
      </c>
      <c r="P64" s="83" t="s">
        <v>961</v>
      </c>
      <c r="Q64" s="126">
        <v>40622</v>
      </c>
    </row>
    <row r="65" spans="1:17" x14ac:dyDescent="0.2">
      <c r="A65" s="83" t="s">
        <v>12</v>
      </c>
      <c r="B65" s="126">
        <v>40610</v>
      </c>
      <c r="C65" s="83">
        <v>2011100380</v>
      </c>
      <c r="D65" s="127" t="s">
        <v>14</v>
      </c>
      <c r="E65" s="127" t="s">
        <v>13</v>
      </c>
      <c r="F65" s="83" t="s">
        <v>49</v>
      </c>
      <c r="G65" s="83" t="s">
        <v>1723</v>
      </c>
      <c r="H65" s="83">
        <v>2372.88</v>
      </c>
      <c r="I65" s="128">
        <f t="shared" si="4"/>
        <v>427.11840000000001</v>
      </c>
      <c r="K65" s="128">
        <f t="shared" si="5"/>
        <v>2799.9983999999999</v>
      </c>
      <c r="L65" s="83" t="s">
        <v>1904</v>
      </c>
      <c r="P65" s="83" t="s">
        <v>961</v>
      </c>
      <c r="Q65" s="126">
        <v>40622</v>
      </c>
    </row>
    <row r="66" spans="1:17" x14ac:dyDescent="0.2">
      <c r="A66" s="83" t="s">
        <v>12</v>
      </c>
      <c r="B66" s="126">
        <v>40610</v>
      </c>
      <c r="C66" s="83">
        <v>2011100381</v>
      </c>
      <c r="D66" s="127" t="s">
        <v>14</v>
      </c>
      <c r="E66" s="127" t="s">
        <v>13</v>
      </c>
      <c r="F66" s="83" t="s">
        <v>1358</v>
      </c>
      <c r="G66" s="83" t="s">
        <v>1724</v>
      </c>
      <c r="H66" s="83">
        <v>1864.41</v>
      </c>
      <c r="I66" s="128">
        <f t="shared" si="4"/>
        <v>335.59379999999999</v>
      </c>
      <c r="K66" s="128">
        <f t="shared" si="5"/>
        <v>2200.0038</v>
      </c>
      <c r="L66" s="83" t="s">
        <v>1904</v>
      </c>
      <c r="P66" s="83" t="s">
        <v>961</v>
      </c>
      <c r="Q66" s="126">
        <v>40622</v>
      </c>
    </row>
    <row r="67" spans="1:17" x14ac:dyDescent="0.2">
      <c r="A67" s="83" t="s">
        <v>12</v>
      </c>
      <c r="B67" s="126">
        <v>40610</v>
      </c>
      <c r="C67" s="83">
        <v>2011100382</v>
      </c>
      <c r="D67" s="127" t="s">
        <v>14</v>
      </c>
      <c r="E67" s="127" t="s">
        <v>13</v>
      </c>
      <c r="F67" s="83" t="s">
        <v>1358</v>
      </c>
      <c r="G67" s="83" t="s">
        <v>1725</v>
      </c>
      <c r="H67" s="83">
        <v>1610.17</v>
      </c>
      <c r="I67" s="128">
        <f t="shared" si="4"/>
        <v>289.8306</v>
      </c>
      <c r="K67" s="128">
        <f t="shared" si="5"/>
        <v>1900.0006000000001</v>
      </c>
      <c r="L67" s="83" t="s">
        <v>1904</v>
      </c>
      <c r="P67" s="83" t="s">
        <v>961</v>
      </c>
      <c r="Q67" s="126">
        <v>40622</v>
      </c>
    </row>
    <row r="68" spans="1:17" x14ac:dyDescent="0.2">
      <c r="A68" s="83" t="s">
        <v>12</v>
      </c>
      <c r="B68" s="126">
        <v>40610</v>
      </c>
      <c r="C68" s="83">
        <v>2011100383</v>
      </c>
      <c r="D68" s="127" t="s">
        <v>14</v>
      </c>
      <c r="E68" s="127" t="s">
        <v>13</v>
      </c>
      <c r="F68" s="83" t="s">
        <v>1708</v>
      </c>
      <c r="G68" s="83" t="s">
        <v>1726</v>
      </c>
      <c r="H68" s="83">
        <v>2574.69</v>
      </c>
      <c r="I68" s="128">
        <f t="shared" si="4"/>
        <v>463.44419999999997</v>
      </c>
      <c r="K68" s="128">
        <f t="shared" si="5"/>
        <v>3038.1342</v>
      </c>
      <c r="P68" s="83" t="s">
        <v>961</v>
      </c>
      <c r="Q68" s="126">
        <v>40622</v>
      </c>
    </row>
    <row r="69" spans="1:17" x14ac:dyDescent="0.2">
      <c r="A69" s="83" t="s">
        <v>12</v>
      </c>
      <c r="B69" s="126">
        <v>40610</v>
      </c>
      <c r="C69" s="83">
        <v>2011100384</v>
      </c>
      <c r="D69" s="127" t="s">
        <v>14</v>
      </c>
      <c r="E69" s="127" t="s">
        <v>13</v>
      </c>
      <c r="F69" s="83" t="s">
        <v>1044</v>
      </c>
      <c r="G69" s="83" t="s">
        <v>1727</v>
      </c>
      <c r="H69" s="83">
        <v>4237.29</v>
      </c>
      <c r="I69" s="128">
        <f t="shared" si="4"/>
        <v>762.71219999999994</v>
      </c>
      <c r="K69" s="128">
        <f t="shared" si="5"/>
        <v>5000.0021999999999</v>
      </c>
      <c r="L69" s="83" t="s">
        <v>1904</v>
      </c>
      <c r="P69" s="83" t="s">
        <v>961</v>
      </c>
      <c r="Q69" s="126">
        <v>40622</v>
      </c>
    </row>
    <row r="70" spans="1:17" x14ac:dyDescent="0.2">
      <c r="A70" s="83" t="s">
        <v>408</v>
      </c>
      <c r="B70" s="126">
        <v>40596</v>
      </c>
      <c r="C70" s="83" t="s">
        <v>132</v>
      </c>
      <c r="D70" s="127" t="s">
        <v>1766</v>
      </c>
      <c r="E70" s="127" t="s">
        <v>1767</v>
      </c>
      <c r="F70" s="83" t="s">
        <v>1768</v>
      </c>
      <c r="G70" s="83" t="s">
        <v>1634</v>
      </c>
      <c r="H70" s="128">
        <f>7900/1.18</f>
        <v>6694.9152542372885</v>
      </c>
      <c r="I70" s="128">
        <f t="shared" si="4"/>
        <v>1205.0847457627119</v>
      </c>
      <c r="K70" s="128">
        <f t="shared" si="5"/>
        <v>7900</v>
      </c>
      <c r="L70" s="83" t="s">
        <v>1769</v>
      </c>
      <c r="M70" s="83" t="s">
        <v>2604</v>
      </c>
      <c r="P70" s="83" t="s">
        <v>961</v>
      </c>
      <c r="Q70" s="126">
        <v>40645</v>
      </c>
    </row>
    <row r="71" spans="1:17" x14ac:dyDescent="0.2">
      <c r="A71" s="83" t="s">
        <v>408</v>
      </c>
      <c r="B71" s="126">
        <v>40602</v>
      </c>
      <c r="C71" s="83" t="s">
        <v>133</v>
      </c>
      <c r="D71" s="127" t="s">
        <v>1344</v>
      </c>
      <c r="E71" s="127" t="s">
        <v>525</v>
      </c>
      <c r="F71" s="83" t="s">
        <v>39</v>
      </c>
      <c r="G71" s="83" t="s">
        <v>1770</v>
      </c>
      <c r="J71" s="83" t="s">
        <v>303</v>
      </c>
      <c r="K71" s="83">
        <v>4000</v>
      </c>
      <c r="L71" s="83" t="s">
        <v>1829</v>
      </c>
      <c r="M71" s="83" t="s">
        <v>2605</v>
      </c>
      <c r="P71" s="83" t="s">
        <v>961</v>
      </c>
      <c r="Q71" s="126">
        <v>40645</v>
      </c>
    </row>
    <row r="72" spans="1:17" x14ac:dyDescent="0.2">
      <c r="A72" s="83" t="s">
        <v>12</v>
      </c>
      <c r="B72" s="126">
        <v>40557</v>
      </c>
      <c r="C72" s="83">
        <v>2011100041</v>
      </c>
      <c r="D72" s="127" t="s">
        <v>14</v>
      </c>
      <c r="E72" s="127" t="s">
        <v>13</v>
      </c>
      <c r="F72" s="83" t="s">
        <v>1771</v>
      </c>
      <c r="G72" s="83" t="s">
        <v>1772</v>
      </c>
      <c r="H72" s="133">
        <v>3267.94</v>
      </c>
      <c r="I72" s="128">
        <f>H72*0.18</f>
        <v>588.22919999999999</v>
      </c>
      <c r="K72" s="128">
        <f>+H72+I72</f>
        <v>3856.1692000000003</v>
      </c>
      <c r="L72" s="83" t="s">
        <v>1904</v>
      </c>
      <c r="P72" s="83" t="s">
        <v>961</v>
      </c>
      <c r="Q72" s="126">
        <v>40645</v>
      </c>
    </row>
    <row r="73" spans="1:17" x14ac:dyDescent="0.2">
      <c r="A73" s="83" t="s">
        <v>12</v>
      </c>
      <c r="B73" s="126">
        <v>40557</v>
      </c>
      <c r="C73" s="83">
        <v>2011100042</v>
      </c>
      <c r="D73" s="127" t="s">
        <v>14</v>
      </c>
      <c r="E73" s="127" t="s">
        <v>13</v>
      </c>
      <c r="F73" s="83" t="s">
        <v>1773</v>
      </c>
      <c r="G73" s="83" t="s">
        <v>1774</v>
      </c>
      <c r="H73" s="133">
        <v>6026.72</v>
      </c>
      <c r="I73" s="128">
        <f>H73*0.18</f>
        <v>1084.8096</v>
      </c>
      <c r="K73" s="128">
        <f>+H73+I73</f>
        <v>7111.5295999999998</v>
      </c>
      <c r="L73" s="83" t="s">
        <v>1904</v>
      </c>
      <c r="P73" s="83" t="s">
        <v>961</v>
      </c>
      <c r="Q73" s="126">
        <v>40645</v>
      </c>
    </row>
    <row r="74" spans="1:17" x14ac:dyDescent="0.2">
      <c r="A74" s="83" t="s">
        <v>12</v>
      </c>
      <c r="B74" s="126">
        <v>40557</v>
      </c>
      <c r="C74" s="83">
        <v>2011100043</v>
      </c>
      <c r="D74" s="127" t="s">
        <v>14</v>
      </c>
      <c r="E74" s="127" t="s">
        <v>13</v>
      </c>
      <c r="F74" s="83" t="s">
        <v>65</v>
      </c>
      <c r="G74" s="83" t="s">
        <v>1776</v>
      </c>
      <c r="H74" s="133">
        <v>2203.39</v>
      </c>
      <c r="I74" s="128">
        <f>H74*0.18</f>
        <v>396.61019999999996</v>
      </c>
      <c r="K74" s="128">
        <f>+H74+I74</f>
        <v>2600.0001999999999</v>
      </c>
      <c r="L74" s="83" t="s">
        <v>2709</v>
      </c>
      <c r="P74" s="83" t="s">
        <v>961</v>
      </c>
      <c r="Q74" s="126">
        <v>40645</v>
      </c>
    </row>
    <row r="75" spans="1:17" x14ac:dyDescent="0.2">
      <c r="A75" s="83" t="s">
        <v>12</v>
      </c>
      <c r="B75" s="126">
        <v>40557</v>
      </c>
      <c r="C75" s="83">
        <v>2011100044</v>
      </c>
      <c r="D75" s="127" t="s">
        <v>14</v>
      </c>
      <c r="E75" s="127" t="s">
        <v>13</v>
      </c>
      <c r="F75" s="83" t="s">
        <v>1778</v>
      </c>
      <c r="G75" s="83" t="s">
        <v>1777</v>
      </c>
      <c r="H75" s="133">
        <v>3416.47</v>
      </c>
      <c r="I75" s="128">
        <f>H75*0.18</f>
        <v>614.9645999999999</v>
      </c>
      <c r="K75" s="128">
        <f>+H75+I75</f>
        <v>4031.4345999999996</v>
      </c>
      <c r="L75" s="83" t="s">
        <v>1904</v>
      </c>
      <c r="P75" s="83" t="s">
        <v>961</v>
      </c>
      <c r="Q75" s="126">
        <v>40645</v>
      </c>
    </row>
    <row r="76" spans="1:17" x14ac:dyDescent="0.2">
      <c r="A76" s="83" t="s">
        <v>12</v>
      </c>
      <c r="B76" s="126">
        <v>40557</v>
      </c>
      <c r="C76" s="83">
        <v>2011100045</v>
      </c>
      <c r="D76" s="127" t="s">
        <v>14</v>
      </c>
      <c r="E76" s="127" t="s">
        <v>13</v>
      </c>
      <c r="F76" s="83" t="s">
        <v>78</v>
      </c>
      <c r="G76" s="83" t="s">
        <v>1779</v>
      </c>
      <c r="H76" s="133">
        <v>1668.34</v>
      </c>
      <c r="I76" s="128">
        <f>H76*0.18</f>
        <v>300.30119999999999</v>
      </c>
      <c r="K76" s="128">
        <f>+H76+I76</f>
        <v>1968.6412</v>
      </c>
      <c r="L76" s="83" t="s">
        <v>1904</v>
      </c>
      <c r="P76" s="83" t="s">
        <v>961</v>
      </c>
      <c r="Q76" s="126">
        <v>40645</v>
      </c>
    </row>
    <row r="77" spans="1:17" x14ac:dyDescent="0.2">
      <c r="A77" s="83" t="s">
        <v>12</v>
      </c>
      <c r="B77" s="126">
        <v>40633</v>
      </c>
      <c r="C77" s="83">
        <v>2011100514</v>
      </c>
      <c r="D77" s="127" t="s">
        <v>14</v>
      </c>
      <c r="E77" s="127" t="s">
        <v>13</v>
      </c>
      <c r="F77" s="83" t="s">
        <v>1358</v>
      </c>
      <c r="G77" s="83" t="s">
        <v>1780</v>
      </c>
      <c r="H77" s="133">
        <v>2796.61</v>
      </c>
      <c r="I77" s="128">
        <f t="shared" ref="I77:I87" si="6">H77*0.18</f>
        <v>503.38979999999998</v>
      </c>
      <c r="K77" s="128">
        <f t="shared" ref="K77:K87" si="7">+H77+I77</f>
        <v>3299.9998000000001</v>
      </c>
      <c r="L77" s="83" t="s">
        <v>1904</v>
      </c>
      <c r="P77" s="83" t="s">
        <v>961</v>
      </c>
      <c r="Q77" s="126">
        <v>40645</v>
      </c>
    </row>
    <row r="78" spans="1:17" x14ac:dyDescent="0.2">
      <c r="A78" s="83" t="s">
        <v>12</v>
      </c>
      <c r="B78" s="126">
        <v>40633</v>
      </c>
      <c r="C78" s="83">
        <v>2011100515</v>
      </c>
      <c r="D78" s="127" t="s">
        <v>14</v>
      </c>
      <c r="E78" s="127" t="s">
        <v>13</v>
      </c>
      <c r="F78" s="83" t="s">
        <v>61</v>
      </c>
      <c r="G78" s="83" t="s">
        <v>1781</v>
      </c>
      <c r="H78" s="133">
        <v>4098.72</v>
      </c>
      <c r="I78" s="128">
        <f t="shared" si="6"/>
        <v>737.76959999999997</v>
      </c>
      <c r="K78" s="128">
        <f t="shared" si="7"/>
        <v>4836.4895999999999</v>
      </c>
      <c r="L78" s="83" t="s">
        <v>1904</v>
      </c>
      <c r="P78" s="83" t="s">
        <v>961</v>
      </c>
      <c r="Q78" s="126">
        <v>40645</v>
      </c>
    </row>
    <row r="79" spans="1:17" x14ac:dyDescent="0.2">
      <c r="A79" s="83" t="s">
        <v>12</v>
      </c>
      <c r="B79" s="126">
        <v>40630</v>
      </c>
      <c r="C79" s="83">
        <v>2011100493</v>
      </c>
      <c r="D79" s="127" t="s">
        <v>14</v>
      </c>
      <c r="E79" s="127" t="s">
        <v>13</v>
      </c>
      <c r="F79" s="83" t="s">
        <v>1782</v>
      </c>
      <c r="G79" s="83" t="s">
        <v>1783</v>
      </c>
      <c r="H79" s="133">
        <v>1186.44</v>
      </c>
      <c r="I79" s="128">
        <f t="shared" si="6"/>
        <v>213.5592</v>
      </c>
      <c r="K79" s="128">
        <f t="shared" si="7"/>
        <v>1399.9992</v>
      </c>
      <c r="L79" s="83" t="s">
        <v>1904</v>
      </c>
      <c r="P79" s="83" t="s">
        <v>961</v>
      </c>
      <c r="Q79" s="126">
        <v>40645</v>
      </c>
    </row>
    <row r="80" spans="1:17" x14ac:dyDescent="0.2">
      <c r="A80" s="83" t="s">
        <v>12</v>
      </c>
      <c r="B80" s="126">
        <v>40630</v>
      </c>
      <c r="C80" s="83">
        <v>2011100494</v>
      </c>
      <c r="D80" s="127" t="s">
        <v>14</v>
      </c>
      <c r="E80" s="127" t="s">
        <v>13</v>
      </c>
      <c r="F80" s="83" t="s">
        <v>1044</v>
      </c>
      <c r="G80" s="83" t="s">
        <v>1784</v>
      </c>
      <c r="H80" s="133">
        <v>4745.76</v>
      </c>
      <c r="I80" s="128">
        <f t="shared" si="6"/>
        <v>854.23680000000002</v>
      </c>
      <c r="K80" s="128">
        <f t="shared" si="7"/>
        <v>5599.9967999999999</v>
      </c>
      <c r="L80" s="83" t="s">
        <v>1904</v>
      </c>
      <c r="P80" s="83" t="s">
        <v>961</v>
      </c>
      <c r="Q80" s="126">
        <v>40645</v>
      </c>
    </row>
    <row r="81" spans="1:17" x14ac:dyDescent="0.2">
      <c r="A81" s="83" t="s">
        <v>12</v>
      </c>
      <c r="B81" s="126">
        <v>40630</v>
      </c>
      <c r="C81" s="83">
        <v>2011100495</v>
      </c>
      <c r="D81" s="127" t="s">
        <v>14</v>
      </c>
      <c r="E81" s="127" t="s">
        <v>13</v>
      </c>
      <c r="F81" s="83" t="s">
        <v>1785</v>
      </c>
      <c r="G81" s="83" t="s">
        <v>1786</v>
      </c>
      <c r="H81" s="133">
        <v>8144.31</v>
      </c>
      <c r="I81" s="128">
        <f t="shared" si="6"/>
        <v>1465.9757999999999</v>
      </c>
      <c r="K81" s="128">
        <f t="shared" si="7"/>
        <v>9610.2857999999997</v>
      </c>
      <c r="L81" s="83" t="s">
        <v>1904</v>
      </c>
      <c r="P81" s="83" t="s">
        <v>961</v>
      </c>
      <c r="Q81" s="126">
        <v>40645</v>
      </c>
    </row>
    <row r="82" spans="1:17" x14ac:dyDescent="0.2">
      <c r="A82" s="83" t="s">
        <v>12</v>
      </c>
      <c r="B82" s="126">
        <v>40630</v>
      </c>
      <c r="C82" s="83">
        <v>2011100496</v>
      </c>
      <c r="D82" s="127" t="s">
        <v>14</v>
      </c>
      <c r="E82" s="127" t="s">
        <v>13</v>
      </c>
      <c r="F82" s="83" t="s">
        <v>1787</v>
      </c>
      <c r="G82" s="83" t="s">
        <v>1788</v>
      </c>
      <c r="H82" s="133">
        <v>5932.2</v>
      </c>
      <c r="I82" s="128">
        <f t="shared" si="6"/>
        <v>1067.7959999999998</v>
      </c>
      <c r="K82" s="128">
        <f t="shared" si="7"/>
        <v>6999.9959999999992</v>
      </c>
      <c r="L82" s="83" t="s">
        <v>1904</v>
      </c>
      <c r="P82" s="83" t="s">
        <v>961</v>
      </c>
      <c r="Q82" s="126">
        <v>40645</v>
      </c>
    </row>
    <row r="83" spans="1:17" x14ac:dyDescent="0.2">
      <c r="A83" s="83" t="s">
        <v>12</v>
      </c>
      <c r="B83" s="126">
        <v>40625</v>
      </c>
      <c r="C83" s="83">
        <v>2011100468</v>
      </c>
      <c r="D83" s="127" t="s">
        <v>14</v>
      </c>
      <c r="E83" s="127" t="s">
        <v>13</v>
      </c>
      <c r="F83" s="83" t="s">
        <v>1789</v>
      </c>
      <c r="G83" s="83" t="s">
        <v>1790</v>
      </c>
      <c r="H83" s="133">
        <v>2542.37</v>
      </c>
      <c r="I83" s="128">
        <f t="shared" si="6"/>
        <v>457.62659999999994</v>
      </c>
      <c r="K83" s="128">
        <f t="shared" si="7"/>
        <v>2999.9965999999999</v>
      </c>
      <c r="L83" s="83" t="s">
        <v>1904</v>
      </c>
      <c r="P83" s="83" t="s">
        <v>961</v>
      </c>
      <c r="Q83" s="126">
        <v>40645</v>
      </c>
    </row>
    <row r="84" spans="1:17" x14ac:dyDescent="0.2">
      <c r="A84" s="83" t="s">
        <v>12</v>
      </c>
      <c r="B84" s="126">
        <v>40625</v>
      </c>
      <c r="C84" s="83">
        <v>2011100469</v>
      </c>
      <c r="D84" s="127" t="s">
        <v>14</v>
      </c>
      <c r="E84" s="127" t="s">
        <v>13</v>
      </c>
      <c r="F84" s="83" t="s">
        <v>1358</v>
      </c>
      <c r="G84" s="83" t="s">
        <v>1791</v>
      </c>
      <c r="H84" s="133">
        <v>2966.1</v>
      </c>
      <c r="I84" s="128">
        <f t="shared" si="6"/>
        <v>533.89799999999991</v>
      </c>
      <c r="K84" s="128">
        <f t="shared" si="7"/>
        <v>3499.9979999999996</v>
      </c>
      <c r="L84" s="83" t="s">
        <v>1904</v>
      </c>
      <c r="P84" s="83" t="s">
        <v>961</v>
      </c>
      <c r="Q84" s="126">
        <v>40645</v>
      </c>
    </row>
    <row r="85" spans="1:17" x14ac:dyDescent="0.2">
      <c r="A85" s="83" t="s">
        <v>12</v>
      </c>
      <c r="B85" s="126">
        <v>40625</v>
      </c>
      <c r="C85" s="83">
        <v>2011100470</v>
      </c>
      <c r="D85" s="127" t="s">
        <v>14</v>
      </c>
      <c r="E85" s="127" t="s">
        <v>13</v>
      </c>
      <c r="F85" s="83" t="s">
        <v>1669</v>
      </c>
      <c r="G85" s="83" t="s">
        <v>1792</v>
      </c>
      <c r="H85" s="83">
        <v>4490.79</v>
      </c>
      <c r="I85" s="128">
        <f t="shared" si="6"/>
        <v>808.34219999999993</v>
      </c>
      <c r="K85" s="128">
        <f t="shared" si="7"/>
        <v>5299.1322</v>
      </c>
      <c r="L85" s="83" t="s">
        <v>1904</v>
      </c>
      <c r="P85" s="83" t="s">
        <v>961</v>
      </c>
      <c r="Q85" s="126">
        <v>40645</v>
      </c>
    </row>
    <row r="86" spans="1:17" x14ac:dyDescent="0.2">
      <c r="A86" s="83" t="s">
        <v>12</v>
      </c>
      <c r="B86" s="126">
        <v>40625</v>
      </c>
      <c r="C86" s="83">
        <v>2011100471</v>
      </c>
      <c r="D86" s="127" t="s">
        <v>14</v>
      </c>
      <c r="E86" s="127" t="s">
        <v>13</v>
      </c>
      <c r="F86" s="83" t="s">
        <v>1868</v>
      </c>
      <c r="G86" s="83" t="s">
        <v>1793</v>
      </c>
      <c r="H86" s="133">
        <v>6779.66</v>
      </c>
      <c r="I86" s="128">
        <f t="shared" si="6"/>
        <v>1220.3388</v>
      </c>
      <c r="K86" s="128">
        <f t="shared" si="7"/>
        <v>7999.9987999999994</v>
      </c>
      <c r="L86" s="83" t="s">
        <v>1904</v>
      </c>
      <c r="P86" s="83" t="s">
        <v>961</v>
      </c>
      <c r="Q86" s="126">
        <v>40645</v>
      </c>
    </row>
    <row r="87" spans="1:17" x14ac:dyDescent="0.2">
      <c r="A87" s="83" t="s">
        <v>408</v>
      </c>
      <c r="B87" s="126">
        <v>40630</v>
      </c>
      <c r="C87" s="83" t="s">
        <v>1794</v>
      </c>
      <c r="D87" s="127" t="s">
        <v>1795</v>
      </c>
      <c r="E87" s="127" t="s">
        <v>1796</v>
      </c>
      <c r="F87" s="83" t="s">
        <v>1720</v>
      </c>
      <c r="G87" s="83" t="s">
        <v>1722</v>
      </c>
      <c r="H87" s="133">
        <v>5932.2</v>
      </c>
      <c r="I87" s="128">
        <f t="shared" si="6"/>
        <v>1067.7959999999998</v>
      </c>
      <c r="K87" s="128">
        <f t="shared" si="7"/>
        <v>6999.9959999999992</v>
      </c>
      <c r="L87" s="83" t="s">
        <v>1797</v>
      </c>
      <c r="M87" s="83" t="s">
        <v>2606</v>
      </c>
      <c r="P87" s="83" t="s">
        <v>961</v>
      </c>
      <c r="Q87" s="126">
        <v>40645</v>
      </c>
    </row>
    <row r="88" spans="1:17" x14ac:dyDescent="0.2">
      <c r="A88" s="83" t="s">
        <v>408</v>
      </c>
      <c r="B88" s="126">
        <v>40631</v>
      </c>
      <c r="C88" s="83" t="s">
        <v>1798</v>
      </c>
      <c r="D88" s="127" t="s">
        <v>1799</v>
      </c>
      <c r="E88" s="127" t="s">
        <v>1800</v>
      </c>
      <c r="F88" s="83" t="s">
        <v>70</v>
      </c>
      <c r="G88" s="83" t="s">
        <v>1801</v>
      </c>
      <c r="H88" s="128">
        <f>300/1.18</f>
        <v>254.23728813559325</v>
      </c>
      <c r="I88" s="128">
        <f>H88*0.18</f>
        <v>45.762711864406782</v>
      </c>
      <c r="K88" s="128">
        <f>+H88+I88</f>
        <v>300</v>
      </c>
      <c r="L88" s="83" t="s">
        <v>1824</v>
      </c>
      <c r="M88" s="83" t="s">
        <v>2620</v>
      </c>
      <c r="P88" s="83" t="s">
        <v>961</v>
      </c>
      <c r="Q88" s="126">
        <v>40645</v>
      </c>
    </row>
    <row r="89" spans="1:17" x14ac:dyDescent="0.2">
      <c r="A89" s="83" t="s">
        <v>408</v>
      </c>
      <c r="B89" s="126">
        <v>40623</v>
      </c>
      <c r="C89" s="83" t="s">
        <v>1802</v>
      </c>
      <c r="D89" s="127" t="s">
        <v>1803</v>
      </c>
      <c r="E89" s="127" t="s">
        <v>1804</v>
      </c>
      <c r="F89" s="83" t="s">
        <v>1358</v>
      </c>
      <c r="G89" s="83" t="s">
        <v>1365</v>
      </c>
      <c r="H89" s="133">
        <v>2966.1</v>
      </c>
      <c r="I89" s="128">
        <f t="shared" ref="I89:I99" si="8">H89*0.18</f>
        <v>533.89799999999991</v>
      </c>
      <c r="K89" s="128">
        <f t="shared" ref="K89:K99" si="9">+H89+I89</f>
        <v>3499.9979999999996</v>
      </c>
      <c r="L89" s="83" t="s">
        <v>1849</v>
      </c>
      <c r="M89" s="83" t="s">
        <v>2607</v>
      </c>
      <c r="P89" s="83" t="s">
        <v>961</v>
      </c>
      <c r="Q89" s="126">
        <v>40645</v>
      </c>
    </row>
    <row r="90" spans="1:17" x14ac:dyDescent="0.2">
      <c r="A90" s="83" t="s">
        <v>408</v>
      </c>
      <c r="B90" s="126">
        <v>40613</v>
      </c>
      <c r="C90" s="83" t="s">
        <v>1805</v>
      </c>
      <c r="D90" s="127" t="s">
        <v>1806</v>
      </c>
      <c r="E90" s="127" t="s">
        <v>1807</v>
      </c>
      <c r="F90" s="83" t="s">
        <v>1308</v>
      </c>
      <c r="G90" s="83" t="s">
        <v>1743</v>
      </c>
      <c r="H90" s="128">
        <f>8500/1.18</f>
        <v>7203.3898305084749</v>
      </c>
      <c r="I90" s="128">
        <f t="shared" si="8"/>
        <v>1296.6101694915255</v>
      </c>
      <c r="K90" s="128">
        <f t="shared" si="9"/>
        <v>8500</v>
      </c>
      <c r="L90" s="83" t="s">
        <v>1808</v>
      </c>
      <c r="M90" s="83" t="s">
        <v>2608</v>
      </c>
      <c r="P90" s="83" t="s">
        <v>961</v>
      </c>
      <c r="Q90" s="126">
        <v>40645</v>
      </c>
    </row>
    <row r="91" spans="1:17" x14ac:dyDescent="0.2">
      <c r="A91" s="83" t="s">
        <v>408</v>
      </c>
      <c r="B91" s="126">
        <v>40613</v>
      </c>
      <c r="C91" s="83" t="s">
        <v>1809</v>
      </c>
      <c r="D91" s="127" t="s">
        <v>1344</v>
      </c>
      <c r="E91" s="127" t="s">
        <v>525</v>
      </c>
      <c r="F91" s="83" t="s">
        <v>1771</v>
      </c>
      <c r="G91" s="83" t="s">
        <v>1772</v>
      </c>
      <c r="H91" s="128">
        <f>4500/1.18</f>
        <v>3813.5593220338983</v>
      </c>
      <c r="I91" s="128">
        <f t="shared" si="8"/>
        <v>686.4406779661017</v>
      </c>
      <c r="K91" s="128">
        <f t="shared" si="9"/>
        <v>4500</v>
      </c>
      <c r="L91" s="83" t="s">
        <v>1810</v>
      </c>
      <c r="M91" s="83" t="s">
        <v>2599</v>
      </c>
      <c r="P91" s="83" t="s">
        <v>961</v>
      </c>
      <c r="Q91" s="126">
        <v>40645</v>
      </c>
    </row>
    <row r="92" spans="1:17" x14ac:dyDescent="0.2">
      <c r="A92" s="83" t="s">
        <v>408</v>
      </c>
      <c r="B92" s="126">
        <v>40623</v>
      </c>
      <c r="C92" s="83" t="s">
        <v>1811</v>
      </c>
      <c r="D92" s="127" t="s">
        <v>1812</v>
      </c>
      <c r="E92" s="127" t="s">
        <v>1813</v>
      </c>
      <c r="F92" s="83" t="s">
        <v>70</v>
      </c>
      <c r="G92" s="83" t="s">
        <v>1472</v>
      </c>
      <c r="H92" s="128">
        <f>7000/1.18</f>
        <v>5932.203389830509</v>
      </c>
      <c r="I92" s="128">
        <f t="shared" si="8"/>
        <v>1067.7966101694915</v>
      </c>
      <c r="K92" s="128">
        <f t="shared" si="9"/>
        <v>7000</v>
      </c>
      <c r="L92" s="83" t="s">
        <v>1814</v>
      </c>
      <c r="M92" s="83" t="s">
        <v>2535</v>
      </c>
      <c r="P92" s="83" t="s">
        <v>961</v>
      </c>
      <c r="Q92" s="126">
        <v>40645</v>
      </c>
    </row>
    <row r="93" spans="1:17" x14ac:dyDescent="0.2">
      <c r="A93" s="83" t="s">
        <v>408</v>
      </c>
      <c r="B93" s="126">
        <v>40613</v>
      </c>
      <c r="C93" s="83" t="s">
        <v>1815</v>
      </c>
      <c r="D93" s="127" t="s">
        <v>1816</v>
      </c>
      <c r="E93" s="83" t="s">
        <v>2534</v>
      </c>
      <c r="F93" s="83" t="s">
        <v>1358</v>
      </c>
      <c r="G93" s="83" t="s">
        <v>1644</v>
      </c>
      <c r="H93" s="128">
        <f>3500/1.18</f>
        <v>2966.1016949152545</v>
      </c>
      <c r="I93" s="128">
        <f t="shared" si="8"/>
        <v>533.89830508474574</v>
      </c>
      <c r="K93" s="128">
        <f t="shared" si="9"/>
        <v>3500</v>
      </c>
      <c r="L93" s="83" t="s">
        <v>1817</v>
      </c>
      <c r="M93" s="83" t="s">
        <v>2543</v>
      </c>
      <c r="P93" s="83" t="s">
        <v>961</v>
      </c>
      <c r="Q93" s="126">
        <v>40645</v>
      </c>
    </row>
    <row r="94" spans="1:17" x14ac:dyDescent="0.2">
      <c r="A94" s="83" t="s">
        <v>408</v>
      </c>
      <c r="B94" s="126">
        <v>40627</v>
      </c>
      <c r="C94" s="83" t="s">
        <v>1818</v>
      </c>
      <c r="D94" s="127" t="s">
        <v>1819</v>
      </c>
      <c r="E94" s="127" t="s">
        <v>1820</v>
      </c>
      <c r="F94" s="83" t="s">
        <v>1044</v>
      </c>
      <c r="G94" s="83" t="s">
        <v>1039</v>
      </c>
      <c r="H94" s="128">
        <f>7000/1.18</f>
        <v>5932.203389830509</v>
      </c>
      <c r="I94" s="128">
        <f t="shared" si="8"/>
        <v>1067.7966101694915</v>
      </c>
      <c r="K94" s="128">
        <f t="shared" si="9"/>
        <v>7000</v>
      </c>
      <c r="L94" s="83" t="s">
        <v>1821</v>
      </c>
      <c r="M94" s="83" t="s">
        <v>2609</v>
      </c>
      <c r="P94" s="83" t="s">
        <v>961</v>
      </c>
      <c r="Q94" s="126">
        <v>40645</v>
      </c>
    </row>
    <row r="95" spans="1:17" x14ac:dyDescent="0.2">
      <c r="A95" s="83" t="s">
        <v>12</v>
      </c>
      <c r="B95" s="126">
        <v>40544</v>
      </c>
      <c r="C95" s="83" t="s">
        <v>1826</v>
      </c>
      <c r="D95" s="127" t="s">
        <v>1827</v>
      </c>
      <c r="E95" s="127" t="s">
        <v>1828</v>
      </c>
      <c r="F95" s="83" t="s">
        <v>70</v>
      </c>
      <c r="G95" s="83" t="s">
        <v>1801</v>
      </c>
      <c r="H95" s="128">
        <v>900</v>
      </c>
      <c r="I95" s="128">
        <f t="shared" si="8"/>
        <v>162</v>
      </c>
      <c r="J95" s="83" t="s">
        <v>1825</v>
      </c>
      <c r="K95" s="128">
        <f t="shared" si="9"/>
        <v>1062</v>
      </c>
      <c r="L95" s="83" t="s">
        <v>1904</v>
      </c>
      <c r="P95" s="83" t="s">
        <v>961</v>
      </c>
      <c r="Q95" s="126">
        <v>40645</v>
      </c>
    </row>
    <row r="96" spans="1:17" x14ac:dyDescent="0.2">
      <c r="A96" s="83" t="s">
        <v>12</v>
      </c>
      <c r="B96" s="126">
        <v>40544</v>
      </c>
      <c r="C96" s="83" t="s">
        <v>951</v>
      </c>
      <c r="D96" s="127" t="s">
        <v>1830</v>
      </c>
      <c r="E96" s="127" t="s">
        <v>1831</v>
      </c>
      <c r="F96" s="83" t="s">
        <v>39</v>
      </c>
      <c r="G96" s="83" t="s">
        <v>1770</v>
      </c>
      <c r="H96" s="128"/>
      <c r="I96" s="128">
        <f t="shared" si="8"/>
        <v>0</v>
      </c>
      <c r="J96" s="83" t="s">
        <v>303</v>
      </c>
      <c r="K96" s="128">
        <v>3500</v>
      </c>
      <c r="L96" s="83" t="s">
        <v>1904</v>
      </c>
      <c r="P96" s="83" t="s">
        <v>961</v>
      </c>
      <c r="Q96" s="126">
        <v>40645</v>
      </c>
    </row>
    <row r="97" spans="1:17" x14ac:dyDescent="0.2">
      <c r="A97" s="83" t="s">
        <v>408</v>
      </c>
      <c r="B97" s="126">
        <v>40602</v>
      </c>
      <c r="C97" s="83" t="s">
        <v>134</v>
      </c>
      <c r="D97" s="127" t="s">
        <v>1832</v>
      </c>
      <c r="E97" s="127" t="s">
        <v>1833</v>
      </c>
      <c r="F97" s="83" t="s">
        <v>65</v>
      </c>
      <c r="G97" s="83" t="s">
        <v>1531</v>
      </c>
      <c r="H97" s="128">
        <f>3600/1.18</f>
        <v>3050.8474576271187</v>
      </c>
      <c r="I97" s="128">
        <f t="shared" si="8"/>
        <v>549.15254237288138</v>
      </c>
      <c r="K97" s="128">
        <f t="shared" si="9"/>
        <v>3600</v>
      </c>
      <c r="L97" s="83" t="s">
        <v>1750</v>
      </c>
      <c r="M97" s="83" t="s">
        <v>2610</v>
      </c>
      <c r="P97" s="83" t="s">
        <v>961</v>
      </c>
      <c r="Q97" s="126">
        <v>40645</v>
      </c>
    </row>
    <row r="98" spans="1:17" x14ac:dyDescent="0.2">
      <c r="A98" s="83" t="s">
        <v>408</v>
      </c>
      <c r="B98" s="126">
        <v>40624</v>
      </c>
      <c r="C98" s="83" t="s">
        <v>135</v>
      </c>
      <c r="D98" s="127" t="s">
        <v>1834</v>
      </c>
      <c r="E98" s="127" t="s">
        <v>1835</v>
      </c>
      <c r="F98" s="83" t="s">
        <v>1358</v>
      </c>
      <c r="G98" s="83" t="s">
        <v>1643</v>
      </c>
      <c r="H98" s="128">
        <f>3900/1.18</f>
        <v>3305.0847457627119</v>
      </c>
      <c r="I98" s="128">
        <f t="shared" si="8"/>
        <v>594.91525423728808</v>
      </c>
      <c r="K98" s="128">
        <f t="shared" si="9"/>
        <v>3900</v>
      </c>
      <c r="L98" s="83" t="s">
        <v>1836</v>
      </c>
      <c r="M98" s="83" t="s">
        <v>2544</v>
      </c>
      <c r="P98" s="83" t="s">
        <v>961</v>
      </c>
      <c r="Q98" s="126">
        <v>40645</v>
      </c>
    </row>
    <row r="99" spans="1:17" x14ac:dyDescent="0.2">
      <c r="A99" s="83" t="s">
        <v>408</v>
      </c>
      <c r="B99" s="126">
        <v>40578</v>
      </c>
      <c r="C99" s="83" t="s">
        <v>136</v>
      </c>
      <c r="D99" s="127" t="s">
        <v>1837</v>
      </c>
      <c r="E99" s="127" t="s">
        <v>1838</v>
      </c>
      <c r="F99" s="83" t="s">
        <v>1342</v>
      </c>
      <c r="G99" s="83" t="s">
        <v>1594</v>
      </c>
      <c r="H99" s="128">
        <f>6500/1.18</f>
        <v>5508.4745762711864</v>
      </c>
      <c r="I99" s="128">
        <f t="shared" si="8"/>
        <v>991.52542372881351</v>
      </c>
      <c r="K99" s="128">
        <f t="shared" si="9"/>
        <v>6500</v>
      </c>
      <c r="L99" s="83" t="s">
        <v>1839</v>
      </c>
      <c r="M99" s="83" t="s">
        <v>2607</v>
      </c>
      <c r="P99" s="83" t="s">
        <v>961</v>
      </c>
      <c r="Q99" s="126">
        <v>40645</v>
      </c>
    </row>
    <row r="100" spans="1:17" x14ac:dyDescent="0.2">
      <c r="A100" s="83" t="s">
        <v>408</v>
      </c>
      <c r="B100" s="126">
        <v>40578</v>
      </c>
      <c r="C100" s="83" t="s">
        <v>137</v>
      </c>
      <c r="D100" s="127" t="s">
        <v>1837</v>
      </c>
      <c r="E100" s="127" t="s">
        <v>1838</v>
      </c>
      <c r="F100" s="83" t="s">
        <v>49</v>
      </c>
      <c r="G100" s="83" t="s">
        <v>1295</v>
      </c>
      <c r="H100" s="128">
        <f>4000/1.18</f>
        <v>3389.8305084745766</v>
      </c>
      <c r="I100" s="128">
        <f>H100*0.18</f>
        <v>610.16949152542372</v>
      </c>
      <c r="K100" s="128">
        <f>+H100+I100</f>
        <v>4000.0000000000005</v>
      </c>
      <c r="L100" s="83" t="s">
        <v>1840</v>
      </c>
      <c r="M100" s="83" t="s">
        <v>2607</v>
      </c>
      <c r="P100" s="83" t="s">
        <v>961</v>
      </c>
      <c r="Q100" s="126">
        <v>40645</v>
      </c>
    </row>
    <row r="101" spans="1:17" x14ac:dyDescent="0.2">
      <c r="A101" s="83" t="s">
        <v>408</v>
      </c>
      <c r="B101" s="126">
        <v>40623</v>
      </c>
      <c r="C101" s="83" t="s">
        <v>138</v>
      </c>
      <c r="D101" s="127" t="s">
        <v>1841</v>
      </c>
      <c r="E101" s="127" t="s">
        <v>1822</v>
      </c>
      <c r="F101" s="83" t="s">
        <v>1358</v>
      </c>
      <c r="G101" s="83" t="s">
        <v>1288</v>
      </c>
      <c r="H101" s="128">
        <f>2900/1.18</f>
        <v>2457.6271186440681</v>
      </c>
      <c r="I101" s="128">
        <f>H101*0.18</f>
        <v>442.37288135593224</v>
      </c>
      <c r="K101" s="128">
        <f>+H101+I101</f>
        <v>2900.0000000000005</v>
      </c>
      <c r="L101" s="83" t="s">
        <v>1823</v>
      </c>
      <c r="M101" s="83" t="s">
        <v>2620</v>
      </c>
      <c r="P101" s="83" t="s">
        <v>961</v>
      </c>
      <c r="Q101" s="126">
        <v>40645</v>
      </c>
    </row>
    <row r="102" spans="1:17" x14ac:dyDescent="0.2">
      <c r="A102" s="83" t="s">
        <v>408</v>
      </c>
      <c r="B102" s="126">
        <v>40626</v>
      </c>
      <c r="C102" s="83" t="s">
        <v>139</v>
      </c>
      <c r="D102" s="127" t="s">
        <v>1842</v>
      </c>
      <c r="E102" s="127" t="s">
        <v>1843</v>
      </c>
      <c r="F102" s="83" t="s">
        <v>1708</v>
      </c>
      <c r="G102" s="83" t="s">
        <v>1739</v>
      </c>
      <c r="H102" s="128">
        <f>3700/1.18</f>
        <v>3135.5932203389834</v>
      </c>
      <c r="I102" s="128">
        <f t="shared" ref="I102:I107" si="10">H102*0.18</f>
        <v>564.40677966101703</v>
      </c>
      <c r="K102" s="128">
        <f t="shared" ref="K102:K107" si="11">+H102+I102</f>
        <v>3700.0000000000005</v>
      </c>
      <c r="L102" s="83" t="s">
        <v>1808</v>
      </c>
      <c r="M102" s="83" t="s">
        <v>31</v>
      </c>
      <c r="P102" s="83" t="s">
        <v>961</v>
      </c>
      <c r="Q102" s="126">
        <v>40645</v>
      </c>
    </row>
    <row r="103" spans="1:17" x14ac:dyDescent="0.2">
      <c r="A103" s="83" t="s">
        <v>408</v>
      </c>
      <c r="B103" s="126">
        <v>40609</v>
      </c>
      <c r="C103" s="83" t="s">
        <v>140</v>
      </c>
      <c r="D103" s="127" t="s">
        <v>1703</v>
      </c>
      <c r="E103" s="127" t="s">
        <v>1704</v>
      </c>
      <c r="F103" s="83" t="s">
        <v>1044</v>
      </c>
      <c r="G103" s="83" t="s">
        <v>1486</v>
      </c>
      <c r="H103" s="128">
        <f>5100/1.18</f>
        <v>4322.0338983050851</v>
      </c>
      <c r="I103" s="128">
        <f t="shared" si="10"/>
        <v>777.96610169491532</v>
      </c>
      <c r="K103" s="128">
        <f t="shared" si="11"/>
        <v>5100</v>
      </c>
      <c r="L103" s="83" t="s">
        <v>1844</v>
      </c>
      <c r="M103" s="83" t="s">
        <v>2611</v>
      </c>
      <c r="P103" s="83" t="s">
        <v>961</v>
      </c>
      <c r="Q103" s="126">
        <v>40645</v>
      </c>
    </row>
    <row r="104" spans="1:17" x14ac:dyDescent="0.2">
      <c r="A104" s="83" t="s">
        <v>408</v>
      </c>
      <c r="B104" s="126">
        <v>40627</v>
      </c>
      <c r="C104" s="83" t="s">
        <v>141</v>
      </c>
      <c r="D104" s="127" t="s">
        <v>1845</v>
      </c>
      <c r="E104" s="127" t="s">
        <v>1846</v>
      </c>
      <c r="F104" s="83" t="s">
        <v>1848</v>
      </c>
      <c r="G104" s="83" t="s">
        <v>1847</v>
      </c>
      <c r="H104" s="83">
        <v>3940.68</v>
      </c>
      <c r="I104" s="128">
        <f t="shared" si="10"/>
        <v>709.3223999999999</v>
      </c>
      <c r="K104" s="128">
        <f t="shared" si="11"/>
        <v>4650.0023999999994</v>
      </c>
      <c r="L104" s="83" t="s">
        <v>1817</v>
      </c>
      <c r="M104" s="83" t="s">
        <v>2536</v>
      </c>
      <c r="P104" s="83" t="s">
        <v>961</v>
      </c>
      <c r="Q104" s="126">
        <v>40645</v>
      </c>
    </row>
    <row r="105" spans="1:17" x14ac:dyDescent="0.2">
      <c r="A105" s="83" t="s">
        <v>408</v>
      </c>
      <c r="B105" s="126">
        <v>40627</v>
      </c>
      <c r="C105" s="83" t="s">
        <v>142</v>
      </c>
      <c r="D105" s="127" t="s">
        <v>1845</v>
      </c>
      <c r="E105" s="127" t="s">
        <v>1846</v>
      </c>
      <c r="F105" s="83" t="s">
        <v>1848</v>
      </c>
      <c r="G105" s="83" t="s">
        <v>1737</v>
      </c>
      <c r="H105" s="83">
        <v>3940.68</v>
      </c>
      <c r="I105" s="128">
        <f t="shared" si="10"/>
        <v>709.3223999999999</v>
      </c>
      <c r="K105" s="128">
        <f t="shared" si="11"/>
        <v>4650.0023999999994</v>
      </c>
      <c r="L105" s="83" t="s">
        <v>1808</v>
      </c>
      <c r="M105" s="83" t="s">
        <v>2609</v>
      </c>
      <c r="P105" s="83" t="s">
        <v>961</v>
      </c>
      <c r="Q105" s="126">
        <v>40645</v>
      </c>
    </row>
    <row r="106" spans="1:17" x14ac:dyDescent="0.2">
      <c r="A106" s="83" t="s">
        <v>408</v>
      </c>
      <c r="B106" s="126">
        <v>40627</v>
      </c>
      <c r="C106" s="83" t="s">
        <v>143</v>
      </c>
      <c r="D106" s="127" t="s">
        <v>1845</v>
      </c>
      <c r="E106" s="127" t="s">
        <v>1846</v>
      </c>
      <c r="F106" s="83" t="s">
        <v>1647</v>
      </c>
      <c r="G106" s="83" t="s">
        <v>1648</v>
      </c>
      <c r="H106" s="83">
        <v>3940.68</v>
      </c>
      <c r="I106" s="128">
        <f t="shared" si="10"/>
        <v>709.3223999999999</v>
      </c>
      <c r="K106" s="128">
        <f t="shared" si="11"/>
        <v>4650.0023999999994</v>
      </c>
      <c r="L106" s="83" t="s">
        <v>1817</v>
      </c>
      <c r="M106" s="83" t="s">
        <v>2609</v>
      </c>
      <c r="P106" s="83" t="s">
        <v>961</v>
      </c>
      <c r="Q106" s="126">
        <v>40645</v>
      </c>
    </row>
    <row r="107" spans="1:17" x14ac:dyDescent="0.2">
      <c r="A107" s="83" t="s">
        <v>408</v>
      </c>
      <c r="B107" s="126">
        <v>40630</v>
      </c>
      <c r="C107" s="83" t="s">
        <v>1850</v>
      </c>
      <c r="D107" s="127" t="s">
        <v>1703</v>
      </c>
      <c r="E107" s="127" t="s">
        <v>1704</v>
      </c>
      <c r="F107" s="83" t="s">
        <v>968</v>
      </c>
      <c r="G107" s="83" t="s">
        <v>1851</v>
      </c>
      <c r="H107" s="128">
        <f>6300/1.18</f>
        <v>5338.9830508474579</v>
      </c>
      <c r="I107" s="128">
        <f t="shared" si="10"/>
        <v>961.01694915254234</v>
      </c>
      <c r="K107" s="128">
        <f t="shared" si="11"/>
        <v>6300</v>
      </c>
      <c r="L107" s="83" t="s">
        <v>1852</v>
      </c>
      <c r="M107" s="83" t="s">
        <v>31</v>
      </c>
      <c r="P107" s="83" t="s">
        <v>348</v>
      </c>
      <c r="Q107" s="126">
        <v>40712</v>
      </c>
    </row>
    <row r="108" spans="1:17" x14ac:dyDescent="0.2">
      <c r="A108" s="83" t="s">
        <v>408</v>
      </c>
      <c r="B108" s="126">
        <v>40639</v>
      </c>
      <c r="C108" s="83" t="s">
        <v>1853</v>
      </c>
      <c r="D108" s="127" t="s">
        <v>1854</v>
      </c>
      <c r="E108" s="127" t="s">
        <v>1855</v>
      </c>
      <c r="F108" s="83" t="s">
        <v>1049</v>
      </c>
      <c r="G108" s="83" t="s">
        <v>1856</v>
      </c>
      <c r="J108" s="83" t="s">
        <v>303</v>
      </c>
      <c r="K108" s="83">
        <v>9800</v>
      </c>
      <c r="L108" s="83" t="s">
        <v>1863</v>
      </c>
      <c r="M108" s="83" t="s">
        <v>2537</v>
      </c>
      <c r="P108" s="83" t="s">
        <v>348</v>
      </c>
      <c r="Q108" s="126">
        <v>40712</v>
      </c>
    </row>
    <row r="109" spans="1:17" x14ac:dyDescent="0.2">
      <c r="A109" s="83" t="s">
        <v>408</v>
      </c>
      <c r="B109" s="126">
        <v>40639</v>
      </c>
      <c r="C109" s="83" t="s">
        <v>1858</v>
      </c>
      <c r="D109" s="127" t="s">
        <v>1859</v>
      </c>
      <c r="E109" s="130" t="s">
        <v>1864</v>
      </c>
      <c r="F109" s="83" t="s">
        <v>61</v>
      </c>
      <c r="G109" s="83" t="s">
        <v>1301</v>
      </c>
      <c r="H109" s="128">
        <f>6900/1.18</f>
        <v>5847.4576271186443</v>
      </c>
      <c r="I109" s="128">
        <f>H109*0.18</f>
        <v>1052.542372881356</v>
      </c>
      <c r="K109" s="128">
        <f>+H109+I109</f>
        <v>6900</v>
      </c>
      <c r="L109" s="83" t="s">
        <v>1860</v>
      </c>
      <c r="M109" s="83" t="s">
        <v>2612</v>
      </c>
      <c r="P109" s="83" t="s">
        <v>348</v>
      </c>
      <c r="Q109" s="126">
        <v>40712</v>
      </c>
    </row>
    <row r="110" spans="1:17" x14ac:dyDescent="0.2">
      <c r="A110" s="83" t="s">
        <v>12</v>
      </c>
      <c r="B110" s="126">
        <v>40591</v>
      </c>
      <c r="C110" s="83" t="s">
        <v>951</v>
      </c>
      <c r="D110" s="127" t="s">
        <v>1861</v>
      </c>
      <c r="E110" s="127" t="s">
        <v>1862</v>
      </c>
      <c r="F110" s="83" t="s">
        <v>1049</v>
      </c>
      <c r="G110" s="83" t="s">
        <v>1856</v>
      </c>
      <c r="K110" s="83">
        <v>7000</v>
      </c>
      <c r="L110" s="83" t="s">
        <v>1904</v>
      </c>
      <c r="P110" s="83" t="s">
        <v>348</v>
      </c>
      <c r="Q110" s="126">
        <v>40712</v>
      </c>
    </row>
    <row r="111" spans="1:17" x14ac:dyDescent="0.2">
      <c r="A111" s="83" t="s">
        <v>12</v>
      </c>
      <c r="B111" s="126">
        <v>40645</v>
      </c>
      <c r="C111" s="83">
        <v>62817</v>
      </c>
      <c r="D111" s="127" t="s">
        <v>1450</v>
      </c>
      <c r="E111" s="127" t="s">
        <v>115</v>
      </c>
      <c r="F111" s="83" t="s">
        <v>70</v>
      </c>
      <c r="G111" s="83" t="s">
        <v>1865</v>
      </c>
      <c r="H111" s="83">
        <v>4745.76</v>
      </c>
      <c r="I111" s="128">
        <f>H111*0.18</f>
        <v>854.23680000000002</v>
      </c>
      <c r="K111" s="128">
        <f>+H111+I111</f>
        <v>5599.9967999999999</v>
      </c>
      <c r="L111" s="83" t="s">
        <v>1904</v>
      </c>
      <c r="P111" s="83" t="s">
        <v>348</v>
      </c>
      <c r="Q111" s="126">
        <v>40712</v>
      </c>
    </row>
    <row r="112" spans="1:17" x14ac:dyDescent="0.2">
      <c r="A112" s="83" t="s">
        <v>12</v>
      </c>
      <c r="B112" s="126">
        <v>40645</v>
      </c>
      <c r="C112" s="83">
        <v>62833</v>
      </c>
      <c r="D112" s="127" t="s">
        <v>1450</v>
      </c>
      <c r="E112" s="127" t="s">
        <v>115</v>
      </c>
      <c r="F112" s="83" t="s">
        <v>65</v>
      </c>
      <c r="G112" s="83" t="s">
        <v>1866</v>
      </c>
      <c r="H112" s="83">
        <v>2542.37</v>
      </c>
      <c r="I112" s="128">
        <f>H112*0.18</f>
        <v>457.62659999999994</v>
      </c>
      <c r="K112" s="128">
        <f>+H112+I112</f>
        <v>2999.9965999999999</v>
      </c>
      <c r="L112" s="83" t="s">
        <v>1904</v>
      </c>
      <c r="P112" s="83" t="s">
        <v>348</v>
      </c>
      <c r="Q112" s="126">
        <v>40712</v>
      </c>
    </row>
    <row r="113" spans="1:17" x14ac:dyDescent="0.2">
      <c r="A113" s="83" t="s">
        <v>12</v>
      </c>
      <c r="B113" s="126">
        <v>40633</v>
      </c>
      <c r="C113" s="83">
        <v>108000049</v>
      </c>
      <c r="D113" s="127" t="s">
        <v>1845</v>
      </c>
      <c r="E113" s="127" t="s">
        <v>1846</v>
      </c>
      <c r="F113" s="83" t="s">
        <v>1536</v>
      </c>
      <c r="G113" s="83" t="s">
        <v>1867</v>
      </c>
      <c r="H113" s="83">
        <v>1694.92</v>
      </c>
      <c r="I113" s="128">
        <f t="shared" ref="I113:I126" si="12">H113*0.18</f>
        <v>305.0856</v>
      </c>
      <c r="K113" s="128">
        <f t="shared" ref="K113:K126" si="13">+H113+I113</f>
        <v>2000.0056</v>
      </c>
      <c r="L113" s="83" t="s">
        <v>1904</v>
      </c>
      <c r="P113" s="83" t="s">
        <v>348</v>
      </c>
      <c r="Q113" s="126">
        <v>40712</v>
      </c>
    </row>
    <row r="114" spans="1:17" x14ac:dyDescent="0.2">
      <c r="A114" s="83" t="s">
        <v>12</v>
      </c>
      <c r="B114" s="126">
        <v>40658</v>
      </c>
      <c r="C114" s="83">
        <v>2011100643</v>
      </c>
      <c r="D114" s="127" t="s">
        <v>14</v>
      </c>
      <c r="E114" s="127" t="s">
        <v>13</v>
      </c>
      <c r="F114" s="83" t="s">
        <v>70</v>
      </c>
      <c r="G114" s="83" t="s">
        <v>1869</v>
      </c>
      <c r="H114" s="133">
        <v>4050.39</v>
      </c>
      <c r="I114" s="128">
        <f t="shared" si="12"/>
        <v>729.0702</v>
      </c>
      <c r="K114" s="128">
        <f t="shared" si="13"/>
        <v>4779.4601999999995</v>
      </c>
      <c r="L114" s="83" t="s">
        <v>1904</v>
      </c>
      <c r="P114" s="83" t="s">
        <v>348</v>
      </c>
      <c r="Q114" s="126">
        <v>40712</v>
      </c>
    </row>
    <row r="115" spans="1:17" x14ac:dyDescent="0.2">
      <c r="A115" s="83" t="s">
        <v>12</v>
      </c>
      <c r="B115" s="126">
        <v>40658</v>
      </c>
      <c r="C115" s="83">
        <v>2011100644</v>
      </c>
      <c r="D115" s="127" t="s">
        <v>14</v>
      </c>
      <c r="E115" s="127" t="s">
        <v>13</v>
      </c>
      <c r="F115" s="83" t="s">
        <v>965</v>
      </c>
      <c r="G115" s="83" t="s">
        <v>1870</v>
      </c>
      <c r="H115" s="133">
        <v>4152.54</v>
      </c>
      <c r="I115" s="128">
        <f t="shared" si="12"/>
        <v>747.45719999999994</v>
      </c>
      <c r="K115" s="128">
        <f t="shared" si="13"/>
        <v>4899.9971999999998</v>
      </c>
      <c r="L115" s="83" t="s">
        <v>2507</v>
      </c>
      <c r="P115" s="83" t="s">
        <v>348</v>
      </c>
      <c r="Q115" s="126">
        <v>40712</v>
      </c>
    </row>
    <row r="116" spans="1:17" x14ac:dyDescent="0.2">
      <c r="A116" s="83" t="s">
        <v>12</v>
      </c>
      <c r="B116" s="126">
        <v>40658</v>
      </c>
      <c r="C116" s="83">
        <v>2011100645</v>
      </c>
      <c r="D116" s="127" t="s">
        <v>14</v>
      </c>
      <c r="E116" s="127" t="s">
        <v>13</v>
      </c>
      <c r="F116" s="83" t="s">
        <v>1308</v>
      </c>
      <c r="G116" s="83" t="s">
        <v>1871</v>
      </c>
      <c r="H116" s="133">
        <v>4761.8100000000004</v>
      </c>
      <c r="I116" s="128">
        <f t="shared" si="12"/>
        <v>857.12580000000003</v>
      </c>
      <c r="K116" s="128">
        <f t="shared" si="13"/>
        <v>5618.9358000000002</v>
      </c>
      <c r="L116" s="83" t="s">
        <v>2709</v>
      </c>
      <c r="P116" s="83" t="s">
        <v>348</v>
      </c>
      <c r="Q116" s="126">
        <v>40712</v>
      </c>
    </row>
    <row r="117" spans="1:17" x14ac:dyDescent="0.2">
      <c r="A117" s="83" t="s">
        <v>12</v>
      </c>
      <c r="B117" s="126">
        <v>40630</v>
      </c>
      <c r="C117" s="83">
        <v>2011200007</v>
      </c>
      <c r="D117" s="127" t="s">
        <v>14</v>
      </c>
      <c r="E117" s="127" t="s">
        <v>13</v>
      </c>
      <c r="F117" s="83" t="s">
        <v>1785</v>
      </c>
      <c r="G117" s="83" t="s">
        <v>1786</v>
      </c>
      <c r="H117" s="133">
        <v>-2542.37</v>
      </c>
      <c r="I117" s="128">
        <f t="shared" si="12"/>
        <v>-457.62659999999994</v>
      </c>
      <c r="K117" s="128">
        <f t="shared" si="13"/>
        <v>-2999.9965999999999</v>
      </c>
      <c r="L117" s="83" t="s">
        <v>1904</v>
      </c>
      <c r="P117" s="83" t="s">
        <v>348</v>
      </c>
      <c r="Q117" s="126">
        <v>40712</v>
      </c>
    </row>
    <row r="118" spans="1:17" x14ac:dyDescent="0.2">
      <c r="A118" s="83" t="s">
        <v>12</v>
      </c>
      <c r="B118" s="126">
        <v>40669</v>
      </c>
      <c r="C118" s="83">
        <v>2011100601</v>
      </c>
      <c r="D118" s="127" t="s">
        <v>14</v>
      </c>
      <c r="E118" s="127" t="s">
        <v>13</v>
      </c>
      <c r="F118" s="83" t="s">
        <v>1872</v>
      </c>
      <c r="G118" s="83" t="s">
        <v>1873</v>
      </c>
      <c r="H118" s="133">
        <v>5596.17</v>
      </c>
      <c r="I118" s="128">
        <f t="shared" si="12"/>
        <v>1007.3106</v>
      </c>
      <c r="K118" s="128">
        <f t="shared" si="13"/>
        <v>6603.4805999999999</v>
      </c>
      <c r="L118" s="83" t="s">
        <v>1904</v>
      </c>
      <c r="P118" s="83" t="s">
        <v>348</v>
      </c>
      <c r="Q118" s="126">
        <v>40712</v>
      </c>
    </row>
    <row r="119" spans="1:17" x14ac:dyDescent="0.2">
      <c r="A119" s="83" t="s">
        <v>12</v>
      </c>
      <c r="B119" s="126">
        <v>40669</v>
      </c>
      <c r="C119" s="83">
        <v>2011100602</v>
      </c>
      <c r="D119" s="127" t="s">
        <v>14</v>
      </c>
      <c r="E119" s="127" t="s">
        <v>13</v>
      </c>
      <c r="F119" s="83" t="s">
        <v>51</v>
      </c>
      <c r="G119" s="83" t="s">
        <v>1874</v>
      </c>
      <c r="H119" s="133">
        <v>7331.47</v>
      </c>
      <c r="I119" s="128">
        <f t="shared" si="12"/>
        <v>1319.6646000000001</v>
      </c>
      <c r="K119" s="128">
        <f t="shared" si="13"/>
        <v>8651.1346000000012</v>
      </c>
      <c r="L119" s="83" t="s">
        <v>2507</v>
      </c>
      <c r="P119" s="83" t="s">
        <v>348</v>
      </c>
      <c r="Q119" s="126">
        <v>40712</v>
      </c>
    </row>
    <row r="120" spans="1:17" x14ac:dyDescent="0.2">
      <c r="A120" s="83" t="s">
        <v>12</v>
      </c>
      <c r="B120" s="126">
        <v>40665</v>
      </c>
      <c r="C120" s="84">
        <v>2011100574</v>
      </c>
      <c r="D120" s="127" t="s">
        <v>14</v>
      </c>
      <c r="E120" s="127" t="s">
        <v>13</v>
      </c>
      <c r="F120" s="83" t="s">
        <v>1584</v>
      </c>
      <c r="G120" s="83" t="s">
        <v>1875</v>
      </c>
      <c r="H120" s="133">
        <v>2682.29</v>
      </c>
      <c r="I120" s="128">
        <f t="shared" si="12"/>
        <v>482.81219999999996</v>
      </c>
      <c r="K120" s="128">
        <f t="shared" si="13"/>
        <v>3165.1021999999998</v>
      </c>
      <c r="L120" s="83" t="s">
        <v>1904</v>
      </c>
      <c r="P120" s="83" t="s">
        <v>348</v>
      </c>
      <c r="Q120" s="126">
        <v>40712</v>
      </c>
    </row>
    <row r="121" spans="1:17" x14ac:dyDescent="0.2">
      <c r="A121" s="83" t="s">
        <v>12</v>
      </c>
      <c r="B121" s="126">
        <v>40665</v>
      </c>
      <c r="C121" s="84">
        <v>2011100575</v>
      </c>
      <c r="D121" s="127" t="s">
        <v>14</v>
      </c>
      <c r="E121" s="127" t="s">
        <v>13</v>
      </c>
      <c r="F121" s="83" t="s">
        <v>1536</v>
      </c>
      <c r="G121" s="83" t="s">
        <v>1876</v>
      </c>
      <c r="H121" s="133">
        <v>4848.46</v>
      </c>
      <c r="I121" s="128">
        <f t="shared" si="12"/>
        <v>872.72280000000001</v>
      </c>
      <c r="K121" s="128">
        <f t="shared" si="13"/>
        <v>5721.1828000000005</v>
      </c>
      <c r="L121" s="83" t="s">
        <v>1904</v>
      </c>
      <c r="P121" s="83" t="s">
        <v>348</v>
      </c>
      <c r="Q121" s="126">
        <v>40712</v>
      </c>
    </row>
    <row r="122" spans="1:17" x14ac:dyDescent="0.2">
      <c r="A122" s="83" t="s">
        <v>12</v>
      </c>
      <c r="B122" s="126">
        <v>40644</v>
      </c>
      <c r="C122" s="84">
        <v>2011100574</v>
      </c>
      <c r="D122" s="127" t="s">
        <v>14</v>
      </c>
      <c r="E122" s="127" t="s">
        <v>13</v>
      </c>
      <c r="F122" s="83" t="s">
        <v>49</v>
      </c>
      <c r="G122" s="83" t="s">
        <v>1877</v>
      </c>
      <c r="H122" s="133">
        <v>2542.37</v>
      </c>
      <c r="I122" s="128">
        <f t="shared" si="12"/>
        <v>457.62659999999994</v>
      </c>
      <c r="K122" s="128">
        <f t="shared" si="13"/>
        <v>2999.9965999999999</v>
      </c>
      <c r="L122" s="83" t="s">
        <v>1904</v>
      </c>
      <c r="P122" s="83" t="s">
        <v>348</v>
      </c>
      <c r="Q122" s="126">
        <v>40712</v>
      </c>
    </row>
    <row r="123" spans="1:17" x14ac:dyDescent="0.2">
      <c r="A123" s="83" t="s">
        <v>12</v>
      </c>
      <c r="B123" s="126">
        <v>40644</v>
      </c>
      <c r="C123" s="84">
        <v>2011100575</v>
      </c>
      <c r="D123" s="127" t="s">
        <v>14</v>
      </c>
      <c r="E123" s="127" t="s">
        <v>13</v>
      </c>
      <c r="F123" s="83" t="s">
        <v>1740</v>
      </c>
      <c r="G123" s="83" t="s">
        <v>1878</v>
      </c>
      <c r="H123" s="133">
        <v>6354.58</v>
      </c>
      <c r="I123" s="128">
        <f t="shared" si="12"/>
        <v>1143.8244</v>
      </c>
      <c r="K123" s="128">
        <f t="shared" si="13"/>
        <v>7498.4043999999994</v>
      </c>
      <c r="L123" s="83" t="s">
        <v>1904</v>
      </c>
      <c r="P123" s="83" t="s">
        <v>348</v>
      </c>
      <c r="Q123" s="126">
        <v>40712</v>
      </c>
    </row>
    <row r="124" spans="1:17" x14ac:dyDescent="0.2">
      <c r="A124" s="83" t="s">
        <v>12</v>
      </c>
      <c r="B124" s="126">
        <v>40644</v>
      </c>
      <c r="C124" s="84">
        <v>2011100576</v>
      </c>
      <c r="D124" s="127" t="s">
        <v>14</v>
      </c>
      <c r="E124" s="127" t="s">
        <v>13</v>
      </c>
      <c r="F124" s="83" t="s">
        <v>1879</v>
      </c>
      <c r="G124" s="83" t="s">
        <v>1880</v>
      </c>
      <c r="H124" s="133">
        <v>5932.2</v>
      </c>
      <c r="I124" s="128">
        <f t="shared" si="12"/>
        <v>1067.7959999999998</v>
      </c>
      <c r="K124" s="128">
        <f t="shared" si="13"/>
        <v>6999.9959999999992</v>
      </c>
      <c r="L124" s="83" t="s">
        <v>1904</v>
      </c>
      <c r="P124" s="83" t="s">
        <v>348</v>
      </c>
      <c r="Q124" s="126">
        <v>40712</v>
      </c>
    </row>
    <row r="125" spans="1:17" x14ac:dyDescent="0.2">
      <c r="A125" s="83" t="s">
        <v>408</v>
      </c>
      <c r="B125" s="126">
        <v>40658</v>
      </c>
      <c r="C125" s="83" t="s">
        <v>1881</v>
      </c>
      <c r="D125" s="127" t="s">
        <v>1882</v>
      </c>
      <c r="E125" s="127" t="s">
        <v>1883</v>
      </c>
      <c r="F125" s="83" t="s">
        <v>1669</v>
      </c>
      <c r="G125" s="83" t="s">
        <v>1792</v>
      </c>
      <c r="H125" s="133">
        <v>6355.93</v>
      </c>
      <c r="I125" s="128">
        <f t="shared" si="12"/>
        <v>1144.0673999999999</v>
      </c>
      <c r="K125" s="128">
        <f t="shared" si="13"/>
        <v>7499.9974000000002</v>
      </c>
      <c r="L125" s="83" t="s">
        <v>1884</v>
      </c>
      <c r="M125" s="83" t="s">
        <v>2613</v>
      </c>
      <c r="P125" s="83" t="s">
        <v>348</v>
      </c>
      <c r="Q125" s="126">
        <v>40712</v>
      </c>
    </row>
    <row r="126" spans="1:17" x14ac:dyDescent="0.2">
      <c r="A126" s="83" t="s">
        <v>408</v>
      </c>
      <c r="B126" s="126">
        <v>40653</v>
      </c>
      <c r="C126" s="83" t="s">
        <v>1887</v>
      </c>
      <c r="D126" s="127" t="s">
        <v>1885</v>
      </c>
      <c r="E126" s="127" t="s">
        <v>1886</v>
      </c>
      <c r="F126" s="83" t="s">
        <v>1358</v>
      </c>
      <c r="G126" s="83" t="s">
        <v>1645</v>
      </c>
      <c r="H126" s="133">
        <f>2900/1.18</f>
        <v>2457.6271186440681</v>
      </c>
      <c r="I126" s="128">
        <f t="shared" si="12"/>
        <v>442.37288135593224</v>
      </c>
      <c r="K126" s="128">
        <f t="shared" si="13"/>
        <v>2900.0000000000005</v>
      </c>
      <c r="L126" s="83" t="s">
        <v>1817</v>
      </c>
      <c r="M126" s="83" t="s">
        <v>2620</v>
      </c>
      <c r="P126" s="83" t="s">
        <v>348</v>
      </c>
      <c r="Q126" s="126">
        <v>40712</v>
      </c>
    </row>
    <row r="127" spans="1:17" x14ac:dyDescent="0.2">
      <c r="A127" s="83" t="s">
        <v>408</v>
      </c>
      <c r="B127" s="126">
        <v>40673</v>
      </c>
      <c r="C127" s="83" t="s">
        <v>146</v>
      </c>
      <c r="D127" s="127" t="s">
        <v>1837</v>
      </c>
      <c r="E127" s="127" t="s">
        <v>1838</v>
      </c>
      <c r="F127" s="83" t="s">
        <v>1012</v>
      </c>
      <c r="G127" s="83" t="s">
        <v>1735</v>
      </c>
      <c r="H127" s="133">
        <f>3600/1.18</f>
        <v>3050.8474576271187</v>
      </c>
      <c r="I127" s="128">
        <f t="shared" ref="I127:I133" si="14">H127*0.18</f>
        <v>549.15254237288138</v>
      </c>
      <c r="K127" s="128">
        <f t="shared" ref="K127:K133" si="15">+H127+I127</f>
        <v>3600</v>
      </c>
      <c r="L127" s="83" t="s">
        <v>1808</v>
      </c>
      <c r="M127" s="83" t="s">
        <v>2609</v>
      </c>
      <c r="P127" s="83" t="s">
        <v>348</v>
      </c>
      <c r="Q127" s="126">
        <v>40712</v>
      </c>
    </row>
    <row r="128" spans="1:17" x14ac:dyDescent="0.2">
      <c r="A128" s="83" t="s">
        <v>408</v>
      </c>
      <c r="B128" s="126">
        <v>40669</v>
      </c>
      <c r="C128" s="83" t="s">
        <v>147</v>
      </c>
      <c r="D128" s="127" t="s">
        <v>1888</v>
      </c>
      <c r="E128" s="127" t="s">
        <v>1889</v>
      </c>
      <c r="F128" s="83" t="s">
        <v>1308</v>
      </c>
      <c r="G128" s="83" t="s">
        <v>1744</v>
      </c>
      <c r="H128" s="133">
        <f>7900/1.18</f>
        <v>6694.9152542372885</v>
      </c>
      <c r="I128" s="128">
        <f t="shared" si="14"/>
        <v>1205.0847457627119</v>
      </c>
      <c r="K128" s="128">
        <f t="shared" si="15"/>
        <v>7900</v>
      </c>
      <c r="L128" s="83" t="s">
        <v>1808</v>
      </c>
      <c r="M128" s="83" t="s">
        <v>2538</v>
      </c>
      <c r="P128" s="83" t="s">
        <v>348</v>
      </c>
      <c r="Q128" s="126">
        <v>40712</v>
      </c>
    </row>
    <row r="129" spans="1:17" x14ac:dyDescent="0.2">
      <c r="A129" s="83" t="s">
        <v>408</v>
      </c>
      <c r="B129" s="126">
        <v>40658</v>
      </c>
      <c r="C129" s="83" t="s">
        <v>1890</v>
      </c>
      <c r="D129" s="127" t="s">
        <v>1891</v>
      </c>
      <c r="F129" s="83" t="s">
        <v>1012</v>
      </c>
      <c r="G129" s="83" t="s">
        <v>1257</v>
      </c>
      <c r="H129" s="133">
        <v>5300</v>
      </c>
      <c r="I129" s="128"/>
      <c r="K129" s="128">
        <f t="shared" si="15"/>
        <v>5300</v>
      </c>
      <c r="L129" s="83" t="s">
        <v>1892</v>
      </c>
      <c r="M129" s="83" t="s">
        <v>31</v>
      </c>
      <c r="P129" s="83" t="s">
        <v>348</v>
      </c>
      <c r="Q129" s="126">
        <v>40712</v>
      </c>
    </row>
    <row r="130" spans="1:17" x14ac:dyDescent="0.2">
      <c r="A130" s="83" t="s">
        <v>408</v>
      </c>
      <c r="B130" s="126">
        <v>40674</v>
      </c>
      <c r="C130" s="83" t="s">
        <v>1895</v>
      </c>
      <c r="D130" s="127" t="s">
        <v>1703</v>
      </c>
      <c r="E130" s="127" t="s">
        <v>1704</v>
      </c>
      <c r="F130" s="83" t="s">
        <v>49</v>
      </c>
      <c r="G130" s="83" t="s">
        <v>1528</v>
      </c>
      <c r="H130" s="133">
        <f>3000/1.18</f>
        <v>2542.3728813559323</v>
      </c>
      <c r="I130" s="128">
        <f t="shared" si="14"/>
        <v>457.62711864406782</v>
      </c>
      <c r="K130" s="128">
        <f t="shared" si="15"/>
        <v>3000</v>
      </c>
      <c r="L130" s="83" t="s">
        <v>1896</v>
      </c>
      <c r="M130" s="83" t="s">
        <v>31</v>
      </c>
      <c r="P130" s="83" t="s">
        <v>348</v>
      </c>
      <c r="Q130" s="126">
        <v>40712</v>
      </c>
    </row>
    <row r="131" spans="1:17" x14ac:dyDescent="0.2">
      <c r="A131" s="83" t="s">
        <v>408</v>
      </c>
      <c r="B131" s="126">
        <v>40634</v>
      </c>
      <c r="C131" s="83" t="s">
        <v>144</v>
      </c>
      <c r="D131" s="127" t="s">
        <v>1897</v>
      </c>
      <c r="E131" s="127" t="s">
        <v>1898</v>
      </c>
      <c r="F131" s="83" t="s">
        <v>49</v>
      </c>
      <c r="G131" s="83" t="s">
        <v>1899</v>
      </c>
      <c r="H131" s="133">
        <f>4200/1.18</f>
        <v>3559.3220338983051</v>
      </c>
      <c r="I131" s="128">
        <f t="shared" si="14"/>
        <v>640.67796610169489</v>
      </c>
      <c r="K131" s="128">
        <f t="shared" si="15"/>
        <v>4200</v>
      </c>
      <c r="L131" s="83" t="s">
        <v>1900</v>
      </c>
      <c r="M131" s="83" t="s">
        <v>31</v>
      </c>
      <c r="P131" s="83" t="s">
        <v>348</v>
      </c>
      <c r="Q131" s="126">
        <v>40712</v>
      </c>
    </row>
    <row r="132" spans="1:17" x14ac:dyDescent="0.2">
      <c r="A132" s="83" t="s">
        <v>408</v>
      </c>
      <c r="B132" s="126">
        <v>40648</v>
      </c>
      <c r="C132" s="83" t="s">
        <v>145</v>
      </c>
      <c r="D132" s="127" t="s">
        <v>1901</v>
      </c>
      <c r="E132" s="127" t="s">
        <v>1902</v>
      </c>
      <c r="F132" s="83" t="s">
        <v>49</v>
      </c>
      <c r="G132" s="83" t="s">
        <v>1525</v>
      </c>
      <c r="H132" s="133">
        <f>7000/1.18</f>
        <v>5932.203389830509</v>
      </c>
      <c r="I132" s="128">
        <f t="shared" si="14"/>
        <v>1067.7966101694915</v>
      </c>
      <c r="K132" s="128">
        <f t="shared" si="15"/>
        <v>7000</v>
      </c>
      <c r="L132" s="83" t="s">
        <v>1903</v>
      </c>
      <c r="M132" s="83" t="s">
        <v>2614</v>
      </c>
      <c r="P132" s="83" t="s">
        <v>348</v>
      </c>
      <c r="Q132" s="126">
        <v>40712</v>
      </c>
    </row>
    <row r="133" spans="1:17" x14ac:dyDescent="0.2">
      <c r="A133" s="83" t="s">
        <v>408</v>
      </c>
      <c r="B133" s="126">
        <v>40669</v>
      </c>
      <c r="C133" s="83" t="s">
        <v>148</v>
      </c>
      <c r="D133" s="127" t="s">
        <v>1757</v>
      </c>
      <c r="E133" s="127" t="s">
        <v>1758</v>
      </c>
      <c r="F133" s="83" t="s">
        <v>1868</v>
      </c>
      <c r="G133" s="83" t="s">
        <v>1793</v>
      </c>
      <c r="H133" s="133">
        <f>15500/1.18</f>
        <v>13135.593220338984</v>
      </c>
      <c r="I133" s="128">
        <f t="shared" si="14"/>
        <v>2364.406779661017</v>
      </c>
      <c r="K133" s="128">
        <f t="shared" si="15"/>
        <v>15500</v>
      </c>
      <c r="L133" s="83" t="s">
        <v>1884</v>
      </c>
      <c r="M133" s="83" t="s">
        <v>31</v>
      </c>
      <c r="P133" s="83" t="s">
        <v>348</v>
      </c>
      <c r="Q133" s="126">
        <v>40712</v>
      </c>
    </row>
    <row r="134" spans="1:17" x14ac:dyDescent="0.2">
      <c r="A134" s="83" t="s">
        <v>408</v>
      </c>
      <c r="B134" s="126">
        <v>40676</v>
      </c>
      <c r="C134" s="83" t="s">
        <v>149</v>
      </c>
      <c r="D134" s="127" t="s">
        <v>651</v>
      </c>
      <c r="E134" s="127" t="s">
        <v>652</v>
      </c>
      <c r="F134" s="83" t="s">
        <v>59</v>
      </c>
      <c r="G134" s="83" t="s">
        <v>1783</v>
      </c>
      <c r="H134" s="133">
        <f>2000/1.18</f>
        <v>1694.9152542372883</v>
      </c>
      <c r="I134" s="128">
        <f>H134*0.18</f>
        <v>305.08474576271186</v>
      </c>
      <c r="K134" s="128">
        <f>+H134+I134</f>
        <v>2000.0000000000002</v>
      </c>
      <c r="L134" s="83" t="s">
        <v>1905</v>
      </c>
      <c r="M134" s="83" t="s">
        <v>2620</v>
      </c>
      <c r="P134" s="83" t="s">
        <v>348</v>
      </c>
      <c r="Q134" s="126">
        <v>40712</v>
      </c>
    </row>
    <row r="135" spans="1:17" x14ac:dyDescent="0.2">
      <c r="A135" s="83" t="s">
        <v>408</v>
      </c>
      <c r="B135" s="126">
        <v>40680</v>
      </c>
      <c r="C135" s="83" t="s">
        <v>150</v>
      </c>
      <c r="D135" s="127" t="s">
        <v>1906</v>
      </c>
      <c r="E135" s="127" t="s">
        <v>1907</v>
      </c>
      <c r="F135" s="83" t="s">
        <v>1641</v>
      </c>
      <c r="G135" s="83" t="s">
        <v>1642</v>
      </c>
      <c r="H135" s="133">
        <f>12800/1.18</f>
        <v>10847.457627118645</v>
      </c>
      <c r="I135" s="128">
        <f>H135*0.18</f>
        <v>1952.542372881356</v>
      </c>
      <c r="K135" s="128">
        <f>+H135+I135</f>
        <v>12800.000000000002</v>
      </c>
      <c r="L135" s="83" t="s">
        <v>1817</v>
      </c>
      <c r="M135" s="83" t="s">
        <v>2539</v>
      </c>
      <c r="P135" s="83" t="s">
        <v>348</v>
      </c>
      <c r="Q135" s="126">
        <v>40712</v>
      </c>
    </row>
    <row r="136" spans="1:17" x14ac:dyDescent="0.2">
      <c r="A136" s="83" t="s">
        <v>408</v>
      </c>
      <c r="B136" s="126">
        <v>40693</v>
      </c>
      <c r="C136" s="83" t="s">
        <v>151</v>
      </c>
      <c r="D136" s="127" t="s">
        <v>1906</v>
      </c>
      <c r="E136" s="127" t="s">
        <v>1907</v>
      </c>
      <c r="F136" s="83" t="s">
        <v>1584</v>
      </c>
      <c r="G136" s="83" t="s">
        <v>1908</v>
      </c>
      <c r="H136" s="83">
        <v>5000</v>
      </c>
      <c r="K136" s="83">
        <v>5000</v>
      </c>
      <c r="L136" s="83" t="s">
        <v>1909</v>
      </c>
      <c r="M136" s="83" t="s">
        <v>2541</v>
      </c>
      <c r="P136" s="83" t="s">
        <v>348</v>
      </c>
      <c r="Q136" s="126">
        <v>40712</v>
      </c>
    </row>
    <row r="137" spans="1:17" x14ac:dyDescent="0.2">
      <c r="A137" s="83" t="s">
        <v>12</v>
      </c>
      <c r="B137" s="126">
        <v>40675</v>
      </c>
      <c r="C137" s="83">
        <v>2011100629</v>
      </c>
      <c r="D137" s="127" t="s">
        <v>14</v>
      </c>
      <c r="E137" s="127" t="s">
        <v>13</v>
      </c>
      <c r="F137" s="83" t="s">
        <v>1708</v>
      </c>
      <c r="G137" s="83" t="s">
        <v>1910</v>
      </c>
      <c r="H137" s="133">
        <v>2457.63</v>
      </c>
      <c r="I137" s="128">
        <f t="shared" ref="I137:I143" si="16">H137*0.18</f>
        <v>442.3734</v>
      </c>
      <c r="K137" s="128">
        <f t="shared" ref="K137:K143" si="17">+H137+I137</f>
        <v>2900.0034000000001</v>
      </c>
      <c r="P137" s="83" t="s">
        <v>348</v>
      </c>
      <c r="Q137" s="126">
        <v>40712</v>
      </c>
    </row>
    <row r="138" spans="1:17" x14ac:dyDescent="0.2">
      <c r="A138" s="83" t="s">
        <v>12</v>
      </c>
      <c r="B138" s="126">
        <v>40693</v>
      </c>
      <c r="C138" s="83">
        <v>2011100725</v>
      </c>
      <c r="D138" s="127" t="s">
        <v>14</v>
      </c>
      <c r="E138" s="127" t="s">
        <v>13</v>
      </c>
      <c r="F138" s="83" t="s">
        <v>1782</v>
      </c>
      <c r="G138" s="83" t="s">
        <v>1911</v>
      </c>
      <c r="H138" s="133">
        <v>1565.49</v>
      </c>
      <c r="I138" s="128">
        <f t="shared" si="16"/>
        <v>281.78820000000002</v>
      </c>
      <c r="K138" s="128">
        <f t="shared" si="17"/>
        <v>1847.2782</v>
      </c>
      <c r="L138" s="83" t="s">
        <v>1904</v>
      </c>
      <c r="P138" s="83" t="s">
        <v>348</v>
      </c>
      <c r="Q138" s="126">
        <v>40712</v>
      </c>
    </row>
    <row r="139" spans="1:17" x14ac:dyDescent="0.2">
      <c r="A139" s="83" t="s">
        <v>12</v>
      </c>
      <c r="B139" s="126">
        <v>40693</v>
      </c>
      <c r="C139" s="83">
        <v>2011100726</v>
      </c>
      <c r="D139" s="127" t="s">
        <v>14</v>
      </c>
      <c r="E139" s="127" t="s">
        <v>13</v>
      </c>
      <c r="F139" s="83" t="s">
        <v>44</v>
      </c>
      <c r="G139" s="83" t="s">
        <v>1912</v>
      </c>
      <c r="H139" s="133">
        <v>1627.53</v>
      </c>
      <c r="I139" s="128">
        <f t="shared" si="16"/>
        <v>292.9554</v>
      </c>
      <c r="K139" s="128">
        <f t="shared" si="17"/>
        <v>1920.4854</v>
      </c>
      <c r="L139" s="83" t="s">
        <v>1904</v>
      </c>
      <c r="P139" s="83" t="s">
        <v>348</v>
      </c>
      <c r="Q139" s="126">
        <v>40712</v>
      </c>
    </row>
    <row r="140" spans="1:17" x14ac:dyDescent="0.2">
      <c r="A140" s="83" t="s">
        <v>12</v>
      </c>
      <c r="B140" s="126">
        <v>40693</v>
      </c>
      <c r="C140" s="83">
        <v>2011100727</v>
      </c>
      <c r="D140" s="127" t="s">
        <v>14</v>
      </c>
      <c r="E140" s="127" t="s">
        <v>13</v>
      </c>
      <c r="F140" s="83" t="s">
        <v>1734</v>
      </c>
      <c r="G140" s="83" t="s">
        <v>1913</v>
      </c>
      <c r="H140" s="133">
        <v>2711.8649999999998</v>
      </c>
      <c r="I140" s="128">
        <f t="shared" si="16"/>
        <v>488.13569999999993</v>
      </c>
      <c r="K140" s="128">
        <f t="shared" si="17"/>
        <v>3200.0006999999996</v>
      </c>
      <c r="L140" s="83" t="s">
        <v>1904</v>
      </c>
      <c r="P140" s="83" t="s">
        <v>348</v>
      </c>
      <c r="Q140" s="126">
        <v>40712</v>
      </c>
    </row>
    <row r="141" spans="1:17" x14ac:dyDescent="0.2">
      <c r="A141" s="83" t="s">
        <v>12</v>
      </c>
      <c r="B141" s="126">
        <v>40693</v>
      </c>
      <c r="C141" s="83">
        <v>2011100728</v>
      </c>
      <c r="D141" s="127" t="s">
        <v>14</v>
      </c>
      <c r="E141" s="127" t="s">
        <v>13</v>
      </c>
      <c r="F141" s="83" t="s">
        <v>1734</v>
      </c>
      <c r="G141" s="83" t="s">
        <v>1914</v>
      </c>
      <c r="H141" s="133">
        <v>2542.37</v>
      </c>
      <c r="I141" s="128">
        <f t="shared" si="16"/>
        <v>457.62659999999994</v>
      </c>
      <c r="K141" s="128">
        <f t="shared" si="17"/>
        <v>2999.9965999999999</v>
      </c>
      <c r="L141" s="83" t="s">
        <v>1904</v>
      </c>
      <c r="P141" s="83" t="s">
        <v>348</v>
      </c>
      <c r="Q141" s="126">
        <v>40712</v>
      </c>
    </row>
    <row r="142" spans="1:17" x14ac:dyDescent="0.2">
      <c r="A142" s="83" t="s">
        <v>12</v>
      </c>
      <c r="B142" s="126">
        <v>40693</v>
      </c>
      <c r="C142" s="83">
        <v>2011100729</v>
      </c>
      <c r="D142" s="127" t="s">
        <v>14</v>
      </c>
      <c r="E142" s="127" t="s">
        <v>13</v>
      </c>
      <c r="F142" s="83" t="s">
        <v>1734</v>
      </c>
      <c r="G142" s="83" t="s">
        <v>1915</v>
      </c>
      <c r="H142" s="133">
        <v>2372.88</v>
      </c>
      <c r="I142" s="128">
        <f t="shared" si="16"/>
        <v>427.11840000000001</v>
      </c>
      <c r="K142" s="128">
        <f t="shared" si="17"/>
        <v>2799.9983999999999</v>
      </c>
      <c r="P142" s="83" t="s">
        <v>348</v>
      </c>
      <c r="Q142" s="126">
        <v>40712</v>
      </c>
    </row>
    <row r="143" spans="1:17" x14ac:dyDescent="0.2">
      <c r="A143" s="83" t="s">
        <v>12</v>
      </c>
      <c r="B143" s="126">
        <v>40693</v>
      </c>
      <c r="C143" s="83">
        <v>2011100730</v>
      </c>
      <c r="D143" s="127" t="s">
        <v>14</v>
      </c>
      <c r="E143" s="127" t="s">
        <v>13</v>
      </c>
      <c r="F143" s="83" t="s">
        <v>1916</v>
      </c>
      <c r="G143" s="83" t="s">
        <v>1917</v>
      </c>
      <c r="H143" s="133">
        <v>3635.7</v>
      </c>
      <c r="I143" s="128">
        <f t="shared" si="16"/>
        <v>654.42599999999993</v>
      </c>
      <c r="K143" s="128">
        <f t="shared" si="17"/>
        <v>4290.1260000000002</v>
      </c>
      <c r="L143" s="83" t="s">
        <v>1904</v>
      </c>
      <c r="P143" s="83" t="s">
        <v>348</v>
      </c>
      <c r="Q143" s="126">
        <v>40712</v>
      </c>
    </row>
    <row r="144" spans="1:17" x14ac:dyDescent="0.2">
      <c r="A144" s="83" t="s">
        <v>12</v>
      </c>
      <c r="B144" s="126">
        <v>40679</v>
      </c>
      <c r="C144" s="83" t="s">
        <v>951</v>
      </c>
      <c r="D144" s="127" t="s">
        <v>1918</v>
      </c>
      <c r="E144" s="127" t="s">
        <v>1919</v>
      </c>
      <c r="F144" s="83" t="s">
        <v>1920</v>
      </c>
      <c r="G144" s="83" t="s">
        <v>1921</v>
      </c>
      <c r="J144" s="83" t="s">
        <v>303</v>
      </c>
      <c r="K144" s="83">
        <v>4200</v>
      </c>
      <c r="L144" s="83" t="s">
        <v>2588</v>
      </c>
      <c r="P144" s="83" t="s">
        <v>348</v>
      </c>
      <c r="Q144" s="126">
        <v>40712</v>
      </c>
    </row>
    <row r="145" spans="1:17" x14ac:dyDescent="0.2">
      <c r="A145" s="83" t="s">
        <v>12</v>
      </c>
      <c r="B145" s="126">
        <v>40562</v>
      </c>
      <c r="C145" s="83" t="s">
        <v>951</v>
      </c>
      <c r="D145" s="127" t="s">
        <v>1922</v>
      </c>
      <c r="E145" s="127" t="s">
        <v>1923</v>
      </c>
      <c r="F145" s="83" t="s">
        <v>1924</v>
      </c>
      <c r="G145" s="83" t="s">
        <v>1908</v>
      </c>
      <c r="J145" s="83" t="s">
        <v>303</v>
      </c>
      <c r="K145" s="83">
        <v>4500</v>
      </c>
      <c r="L145" s="83" t="s">
        <v>1904</v>
      </c>
      <c r="P145" s="83" t="s">
        <v>348</v>
      </c>
      <c r="Q145" s="126">
        <v>40712</v>
      </c>
    </row>
    <row r="146" spans="1:17" x14ac:dyDescent="0.2">
      <c r="A146" s="83" t="s">
        <v>408</v>
      </c>
      <c r="B146" s="126">
        <v>40697</v>
      </c>
      <c r="C146" s="83" t="s">
        <v>152</v>
      </c>
      <c r="D146" s="127" t="s">
        <v>1925</v>
      </c>
      <c r="E146" s="127" t="s">
        <v>1926</v>
      </c>
      <c r="F146" s="83" t="s">
        <v>1789</v>
      </c>
      <c r="G146" s="83" t="s">
        <v>1790</v>
      </c>
      <c r="H146" s="133">
        <v>2796.61</v>
      </c>
      <c r="I146" s="128">
        <f>H146*0.18</f>
        <v>503.38979999999998</v>
      </c>
      <c r="K146" s="128">
        <f>+H146+I146</f>
        <v>3299.9998000000001</v>
      </c>
      <c r="L146" s="83" t="s">
        <v>1884</v>
      </c>
      <c r="M146" s="83" t="s">
        <v>31</v>
      </c>
      <c r="P146" s="83" t="s">
        <v>348</v>
      </c>
      <c r="Q146" s="126">
        <v>40712</v>
      </c>
    </row>
    <row r="147" spans="1:17" x14ac:dyDescent="0.2">
      <c r="A147" s="83" t="s">
        <v>408</v>
      </c>
      <c r="B147" s="126">
        <v>40697</v>
      </c>
      <c r="C147" s="83" t="s">
        <v>153</v>
      </c>
      <c r="D147" s="127" t="s">
        <v>1927</v>
      </c>
      <c r="E147" s="127" t="s">
        <v>1928</v>
      </c>
      <c r="F147" s="83" t="s">
        <v>1879</v>
      </c>
      <c r="G147" s="83" t="s">
        <v>1880</v>
      </c>
      <c r="H147" s="133">
        <v>6186.44</v>
      </c>
      <c r="I147" s="128">
        <f t="shared" ref="I147:I153" si="18">H147*0.18</f>
        <v>1113.5591999999999</v>
      </c>
      <c r="K147" s="128">
        <f t="shared" ref="K147:K153" si="19">+H147+I147</f>
        <v>7299.9991999999993</v>
      </c>
      <c r="L147" s="83" t="s">
        <v>1929</v>
      </c>
      <c r="M147" s="83" t="s">
        <v>2615</v>
      </c>
      <c r="P147" s="83" t="s">
        <v>348</v>
      </c>
      <c r="Q147" s="126">
        <v>40712</v>
      </c>
    </row>
    <row r="148" spans="1:17" x14ac:dyDescent="0.2">
      <c r="A148" s="83" t="s">
        <v>408</v>
      </c>
      <c r="B148" s="126">
        <v>40697</v>
      </c>
      <c r="C148" s="83" t="s">
        <v>154</v>
      </c>
      <c r="D148" s="127" t="s">
        <v>1930</v>
      </c>
      <c r="E148" s="127" t="s">
        <v>1931</v>
      </c>
      <c r="F148" s="83" t="s">
        <v>61</v>
      </c>
      <c r="G148" s="83" t="s">
        <v>1524</v>
      </c>
      <c r="H148" s="133">
        <v>6101.6949999999997</v>
      </c>
      <c r="I148" s="128">
        <f t="shared" si="18"/>
        <v>1098.3050999999998</v>
      </c>
      <c r="K148" s="128">
        <f t="shared" si="19"/>
        <v>7200.0000999999993</v>
      </c>
      <c r="L148" s="83" t="s">
        <v>1903</v>
      </c>
      <c r="M148" s="83" t="s">
        <v>2616</v>
      </c>
      <c r="P148" s="83" t="s">
        <v>348</v>
      </c>
      <c r="Q148" s="126">
        <v>40712</v>
      </c>
    </row>
    <row r="149" spans="1:17" x14ac:dyDescent="0.2">
      <c r="A149" s="83" t="s">
        <v>408</v>
      </c>
      <c r="B149" s="126">
        <v>40693</v>
      </c>
      <c r="C149" s="83" t="s">
        <v>155</v>
      </c>
      <c r="D149" s="127" t="s">
        <v>1932</v>
      </c>
      <c r="E149" s="127" t="s">
        <v>1893</v>
      </c>
      <c r="F149" s="83" t="s">
        <v>61</v>
      </c>
      <c r="G149" s="83" t="s">
        <v>1589</v>
      </c>
      <c r="H149" s="133">
        <v>4406.78</v>
      </c>
      <c r="I149" s="128">
        <f t="shared" si="18"/>
        <v>793.22039999999993</v>
      </c>
      <c r="K149" s="128">
        <f t="shared" si="19"/>
        <v>5200.0003999999999</v>
      </c>
      <c r="L149" s="83" t="s">
        <v>1894</v>
      </c>
      <c r="M149" s="83" t="s">
        <v>2609</v>
      </c>
      <c r="P149" s="83" t="s">
        <v>348</v>
      </c>
      <c r="Q149" s="126">
        <v>40712</v>
      </c>
    </row>
    <row r="150" spans="1:17" x14ac:dyDescent="0.2">
      <c r="A150" s="83" t="s">
        <v>408</v>
      </c>
      <c r="B150" s="126">
        <v>40704</v>
      </c>
      <c r="C150" s="83" t="s">
        <v>156</v>
      </c>
      <c r="D150" s="127" t="s">
        <v>1933</v>
      </c>
      <c r="E150" s="127" t="s">
        <v>1934</v>
      </c>
      <c r="F150" s="83" t="s">
        <v>1012</v>
      </c>
      <c r="G150" s="83" t="s">
        <v>1935</v>
      </c>
      <c r="H150" s="133">
        <v>2796.61</v>
      </c>
      <c r="I150" s="128">
        <f t="shared" si="18"/>
        <v>503.38979999999998</v>
      </c>
      <c r="K150" s="128">
        <f t="shared" si="19"/>
        <v>3299.9998000000001</v>
      </c>
      <c r="L150" s="83" t="s">
        <v>1936</v>
      </c>
      <c r="M150" s="83" t="s">
        <v>31</v>
      </c>
      <c r="P150" s="83" t="s">
        <v>348</v>
      </c>
      <c r="Q150" s="126">
        <v>40712</v>
      </c>
    </row>
    <row r="151" spans="1:17" x14ac:dyDescent="0.2">
      <c r="A151" s="83" t="s">
        <v>408</v>
      </c>
      <c r="B151" s="126">
        <v>40697</v>
      </c>
      <c r="C151" s="83" t="s">
        <v>157</v>
      </c>
      <c r="D151" s="127" t="s">
        <v>1937</v>
      </c>
      <c r="E151" s="127" t="s">
        <v>1938</v>
      </c>
      <c r="F151" s="83" t="s">
        <v>1536</v>
      </c>
      <c r="G151" s="83" t="s">
        <v>1876</v>
      </c>
      <c r="H151" s="133">
        <v>6779.66</v>
      </c>
      <c r="I151" s="128">
        <f t="shared" si="18"/>
        <v>1220.3388</v>
      </c>
      <c r="K151" s="128">
        <f t="shared" si="19"/>
        <v>7999.9987999999994</v>
      </c>
      <c r="L151" s="83" t="s">
        <v>1939</v>
      </c>
      <c r="M151" s="83" t="s">
        <v>2617</v>
      </c>
      <c r="P151" s="83" t="s">
        <v>348</v>
      </c>
      <c r="Q151" s="126">
        <v>40712</v>
      </c>
    </row>
    <row r="152" spans="1:17" s="134" customFormat="1" x14ac:dyDescent="0.2">
      <c r="A152" s="134" t="s">
        <v>408</v>
      </c>
      <c r="B152" s="135">
        <v>40702</v>
      </c>
      <c r="C152" s="134" t="s">
        <v>158</v>
      </c>
      <c r="D152" s="136" t="s">
        <v>1703</v>
      </c>
      <c r="E152" s="136" t="s">
        <v>1704</v>
      </c>
      <c r="F152" s="134" t="s">
        <v>1940</v>
      </c>
      <c r="G152" s="134" t="s">
        <v>1588</v>
      </c>
      <c r="H152" s="134">
        <v>2118.64</v>
      </c>
      <c r="I152" s="137">
        <f t="shared" si="18"/>
        <v>381.35519999999997</v>
      </c>
      <c r="K152" s="137">
        <f t="shared" si="19"/>
        <v>2499.9951999999998</v>
      </c>
      <c r="L152" s="134" t="s">
        <v>1894</v>
      </c>
      <c r="M152" s="83" t="s">
        <v>2620</v>
      </c>
      <c r="P152" s="134" t="s">
        <v>2071</v>
      </c>
      <c r="Q152" s="135">
        <v>40828</v>
      </c>
    </row>
    <row r="153" spans="1:17" x14ac:dyDescent="0.2">
      <c r="A153" s="83" t="s">
        <v>12</v>
      </c>
      <c r="B153" s="126">
        <v>40693</v>
      </c>
      <c r="C153" s="83" t="s">
        <v>1941</v>
      </c>
      <c r="D153" s="127" t="s">
        <v>1668</v>
      </c>
      <c r="E153" s="127" t="s">
        <v>233</v>
      </c>
      <c r="F153" s="83" t="s">
        <v>78</v>
      </c>
      <c r="G153" s="83" t="s">
        <v>1942</v>
      </c>
      <c r="H153" s="83">
        <v>1000</v>
      </c>
      <c r="I153" s="128">
        <f t="shared" si="18"/>
        <v>180</v>
      </c>
      <c r="K153" s="128">
        <f t="shared" si="19"/>
        <v>1180</v>
      </c>
      <c r="L153" s="83" t="s">
        <v>1904</v>
      </c>
      <c r="P153" s="83" t="s">
        <v>2071</v>
      </c>
      <c r="Q153" s="126">
        <v>40789</v>
      </c>
    </row>
    <row r="154" spans="1:17" x14ac:dyDescent="0.2">
      <c r="A154" s="83" t="s">
        <v>12</v>
      </c>
      <c r="B154" s="126">
        <v>40647</v>
      </c>
      <c r="C154" s="83">
        <v>12021374</v>
      </c>
      <c r="D154" s="127" t="s">
        <v>1943</v>
      </c>
      <c r="E154" s="127" t="s">
        <v>20</v>
      </c>
      <c r="F154" s="83" t="s">
        <v>1754</v>
      </c>
      <c r="G154" s="83" t="s">
        <v>1944</v>
      </c>
      <c r="I154" s="128"/>
      <c r="J154" s="83" t="s">
        <v>303</v>
      </c>
      <c r="K154" s="83">
        <v>5200</v>
      </c>
      <c r="L154" s="83" t="s">
        <v>1904</v>
      </c>
      <c r="P154" s="83" t="s">
        <v>2071</v>
      </c>
      <c r="Q154" s="126">
        <v>40789</v>
      </c>
    </row>
    <row r="155" spans="1:17" x14ac:dyDescent="0.2">
      <c r="A155" s="83" t="s">
        <v>12</v>
      </c>
      <c r="B155" s="126">
        <v>40716</v>
      </c>
      <c r="C155" s="83" t="s">
        <v>1945</v>
      </c>
      <c r="D155" s="127" t="s">
        <v>1946</v>
      </c>
      <c r="E155" s="127" t="s">
        <v>26</v>
      </c>
      <c r="F155" s="83" t="s">
        <v>965</v>
      </c>
      <c r="G155" s="83" t="s">
        <v>1947</v>
      </c>
      <c r="H155" s="83">
        <v>3813.56</v>
      </c>
      <c r="I155" s="128">
        <f>H155*0.18</f>
        <v>686.44079999999997</v>
      </c>
      <c r="K155" s="128">
        <f>+H155+I155</f>
        <v>4500.0007999999998</v>
      </c>
      <c r="L155" s="83" t="s">
        <v>1904</v>
      </c>
      <c r="P155" s="83" t="s">
        <v>2071</v>
      </c>
      <c r="Q155" s="126">
        <v>40789</v>
      </c>
    </row>
    <row r="156" spans="1:17" x14ac:dyDescent="0.2">
      <c r="A156" s="83" t="s">
        <v>12</v>
      </c>
      <c r="B156" s="126">
        <v>40678</v>
      </c>
      <c r="C156" s="83" t="s">
        <v>951</v>
      </c>
      <c r="D156" s="127" t="s">
        <v>1948</v>
      </c>
      <c r="E156" s="127" t="s">
        <v>1949</v>
      </c>
      <c r="F156" s="83" t="s">
        <v>70</v>
      </c>
      <c r="G156" s="83" t="s">
        <v>1264</v>
      </c>
      <c r="K156" s="83">
        <v>3600</v>
      </c>
      <c r="P156" s="83" t="s">
        <v>2071</v>
      </c>
      <c r="Q156" s="126">
        <v>40789</v>
      </c>
    </row>
    <row r="157" spans="1:17" x14ac:dyDescent="0.2">
      <c r="A157" s="83" t="s">
        <v>12</v>
      </c>
      <c r="B157" s="126">
        <v>40720</v>
      </c>
      <c r="C157" s="83" t="s">
        <v>951</v>
      </c>
      <c r="D157" s="127" t="s">
        <v>1950</v>
      </c>
      <c r="E157" s="127" t="s">
        <v>1951</v>
      </c>
      <c r="F157" s="83" t="s">
        <v>1012</v>
      </c>
      <c r="G157" s="83" t="s">
        <v>1257</v>
      </c>
      <c r="K157" s="83">
        <v>4100</v>
      </c>
      <c r="P157" s="83" t="s">
        <v>2071</v>
      </c>
      <c r="Q157" s="126">
        <v>40789</v>
      </c>
    </row>
    <row r="158" spans="1:17" x14ac:dyDescent="0.2">
      <c r="A158" s="83" t="s">
        <v>12</v>
      </c>
      <c r="B158" s="126">
        <v>40704</v>
      </c>
      <c r="C158" s="83">
        <v>106475</v>
      </c>
      <c r="D158" s="127" t="s">
        <v>1450</v>
      </c>
      <c r="E158" s="127" t="s">
        <v>115</v>
      </c>
      <c r="F158" s="83" t="s">
        <v>65</v>
      </c>
      <c r="G158" s="83" t="s">
        <v>1952</v>
      </c>
      <c r="H158" s="83">
        <v>1779.66</v>
      </c>
      <c r="I158" s="128">
        <f>H158*0.18</f>
        <v>320.33879999999999</v>
      </c>
      <c r="K158" s="128">
        <f>+H158+I158</f>
        <v>2099.9988000000003</v>
      </c>
      <c r="L158" s="83" t="s">
        <v>1904</v>
      </c>
      <c r="P158" s="83" t="s">
        <v>2071</v>
      </c>
      <c r="Q158" s="126">
        <v>40789</v>
      </c>
    </row>
    <row r="159" spans="1:17" x14ac:dyDescent="0.2">
      <c r="A159" s="83" t="s">
        <v>12</v>
      </c>
      <c r="B159" s="126">
        <v>40736</v>
      </c>
      <c r="C159" s="83">
        <v>124187</v>
      </c>
      <c r="D159" s="127" t="s">
        <v>1450</v>
      </c>
      <c r="E159" s="127" t="s">
        <v>115</v>
      </c>
      <c r="F159" s="83" t="s">
        <v>1771</v>
      </c>
      <c r="G159" s="83" t="s">
        <v>1953</v>
      </c>
      <c r="H159" s="83">
        <v>4322.03</v>
      </c>
      <c r="I159" s="128">
        <f t="shared" ref="I159:I178" si="20">H159*0.18</f>
        <v>777.96539999999993</v>
      </c>
      <c r="K159" s="128">
        <f t="shared" ref="K159:K178" si="21">+H159+I159</f>
        <v>5099.9953999999998</v>
      </c>
      <c r="L159" s="83" t="s">
        <v>2709</v>
      </c>
      <c r="P159" s="83" t="s">
        <v>2071</v>
      </c>
      <c r="Q159" s="126">
        <v>40789</v>
      </c>
    </row>
    <row r="160" spans="1:17" x14ac:dyDescent="0.2">
      <c r="A160" s="83" t="s">
        <v>12</v>
      </c>
      <c r="B160" s="126">
        <v>40743</v>
      </c>
      <c r="C160" s="83">
        <v>2011100988</v>
      </c>
      <c r="D160" s="127" t="s">
        <v>14</v>
      </c>
      <c r="E160" s="127" t="s">
        <v>13</v>
      </c>
      <c r="F160" s="83" t="s">
        <v>1954</v>
      </c>
      <c r="G160" s="83" t="s">
        <v>1955</v>
      </c>
      <c r="H160" s="133">
        <v>4346.54</v>
      </c>
      <c r="I160" s="128">
        <f t="shared" si="20"/>
        <v>782.37720000000002</v>
      </c>
      <c r="K160" s="128">
        <f t="shared" si="21"/>
        <v>5128.9171999999999</v>
      </c>
      <c r="L160" s="83" t="s">
        <v>1904</v>
      </c>
      <c r="P160" s="83" t="s">
        <v>2071</v>
      </c>
      <c r="Q160" s="126">
        <v>40789</v>
      </c>
    </row>
    <row r="161" spans="1:17" x14ac:dyDescent="0.2">
      <c r="A161" s="83" t="s">
        <v>12</v>
      </c>
      <c r="B161" s="126">
        <v>40743</v>
      </c>
      <c r="C161" s="83">
        <v>2011100989</v>
      </c>
      <c r="D161" s="127" t="s">
        <v>14</v>
      </c>
      <c r="E161" s="127" t="s">
        <v>13</v>
      </c>
      <c r="F161" s="83" t="s">
        <v>1956</v>
      </c>
      <c r="G161" s="83" t="s">
        <v>1957</v>
      </c>
      <c r="H161" s="133">
        <v>1156.42</v>
      </c>
      <c r="I161" s="128">
        <f t="shared" si="20"/>
        <v>208.15559999999999</v>
      </c>
      <c r="K161" s="128">
        <f t="shared" si="21"/>
        <v>1364.5756000000001</v>
      </c>
      <c r="L161" s="83" t="s">
        <v>1904</v>
      </c>
      <c r="P161" s="83" t="s">
        <v>2071</v>
      </c>
      <c r="Q161" s="126">
        <v>40789</v>
      </c>
    </row>
    <row r="162" spans="1:17" x14ac:dyDescent="0.2">
      <c r="A162" s="83" t="s">
        <v>12</v>
      </c>
      <c r="B162" s="126">
        <v>40743</v>
      </c>
      <c r="C162" s="83">
        <v>2011100990</v>
      </c>
      <c r="D162" s="127" t="s">
        <v>14</v>
      </c>
      <c r="E162" s="127" t="s">
        <v>13</v>
      </c>
      <c r="F162" s="83" t="s">
        <v>1734</v>
      </c>
      <c r="G162" s="83" t="s">
        <v>1958</v>
      </c>
      <c r="H162" s="133">
        <v>2033.9</v>
      </c>
      <c r="I162" s="128">
        <f t="shared" si="20"/>
        <v>366.10199999999998</v>
      </c>
      <c r="K162" s="128">
        <f t="shared" si="21"/>
        <v>2400.002</v>
      </c>
      <c r="L162" s="83" t="s">
        <v>1904</v>
      </c>
      <c r="P162" s="83" t="s">
        <v>2071</v>
      </c>
      <c r="Q162" s="126">
        <v>40789</v>
      </c>
    </row>
    <row r="163" spans="1:17" x14ac:dyDescent="0.2">
      <c r="A163" s="83" t="s">
        <v>12</v>
      </c>
      <c r="B163" s="126">
        <v>40743</v>
      </c>
      <c r="C163" s="83">
        <v>2011100991</v>
      </c>
      <c r="D163" s="127" t="s">
        <v>14</v>
      </c>
      <c r="E163" s="127" t="s">
        <v>13</v>
      </c>
      <c r="F163" s="83" t="s">
        <v>1959</v>
      </c>
      <c r="G163" s="83" t="s">
        <v>1960</v>
      </c>
      <c r="H163" s="133">
        <v>3389.83</v>
      </c>
      <c r="I163" s="128">
        <f t="shared" si="20"/>
        <v>610.1694</v>
      </c>
      <c r="K163" s="128">
        <f t="shared" si="21"/>
        <v>3999.9993999999997</v>
      </c>
      <c r="L163" s="83" t="s">
        <v>1904</v>
      </c>
      <c r="P163" s="83" t="s">
        <v>2071</v>
      </c>
      <c r="Q163" s="126">
        <v>40789</v>
      </c>
    </row>
    <row r="164" spans="1:17" x14ac:dyDescent="0.2">
      <c r="A164" s="83" t="s">
        <v>12</v>
      </c>
      <c r="B164" s="126">
        <v>40743</v>
      </c>
      <c r="C164" s="83">
        <v>2011100992</v>
      </c>
      <c r="D164" s="127" t="s">
        <v>14</v>
      </c>
      <c r="E164" s="127" t="s">
        <v>13</v>
      </c>
      <c r="F164" s="83" t="s">
        <v>1736</v>
      </c>
      <c r="G164" s="83" t="s">
        <v>1961</v>
      </c>
      <c r="H164" s="133">
        <v>3261.83</v>
      </c>
      <c r="I164" s="128">
        <f t="shared" si="20"/>
        <v>587.12939999999992</v>
      </c>
      <c r="K164" s="128">
        <f t="shared" si="21"/>
        <v>3848.9593999999997</v>
      </c>
      <c r="L164" s="83" t="s">
        <v>1904</v>
      </c>
      <c r="P164" s="83" t="s">
        <v>2071</v>
      </c>
      <c r="Q164" s="126">
        <v>40789</v>
      </c>
    </row>
    <row r="165" spans="1:17" x14ac:dyDescent="0.2">
      <c r="A165" s="83" t="s">
        <v>12</v>
      </c>
      <c r="B165" s="126">
        <v>40743</v>
      </c>
      <c r="C165" s="83">
        <v>2011100993</v>
      </c>
      <c r="D165" s="127" t="s">
        <v>14</v>
      </c>
      <c r="E165" s="127" t="s">
        <v>13</v>
      </c>
      <c r="F165" s="83" t="s">
        <v>1962</v>
      </c>
      <c r="G165" s="83" t="s">
        <v>1963</v>
      </c>
      <c r="H165" s="133">
        <v>10903.84</v>
      </c>
      <c r="I165" s="128">
        <f t="shared" si="20"/>
        <v>1962.6912</v>
      </c>
      <c r="K165" s="128">
        <f t="shared" si="21"/>
        <v>12866.531199999999</v>
      </c>
      <c r="L165" s="83" t="s">
        <v>1904</v>
      </c>
      <c r="P165" s="83" t="s">
        <v>2071</v>
      </c>
      <c r="Q165" s="126">
        <v>40789</v>
      </c>
    </row>
    <row r="166" spans="1:17" x14ac:dyDescent="0.2">
      <c r="A166" s="83" t="s">
        <v>12</v>
      </c>
      <c r="B166" s="126">
        <v>40743</v>
      </c>
      <c r="C166" s="83">
        <v>2011100994</v>
      </c>
      <c r="D166" s="127" t="s">
        <v>14</v>
      </c>
      <c r="E166" s="127" t="s">
        <v>13</v>
      </c>
      <c r="F166" s="83" t="s">
        <v>53</v>
      </c>
      <c r="G166" s="83" t="s">
        <v>1964</v>
      </c>
      <c r="H166" s="133">
        <v>2979.69</v>
      </c>
      <c r="I166" s="128">
        <f t="shared" si="20"/>
        <v>536.3442</v>
      </c>
      <c r="K166" s="128">
        <f t="shared" si="21"/>
        <v>3516.0342000000001</v>
      </c>
      <c r="L166" s="83" t="s">
        <v>2709</v>
      </c>
      <c r="P166" s="83" t="s">
        <v>2071</v>
      </c>
      <c r="Q166" s="126">
        <v>40789</v>
      </c>
    </row>
    <row r="167" spans="1:17" x14ac:dyDescent="0.2">
      <c r="A167" s="83" t="s">
        <v>12</v>
      </c>
      <c r="B167" s="126">
        <v>40743</v>
      </c>
      <c r="C167" s="83">
        <v>2011100995</v>
      </c>
      <c r="D167" s="127" t="s">
        <v>14</v>
      </c>
      <c r="E167" s="127" t="s">
        <v>13</v>
      </c>
      <c r="F167" s="83" t="s">
        <v>1342</v>
      </c>
      <c r="G167" s="83" t="s">
        <v>1965</v>
      </c>
      <c r="H167" s="133">
        <v>4459.2299999999996</v>
      </c>
      <c r="I167" s="128">
        <f t="shared" si="20"/>
        <v>802.66139999999984</v>
      </c>
      <c r="K167" s="128">
        <f t="shared" si="21"/>
        <v>5261.8913999999995</v>
      </c>
      <c r="L167" s="83" t="s">
        <v>2709</v>
      </c>
      <c r="P167" s="83" t="s">
        <v>2071</v>
      </c>
      <c r="Q167" s="126">
        <v>40789</v>
      </c>
    </row>
    <row r="168" spans="1:17" x14ac:dyDescent="0.2">
      <c r="A168" s="83" t="s">
        <v>12</v>
      </c>
      <c r="B168" s="126">
        <v>40736</v>
      </c>
      <c r="C168" s="83">
        <v>2011100964</v>
      </c>
      <c r="D168" s="127" t="s">
        <v>14</v>
      </c>
      <c r="E168" s="127" t="s">
        <v>13</v>
      </c>
      <c r="F168" s="83" t="s">
        <v>1966</v>
      </c>
      <c r="G168" s="83" t="s">
        <v>1967</v>
      </c>
      <c r="H168" s="133">
        <v>4974.6099999999997</v>
      </c>
      <c r="I168" s="128">
        <f t="shared" si="20"/>
        <v>895.42979999999989</v>
      </c>
      <c r="K168" s="128">
        <f t="shared" si="21"/>
        <v>5870.0397999999996</v>
      </c>
      <c r="L168" s="83" t="s">
        <v>1904</v>
      </c>
      <c r="P168" s="83" t="s">
        <v>2071</v>
      </c>
      <c r="Q168" s="126">
        <v>40789</v>
      </c>
    </row>
    <row r="169" spans="1:17" x14ac:dyDescent="0.2">
      <c r="A169" s="83" t="s">
        <v>12</v>
      </c>
      <c r="B169" s="126">
        <v>40736</v>
      </c>
      <c r="C169" s="83">
        <v>2011100963</v>
      </c>
      <c r="D169" s="127" t="s">
        <v>14</v>
      </c>
      <c r="E169" s="127" t="s">
        <v>13</v>
      </c>
      <c r="F169" s="83" t="s">
        <v>1647</v>
      </c>
      <c r="G169" s="83" t="s">
        <v>1968</v>
      </c>
      <c r="H169" s="133">
        <v>3001.51</v>
      </c>
      <c r="I169" s="128">
        <f t="shared" si="20"/>
        <v>540.27179999999998</v>
      </c>
      <c r="K169" s="128">
        <f t="shared" si="21"/>
        <v>3541.7818000000002</v>
      </c>
      <c r="L169" s="83" t="s">
        <v>2709</v>
      </c>
      <c r="P169" s="83" t="s">
        <v>2071</v>
      </c>
      <c r="Q169" s="126">
        <v>40789</v>
      </c>
    </row>
    <row r="170" spans="1:17" x14ac:dyDescent="0.2">
      <c r="A170" s="83" t="s">
        <v>12</v>
      </c>
      <c r="B170" s="126">
        <v>40729</v>
      </c>
      <c r="C170" s="83">
        <v>2011100926</v>
      </c>
      <c r="D170" s="127" t="s">
        <v>14</v>
      </c>
      <c r="E170" s="127" t="s">
        <v>13</v>
      </c>
      <c r="F170" s="83" t="s">
        <v>1357</v>
      </c>
      <c r="G170" s="83" t="s">
        <v>1969</v>
      </c>
      <c r="H170" s="133">
        <v>10169.49</v>
      </c>
      <c r="I170" s="128">
        <f t="shared" si="20"/>
        <v>1830.5082</v>
      </c>
      <c r="K170" s="128">
        <f t="shared" si="21"/>
        <v>11999.9982</v>
      </c>
      <c r="L170" s="83" t="s">
        <v>1904</v>
      </c>
      <c r="P170" s="83" t="s">
        <v>2071</v>
      </c>
      <c r="Q170" s="126">
        <v>40789</v>
      </c>
    </row>
    <row r="171" spans="1:17" x14ac:dyDescent="0.2">
      <c r="A171" s="83" t="s">
        <v>12</v>
      </c>
      <c r="B171" s="126">
        <v>40729</v>
      </c>
      <c r="C171" s="83">
        <v>2011100927</v>
      </c>
      <c r="D171" s="127" t="s">
        <v>14</v>
      </c>
      <c r="E171" s="127" t="s">
        <v>13</v>
      </c>
      <c r="F171" s="83" t="s">
        <v>1970</v>
      </c>
      <c r="G171" s="83" t="s">
        <v>1971</v>
      </c>
      <c r="H171" s="133">
        <v>5457.99</v>
      </c>
      <c r="I171" s="128">
        <f t="shared" si="20"/>
        <v>982.43819999999994</v>
      </c>
      <c r="K171" s="128">
        <f t="shared" si="21"/>
        <v>6440.4281999999994</v>
      </c>
      <c r="L171" s="83" t="s">
        <v>1904</v>
      </c>
      <c r="P171" s="83" t="s">
        <v>2071</v>
      </c>
      <c r="Q171" s="126">
        <v>40789</v>
      </c>
    </row>
    <row r="172" spans="1:17" x14ac:dyDescent="0.2">
      <c r="A172" s="83" t="s">
        <v>12</v>
      </c>
      <c r="B172" s="126">
        <v>40709</v>
      </c>
      <c r="C172" s="83">
        <v>2011100829</v>
      </c>
      <c r="D172" s="127" t="s">
        <v>14</v>
      </c>
      <c r="E172" s="127" t="s">
        <v>13</v>
      </c>
      <c r="F172" s="83" t="s">
        <v>1972</v>
      </c>
      <c r="G172" s="83" t="s">
        <v>1973</v>
      </c>
      <c r="H172" s="133">
        <v>10832.78</v>
      </c>
      <c r="I172" s="128">
        <f t="shared" si="20"/>
        <v>1949.9004</v>
      </c>
      <c r="K172" s="128">
        <f t="shared" si="21"/>
        <v>12782.680400000001</v>
      </c>
      <c r="L172" s="83" t="s">
        <v>1904</v>
      </c>
      <c r="P172" s="83" t="s">
        <v>2071</v>
      </c>
      <c r="Q172" s="126">
        <v>40789</v>
      </c>
    </row>
    <row r="173" spans="1:17" x14ac:dyDescent="0.2">
      <c r="A173" s="83" t="s">
        <v>12</v>
      </c>
      <c r="B173" s="126">
        <v>40709</v>
      </c>
      <c r="C173" s="83">
        <v>2011100830</v>
      </c>
      <c r="D173" s="127" t="s">
        <v>14</v>
      </c>
      <c r="E173" s="127" t="s">
        <v>13</v>
      </c>
      <c r="F173" s="83" t="s">
        <v>32</v>
      </c>
      <c r="G173" s="83" t="s">
        <v>1974</v>
      </c>
      <c r="H173" s="133">
        <v>1600.14</v>
      </c>
      <c r="I173" s="128">
        <f t="shared" si="20"/>
        <v>288.02519999999998</v>
      </c>
      <c r="K173" s="128">
        <f t="shared" si="21"/>
        <v>1888.1652000000001</v>
      </c>
      <c r="L173" s="83" t="s">
        <v>1904</v>
      </c>
      <c r="P173" s="83" t="s">
        <v>2071</v>
      </c>
      <c r="Q173" s="126">
        <v>40789</v>
      </c>
    </row>
    <row r="174" spans="1:17" x14ac:dyDescent="0.2">
      <c r="A174" s="83" t="s">
        <v>12</v>
      </c>
      <c r="B174" s="126">
        <v>40709</v>
      </c>
      <c r="C174" s="83">
        <v>2011100831</v>
      </c>
      <c r="D174" s="127" t="s">
        <v>14</v>
      </c>
      <c r="E174" s="127" t="s">
        <v>13</v>
      </c>
      <c r="F174" s="83" t="s">
        <v>1975</v>
      </c>
      <c r="G174" s="83" t="s">
        <v>1976</v>
      </c>
      <c r="H174" s="133">
        <v>3801.73</v>
      </c>
      <c r="I174" s="128">
        <f t="shared" si="20"/>
        <v>684.31139999999994</v>
      </c>
      <c r="K174" s="128">
        <f t="shared" si="21"/>
        <v>4486.0414000000001</v>
      </c>
      <c r="L174" s="83" t="s">
        <v>2709</v>
      </c>
      <c r="P174" s="83" t="s">
        <v>2071</v>
      </c>
      <c r="Q174" s="126">
        <v>40789</v>
      </c>
    </row>
    <row r="175" spans="1:17" x14ac:dyDescent="0.2">
      <c r="A175" s="83" t="s">
        <v>12</v>
      </c>
      <c r="B175" s="126">
        <v>40709</v>
      </c>
      <c r="C175" s="83">
        <v>2011100832</v>
      </c>
      <c r="D175" s="127" t="s">
        <v>14</v>
      </c>
      <c r="E175" s="127" t="s">
        <v>13</v>
      </c>
      <c r="F175" s="83" t="s">
        <v>1708</v>
      </c>
      <c r="G175" s="83" t="s">
        <v>1977</v>
      </c>
      <c r="H175" s="133">
        <v>1440.68</v>
      </c>
      <c r="I175" s="128">
        <f t="shared" si="20"/>
        <v>259.32240000000002</v>
      </c>
      <c r="K175" s="128">
        <f t="shared" si="21"/>
        <v>1700.0024000000001</v>
      </c>
      <c r="L175" s="83" t="s">
        <v>1904</v>
      </c>
      <c r="P175" s="83" t="s">
        <v>2071</v>
      </c>
      <c r="Q175" s="126">
        <v>40789</v>
      </c>
    </row>
    <row r="176" spans="1:17" x14ac:dyDescent="0.2">
      <c r="A176" s="83" t="s">
        <v>12</v>
      </c>
      <c r="B176" s="126">
        <v>40700</v>
      </c>
      <c r="C176" s="83">
        <v>2011100783</v>
      </c>
      <c r="D176" s="127" t="s">
        <v>14</v>
      </c>
      <c r="E176" s="127" t="s">
        <v>13</v>
      </c>
      <c r="F176" s="83" t="s">
        <v>1978</v>
      </c>
      <c r="G176" s="83" t="s">
        <v>1979</v>
      </c>
      <c r="H176" s="133">
        <v>12542.37</v>
      </c>
      <c r="I176" s="128">
        <f t="shared" si="20"/>
        <v>2257.6266000000001</v>
      </c>
      <c r="K176" s="128">
        <f t="shared" si="21"/>
        <v>14799.9966</v>
      </c>
      <c r="L176" s="83" t="s">
        <v>1904</v>
      </c>
      <c r="P176" s="83" t="s">
        <v>2071</v>
      </c>
      <c r="Q176" s="126">
        <v>40789</v>
      </c>
    </row>
    <row r="177" spans="1:17" x14ac:dyDescent="0.2">
      <c r="A177" s="83" t="s">
        <v>12</v>
      </c>
      <c r="B177" s="126">
        <v>40700</v>
      </c>
      <c r="C177" s="83">
        <v>2011100784</v>
      </c>
      <c r="D177" s="127" t="s">
        <v>14</v>
      </c>
      <c r="E177" s="127" t="s">
        <v>13</v>
      </c>
      <c r="F177" s="83" t="s">
        <v>111</v>
      </c>
      <c r="G177" s="83" t="s">
        <v>1980</v>
      </c>
      <c r="H177" s="133">
        <v>1271.19</v>
      </c>
      <c r="I177" s="128">
        <f t="shared" si="20"/>
        <v>228.8142</v>
      </c>
      <c r="K177" s="128">
        <f t="shared" si="21"/>
        <v>1500.0042000000001</v>
      </c>
      <c r="L177" s="83" t="s">
        <v>1904</v>
      </c>
      <c r="P177" s="83" t="s">
        <v>2071</v>
      </c>
      <c r="Q177" s="126">
        <v>40789</v>
      </c>
    </row>
    <row r="178" spans="1:17" x14ac:dyDescent="0.2">
      <c r="A178" s="83" t="s">
        <v>12</v>
      </c>
      <c r="B178" s="126">
        <v>40715</v>
      </c>
      <c r="C178" s="83">
        <v>2011100875</v>
      </c>
      <c r="D178" s="127" t="s">
        <v>14</v>
      </c>
      <c r="E178" s="127" t="s">
        <v>13</v>
      </c>
      <c r="F178" s="83" t="s">
        <v>1981</v>
      </c>
      <c r="G178" s="83" t="s">
        <v>1982</v>
      </c>
      <c r="H178" s="133">
        <v>4152.54</v>
      </c>
      <c r="I178" s="128">
        <f t="shared" si="20"/>
        <v>747.45719999999994</v>
      </c>
      <c r="K178" s="128">
        <f t="shared" si="21"/>
        <v>4899.9971999999998</v>
      </c>
      <c r="L178" s="83" t="s">
        <v>1904</v>
      </c>
      <c r="P178" s="83" t="s">
        <v>2071</v>
      </c>
      <c r="Q178" s="126">
        <v>40789</v>
      </c>
    </row>
    <row r="179" spans="1:17" x14ac:dyDescent="0.2">
      <c r="A179" s="83" t="s">
        <v>408</v>
      </c>
      <c r="B179" s="126">
        <v>40695</v>
      </c>
      <c r="C179" s="83" t="s">
        <v>1983</v>
      </c>
      <c r="D179" s="127" t="s">
        <v>1344</v>
      </c>
      <c r="E179" s="127" t="s">
        <v>525</v>
      </c>
      <c r="F179" s="83" t="s">
        <v>111</v>
      </c>
      <c r="G179" s="83" t="s">
        <v>1984</v>
      </c>
      <c r="H179" s="133">
        <f>4000/1.18</f>
        <v>3389.8305084745766</v>
      </c>
      <c r="I179" s="128">
        <f t="shared" ref="I179:I185" si="22">H179*0.18</f>
        <v>610.16949152542372</v>
      </c>
      <c r="K179" s="128">
        <f t="shared" ref="K179:K185" si="23">+H179+I179</f>
        <v>4000.0000000000005</v>
      </c>
      <c r="L179" s="83" t="s">
        <v>1985</v>
      </c>
      <c r="M179" s="83" t="s">
        <v>2599</v>
      </c>
      <c r="P179" s="83" t="s">
        <v>2071</v>
      </c>
      <c r="Q179" s="126">
        <v>40789</v>
      </c>
    </row>
    <row r="180" spans="1:17" x14ac:dyDescent="0.2">
      <c r="A180" s="83" t="s">
        <v>408</v>
      </c>
      <c r="B180" s="126">
        <v>40720</v>
      </c>
      <c r="C180" s="83" t="s">
        <v>1987</v>
      </c>
      <c r="D180" s="127" t="s">
        <v>1988</v>
      </c>
      <c r="E180" s="127" t="s">
        <v>1989</v>
      </c>
      <c r="F180" s="83" t="s">
        <v>1990</v>
      </c>
      <c r="G180" s="83" t="s">
        <v>1483</v>
      </c>
      <c r="H180" s="133">
        <f>14850/1.18</f>
        <v>12584.745762711866</v>
      </c>
      <c r="I180" s="128">
        <f t="shared" si="22"/>
        <v>2265.2542372881358</v>
      </c>
      <c r="K180" s="128">
        <f t="shared" si="23"/>
        <v>14850.000000000002</v>
      </c>
      <c r="L180" s="83" t="s">
        <v>1986</v>
      </c>
      <c r="M180" s="83" t="s">
        <v>2540</v>
      </c>
      <c r="P180" s="83" t="s">
        <v>2071</v>
      </c>
      <c r="Q180" s="126">
        <v>40789</v>
      </c>
    </row>
    <row r="181" spans="1:17" x14ac:dyDescent="0.2">
      <c r="A181" s="83" t="s">
        <v>408</v>
      </c>
      <c r="B181" s="126">
        <v>40708</v>
      </c>
      <c r="C181" s="83" t="s">
        <v>1991</v>
      </c>
      <c r="D181" s="127" t="s">
        <v>1992</v>
      </c>
      <c r="E181" s="127" t="s">
        <v>1993</v>
      </c>
      <c r="F181" s="83" t="s">
        <v>49</v>
      </c>
      <c r="G181" s="83" t="s">
        <v>1639</v>
      </c>
      <c r="H181" s="133">
        <f>4500/1.18</f>
        <v>3813.5593220338983</v>
      </c>
      <c r="I181" s="128">
        <f t="shared" si="22"/>
        <v>686.4406779661017</v>
      </c>
      <c r="K181" s="128">
        <f t="shared" si="23"/>
        <v>4500</v>
      </c>
      <c r="L181" s="83" t="s">
        <v>1836</v>
      </c>
      <c r="M181" s="83" t="s">
        <v>2547</v>
      </c>
      <c r="P181" s="83" t="s">
        <v>2071</v>
      </c>
      <c r="Q181" s="126">
        <v>40789</v>
      </c>
    </row>
    <row r="182" spans="1:17" x14ac:dyDescent="0.2">
      <c r="A182" s="83" t="s">
        <v>408</v>
      </c>
      <c r="B182" s="126">
        <v>40709</v>
      </c>
      <c r="C182" s="83" t="s">
        <v>1994</v>
      </c>
      <c r="D182" s="127" t="s">
        <v>1995</v>
      </c>
      <c r="E182" s="127" t="s">
        <v>1996</v>
      </c>
      <c r="F182" s="83" t="s">
        <v>65</v>
      </c>
      <c r="G182" s="83" t="s">
        <v>1290</v>
      </c>
      <c r="H182" s="133">
        <f>4200/1.18</f>
        <v>3559.3220338983051</v>
      </c>
      <c r="I182" s="128">
        <f t="shared" si="22"/>
        <v>640.67796610169489</v>
      </c>
      <c r="K182" s="128">
        <f t="shared" si="23"/>
        <v>4200</v>
      </c>
      <c r="L182" s="83" t="s">
        <v>1823</v>
      </c>
      <c r="M182" s="83" t="s">
        <v>2545</v>
      </c>
      <c r="P182" s="83" t="s">
        <v>2071</v>
      </c>
      <c r="Q182" s="126">
        <v>40789</v>
      </c>
    </row>
    <row r="183" spans="1:17" x14ac:dyDescent="0.2">
      <c r="A183" s="83" t="s">
        <v>408</v>
      </c>
      <c r="B183" s="126">
        <v>40712</v>
      </c>
      <c r="C183" s="83" t="s">
        <v>1999</v>
      </c>
      <c r="D183" s="127" t="s">
        <v>1995</v>
      </c>
      <c r="E183" s="127" t="s">
        <v>1996</v>
      </c>
      <c r="F183" s="83" t="s">
        <v>2000</v>
      </c>
      <c r="G183" s="83" t="s">
        <v>1777</v>
      </c>
      <c r="H183" s="133">
        <f>4200/1.18</f>
        <v>3559.3220338983051</v>
      </c>
      <c r="I183" s="128">
        <f t="shared" si="22"/>
        <v>640.67796610169489</v>
      </c>
      <c r="K183" s="128">
        <f t="shared" si="23"/>
        <v>4200</v>
      </c>
      <c r="L183" s="83" t="s">
        <v>1775</v>
      </c>
      <c r="M183" s="83" t="s">
        <v>2549</v>
      </c>
      <c r="P183" s="83" t="s">
        <v>2071</v>
      </c>
      <c r="Q183" s="126">
        <v>40789</v>
      </c>
    </row>
    <row r="184" spans="1:17" x14ac:dyDescent="0.2">
      <c r="A184" s="83" t="s">
        <v>408</v>
      </c>
      <c r="B184" s="126">
        <v>40721</v>
      </c>
      <c r="C184" s="83" t="s">
        <v>2001</v>
      </c>
      <c r="D184" s="127" t="s">
        <v>2002</v>
      </c>
      <c r="E184" s="127" t="s">
        <v>2003</v>
      </c>
      <c r="F184" s="83" t="s">
        <v>70</v>
      </c>
      <c r="G184" s="83" t="s">
        <v>1865</v>
      </c>
      <c r="H184" s="133">
        <f>7000/1.18</f>
        <v>5932.203389830509</v>
      </c>
      <c r="I184" s="128">
        <f t="shared" si="22"/>
        <v>1067.7966101694915</v>
      </c>
      <c r="K184" s="128">
        <f t="shared" si="23"/>
        <v>7000</v>
      </c>
      <c r="L184" s="83" t="s">
        <v>2004</v>
      </c>
      <c r="M184" s="83" t="s">
        <v>2562</v>
      </c>
      <c r="P184" s="83" t="s">
        <v>2071</v>
      </c>
      <c r="Q184" s="126">
        <v>40789</v>
      </c>
    </row>
    <row r="185" spans="1:17" x14ac:dyDescent="0.2">
      <c r="A185" s="83" t="s">
        <v>408</v>
      </c>
      <c r="B185" s="126">
        <v>40716</v>
      </c>
      <c r="C185" s="83" t="s">
        <v>2005</v>
      </c>
      <c r="D185" s="127" t="s">
        <v>2006</v>
      </c>
      <c r="E185" s="127" t="s">
        <v>2007</v>
      </c>
      <c r="F185" s="83" t="s">
        <v>2008</v>
      </c>
      <c r="G185" s="83" t="s">
        <v>1973</v>
      </c>
      <c r="H185" s="133">
        <f>16900/1.18</f>
        <v>14322.033898305086</v>
      </c>
      <c r="I185" s="128">
        <f t="shared" si="22"/>
        <v>2577.9661016949153</v>
      </c>
      <c r="K185" s="128">
        <f t="shared" si="23"/>
        <v>16900</v>
      </c>
      <c r="L185" s="83" t="s">
        <v>2009</v>
      </c>
      <c r="M185" s="83" t="s">
        <v>2548</v>
      </c>
      <c r="P185" s="83" t="s">
        <v>2071</v>
      </c>
      <c r="Q185" s="126">
        <v>40789</v>
      </c>
    </row>
    <row r="186" spans="1:17" x14ac:dyDescent="0.2">
      <c r="A186" s="83" t="s">
        <v>408</v>
      </c>
      <c r="B186" s="126">
        <v>40714</v>
      </c>
      <c r="C186" s="83" t="s">
        <v>2010</v>
      </c>
      <c r="D186" s="127" t="s">
        <v>2011</v>
      </c>
      <c r="E186" s="127" t="s">
        <v>2012</v>
      </c>
      <c r="F186" s="83" t="s">
        <v>1754</v>
      </c>
      <c r="G186" s="83" t="s">
        <v>1944</v>
      </c>
      <c r="H186" s="133"/>
      <c r="I186" s="128"/>
      <c r="K186" s="128">
        <v>5000</v>
      </c>
      <c r="L186" s="83" t="s">
        <v>2013</v>
      </c>
      <c r="M186" s="83" t="s">
        <v>31</v>
      </c>
      <c r="P186" s="83" t="s">
        <v>2071</v>
      </c>
      <c r="Q186" s="126">
        <v>40789</v>
      </c>
    </row>
    <row r="187" spans="1:17" x14ac:dyDescent="0.2">
      <c r="A187" s="83" t="s">
        <v>408</v>
      </c>
      <c r="B187" s="126">
        <v>40735</v>
      </c>
      <c r="C187" s="83" t="s">
        <v>2014</v>
      </c>
      <c r="D187" s="127" t="s">
        <v>2015</v>
      </c>
      <c r="E187" s="127" t="s">
        <v>2016</v>
      </c>
      <c r="F187" s="83" t="s">
        <v>975</v>
      </c>
      <c r="G187" s="83" t="s">
        <v>2017</v>
      </c>
      <c r="H187" s="133">
        <f>4200/1.18</f>
        <v>3559.3220338983051</v>
      </c>
      <c r="I187" s="128">
        <f t="shared" ref="I187:I198" si="24">H187*0.18</f>
        <v>640.67796610169489</v>
      </c>
      <c r="K187" s="128">
        <f t="shared" ref="K187:K198" si="25">+H187+I187</f>
        <v>4200</v>
      </c>
      <c r="L187" s="83" t="s">
        <v>2018</v>
      </c>
      <c r="M187" s="83" t="s">
        <v>31</v>
      </c>
      <c r="P187" s="83" t="s">
        <v>2071</v>
      </c>
      <c r="Q187" s="126">
        <v>40789</v>
      </c>
    </row>
    <row r="188" spans="1:17" x14ac:dyDescent="0.2">
      <c r="A188" s="83" t="s">
        <v>408</v>
      </c>
      <c r="B188" s="126">
        <v>40735</v>
      </c>
      <c r="C188" s="83" t="s">
        <v>2019</v>
      </c>
      <c r="D188" s="127" t="s">
        <v>2020</v>
      </c>
      <c r="E188" s="127" t="s">
        <v>2031</v>
      </c>
      <c r="F188" s="83" t="s">
        <v>49</v>
      </c>
      <c r="G188" s="83" t="s">
        <v>1654</v>
      </c>
      <c r="H188" s="133">
        <f>2900/1.18</f>
        <v>2457.6271186440681</v>
      </c>
      <c r="I188" s="128">
        <f t="shared" si="24"/>
        <v>442.37288135593224</v>
      </c>
      <c r="K188" s="128">
        <f t="shared" si="25"/>
        <v>2900.0000000000005</v>
      </c>
      <c r="L188" s="83" t="s">
        <v>2021</v>
      </c>
      <c r="M188" s="83" t="s">
        <v>2620</v>
      </c>
      <c r="P188" s="83" t="s">
        <v>2071</v>
      </c>
      <c r="Q188" s="126">
        <v>40789</v>
      </c>
    </row>
    <row r="189" spans="1:17" x14ac:dyDescent="0.2">
      <c r="A189" s="83" t="s">
        <v>408</v>
      </c>
      <c r="B189" s="126">
        <v>40736</v>
      </c>
      <c r="C189" s="83" t="s">
        <v>2054</v>
      </c>
      <c r="D189" s="127" t="s">
        <v>2022</v>
      </c>
      <c r="E189" s="127" t="s">
        <v>2023</v>
      </c>
      <c r="F189" s="83" t="s">
        <v>1035</v>
      </c>
      <c r="G189" s="83" t="s">
        <v>1730</v>
      </c>
      <c r="H189" s="133">
        <f>6450/1.18</f>
        <v>5466.1016949152545</v>
      </c>
      <c r="I189" s="128">
        <f t="shared" si="24"/>
        <v>983.89830508474574</v>
      </c>
      <c r="K189" s="128">
        <f t="shared" si="25"/>
        <v>6450</v>
      </c>
      <c r="L189" s="83" t="s">
        <v>1808</v>
      </c>
      <c r="M189" s="83" t="s">
        <v>2550</v>
      </c>
      <c r="P189" s="83" t="s">
        <v>2071</v>
      </c>
      <c r="Q189" s="126">
        <v>40789</v>
      </c>
    </row>
    <row r="190" spans="1:17" x14ac:dyDescent="0.2">
      <c r="A190" s="83" t="s">
        <v>408</v>
      </c>
      <c r="B190" s="126">
        <v>40735</v>
      </c>
      <c r="C190" s="83" t="s">
        <v>2053</v>
      </c>
      <c r="D190" s="127" t="s">
        <v>2024</v>
      </c>
      <c r="E190" s="127" t="s">
        <v>2025</v>
      </c>
      <c r="F190" s="83" t="s">
        <v>1740</v>
      </c>
      <c r="G190" s="83" t="s">
        <v>1878</v>
      </c>
      <c r="H190" s="133">
        <f>10150/1.18</f>
        <v>8601.6949152542384</v>
      </c>
      <c r="I190" s="128">
        <f t="shared" si="24"/>
        <v>1548.3050847457628</v>
      </c>
      <c r="K190" s="128">
        <f t="shared" si="25"/>
        <v>10150.000000000002</v>
      </c>
      <c r="L190" s="83" t="s">
        <v>1929</v>
      </c>
      <c r="M190" s="83" t="s">
        <v>2564</v>
      </c>
      <c r="P190" s="83" t="s">
        <v>2071</v>
      </c>
      <c r="Q190" s="126">
        <v>40789</v>
      </c>
    </row>
    <row r="191" spans="1:17" x14ac:dyDescent="0.2">
      <c r="A191" s="83" t="s">
        <v>408</v>
      </c>
      <c r="B191" s="126">
        <v>40735</v>
      </c>
      <c r="C191" s="83" t="s">
        <v>2026</v>
      </c>
      <c r="D191" s="127" t="s">
        <v>2027</v>
      </c>
      <c r="E191" s="83" t="s">
        <v>2029</v>
      </c>
      <c r="F191" s="83" t="s">
        <v>1536</v>
      </c>
      <c r="G191" s="83" t="s">
        <v>1867</v>
      </c>
      <c r="H191" s="133">
        <f>1000/1.18</f>
        <v>847.45762711864415</v>
      </c>
      <c r="I191" s="128">
        <f t="shared" si="24"/>
        <v>152.54237288135593</v>
      </c>
      <c r="K191" s="128">
        <f t="shared" si="25"/>
        <v>1000.0000000000001</v>
      </c>
      <c r="L191" s="83" t="s">
        <v>2028</v>
      </c>
      <c r="M191" s="83" t="s">
        <v>2620</v>
      </c>
      <c r="P191" s="83" t="s">
        <v>2071</v>
      </c>
      <c r="Q191" s="126">
        <v>40789</v>
      </c>
    </row>
    <row r="192" spans="1:17" x14ac:dyDescent="0.2">
      <c r="A192" s="83" t="s">
        <v>12</v>
      </c>
      <c r="B192" s="126">
        <v>40675</v>
      </c>
      <c r="C192" s="83" t="s">
        <v>2058</v>
      </c>
      <c r="D192" s="127" t="s">
        <v>1757</v>
      </c>
      <c r="E192" s="127" t="s">
        <v>1758</v>
      </c>
      <c r="F192" s="83" t="s">
        <v>1637</v>
      </c>
      <c r="G192" s="83" t="s">
        <v>1638</v>
      </c>
      <c r="H192" s="133">
        <f>16500/1.18</f>
        <v>13983.050847457627</v>
      </c>
      <c r="I192" s="128">
        <f t="shared" si="24"/>
        <v>2516.9491525423728</v>
      </c>
      <c r="K192" s="128">
        <f t="shared" si="25"/>
        <v>16500</v>
      </c>
      <c r="L192" s="83" t="s">
        <v>1904</v>
      </c>
      <c r="P192" s="83" t="s">
        <v>2071</v>
      </c>
      <c r="Q192" s="126">
        <v>40789</v>
      </c>
    </row>
    <row r="193" spans="1:17" x14ac:dyDescent="0.2">
      <c r="A193" s="83" t="s">
        <v>408</v>
      </c>
      <c r="B193" s="126">
        <v>40735</v>
      </c>
      <c r="C193" s="83" t="s">
        <v>2030</v>
      </c>
      <c r="D193" s="127" t="s">
        <v>2032</v>
      </c>
      <c r="E193" s="127" t="s">
        <v>2033</v>
      </c>
      <c r="F193" s="83" t="s">
        <v>1637</v>
      </c>
      <c r="G193" s="83" t="s">
        <v>1638</v>
      </c>
      <c r="H193" s="133">
        <f>8000/1.18</f>
        <v>6779.6610169491532</v>
      </c>
      <c r="I193" s="128">
        <f t="shared" si="24"/>
        <v>1220.3389830508474</v>
      </c>
      <c r="K193" s="128">
        <f t="shared" si="25"/>
        <v>8000.0000000000009</v>
      </c>
      <c r="L193" s="83" t="s">
        <v>2059</v>
      </c>
      <c r="M193" s="83" t="s">
        <v>31</v>
      </c>
      <c r="P193" s="83" t="s">
        <v>2071</v>
      </c>
      <c r="Q193" s="126">
        <v>40789</v>
      </c>
    </row>
    <row r="194" spans="1:17" x14ac:dyDescent="0.2">
      <c r="A194" s="83" t="s">
        <v>408</v>
      </c>
      <c r="B194" s="126">
        <v>40735</v>
      </c>
      <c r="C194" s="83" t="s">
        <v>2034</v>
      </c>
      <c r="D194" s="127" t="s">
        <v>2035</v>
      </c>
      <c r="E194" s="127" t="s">
        <v>2036</v>
      </c>
      <c r="F194" s="83" t="s">
        <v>1720</v>
      </c>
      <c r="G194" s="83" t="s">
        <v>1721</v>
      </c>
      <c r="H194" s="133">
        <f>6800/1.18</f>
        <v>5762.7118644067796</v>
      </c>
      <c r="I194" s="128">
        <f t="shared" si="24"/>
        <v>1037.2881355932202</v>
      </c>
      <c r="K194" s="128">
        <f t="shared" si="25"/>
        <v>6800</v>
      </c>
      <c r="L194" s="83" t="s">
        <v>2037</v>
      </c>
      <c r="M194" s="83" t="s">
        <v>31</v>
      </c>
      <c r="P194" s="83" t="s">
        <v>2071</v>
      </c>
      <c r="Q194" s="126">
        <v>40789</v>
      </c>
    </row>
    <row r="195" spans="1:17" x14ac:dyDescent="0.2">
      <c r="A195" s="83" t="s">
        <v>408</v>
      </c>
      <c r="B195" s="126">
        <v>40744</v>
      </c>
      <c r="C195" s="83" t="s">
        <v>2038</v>
      </c>
      <c r="D195" s="127" t="s">
        <v>2039</v>
      </c>
      <c r="E195" s="127" t="s">
        <v>2040</v>
      </c>
      <c r="F195" s="83" t="s">
        <v>1879</v>
      </c>
      <c r="G195" s="83" t="s">
        <v>1788</v>
      </c>
      <c r="H195" s="133">
        <f>4500/1.18</f>
        <v>3813.5593220338983</v>
      </c>
      <c r="I195" s="128">
        <f t="shared" si="24"/>
        <v>686.4406779661017</v>
      </c>
      <c r="K195" s="128">
        <f t="shared" si="25"/>
        <v>4500</v>
      </c>
      <c r="L195" s="83" t="s">
        <v>2041</v>
      </c>
      <c r="M195" s="83" t="s">
        <v>2553</v>
      </c>
      <c r="P195" s="83" t="s">
        <v>2071</v>
      </c>
      <c r="Q195" s="126">
        <v>40789</v>
      </c>
    </row>
    <row r="196" spans="1:17" x14ac:dyDescent="0.2">
      <c r="A196" s="83" t="s">
        <v>408</v>
      </c>
      <c r="B196" s="126">
        <v>40756</v>
      </c>
      <c r="C196" s="83" t="s">
        <v>2042</v>
      </c>
      <c r="D196" s="127" t="s">
        <v>2043</v>
      </c>
      <c r="E196" s="127" t="s">
        <v>2044</v>
      </c>
      <c r="F196" s="83" t="s">
        <v>2045</v>
      </c>
      <c r="G196" s="83" t="s">
        <v>1527</v>
      </c>
      <c r="H196" s="133">
        <f>21500/1.18</f>
        <v>18220.338983050849</v>
      </c>
      <c r="I196" s="128">
        <f t="shared" si="24"/>
        <v>3279.6610169491528</v>
      </c>
      <c r="K196" s="128">
        <f t="shared" si="25"/>
        <v>21500.000000000004</v>
      </c>
      <c r="L196" s="83" t="s">
        <v>2046</v>
      </c>
      <c r="M196" s="83" t="s">
        <v>2554</v>
      </c>
      <c r="P196" s="83" t="s">
        <v>2071</v>
      </c>
      <c r="Q196" s="126">
        <v>40789</v>
      </c>
    </row>
    <row r="197" spans="1:17" x14ac:dyDescent="0.2">
      <c r="A197" s="83" t="s">
        <v>408</v>
      </c>
      <c r="B197" s="126">
        <v>40725</v>
      </c>
      <c r="C197" s="83">
        <v>172011</v>
      </c>
      <c r="D197" s="127" t="s">
        <v>1701</v>
      </c>
      <c r="E197" s="127" t="s">
        <v>1702</v>
      </c>
      <c r="F197" s="83" t="s">
        <v>2047</v>
      </c>
      <c r="G197" s="83" t="s">
        <v>1914</v>
      </c>
      <c r="H197" s="133">
        <f>3800/1.18</f>
        <v>3220.3389830508477</v>
      </c>
      <c r="I197" s="128">
        <f t="shared" si="24"/>
        <v>579.66101694915255</v>
      </c>
      <c r="K197" s="128">
        <f t="shared" si="25"/>
        <v>3800</v>
      </c>
      <c r="L197" s="83" t="s">
        <v>2048</v>
      </c>
      <c r="M197" s="83" t="s">
        <v>2563</v>
      </c>
      <c r="P197" s="83" t="s">
        <v>2071</v>
      </c>
      <c r="Q197" s="126">
        <v>40789</v>
      </c>
    </row>
    <row r="198" spans="1:17" x14ac:dyDescent="0.2">
      <c r="A198" s="83" t="s">
        <v>408</v>
      </c>
      <c r="B198" s="126">
        <v>40734</v>
      </c>
      <c r="C198" s="83">
        <v>10711</v>
      </c>
      <c r="D198" s="127" t="s">
        <v>2049</v>
      </c>
      <c r="E198" s="127" t="s">
        <v>2050</v>
      </c>
      <c r="F198" s="83" t="s">
        <v>49</v>
      </c>
      <c r="G198" s="83" t="s">
        <v>1723</v>
      </c>
      <c r="H198" s="133">
        <f>3900/1.18</f>
        <v>3305.0847457627119</v>
      </c>
      <c r="I198" s="128">
        <f t="shared" si="24"/>
        <v>594.91525423728808</v>
      </c>
      <c r="K198" s="128">
        <f t="shared" si="25"/>
        <v>3900</v>
      </c>
      <c r="L198" s="83" t="s">
        <v>2037</v>
      </c>
      <c r="M198" s="83" t="s">
        <v>31</v>
      </c>
      <c r="P198" s="83" t="s">
        <v>2071</v>
      </c>
      <c r="Q198" s="126">
        <v>40789</v>
      </c>
    </row>
    <row r="199" spans="1:17" x14ac:dyDescent="0.2">
      <c r="A199" s="83" t="s">
        <v>12</v>
      </c>
      <c r="B199" s="126">
        <v>40675</v>
      </c>
      <c r="C199" s="83" t="s">
        <v>951</v>
      </c>
      <c r="D199" s="127" t="s">
        <v>2069</v>
      </c>
      <c r="E199" s="127" t="s">
        <v>2070</v>
      </c>
      <c r="F199" s="83" t="s">
        <v>1720</v>
      </c>
      <c r="G199" s="83" t="s">
        <v>2052</v>
      </c>
      <c r="H199" s="133"/>
      <c r="I199" s="128"/>
      <c r="K199" s="128">
        <v>5000</v>
      </c>
      <c r="L199" s="83" t="s">
        <v>1904</v>
      </c>
      <c r="P199" s="83" t="s">
        <v>2071</v>
      </c>
      <c r="Q199" s="126">
        <v>40789</v>
      </c>
    </row>
    <row r="200" spans="1:17" x14ac:dyDescent="0.2">
      <c r="A200" s="83" t="s">
        <v>408</v>
      </c>
      <c r="B200" s="126">
        <v>40708</v>
      </c>
      <c r="C200" s="83" t="s">
        <v>2051</v>
      </c>
      <c r="D200" s="127" t="s">
        <v>1906</v>
      </c>
      <c r="E200" s="127" t="s">
        <v>1907</v>
      </c>
      <c r="F200" s="83" t="s">
        <v>1720</v>
      </c>
      <c r="G200" s="83" t="s">
        <v>2052</v>
      </c>
      <c r="H200" s="133"/>
      <c r="I200" s="128"/>
      <c r="K200" s="128">
        <v>7200</v>
      </c>
      <c r="L200" s="83" t="s">
        <v>2068</v>
      </c>
      <c r="M200" s="83" t="s">
        <v>2561</v>
      </c>
      <c r="P200" s="83" t="s">
        <v>2071</v>
      </c>
      <c r="Q200" s="126">
        <v>40789</v>
      </c>
    </row>
    <row r="201" spans="1:17" x14ac:dyDescent="0.2">
      <c r="A201" s="83" t="s">
        <v>408</v>
      </c>
      <c r="B201" s="126">
        <v>40739</v>
      </c>
      <c r="C201" s="83" t="s">
        <v>2055</v>
      </c>
      <c r="D201" s="127" t="s">
        <v>1906</v>
      </c>
      <c r="E201" s="127" t="s">
        <v>1907</v>
      </c>
      <c r="F201" s="83" t="s">
        <v>2056</v>
      </c>
      <c r="G201" s="83" t="s">
        <v>1471</v>
      </c>
      <c r="H201" s="133">
        <f>15200/1.18</f>
        <v>12881.355932203391</v>
      </c>
      <c r="I201" s="128">
        <f>H201*0.18</f>
        <v>2318.6440677966102</v>
      </c>
      <c r="K201" s="128">
        <f>+H201+I201</f>
        <v>15200</v>
      </c>
      <c r="L201" s="83" t="s">
        <v>2057</v>
      </c>
      <c r="M201" s="83" t="s">
        <v>2551</v>
      </c>
      <c r="P201" s="83" t="s">
        <v>2071</v>
      </c>
      <c r="Q201" s="126">
        <v>40789</v>
      </c>
    </row>
    <row r="202" spans="1:17" x14ac:dyDescent="0.2">
      <c r="A202" s="83" t="s">
        <v>408</v>
      </c>
      <c r="B202" s="126">
        <v>40746</v>
      </c>
      <c r="C202" s="83" t="s">
        <v>2060</v>
      </c>
      <c r="D202" s="127" t="s">
        <v>278</v>
      </c>
      <c r="E202" s="127" t="s">
        <v>2061</v>
      </c>
      <c r="F202" s="83" t="s">
        <v>1357</v>
      </c>
      <c r="G202" s="83" t="s">
        <v>1969</v>
      </c>
      <c r="H202" s="133">
        <f>19500/1.18</f>
        <v>16525.423728813559</v>
      </c>
      <c r="I202" s="128">
        <f>H202*0.18</f>
        <v>2974.5762711864404</v>
      </c>
      <c r="K202" s="128">
        <f>+H202+I202</f>
        <v>19500</v>
      </c>
      <c r="L202" s="83" t="s">
        <v>2062</v>
      </c>
      <c r="M202" s="83" t="s">
        <v>2589</v>
      </c>
      <c r="P202" s="83" t="s">
        <v>2071</v>
      </c>
      <c r="Q202" s="126">
        <v>40789</v>
      </c>
    </row>
    <row r="203" spans="1:17" x14ac:dyDescent="0.2">
      <c r="A203" s="83" t="s">
        <v>408</v>
      </c>
      <c r="B203" s="126">
        <v>40755</v>
      </c>
      <c r="C203" s="83" t="s">
        <v>2063</v>
      </c>
      <c r="D203" s="127" t="s">
        <v>2064</v>
      </c>
      <c r="E203" s="127" t="s">
        <v>2065</v>
      </c>
      <c r="F203" s="83" t="s">
        <v>65</v>
      </c>
      <c r="G203" s="83" t="s">
        <v>1866</v>
      </c>
      <c r="H203" s="133">
        <f>2000/1.18</f>
        <v>1694.9152542372883</v>
      </c>
      <c r="I203" s="128">
        <f>H203*0.18</f>
        <v>305.08474576271186</v>
      </c>
      <c r="K203" s="128">
        <f>+H203+I203</f>
        <v>2000.0000000000002</v>
      </c>
      <c r="L203" s="83" t="s">
        <v>2004</v>
      </c>
      <c r="M203" s="83" t="s">
        <v>2554</v>
      </c>
      <c r="P203" s="83" t="s">
        <v>2071</v>
      </c>
      <c r="Q203" s="126">
        <v>40789</v>
      </c>
    </row>
    <row r="204" spans="1:17" x14ac:dyDescent="0.2">
      <c r="A204" s="83" t="s">
        <v>408</v>
      </c>
      <c r="B204" s="126">
        <v>40755</v>
      </c>
      <c r="C204" s="83" t="s">
        <v>2066</v>
      </c>
      <c r="D204" s="127" t="s">
        <v>2064</v>
      </c>
      <c r="E204" s="127" t="s">
        <v>2065</v>
      </c>
      <c r="F204" s="83" t="s">
        <v>65</v>
      </c>
      <c r="G204" s="83" t="s">
        <v>1952</v>
      </c>
      <c r="H204" s="133">
        <f>2000/1.18</f>
        <v>1694.9152542372883</v>
      </c>
      <c r="I204" s="128">
        <f>H204*0.18</f>
        <v>305.08474576271186</v>
      </c>
      <c r="K204" s="128">
        <f>+H204+I204</f>
        <v>2000.0000000000002</v>
      </c>
      <c r="L204" s="132" t="s">
        <v>2067</v>
      </c>
      <c r="M204" s="83" t="s">
        <v>2554</v>
      </c>
      <c r="P204" s="83" t="s">
        <v>2071</v>
      </c>
      <c r="Q204" s="126">
        <v>40789</v>
      </c>
    </row>
    <row r="205" spans="1:17" x14ac:dyDescent="0.2">
      <c r="A205" s="83" t="s">
        <v>408</v>
      </c>
      <c r="B205" s="126">
        <v>40686</v>
      </c>
      <c r="C205" s="83" t="s">
        <v>2072</v>
      </c>
      <c r="D205" s="127" t="s">
        <v>2073</v>
      </c>
      <c r="E205" s="127" t="s">
        <v>2074</v>
      </c>
      <c r="F205" s="83" t="s">
        <v>2075</v>
      </c>
      <c r="G205" s="83" t="s">
        <v>2076</v>
      </c>
      <c r="J205" s="83" t="s">
        <v>303</v>
      </c>
      <c r="K205" s="83">
        <v>600</v>
      </c>
      <c r="L205" s="132" t="s">
        <v>2109</v>
      </c>
      <c r="M205" s="83" t="s">
        <v>2620</v>
      </c>
      <c r="P205" s="83" t="s">
        <v>2071</v>
      </c>
      <c r="Q205" s="126">
        <v>40828</v>
      </c>
    </row>
    <row r="206" spans="1:17" x14ac:dyDescent="0.2">
      <c r="A206" s="83" t="s">
        <v>408</v>
      </c>
      <c r="B206" s="126">
        <v>40695</v>
      </c>
      <c r="C206" s="83" t="s">
        <v>2077</v>
      </c>
      <c r="D206" s="127" t="s">
        <v>2078</v>
      </c>
      <c r="E206" s="127" t="s">
        <v>2079</v>
      </c>
      <c r="F206" s="83" t="s">
        <v>111</v>
      </c>
      <c r="G206" s="83" t="s">
        <v>2080</v>
      </c>
      <c r="K206" s="83">
        <v>1500</v>
      </c>
      <c r="L206" s="138" t="s">
        <v>2112</v>
      </c>
      <c r="M206" s="83" t="s">
        <v>2620</v>
      </c>
      <c r="P206" s="83" t="s">
        <v>2071</v>
      </c>
      <c r="Q206" s="126">
        <v>40828</v>
      </c>
    </row>
    <row r="207" spans="1:17" x14ac:dyDescent="0.2">
      <c r="A207" s="83" t="s">
        <v>408</v>
      </c>
      <c r="B207" s="126">
        <v>40695</v>
      </c>
      <c r="C207" s="83" t="s">
        <v>2081</v>
      </c>
      <c r="D207" s="83" t="s">
        <v>2082</v>
      </c>
      <c r="E207" s="83" t="s">
        <v>2083</v>
      </c>
      <c r="F207" s="83" t="s">
        <v>1872</v>
      </c>
      <c r="G207" s="83" t="s">
        <v>1873</v>
      </c>
      <c r="H207" s="133">
        <v>8050.85</v>
      </c>
      <c r="I207" s="128">
        <f t="shared" ref="I207:I220" si="26">H207*0.18</f>
        <v>1449.153</v>
      </c>
      <c r="K207" s="128">
        <f t="shared" ref="K207:K220" si="27">+H207+I207</f>
        <v>9500.0030000000006</v>
      </c>
      <c r="L207" s="83" t="s">
        <v>2084</v>
      </c>
      <c r="M207" s="83" t="s">
        <v>2618</v>
      </c>
      <c r="P207" s="83" t="s">
        <v>2071</v>
      </c>
      <c r="Q207" s="126">
        <v>40828</v>
      </c>
    </row>
    <row r="208" spans="1:17" x14ac:dyDescent="0.2">
      <c r="A208" s="83" t="s">
        <v>12</v>
      </c>
      <c r="B208" s="126">
        <v>40791</v>
      </c>
      <c r="C208" s="83">
        <v>156053</v>
      </c>
      <c r="D208" s="127" t="s">
        <v>1450</v>
      </c>
      <c r="E208" s="127" t="s">
        <v>115</v>
      </c>
      <c r="F208" s="83" t="s">
        <v>1357</v>
      </c>
      <c r="G208" s="83" t="s">
        <v>2085</v>
      </c>
      <c r="H208" s="83">
        <v>11186.44</v>
      </c>
      <c r="I208" s="128">
        <f t="shared" si="26"/>
        <v>2013.5591999999999</v>
      </c>
      <c r="K208" s="128">
        <f t="shared" si="27"/>
        <v>13199.9992</v>
      </c>
      <c r="L208" s="83" t="s">
        <v>2709</v>
      </c>
      <c r="P208" s="83" t="s">
        <v>2071</v>
      </c>
      <c r="Q208" s="126">
        <v>40828</v>
      </c>
    </row>
    <row r="209" spans="1:17" x14ac:dyDescent="0.2">
      <c r="A209" s="83" t="s">
        <v>12</v>
      </c>
      <c r="B209" s="126">
        <v>40764</v>
      </c>
      <c r="C209" s="83">
        <v>2011101089</v>
      </c>
      <c r="D209" s="127" t="s">
        <v>14</v>
      </c>
      <c r="E209" s="127" t="s">
        <v>13</v>
      </c>
      <c r="F209" s="83" t="s">
        <v>70</v>
      </c>
      <c r="G209" s="83" t="s">
        <v>2086</v>
      </c>
      <c r="H209" s="133">
        <v>4665.46</v>
      </c>
      <c r="I209" s="128">
        <f t="shared" si="26"/>
        <v>839.78279999999995</v>
      </c>
      <c r="K209" s="128">
        <f t="shared" si="27"/>
        <v>5505.2428</v>
      </c>
      <c r="L209" s="83" t="s">
        <v>1904</v>
      </c>
      <c r="P209" s="83" t="s">
        <v>2071</v>
      </c>
      <c r="Q209" s="126">
        <v>40828</v>
      </c>
    </row>
    <row r="210" spans="1:17" x14ac:dyDescent="0.2">
      <c r="A210" s="83" t="s">
        <v>12</v>
      </c>
      <c r="B210" s="126">
        <v>40768</v>
      </c>
      <c r="C210" s="83">
        <v>2011101107</v>
      </c>
      <c r="D210" s="127" t="s">
        <v>14</v>
      </c>
      <c r="E210" s="127" t="s">
        <v>13</v>
      </c>
      <c r="F210" s="83" t="s">
        <v>2087</v>
      </c>
      <c r="G210" s="83" t="s">
        <v>2088</v>
      </c>
      <c r="H210" s="133">
        <v>10000</v>
      </c>
      <c r="I210" s="128">
        <f t="shared" si="26"/>
        <v>1800</v>
      </c>
      <c r="K210" s="128">
        <f t="shared" si="27"/>
        <v>11800</v>
      </c>
      <c r="L210" s="83" t="s">
        <v>2709</v>
      </c>
      <c r="P210" s="83" t="s">
        <v>2071</v>
      </c>
      <c r="Q210" s="126">
        <v>40828</v>
      </c>
    </row>
    <row r="211" spans="1:17" x14ac:dyDescent="0.2">
      <c r="A211" s="83" t="s">
        <v>12</v>
      </c>
      <c r="B211" s="126">
        <v>40768</v>
      </c>
      <c r="C211" s="83">
        <v>2011101106</v>
      </c>
      <c r="D211" s="127" t="s">
        <v>14</v>
      </c>
      <c r="E211" s="127" t="s">
        <v>13</v>
      </c>
      <c r="F211" s="83" t="s">
        <v>65</v>
      </c>
      <c r="G211" s="83" t="s">
        <v>2089</v>
      </c>
      <c r="H211" s="133">
        <v>3233.97</v>
      </c>
      <c r="I211" s="128">
        <f t="shared" si="26"/>
        <v>582.1146</v>
      </c>
      <c r="K211" s="128">
        <f t="shared" si="27"/>
        <v>3816.0845999999997</v>
      </c>
      <c r="L211" s="83" t="s">
        <v>2709</v>
      </c>
      <c r="P211" s="83" t="s">
        <v>2071</v>
      </c>
      <c r="Q211" s="126">
        <v>40828</v>
      </c>
    </row>
    <row r="212" spans="1:17" x14ac:dyDescent="0.2">
      <c r="A212" s="83" t="s">
        <v>12</v>
      </c>
      <c r="B212" s="126">
        <v>40768</v>
      </c>
      <c r="C212" s="83">
        <v>2011101105</v>
      </c>
      <c r="D212" s="127" t="s">
        <v>14</v>
      </c>
      <c r="E212" s="127" t="s">
        <v>13</v>
      </c>
      <c r="F212" s="83" t="s">
        <v>1357</v>
      </c>
      <c r="G212" s="83" t="s">
        <v>2090</v>
      </c>
      <c r="H212" s="133">
        <v>10593.22</v>
      </c>
      <c r="I212" s="128">
        <f t="shared" si="26"/>
        <v>1906.7795999999998</v>
      </c>
      <c r="K212" s="128">
        <f t="shared" si="27"/>
        <v>12499.999599999999</v>
      </c>
      <c r="L212" s="83" t="s">
        <v>2709</v>
      </c>
      <c r="P212" s="83" t="s">
        <v>2071</v>
      </c>
      <c r="Q212" s="126">
        <v>40828</v>
      </c>
    </row>
    <row r="213" spans="1:17" x14ac:dyDescent="0.2">
      <c r="A213" s="83" t="s">
        <v>12</v>
      </c>
      <c r="B213" s="126">
        <v>40788</v>
      </c>
      <c r="C213" s="83">
        <v>2011101173</v>
      </c>
      <c r="D213" s="127" t="s">
        <v>14</v>
      </c>
      <c r="E213" s="127" t="s">
        <v>13</v>
      </c>
      <c r="F213" s="83" t="s">
        <v>2091</v>
      </c>
      <c r="G213" s="83" t="s">
        <v>2092</v>
      </c>
      <c r="H213" s="133">
        <v>13135.59</v>
      </c>
      <c r="I213" s="128">
        <f t="shared" si="26"/>
        <v>2364.4061999999999</v>
      </c>
      <c r="K213" s="128">
        <f t="shared" si="27"/>
        <v>15499.9962</v>
      </c>
      <c r="L213" s="83" t="s">
        <v>1904</v>
      </c>
      <c r="P213" s="83" t="s">
        <v>2071</v>
      </c>
      <c r="Q213" s="126">
        <v>40828</v>
      </c>
    </row>
    <row r="214" spans="1:17" x14ac:dyDescent="0.2">
      <c r="A214" s="83" t="s">
        <v>12</v>
      </c>
      <c r="B214" s="126">
        <v>40798</v>
      </c>
      <c r="C214" s="83">
        <v>2011101202</v>
      </c>
      <c r="D214" s="127" t="s">
        <v>14</v>
      </c>
      <c r="E214" s="127" t="s">
        <v>13</v>
      </c>
      <c r="F214" s="83" t="s">
        <v>2093</v>
      </c>
      <c r="G214" s="83" t="s">
        <v>2094</v>
      </c>
      <c r="H214" s="133">
        <v>14071.94</v>
      </c>
      <c r="I214" s="128">
        <f t="shared" si="26"/>
        <v>2532.9492</v>
      </c>
      <c r="K214" s="128">
        <f t="shared" si="27"/>
        <v>16604.889200000001</v>
      </c>
      <c r="L214" s="83" t="s">
        <v>1904</v>
      </c>
      <c r="P214" s="83" t="s">
        <v>2071</v>
      </c>
      <c r="Q214" s="126">
        <v>40828</v>
      </c>
    </row>
    <row r="215" spans="1:17" x14ac:dyDescent="0.2">
      <c r="A215" s="83" t="s">
        <v>12</v>
      </c>
      <c r="B215" s="126">
        <v>40736</v>
      </c>
      <c r="C215" s="83" t="s">
        <v>2095</v>
      </c>
      <c r="D215" s="127" t="s">
        <v>1946</v>
      </c>
      <c r="E215" s="127" t="s">
        <v>26</v>
      </c>
      <c r="F215" s="83" t="s">
        <v>1342</v>
      </c>
      <c r="G215" s="83" t="s">
        <v>2096</v>
      </c>
      <c r="H215" s="83">
        <v>3389.83</v>
      </c>
      <c r="I215" s="128">
        <f t="shared" si="26"/>
        <v>610.1694</v>
      </c>
      <c r="K215" s="128">
        <f t="shared" si="27"/>
        <v>3999.9993999999997</v>
      </c>
      <c r="L215" s="83" t="s">
        <v>2709</v>
      </c>
      <c r="P215" s="83" t="s">
        <v>2071</v>
      </c>
      <c r="Q215" s="126">
        <v>40828</v>
      </c>
    </row>
    <row r="216" spans="1:17" x14ac:dyDescent="0.2">
      <c r="A216" s="83" t="s">
        <v>12</v>
      </c>
      <c r="B216" s="126">
        <v>40772</v>
      </c>
      <c r="C216" s="83" t="s">
        <v>2097</v>
      </c>
      <c r="D216" s="127" t="s">
        <v>1946</v>
      </c>
      <c r="E216" s="127" t="s">
        <v>26</v>
      </c>
      <c r="F216" s="83" t="s">
        <v>44</v>
      </c>
      <c r="G216" s="83" t="s">
        <v>2098</v>
      </c>
      <c r="H216" s="83">
        <v>1101.69</v>
      </c>
      <c r="I216" s="128">
        <f t="shared" si="26"/>
        <v>198.30420000000001</v>
      </c>
      <c r="K216" s="128">
        <f t="shared" si="27"/>
        <v>1299.9942000000001</v>
      </c>
      <c r="L216" s="83" t="s">
        <v>1904</v>
      </c>
      <c r="P216" s="83" t="s">
        <v>2071</v>
      </c>
      <c r="Q216" s="126">
        <v>40828</v>
      </c>
    </row>
    <row r="217" spans="1:17" x14ac:dyDescent="0.2">
      <c r="A217" s="83" t="s">
        <v>12</v>
      </c>
      <c r="B217" s="126">
        <v>40771</v>
      </c>
      <c r="C217" s="83" t="s">
        <v>2099</v>
      </c>
      <c r="D217" s="127" t="s">
        <v>1946</v>
      </c>
      <c r="E217" s="127" t="s">
        <v>26</v>
      </c>
      <c r="F217" s="83" t="s">
        <v>1342</v>
      </c>
      <c r="G217" s="83" t="s">
        <v>2100</v>
      </c>
      <c r="H217" s="83">
        <v>2542.37</v>
      </c>
      <c r="I217" s="128">
        <f t="shared" si="26"/>
        <v>457.62659999999994</v>
      </c>
      <c r="K217" s="128">
        <f t="shared" si="27"/>
        <v>2999.9965999999999</v>
      </c>
      <c r="L217" s="83" t="s">
        <v>1904</v>
      </c>
      <c r="P217" s="83" t="s">
        <v>2071</v>
      </c>
      <c r="Q217" s="126">
        <v>40828</v>
      </c>
    </row>
    <row r="218" spans="1:17" x14ac:dyDescent="0.2">
      <c r="A218" s="83" t="s">
        <v>12</v>
      </c>
      <c r="B218" s="126">
        <v>40745</v>
      </c>
      <c r="C218" s="83" t="s">
        <v>2101</v>
      </c>
      <c r="D218" s="127" t="s">
        <v>1946</v>
      </c>
      <c r="E218" s="127" t="s">
        <v>26</v>
      </c>
      <c r="F218" s="83" t="s">
        <v>1342</v>
      </c>
      <c r="G218" s="83" t="s">
        <v>2102</v>
      </c>
      <c r="H218" s="83">
        <v>3389.83</v>
      </c>
      <c r="I218" s="128">
        <f t="shared" si="26"/>
        <v>610.1694</v>
      </c>
      <c r="K218" s="128">
        <f t="shared" si="27"/>
        <v>3999.9993999999997</v>
      </c>
      <c r="L218" s="83" t="s">
        <v>1904</v>
      </c>
      <c r="P218" s="83" t="s">
        <v>2071</v>
      </c>
      <c r="Q218" s="126">
        <v>40828</v>
      </c>
    </row>
    <row r="219" spans="1:17" x14ac:dyDescent="0.2">
      <c r="A219" s="83" t="s">
        <v>12</v>
      </c>
      <c r="B219" s="126">
        <v>40785</v>
      </c>
      <c r="C219" s="83" t="s">
        <v>2103</v>
      </c>
      <c r="D219" s="127" t="s">
        <v>1701</v>
      </c>
      <c r="E219" s="127" t="s">
        <v>1702</v>
      </c>
      <c r="F219" s="83" t="s">
        <v>2047</v>
      </c>
      <c r="G219" s="83" t="s">
        <v>2104</v>
      </c>
      <c r="H219" s="83">
        <v>1694.92</v>
      </c>
      <c r="I219" s="128">
        <f t="shared" si="26"/>
        <v>305.0856</v>
      </c>
      <c r="K219" s="128">
        <f t="shared" si="27"/>
        <v>2000.0056</v>
      </c>
      <c r="L219" s="83" t="s">
        <v>1904</v>
      </c>
      <c r="P219" s="83" t="s">
        <v>2071</v>
      </c>
      <c r="Q219" s="126">
        <v>40828</v>
      </c>
    </row>
    <row r="220" spans="1:17" x14ac:dyDescent="0.2">
      <c r="A220" s="83" t="s">
        <v>12</v>
      </c>
      <c r="B220" s="126">
        <v>40793</v>
      </c>
      <c r="C220" s="83">
        <v>8967</v>
      </c>
      <c r="D220" s="83" t="s">
        <v>2105</v>
      </c>
      <c r="E220" s="83" t="s">
        <v>2106</v>
      </c>
      <c r="F220" s="83" t="s">
        <v>1357</v>
      </c>
      <c r="G220" s="83" t="s">
        <v>2107</v>
      </c>
      <c r="H220" s="83">
        <v>10169.49</v>
      </c>
      <c r="I220" s="128">
        <f t="shared" si="26"/>
        <v>1830.5082</v>
      </c>
      <c r="K220" s="128">
        <f t="shared" si="27"/>
        <v>11999.9982</v>
      </c>
      <c r="L220" s="83" t="s">
        <v>1904</v>
      </c>
      <c r="P220" s="83" t="s">
        <v>2071</v>
      </c>
      <c r="Q220" s="126">
        <v>40828</v>
      </c>
    </row>
    <row r="221" spans="1:17" x14ac:dyDescent="0.2">
      <c r="A221" s="83" t="s">
        <v>12</v>
      </c>
      <c r="B221" s="126">
        <v>40613</v>
      </c>
      <c r="C221" s="83" t="s">
        <v>951</v>
      </c>
      <c r="D221" s="127" t="s">
        <v>1806</v>
      </c>
      <c r="E221" s="127" t="s">
        <v>2108</v>
      </c>
      <c r="F221" s="83" t="s">
        <v>2075</v>
      </c>
      <c r="G221" s="83" t="s">
        <v>2076</v>
      </c>
      <c r="J221" s="83" t="s">
        <v>303</v>
      </c>
      <c r="K221" s="83">
        <v>500</v>
      </c>
      <c r="L221" s="83" t="s">
        <v>1904</v>
      </c>
      <c r="P221" s="83" t="s">
        <v>2071</v>
      </c>
      <c r="Q221" s="126">
        <v>40828</v>
      </c>
    </row>
    <row r="222" spans="1:17" x14ac:dyDescent="0.2">
      <c r="A222" s="83" t="s">
        <v>12</v>
      </c>
      <c r="B222" s="126">
        <v>40630</v>
      </c>
      <c r="C222" s="83" t="s">
        <v>951</v>
      </c>
      <c r="D222" s="127" t="s">
        <v>2110</v>
      </c>
      <c r="E222" s="127" t="s">
        <v>2111</v>
      </c>
      <c r="F222" s="83" t="s">
        <v>111</v>
      </c>
      <c r="G222" s="83" t="s">
        <v>2080</v>
      </c>
      <c r="K222" s="83">
        <v>750</v>
      </c>
      <c r="L222" s="83" t="s">
        <v>1904</v>
      </c>
      <c r="P222" s="83" t="s">
        <v>2071</v>
      </c>
      <c r="Q222" s="126">
        <v>40828</v>
      </c>
    </row>
    <row r="223" spans="1:17" x14ac:dyDescent="0.2">
      <c r="A223" s="83" t="s">
        <v>408</v>
      </c>
      <c r="B223" s="126">
        <v>40760</v>
      </c>
      <c r="C223" s="83" t="s">
        <v>2113</v>
      </c>
      <c r="D223" s="127" t="s">
        <v>2114</v>
      </c>
      <c r="E223" s="127" t="s">
        <v>2115</v>
      </c>
      <c r="F223" s="83" t="s">
        <v>2116</v>
      </c>
      <c r="G223" s="83" t="s">
        <v>1781</v>
      </c>
      <c r="H223" s="128">
        <f>7000/1.18</f>
        <v>5932.203389830509</v>
      </c>
      <c r="I223" s="128">
        <f>H223*0.18</f>
        <v>1067.7966101694915</v>
      </c>
      <c r="K223" s="128">
        <f>+H223+I223</f>
        <v>7000</v>
      </c>
      <c r="L223" s="83" t="s">
        <v>2117</v>
      </c>
      <c r="M223" s="83" t="s">
        <v>2554</v>
      </c>
      <c r="P223" s="83" t="s">
        <v>2071</v>
      </c>
      <c r="Q223" s="126">
        <v>40828</v>
      </c>
    </row>
    <row r="224" spans="1:17" x14ac:dyDescent="0.2">
      <c r="A224" s="83" t="s">
        <v>408</v>
      </c>
      <c r="B224" s="126">
        <v>40758</v>
      </c>
      <c r="C224" s="83" t="s">
        <v>2118</v>
      </c>
      <c r="D224" s="127" t="s">
        <v>2119</v>
      </c>
      <c r="E224" s="127" t="s">
        <v>2120</v>
      </c>
      <c r="F224" s="83" t="s">
        <v>1720</v>
      </c>
      <c r="G224" s="83" t="s">
        <v>1728</v>
      </c>
      <c r="H224" s="128">
        <f>7000/1.18</f>
        <v>5932.203389830509</v>
      </c>
      <c r="I224" s="128">
        <f>H224*0.18</f>
        <v>1067.7966101694915</v>
      </c>
      <c r="K224" s="128">
        <f>+H224+I224</f>
        <v>7000</v>
      </c>
      <c r="L224" s="83" t="s">
        <v>1808</v>
      </c>
      <c r="M224" s="83" t="s">
        <v>2552</v>
      </c>
      <c r="P224" s="83" t="s">
        <v>2071</v>
      </c>
      <c r="Q224" s="126">
        <v>40828</v>
      </c>
    </row>
    <row r="225" spans="1:17" x14ac:dyDescent="0.2">
      <c r="A225" s="83" t="s">
        <v>408</v>
      </c>
      <c r="B225" s="126">
        <v>40758</v>
      </c>
      <c r="C225" s="83" t="s">
        <v>2123</v>
      </c>
      <c r="D225" s="127" t="s">
        <v>2122</v>
      </c>
      <c r="E225" s="127" t="s">
        <v>2121</v>
      </c>
      <c r="F225" s="83" t="s">
        <v>49</v>
      </c>
      <c r="G225" s="83" t="s">
        <v>1877</v>
      </c>
      <c r="H225" s="128">
        <f>4200/1.18</f>
        <v>3559.3220338983051</v>
      </c>
      <c r="I225" s="128">
        <f>H225*0.18</f>
        <v>640.67796610169489</v>
      </c>
      <c r="K225" s="128">
        <f>+H225+I225</f>
        <v>4200</v>
      </c>
      <c r="L225" s="83" t="s">
        <v>1929</v>
      </c>
      <c r="M225" s="83" t="s">
        <v>2554</v>
      </c>
      <c r="P225" s="83" t="s">
        <v>2071</v>
      </c>
      <c r="Q225" s="126">
        <v>40828</v>
      </c>
    </row>
    <row r="226" spans="1:17" x14ac:dyDescent="0.2">
      <c r="A226" s="83" t="s">
        <v>408</v>
      </c>
      <c r="B226" s="126">
        <v>40758</v>
      </c>
      <c r="C226" s="83" t="s">
        <v>2124</v>
      </c>
      <c r="D226" s="127" t="s">
        <v>2125</v>
      </c>
      <c r="E226" s="127" t="s">
        <v>2126</v>
      </c>
      <c r="F226" s="83" t="s">
        <v>81</v>
      </c>
      <c r="G226" s="83" t="s">
        <v>2127</v>
      </c>
      <c r="J226" s="83" t="s">
        <v>303</v>
      </c>
      <c r="K226" s="83">
        <v>100</v>
      </c>
      <c r="L226" s="83" t="s">
        <v>2143</v>
      </c>
      <c r="M226" s="83" t="s">
        <v>2620</v>
      </c>
      <c r="P226" s="83" t="s">
        <v>2071</v>
      </c>
      <c r="Q226" s="126">
        <v>40828</v>
      </c>
    </row>
    <row r="227" spans="1:17" x14ac:dyDescent="0.2">
      <c r="A227" s="83" t="s">
        <v>408</v>
      </c>
      <c r="B227" s="126">
        <v>40760</v>
      </c>
      <c r="C227" s="83" t="s">
        <v>2128</v>
      </c>
      <c r="D227" s="127" t="s">
        <v>2129</v>
      </c>
      <c r="E227" s="127" t="s">
        <v>2130</v>
      </c>
      <c r="F227" s="83" t="s">
        <v>1012</v>
      </c>
      <c r="G227" s="83" t="s">
        <v>1917</v>
      </c>
      <c r="H227" s="128">
        <f>5000/1.18</f>
        <v>4237.2881355932204</v>
      </c>
      <c r="I227" s="128">
        <f>H227*0.18</f>
        <v>762.71186440677968</v>
      </c>
      <c r="K227" s="128">
        <f>+H227+I227</f>
        <v>5000</v>
      </c>
      <c r="L227" s="83" t="s">
        <v>2048</v>
      </c>
      <c r="M227" s="83" t="s">
        <v>2583</v>
      </c>
      <c r="P227" s="83" t="s">
        <v>2071</v>
      </c>
      <c r="Q227" s="126">
        <v>40828</v>
      </c>
    </row>
    <row r="228" spans="1:17" x14ac:dyDescent="0.2">
      <c r="A228" s="83" t="s">
        <v>408</v>
      </c>
      <c r="B228" s="126">
        <v>40780</v>
      </c>
      <c r="C228" s="83" t="s">
        <v>2132</v>
      </c>
      <c r="D228" s="127" t="s">
        <v>2133</v>
      </c>
      <c r="E228" s="127" t="s">
        <v>2134</v>
      </c>
      <c r="F228" s="83" t="s">
        <v>1740</v>
      </c>
      <c r="G228" s="83" t="s">
        <v>1741</v>
      </c>
      <c r="H228" s="128">
        <f>5000/1.18</f>
        <v>4237.2881355932204</v>
      </c>
      <c r="I228" s="128">
        <f>H228*0.18</f>
        <v>762.71186440677968</v>
      </c>
      <c r="K228" s="128">
        <f>+H228+I228</f>
        <v>5000</v>
      </c>
      <c r="L228" s="83" t="s">
        <v>2131</v>
      </c>
      <c r="M228" s="83" t="s">
        <v>2555</v>
      </c>
      <c r="P228" s="83" t="s">
        <v>2071</v>
      </c>
      <c r="Q228" s="126">
        <v>40828</v>
      </c>
    </row>
    <row r="229" spans="1:17" x14ac:dyDescent="0.2">
      <c r="A229" s="83" t="s">
        <v>408</v>
      </c>
      <c r="B229" s="126">
        <v>40788</v>
      </c>
      <c r="C229" s="83" t="s">
        <v>2135</v>
      </c>
      <c r="D229" s="127" t="s">
        <v>2136</v>
      </c>
      <c r="E229" s="127" t="s">
        <v>2137</v>
      </c>
      <c r="F229" s="83" t="s">
        <v>1044</v>
      </c>
      <c r="G229" s="83" t="s">
        <v>1784</v>
      </c>
      <c r="H229" s="128">
        <f>6500/1.18</f>
        <v>5508.4745762711864</v>
      </c>
      <c r="I229" s="128">
        <f>H229*0.18</f>
        <v>991.52542372881351</v>
      </c>
      <c r="K229" s="128">
        <f>+H229+I229</f>
        <v>6500</v>
      </c>
      <c r="L229" s="83" t="s">
        <v>2138</v>
      </c>
      <c r="M229" s="83" t="s">
        <v>2556</v>
      </c>
      <c r="P229" s="83" t="s">
        <v>2071</v>
      </c>
      <c r="Q229" s="126">
        <v>40828</v>
      </c>
    </row>
    <row r="230" spans="1:17" x14ac:dyDescent="0.2">
      <c r="A230" s="83" t="s">
        <v>408</v>
      </c>
      <c r="B230" s="126">
        <v>40788</v>
      </c>
      <c r="C230" s="83" t="s">
        <v>2139</v>
      </c>
      <c r="D230" s="127" t="s">
        <v>2593</v>
      </c>
      <c r="E230" s="127" t="s">
        <v>2140</v>
      </c>
      <c r="F230" s="83" t="s">
        <v>2141</v>
      </c>
      <c r="G230" s="83" t="s">
        <v>2142</v>
      </c>
      <c r="K230" s="83">
        <v>13500</v>
      </c>
      <c r="L230" s="83" t="s">
        <v>2423</v>
      </c>
      <c r="M230" s="83" t="s">
        <v>2594</v>
      </c>
      <c r="P230" s="83" t="s">
        <v>2071</v>
      </c>
      <c r="Q230" s="126">
        <v>40828</v>
      </c>
    </row>
    <row r="231" spans="1:17" x14ac:dyDescent="0.2">
      <c r="A231" s="83" t="s">
        <v>408</v>
      </c>
      <c r="B231" s="126">
        <v>40792</v>
      </c>
      <c r="C231" s="83" t="s">
        <v>2145</v>
      </c>
      <c r="D231" s="127" t="s">
        <v>2146</v>
      </c>
      <c r="E231" s="127" t="s">
        <v>2147</v>
      </c>
      <c r="F231" s="83" t="s">
        <v>1044</v>
      </c>
      <c r="G231" s="83" t="s">
        <v>1727</v>
      </c>
      <c r="H231" s="128">
        <f>4000/1.18</f>
        <v>3389.8305084745766</v>
      </c>
      <c r="I231" s="128">
        <f t="shared" ref="I231:I253" si="28">H231*0.18</f>
        <v>610.16949152542372</v>
      </c>
      <c r="K231" s="128">
        <f t="shared" ref="K231:K253" si="29">+H231+I231</f>
        <v>4000.0000000000005</v>
      </c>
      <c r="L231" s="83" t="s">
        <v>2037</v>
      </c>
      <c r="M231" s="83" t="s">
        <v>31</v>
      </c>
      <c r="P231" s="83" t="s">
        <v>2071</v>
      </c>
      <c r="Q231" s="126">
        <v>40828</v>
      </c>
    </row>
    <row r="232" spans="1:17" x14ac:dyDescent="0.2">
      <c r="A232" s="83" t="s">
        <v>408</v>
      </c>
      <c r="B232" s="126">
        <v>40794</v>
      </c>
      <c r="C232" s="83" t="s">
        <v>2149</v>
      </c>
      <c r="D232" s="127" t="s">
        <v>2150</v>
      </c>
      <c r="E232" s="127" t="s">
        <v>2151</v>
      </c>
      <c r="F232" s="83" t="s">
        <v>2093</v>
      </c>
      <c r="G232" s="83" t="s">
        <v>2094</v>
      </c>
      <c r="H232" s="128">
        <f>16900/1.18</f>
        <v>14322.033898305086</v>
      </c>
      <c r="I232" s="128">
        <f t="shared" si="28"/>
        <v>2577.9661016949153</v>
      </c>
      <c r="K232" s="128">
        <f t="shared" si="29"/>
        <v>16900</v>
      </c>
      <c r="L232" s="83" t="s">
        <v>2148</v>
      </c>
      <c r="M232" s="83" t="s">
        <v>2584</v>
      </c>
      <c r="P232" s="83" t="s">
        <v>2071</v>
      </c>
      <c r="Q232" s="126">
        <v>40828</v>
      </c>
    </row>
    <row r="233" spans="1:17" x14ac:dyDescent="0.2">
      <c r="A233" s="83" t="s">
        <v>408</v>
      </c>
      <c r="B233" s="126">
        <v>40778</v>
      </c>
      <c r="C233" s="83" t="s">
        <v>2152</v>
      </c>
      <c r="D233" s="127" t="s">
        <v>2153</v>
      </c>
      <c r="E233" s="127" t="s">
        <v>2154</v>
      </c>
      <c r="F233" s="83" t="s">
        <v>1358</v>
      </c>
      <c r="G233" s="83" t="s">
        <v>1779</v>
      </c>
      <c r="H233" s="128">
        <f>2700/1.18</f>
        <v>2288.1355932203392</v>
      </c>
      <c r="I233" s="128">
        <f t="shared" si="28"/>
        <v>411.86440677966101</v>
      </c>
      <c r="K233" s="128">
        <f t="shared" si="29"/>
        <v>2700</v>
      </c>
      <c r="L233" s="83" t="s">
        <v>1810</v>
      </c>
      <c r="M233" s="83" t="s">
        <v>2569</v>
      </c>
      <c r="P233" s="83" t="s">
        <v>2071</v>
      </c>
      <c r="Q233" s="126">
        <v>40828</v>
      </c>
    </row>
    <row r="234" spans="1:17" x14ac:dyDescent="0.2">
      <c r="A234" s="83" t="s">
        <v>408</v>
      </c>
      <c r="B234" s="126">
        <v>40793</v>
      </c>
      <c r="C234" s="83" t="s">
        <v>2156</v>
      </c>
      <c r="D234" s="127" t="s">
        <v>2157</v>
      </c>
      <c r="E234" s="127" t="s">
        <v>2158</v>
      </c>
      <c r="F234" s="83" t="s">
        <v>2091</v>
      </c>
      <c r="G234" s="83" t="s">
        <v>2092</v>
      </c>
      <c r="H234" s="128">
        <f>16200/1.18</f>
        <v>13728.813559322034</v>
      </c>
      <c r="I234" s="128">
        <f t="shared" si="28"/>
        <v>2471.1864406779659</v>
      </c>
      <c r="K234" s="128">
        <f t="shared" si="29"/>
        <v>16200</v>
      </c>
      <c r="L234" s="83" t="s">
        <v>2155</v>
      </c>
      <c r="M234" s="83" t="s">
        <v>2558</v>
      </c>
      <c r="P234" s="83" t="s">
        <v>2071</v>
      </c>
      <c r="Q234" s="126">
        <v>40828</v>
      </c>
    </row>
    <row r="235" spans="1:17" x14ac:dyDescent="0.2">
      <c r="A235" s="83" t="s">
        <v>408</v>
      </c>
      <c r="B235" s="126">
        <v>40778</v>
      </c>
      <c r="C235" s="83" t="s">
        <v>2159</v>
      </c>
      <c r="D235" s="127" t="s">
        <v>2170</v>
      </c>
      <c r="E235" s="127" t="s">
        <v>2171</v>
      </c>
      <c r="F235" s="83" t="s">
        <v>1954</v>
      </c>
      <c r="G235" s="83" t="s">
        <v>1955</v>
      </c>
      <c r="H235" s="128">
        <f>6800/1.18</f>
        <v>5762.7118644067796</v>
      </c>
      <c r="I235" s="128">
        <f t="shared" si="28"/>
        <v>1037.2881355932202</v>
      </c>
      <c r="K235" s="128">
        <f t="shared" si="29"/>
        <v>6800</v>
      </c>
      <c r="L235" s="83" t="s">
        <v>2169</v>
      </c>
      <c r="M235" s="83" t="s">
        <v>31</v>
      </c>
      <c r="P235" s="83" t="s">
        <v>2071</v>
      </c>
      <c r="Q235" s="126">
        <v>40828</v>
      </c>
    </row>
    <row r="236" spans="1:17" x14ac:dyDescent="0.2">
      <c r="A236" s="83" t="s">
        <v>408</v>
      </c>
      <c r="B236" s="126">
        <v>40778</v>
      </c>
      <c r="C236" s="83" t="s">
        <v>2160</v>
      </c>
      <c r="D236" s="127" t="s">
        <v>1701</v>
      </c>
      <c r="E236" s="127" t="s">
        <v>1702</v>
      </c>
      <c r="F236" s="83" t="s">
        <v>1012</v>
      </c>
      <c r="G236" s="83" t="s">
        <v>1967</v>
      </c>
      <c r="H236" s="128">
        <f>7900/1.18</f>
        <v>6694.9152542372885</v>
      </c>
      <c r="I236" s="128">
        <f t="shared" si="28"/>
        <v>1205.0847457627119</v>
      </c>
      <c r="K236" s="128">
        <f t="shared" si="29"/>
        <v>7900</v>
      </c>
      <c r="L236" s="83" t="s">
        <v>2172</v>
      </c>
      <c r="M236" s="83" t="s">
        <v>2570</v>
      </c>
      <c r="P236" s="83" t="s">
        <v>2071</v>
      </c>
      <c r="Q236" s="126">
        <v>40828</v>
      </c>
    </row>
    <row r="237" spans="1:17" x14ac:dyDescent="0.2">
      <c r="A237" s="83" t="s">
        <v>408</v>
      </c>
      <c r="B237" s="126">
        <v>40781</v>
      </c>
      <c r="C237" s="83" t="s">
        <v>2161</v>
      </c>
      <c r="D237" s="127" t="s">
        <v>2170</v>
      </c>
      <c r="E237" s="127" t="s">
        <v>2171</v>
      </c>
      <c r="F237" s="83" t="s">
        <v>49</v>
      </c>
      <c r="G237" s="83" t="s">
        <v>1640</v>
      </c>
      <c r="H237" s="128">
        <f>3900/1.18</f>
        <v>3305.0847457627119</v>
      </c>
      <c r="I237" s="128">
        <f t="shared" si="28"/>
        <v>594.91525423728808</v>
      </c>
      <c r="K237" s="128">
        <f t="shared" si="29"/>
        <v>3900</v>
      </c>
      <c r="L237" s="83" t="s">
        <v>1817</v>
      </c>
      <c r="M237" s="83" t="s">
        <v>2555</v>
      </c>
      <c r="P237" s="83" t="s">
        <v>2071</v>
      </c>
      <c r="Q237" s="126">
        <v>40828</v>
      </c>
    </row>
    <row r="238" spans="1:17" x14ac:dyDescent="0.2">
      <c r="A238" s="83" t="s">
        <v>408</v>
      </c>
      <c r="B238" s="126">
        <v>40791</v>
      </c>
      <c r="C238" s="83" t="s">
        <v>2162</v>
      </c>
      <c r="D238" s="127" t="s">
        <v>2173</v>
      </c>
      <c r="E238" s="127" t="s">
        <v>2174</v>
      </c>
      <c r="F238" s="83" t="s">
        <v>78</v>
      </c>
      <c r="G238" s="83" t="s">
        <v>1646</v>
      </c>
      <c r="H238" s="128">
        <f>3000/1.18</f>
        <v>2542.3728813559323</v>
      </c>
      <c r="I238" s="128">
        <f t="shared" si="28"/>
        <v>457.62711864406782</v>
      </c>
      <c r="K238" s="128">
        <f t="shared" si="29"/>
        <v>3000</v>
      </c>
      <c r="L238" s="83" t="s">
        <v>1817</v>
      </c>
      <c r="M238" s="83" t="s">
        <v>2556</v>
      </c>
      <c r="P238" s="83" t="s">
        <v>2071</v>
      </c>
      <c r="Q238" s="126">
        <v>40828</v>
      </c>
    </row>
    <row r="239" spans="1:17" x14ac:dyDescent="0.2">
      <c r="A239" s="83" t="s">
        <v>408</v>
      </c>
      <c r="B239" s="126">
        <v>40795</v>
      </c>
      <c r="C239" s="83" t="s">
        <v>2163</v>
      </c>
      <c r="D239" s="127" t="s">
        <v>1703</v>
      </c>
      <c r="E239" s="127" t="s">
        <v>1704</v>
      </c>
      <c r="F239" s="83" t="s">
        <v>35</v>
      </c>
      <c r="G239" s="83" t="s">
        <v>1971</v>
      </c>
      <c r="H239" s="128">
        <f>7700/1.18</f>
        <v>6525.42372881356</v>
      </c>
      <c r="I239" s="128">
        <f t="shared" si="28"/>
        <v>1174.5762711864409</v>
      </c>
      <c r="K239" s="128">
        <f t="shared" si="29"/>
        <v>7700.0000000000009</v>
      </c>
      <c r="L239" s="83" t="s">
        <v>2062</v>
      </c>
      <c r="M239" s="83" t="s">
        <v>2556</v>
      </c>
      <c r="P239" s="83" t="s">
        <v>2071</v>
      </c>
      <c r="Q239" s="126">
        <v>40828</v>
      </c>
    </row>
    <row r="240" spans="1:17" x14ac:dyDescent="0.2">
      <c r="A240" s="83" t="s">
        <v>408</v>
      </c>
      <c r="B240" s="126">
        <v>40800</v>
      </c>
      <c r="C240" s="83" t="s">
        <v>2164</v>
      </c>
      <c r="D240" s="127" t="s">
        <v>2175</v>
      </c>
      <c r="E240" s="127" t="s">
        <v>2176</v>
      </c>
      <c r="F240" s="83" t="s">
        <v>59</v>
      </c>
      <c r="G240" s="83" t="s">
        <v>1911</v>
      </c>
      <c r="H240" s="128">
        <f>3000/1.18</f>
        <v>2542.3728813559323</v>
      </c>
      <c r="I240" s="128">
        <f t="shared" si="28"/>
        <v>457.62711864406782</v>
      </c>
      <c r="K240" s="128">
        <f t="shared" si="29"/>
        <v>3000</v>
      </c>
      <c r="L240" s="83" t="s">
        <v>2048</v>
      </c>
      <c r="M240" s="83" t="s">
        <v>2546</v>
      </c>
      <c r="P240" s="83" t="s">
        <v>2071</v>
      </c>
      <c r="Q240" s="126">
        <v>40828</v>
      </c>
    </row>
    <row r="241" spans="1:17" x14ac:dyDescent="0.2">
      <c r="A241" s="83" t="s">
        <v>408</v>
      </c>
      <c r="B241" s="126">
        <v>40809</v>
      </c>
      <c r="C241" s="83" t="s">
        <v>2165</v>
      </c>
      <c r="D241" s="127" t="s">
        <v>2177</v>
      </c>
      <c r="E241" s="127" t="s">
        <v>2023</v>
      </c>
      <c r="F241" s="83" t="s">
        <v>1035</v>
      </c>
      <c r="G241" s="83" t="s">
        <v>1729</v>
      </c>
      <c r="H241" s="128">
        <f>6400/1.18</f>
        <v>5423.7288135593226</v>
      </c>
      <c r="I241" s="128">
        <f t="shared" si="28"/>
        <v>976.27118644067798</v>
      </c>
      <c r="K241" s="128">
        <f t="shared" si="29"/>
        <v>6400.0000000000009</v>
      </c>
      <c r="L241" s="83" t="s">
        <v>1808</v>
      </c>
      <c r="M241" s="83" t="s">
        <v>2566</v>
      </c>
      <c r="P241" s="83" t="s">
        <v>2071</v>
      </c>
      <c r="Q241" s="126">
        <v>40828</v>
      </c>
    </row>
    <row r="242" spans="1:17" x14ac:dyDescent="0.2">
      <c r="A242" s="83" t="s">
        <v>408</v>
      </c>
      <c r="B242" s="126">
        <v>40812</v>
      </c>
      <c r="C242" s="83" t="s">
        <v>2166</v>
      </c>
      <c r="D242" s="127" t="s">
        <v>2178</v>
      </c>
      <c r="E242" s="127" t="s">
        <v>2144</v>
      </c>
      <c r="F242" s="83" t="s">
        <v>32</v>
      </c>
      <c r="G242" s="83" t="s">
        <v>1974</v>
      </c>
      <c r="H242" s="128">
        <f>3600/1.18</f>
        <v>3050.8474576271187</v>
      </c>
      <c r="I242" s="128">
        <f t="shared" si="28"/>
        <v>549.15254237288138</v>
      </c>
      <c r="K242" s="128">
        <f t="shared" si="29"/>
        <v>3600</v>
      </c>
      <c r="L242" s="83" t="s">
        <v>2009</v>
      </c>
      <c r="M242" s="83" t="s">
        <v>31</v>
      </c>
      <c r="P242" s="83" t="s">
        <v>2071</v>
      </c>
      <c r="Q242" s="126">
        <v>40828</v>
      </c>
    </row>
    <row r="243" spans="1:17" x14ac:dyDescent="0.2">
      <c r="A243" s="83" t="s">
        <v>408</v>
      </c>
      <c r="B243" s="126">
        <v>40816</v>
      </c>
      <c r="C243" s="83" t="s">
        <v>2167</v>
      </c>
      <c r="D243" s="127" t="s">
        <v>2179</v>
      </c>
      <c r="E243" s="127" t="s">
        <v>2180</v>
      </c>
      <c r="F243" s="83" t="s">
        <v>44</v>
      </c>
      <c r="G243" s="83" t="s">
        <v>1732</v>
      </c>
      <c r="H243" s="128">
        <f>3850/1.18</f>
        <v>3262.71186440678</v>
      </c>
      <c r="I243" s="128">
        <f t="shared" si="28"/>
        <v>587.28813559322043</v>
      </c>
      <c r="K243" s="128">
        <f t="shared" si="29"/>
        <v>3850.0000000000005</v>
      </c>
      <c r="L243" s="83" t="s">
        <v>1808</v>
      </c>
      <c r="M243" s="83" t="s">
        <v>2585</v>
      </c>
      <c r="P243" s="83" t="s">
        <v>2071</v>
      </c>
      <c r="Q243" s="126">
        <v>40828</v>
      </c>
    </row>
    <row r="244" spans="1:17" x14ac:dyDescent="0.2">
      <c r="A244" s="83" t="s">
        <v>408</v>
      </c>
      <c r="B244" s="126">
        <v>40816</v>
      </c>
      <c r="C244" s="83" t="s">
        <v>2168</v>
      </c>
      <c r="D244" s="127" t="s">
        <v>1701</v>
      </c>
      <c r="E244" s="127" t="s">
        <v>1702</v>
      </c>
      <c r="F244" s="83" t="s">
        <v>44</v>
      </c>
      <c r="G244" s="83" t="s">
        <v>2098</v>
      </c>
      <c r="H244" s="128">
        <f>1500/1.18</f>
        <v>1271.1864406779662</v>
      </c>
      <c r="I244" s="128">
        <f t="shared" si="28"/>
        <v>228.81355932203391</v>
      </c>
      <c r="K244" s="128">
        <f t="shared" si="29"/>
        <v>1500</v>
      </c>
      <c r="L244" s="83" t="s">
        <v>2181</v>
      </c>
      <c r="M244" s="83" t="s">
        <v>2620</v>
      </c>
      <c r="P244" s="83" t="s">
        <v>2071</v>
      </c>
      <c r="Q244" s="126">
        <v>40828</v>
      </c>
    </row>
    <row r="245" spans="1:17" x14ac:dyDescent="0.2">
      <c r="A245" s="83" t="s">
        <v>12</v>
      </c>
      <c r="B245" s="126">
        <v>40784</v>
      </c>
      <c r="C245" s="83" t="s">
        <v>2182</v>
      </c>
      <c r="D245" s="127" t="s">
        <v>2201</v>
      </c>
      <c r="E245" s="127" t="s">
        <v>2171</v>
      </c>
      <c r="F245" s="83" t="s">
        <v>53</v>
      </c>
      <c r="G245" s="83" t="s">
        <v>2183</v>
      </c>
      <c r="H245" s="128">
        <f>1200/1.18</f>
        <v>1016.949152542373</v>
      </c>
      <c r="I245" s="128">
        <f t="shared" si="28"/>
        <v>183.05084745762713</v>
      </c>
      <c r="K245" s="128">
        <f t="shared" si="29"/>
        <v>1200</v>
      </c>
      <c r="L245" s="83" t="s">
        <v>2709</v>
      </c>
      <c r="P245" s="83" t="s">
        <v>2071</v>
      </c>
      <c r="Q245" s="126">
        <v>40828</v>
      </c>
    </row>
    <row r="246" spans="1:17" x14ac:dyDescent="0.2">
      <c r="A246" s="83" t="s">
        <v>12</v>
      </c>
      <c r="B246" s="126">
        <v>40798</v>
      </c>
      <c r="C246" s="83" t="s">
        <v>2184</v>
      </c>
      <c r="D246" s="127" t="s">
        <v>1946</v>
      </c>
      <c r="E246" s="127" t="s">
        <v>26</v>
      </c>
      <c r="F246" s="83" t="s">
        <v>44</v>
      </c>
      <c r="G246" s="83" t="s">
        <v>2185</v>
      </c>
      <c r="H246" s="83">
        <v>1101.69</v>
      </c>
      <c r="I246" s="128">
        <f t="shared" si="28"/>
        <v>198.30420000000001</v>
      </c>
      <c r="K246" s="128">
        <f t="shared" si="29"/>
        <v>1299.9942000000001</v>
      </c>
      <c r="L246" s="83" t="s">
        <v>1904</v>
      </c>
      <c r="P246" s="83" t="s">
        <v>2071</v>
      </c>
      <c r="Q246" s="126">
        <v>40830</v>
      </c>
    </row>
    <row r="247" spans="1:17" x14ac:dyDescent="0.2">
      <c r="A247" s="83" t="s">
        <v>12</v>
      </c>
      <c r="B247" s="126">
        <v>40798</v>
      </c>
      <c r="C247" s="83" t="s">
        <v>2186</v>
      </c>
      <c r="D247" s="127" t="s">
        <v>1946</v>
      </c>
      <c r="E247" s="127" t="s">
        <v>26</v>
      </c>
      <c r="F247" s="83" t="s">
        <v>2187</v>
      </c>
      <c r="G247" s="83" t="s">
        <v>2188</v>
      </c>
      <c r="H247" s="83">
        <v>3813.56</v>
      </c>
      <c r="I247" s="128">
        <f t="shared" si="28"/>
        <v>686.44079999999997</v>
      </c>
      <c r="K247" s="128">
        <f t="shared" si="29"/>
        <v>4500.0007999999998</v>
      </c>
      <c r="L247" s="83" t="s">
        <v>1904</v>
      </c>
      <c r="P247" s="83" t="s">
        <v>2071</v>
      </c>
      <c r="Q247" s="126">
        <v>40830</v>
      </c>
    </row>
    <row r="248" spans="1:17" x14ac:dyDescent="0.2">
      <c r="A248" s="83" t="s">
        <v>12</v>
      </c>
      <c r="B248" s="126">
        <v>40799</v>
      </c>
      <c r="C248" s="83" t="s">
        <v>2189</v>
      </c>
      <c r="D248" s="127" t="s">
        <v>1946</v>
      </c>
      <c r="E248" s="127" t="s">
        <v>26</v>
      </c>
      <c r="F248" s="83" t="s">
        <v>2190</v>
      </c>
      <c r="G248" s="83" t="s">
        <v>2191</v>
      </c>
      <c r="H248" s="83">
        <v>2542.37</v>
      </c>
      <c r="I248" s="128">
        <f t="shared" si="28"/>
        <v>457.62659999999994</v>
      </c>
      <c r="K248" s="128">
        <f t="shared" si="29"/>
        <v>2999.9965999999999</v>
      </c>
      <c r="L248" s="83" t="s">
        <v>1904</v>
      </c>
      <c r="P248" s="83" t="s">
        <v>2071</v>
      </c>
      <c r="Q248" s="126">
        <v>40830</v>
      </c>
    </row>
    <row r="249" spans="1:17" x14ac:dyDescent="0.2">
      <c r="A249" s="83" t="s">
        <v>12</v>
      </c>
      <c r="B249" s="126">
        <v>40723</v>
      </c>
      <c r="C249" s="83" t="s">
        <v>2192</v>
      </c>
      <c r="D249" s="127" t="s">
        <v>1946</v>
      </c>
      <c r="E249" s="127" t="s">
        <v>26</v>
      </c>
      <c r="F249" s="83" t="s">
        <v>1342</v>
      </c>
      <c r="G249" s="83" t="s">
        <v>2193</v>
      </c>
      <c r="H249" s="83">
        <v>4406.78</v>
      </c>
      <c r="I249" s="128">
        <f t="shared" si="28"/>
        <v>793.22039999999993</v>
      </c>
      <c r="K249" s="128">
        <f t="shared" si="29"/>
        <v>5200.0003999999999</v>
      </c>
      <c r="L249" s="83" t="s">
        <v>1904</v>
      </c>
      <c r="P249" s="83" t="s">
        <v>2071</v>
      </c>
      <c r="Q249" s="126">
        <v>40830</v>
      </c>
    </row>
    <row r="250" spans="1:17" x14ac:dyDescent="0.2">
      <c r="A250" s="83" t="s">
        <v>12</v>
      </c>
      <c r="B250" s="126">
        <v>40786</v>
      </c>
      <c r="C250" s="83" t="s">
        <v>2195</v>
      </c>
      <c r="D250" s="127" t="s">
        <v>1946</v>
      </c>
      <c r="E250" s="127" t="s">
        <v>26</v>
      </c>
      <c r="F250" s="83" t="s">
        <v>2196</v>
      </c>
      <c r="G250" s="83" t="s">
        <v>2194</v>
      </c>
      <c r="H250" s="83">
        <v>7796.61</v>
      </c>
      <c r="I250" s="128">
        <f t="shared" si="28"/>
        <v>1403.3897999999999</v>
      </c>
      <c r="K250" s="128">
        <f t="shared" si="29"/>
        <v>9199.9997999999996</v>
      </c>
      <c r="L250" s="83" t="s">
        <v>2709</v>
      </c>
      <c r="P250" s="83" t="s">
        <v>2071</v>
      </c>
      <c r="Q250" s="126">
        <v>40830</v>
      </c>
    </row>
    <row r="251" spans="1:17" x14ac:dyDescent="0.2">
      <c r="A251" s="83" t="s">
        <v>12</v>
      </c>
      <c r="B251" s="126">
        <v>40802</v>
      </c>
      <c r="C251" s="83">
        <v>2011101223</v>
      </c>
      <c r="D251" s="127" t="s">
        <v>14</v>
      </c>
      <c r="E251" s="127" t="s">
        <v>13</v>
      </c>
      <c r="F251" s="83" t="s">
        <v>1975</v>
      </c>
      <c r="G251" s="83" t="s">
        <v>2197</v>
      </c>
      <c r="H251" s="133">
        <v>4309.41</v>
      </c>
      <c r="I251" s="128">
        <f t="shared" si="28"/>
        <v>775.6937999999999</v>
      </c>
      <c r="K251" s="128">
        <f t="shared" si="29"/>
        <v>5085.1037999999999</v>
      </c>
      <c r="L251" s="83" t="s">
        <v>2709</v>
      </c>
      <c r="P251" s="83" t="s">
        <v>2071</v>
      </c>
      <c r="Q251" s="126">
        <v>40830</v>
      </c>
    </row>
    <row r="252" spans="1:17" x14ac:dyDescent="0.2">
      <c r="A252" s="83" t="s">
        <v>12</v>
      </c>
      <c r="B252" s="126">
        <v>40802</v>
      </c>
      <c r="C252" s="83">
        <v>2011101224</v>
      </c>
      <c r="D252" s="127" t="s">
        <v>14</v>
      </c>
      <c r="E252" s="127" t="s">
        <v>13</v>
      </c>
      <c r="F252" s="83" t="s">
        <v>35</v>
      </c>
      <c r="G252" s="83" t="s">
        <v>2198</v>
      </c>
      <c r="H252" s="133">
        <v>5254.24</v>
      </c>
      <c r="I252" s="128">
        <f t="shared" si="28"/>
        <v>945.76319999999987</v>
      </c>
      <c r="K252" s="128">
        <f t="shared" si="29"/>
        <v>6200.0031999999992</v>
      </c>
      <c r="L252" s="83" t="s">
        <v>1904</v>
      </c>
      <c r="P252" s="83" t="s">
        <v>2071</v>
      </c>
      <c r="Q252" s="126">
        <v>40830</v>
      </c>
    </row>
    <row r="253" spans="1:17" x14ac:dyDescent="0.2">
      <c r="A253" s="83" t="s">
        <v>12</v>
      </c>
      <c r="B253" s="126">
        <v>40815</v>
      </c>
      <c r="C253" s="83">
        <v>72</v>
      </c>
      <c r="D253" s="127" t="s">
        <v>185</v>
      </c>
      <c r="E253" s="127" t="s">
        <v>186</v>
      </c>
      <c r="F253" s="83" t="s">
        <v>2199</v>
      </c>
      <c r="G253" s="83" t="s">
        <v>2200</v>
      </c>
      <c r="H253" s="83">
        <v>150</v>
      </c>
      <c r="I253" s="128">
        <f t="shared" si="28"/>
        <v>27</v>
      </c>
      <c r="K253" s="128">
        <f t="shared" si="29"/>
        <v>177</v>
      </c>
      <c r="L253" s="83" t="s">
        <v>1904</v>
      </c>
      <c r="P253" s="83" t="s">
        <v>2071</v>
      </c>
      <c r="Q253" s="126">
        <v>40830</v>
      </c>
    </row>
    <row r="254" spans="1:17" x14ac:dyDescent="0.2">
      <c r="A254" s="83" t="s">
        <v>12</v>
      </c>
      <c r="B254" s="126">
        <v>40778</v>
      </c>
      <c r="C254" s="83" t="s">
        <v>2202</v>
      </c>
      <c r="D254" s="127" t="s">
        <v>2201</v>
      </c>
      <c r="E254" s="127" t="s">
        <v>2171</v>
      </c>
      <c r="F254" s="83" t="s">
        <v>53</v>
      </c>
      <c r="G254" s="83" t="s">
        <v>2205</v>
      </c>
      <c r="H254" s="83">
        <v>1016.95</v>
      </c>
      <c r="I254" s="128">
        <f>H254*0.18</f>
        <v>183.05099999999999</v>
      </c>
      <c r="K254" s="128">
        <f>+H254+I254</f>
        <v>1200.001</v>
      </c>
      <c r="L254" s="83" t="s">
        <v>2507</v>
      </c>
      <c r="P254" s="83" t="s">
        <v>2071</v>
      </c>
      <c r="Q254" s="126">
        <v>40830</v>
      </c>
    </row>
    <row r="255" spans="1:17" x14ac:dyDescent="0.2">
      <c r="A255" s="83" t="s">
        <v>12</v>
      </c>
      <c r="B255" s="126">
        <v>40814</v>
      </c>
      <c r="C255" s="83" t="s">
        <v>951</v>
      </c>
      <c r="D255" s="127" t="s">
        <v>2203</v>
      </c>
      <c r="E255" s="127" t="s">
        <v>2204</v>
      </c>
      <c r="F255" s="83" t="s">
        <v>978</v>
      </c>
      <c r="G255" s="83" t="s">
        <v>2206</v>
      </c>
      <c r="J255" s="83" t="s">
        <v>303</v>
      </c>
      <c r="K255" s="83">
        <v>3000</v>
      </c>
      <c r="L255" s="83" t="s">
        <v>1904</v>
      </c>
      <c r="P255" s="83" t="s">
        <v>2071</v>
      </c>
      <c r="Q255" s="126">
        <v>40830</v>
      </c>
    </row>
    <row r="256" spans="1:17" x14ac:dyDescent="0.2">
      <c r="A256" s="83" t="s">
        <v>408</v>
      </c>
      <c r="B256" s="126">
        <v>40810</v>
      </c>
      <c r="C256" s="83" t="s">
        <v>2207</v>
      </c>
      <c r="D256" s="127" t="s">
        <v>2208</v>
      </c>
      <c r="E256" s="127" t="s">
        <v>2209</v>
      </c>
      <c r="F256" s="83" t="s">
        <v>2210</v>
      </c>
      <c r="G256" s="83" t="s">
        <v>2211</v>
      </c>
      <c r="J256" s="83" t="s">
        <v>303</v>
      </c>
      <c r="K256" s="83">
        <v>8000</v>
      </c>
      <c r="L256" s="83" t="s">
        <v>2432</v>
      </c>
      <c r="M256" s="83" t="s">
        <v>31</v>
      </c>
      <c r="P256" s="83" t="s">
        <v>663</v>
      </c>
      <c r="Q256" s="126">
        <v>40895</v>
      </c>
    </row>
    <row r="257" spans="1:17" x14ac:dyDescent="0.2">
      <c r="A257" s="83" t="s">
        <v>408</v>
      </c>
      <c r="B257" s="126">
        <v>40813</v>
      </c>
      <c r="C257" s="83" t="s">
        <v>2215</v>
      </c>
      <c r="D257" s="127" t="s">
        <v>2213</v>
      </c>
      <c r="E257" s="127" t="s">
        <v>2461</v>
      </c>
      <c r="F257" s="83" t="s">
        <v>2141</v>
      </c>
      <c r="G257" s="83" t="s">
        <v>2214</v>
      </c>
      <c r="J257" s="83" t="s">
        <v>303</v>
      </c>
      <c r="K257" s="83">
        <v>5000</v>
      </c>
      <c r="L257" s="83" t="s">
        <v>2425</v>
      </c>
      <c r="M257" s="83" t="s">
        <v>31</v>
      </c>
      <c r="P257" s="83" t="s">
        <v>663</v>
      </c>
      <c r="Q257" s="126">
        <v>40895</v>
      </c>
    </row>
    <row r="258" spans="1:17" x14ac:dyDescent="0.2">
      <c r="A258" s="83" t="s">
        <v>408</v>
      </c>
      <c r="B258" s="126">
        <v>40801</v>
      </c>
      <c r="C258" s="83" t="s">
        <v>2219</v>
      </c>
      <c r="D258" s="127" t="s">
        <v>2216</v>
      </c>
      <c r="E258" s="127" t="s">
        <v>2217</v>
      </c>
      <c r="F258" s="83" t="s">
        <v>1012</v>
      </c>
      <c r="G258" s="83" t="s">
        <v>1961</v>
      </c>
      <c r="H258" s="128">
        <f>4100/1.18</f>
        <v>3474.5762711864409</v>
      </c>
      <c r="I258" s="128">
        <f t="shared" ref="I258:I264" si="30">H258*0.18</f>
        <v>625.42372881355936</v>
      </c>
      <c r="K258" s="128">
        <f t="shared" ref="K258:K264" si="31">+H258+I258</f>
        <v>4100</v>
      </c>
      <c r="L258" s="83" t="s">
        <v>2169</v>
      </c>
      <c r="M258" s="83" t="s">
        <v>2557</v>
      </c>
      <c r="P258" s="83" t="s">
        <v>663</v>
      </c>
      <c r="Q258" s="126">
        <v>40895</v>
      </c>
    </row>
    <row r="259" spans="1:17" x14ac:dyDescent="0.2">
      <c r="A259" s="83" t="s">
        <v>408</v>
      </c>
      <c r="B259" s="126">
        <v>40793</v>
      </c>
      <c r="C259" s="83" t="s">
        <v>2220</v>
      </c>
      <c r="D259" s="127" t="s">
        <v>2221</v>
      </c>
      <c r="E259" s="127" t="s">
        <v>2222</v>
      </c>
      <c r="F259" s="83" t="s">
        <v>1978</v>
      </c>
      <c r="G259" s="83" t="s">
        <v>1979</v>
      </c>
      <c r="H259" s="128">
        <f>16500/1.18</f>
        <v>13983.050847457627</v>
      </c>
      <c r="I259" s="128">
        <f t="shared" si="30"/>
        <v>2516.9491525423728</v>
      </c>
      <c r="K259" s="128">
        <f t="shared" si="31"/>
        <v>16500</v>
      </c>
      <c r="L259" s="83" t="s">
        <v>2218</v>
      </c>
      <c r="M259" s="83" t="s">
        <v>2591</v>
      </c>
      <c r="P259" s="83" t="s">
        <v>663</v>
      </c>
      <c r="Q259" s="126">
        <v>40895</v>
      </c>
    </row>
    <row r="260" spans="1:17" x14ac:dyDescent="0.2">
      <c r="A260" s="83" t="s">
        <v>408</v>
      </c>
      <c r="B260" s="126">
        <v>40801</v>
      </c>
      <c r="C260" s="83" t="s">
        <v>2212</v>
      </c>
      <c r="D260" s="127" t="s">
        <v>2224</v>
      </c>
      <c r="E260" s="127" t="s">
        <v>2225</v>
      </c>
      <c r="F260" s="83" t="s">
        <v>1342</v>
      </c>
      <c r="G260" s="83" t="s">
        <v>2193</v>
      </c>
      <c r="H260" s="128">
        <f>7600/1.18</f>
        <v>6440.6779661016953</v>
      </c>
      <c r="I260" s="128">
        <f t="shared" si="30"/>
        <v>1159.3220338983051</v>
      </c>
      <c r="K260" s="128">
        <f t="shared" si="31"/>
        <v>7600</v>
      </c>
      <c r="L260" s="83" t="s">
        <v>2223</v>
      </c>
      <c r="M260" s="83" t="s">
        <v>2565</v>
      </c>
      <c r="P260" s="83" t="s">
        <v>663</v>
      </c>
      <c r="Q260" s="126">
        <v>40895</v>
      </c>
    </row>
    <row r="261" spans="1:17" x14ac:dyDescent="0.2">
      <c r="A261" s="83" t="s">
        <v>408</v>
      </c>
      <c r="B261" s="126">
        <v>40826</v>
      </c>
      <c r="C261" s="83" t="s">
        <v>2226</v>
      </c>
      <c r="D261" s="127" t="s">
        <v>2227</v>
      </c>
      <c r="E261" s="127" t="s">
        <v>1683</v>
      </c>
      <c r="F261" s="83" t="s">
        <v>1358</v>
      </c>
      <c r="G261" s="83" t="s">
        <v>2228</v>
      </c>
      <c r="H261" s="128">
        <f>3000/1.18</f>
        <v>2542.3728813559323</v>
      </c>
      <c r="I261" s="128">
        <f t="shared" si="30"/>
        <v>457.62711864406782</v>
      </c>
      <c r="K261" s="128">
        <f t="shared" si="31"/>
        <v>3000</v>
      </c>
      <c r="L261" s="83" t="s">
        <v>1849</v>
      </c>
      <c r="M261" s="83" t="s">
        <v>31</v>
      </c>
      <c r="P261" s="83" t="s">
        <v>663</v>
      </c>
      <c r="Q261" s="126">
        <v>40895</v>
      </c>
    </row>
    <row r="262" spans="1:17" x14ac:dyDescent="0.2">
      <c r="A262" s="83" t="s">
        <v>408</v>
      </c>
      <c r="B262" s="126">
        <v>40827</v>
      </c>
      <c r="C262" s="83" t="s">
        <v>2229</v>
      </c>
      <c r="D262" s="127" t="s">
        <v>2230</v>
      </c>
      <c r="E262" s="127" t="s">
        <v>2231</v>
      </c>
      <c r="F262" s="83" t="s">
        <v>2199</v>
      </c>
      <c r="G262" s="83" t="s">
        <v>2200</v>
      </c>
      <c r="H262" s="128">
        <f>300/1.18</f>
        <v>254.23728813559325</v>
      </c>
      <c r="I262" s="128">
        <f t="shared" si="30"/>
        <v>45.762711864406782</v>
      </c>
      <c r="K262" s="128">
        <f t="shared" si="31"/>
        <v>300</v>
      </c>
      <c r="L262" s="83" t="s">
        <v>2232</v>
      </c>
      <c r="M262" s="83" t="s">
        <v>2620</v>
      </c>
      <c r="P262" s="83" t="s">
        <v>663</v>
      </c>
      <c r="Q262" s="126">
        <v>40895</v>
      </c>
    </row>
    <row r="263" spans="1:17" x14ac:dyDescent="0.2">
      <c r="A263" s="83" t="s">
        <v>408</v>
      </c>
      <c r="B263" s="126">
        <v>40827</v>
      </c>
      <c r="C263" s="83" t="s">
        <v>2135</v>
      </c>
      <c r="D263" s="127" t="s">
        <v>2233</v>
      </c>
      <c r="E263" s="127" t="s">
        <v>2234</v>
      </c>
      <c r="F263" s="83" t="s">
        <v>1584</v>
      </c>
      <c r="G263" s="83" t="s">
        <v>1875</v>
      </c>
      <c r="H263" s="128">
        <f>3500/1.18</f>
        <v>2966.1016949152545</v>
      </c>
      <c r="I263" s="128">
        <f t="shared" si="30"/>
        <v>533.89830508474574</v>
      </c>
      <c r="K263" s="128">
        <f t="shared" si="31"/>
        <v>3500</v>
      </c>
      <c r="L263" s="83" t="s">
        <v>1939</v>
      </c>
      <c r="M263" s="83" t="s">
        <v>2571</v>
      </c>
      <c r="P263" s="83" t="s">
        <v>663</v>
      </c>
      <c r="Q263" s="126">
        <v>40895</v>
      </c>
    </row>
    <row r="264" spans="1:17" x14ac:dyDescent="0.2">
      <c r="A264" s="83" t="s">
        <v>408</v>
      </c>
      <c r="B264" s="126">
        <v>40827</v>
      </c>
      <c r="C264" s="83" t="s">
        <v>2237</v>
      </c>
      <c r="D264" s="127" t="s">
        <v>2238</v>
      </c>
      <c r="E264" s="127" t="s">
        <v>2239</v>
      </c>
      <c r="F264" s="83" t="s">
        <v>49</v>
      </c>
      <c r="G264" s="83" t="s">
        <v>2235</v>
      </c>
      <c r="H264" s="128">
        <f>3500/1.18</f>
        <v>2966.1016949152545</v>
      </c>
      <c r="I264" s="128">
        <f t="shared" si="30"/>
        <v>533.89830508474574</v>
      </c>
      <c r="K264" s="128">
        <f t="shared" si="31"/>
        <v>3500</v>
      </c>
      <c r="L264" s="83" t="s">
        <v>2236</v>
      </c>
      <c r="M264" s="83" t="s">
        <v>31</v>
      </c>
      <c r="P264" s="83" t="s">
        <v>663</v>
      </c>
      <c r="Q264" s="126">
        <v>40895</v>
      </c>
    </row>
    <row r="265" spans="1:17" x14ac:dyDescent="0.2">
      <c r="A265" s="83" t="s">
        <v>408</v>
      </c>
      <c r="B265" s="126">
        <v>40827</v>
      </c>
      <c r="C265" s="83" t="s">
        <v>2240</v>
      </c>
      <c r="D265" s="127" t="s">
        <v>2241</v>
      </c>
      <c r="E265" s="127" t="s">
        <v>2242</v>
      </c>
      <c r="F265" s="83" t="s">
        <v>1358</v>
      </c>
      <c r="G265" s="83" t="s">
        <v>1725</v>
      </c>
      <c r="H265" s="128">
        <f>1000/1.18</f>
        <v>847.45762711864415</v>
      </c>
      <c r="I265" s="128">
        <f t="shared" ref="I265:I282" si="32">H265*0.18</f>
        <v>152.54237288135593</v>
      </c>
      <c r="K265" s="128">
        <f t="shared" ref="K265:K282" si="33">+H265+I265</f>
        <v>1000.0000000000001</v>
      </c>
      <c r="L265" s="83" t="s">
        <v>2037</v>
      </c>
      <c r="M265" s="83" t="s">
        <v>2620</v>
      </c>
      <c r="P265" s="83" t="s">
        <v>663</v>
      </c>
      <c r="Q265" s="126">
        <v>40895</v>
      </c>
    </row>
    <row r="266" spans="1:17" x14ac:dyDescent="0.2">
      <c r="A266" s="83" t="s">
        <v>408</v>
      </c>
      <c r="B266" s="126">
        <v>40823</v>
      </c>
      <c r="C266" s="83" t="s">
        <v>2128</v>
      </c>
      <c r="D266" s="127" t="s">
        <v>2243</v>
      </c>
      <c r="E266" s="127" t="s">
        <v>2244</v>
      </c>
      <c r="F266" s="83" t="s">
        <v>1358</v>
      </c>
      <c r="G266" s="83" t="s">
        <v>1724</v>
      </c>
      <c r="H266" s="128">
        <f>2100/1.18</f>
        <v>1779.6610169491526</v>
      </c>
      <c r="I266" s="128">
        <f t="shared" si="32"/>
        <v>320.33898305084745</v>
      </c>
      <c r="K266" s="128">
        <f t="shared" si="33"/>
        <v>2100</v>
      </c>
      <c r="L266" s="83" t="s">
        <v>2037</v>
      </c>
      <c r="M266" s="83" t="s">
        <v>2620</v>
      </c>
      <c r="P266" s="83" t="s">
        <v>663</v>
      </c>
      <c r="Q266" s="126">
        <v>40895</v>
      </c>
    </row>
    <row r="267" spans="1:17" x14ac:dyDescent="0.2">
      <c r="A267" s="83" t="s">
        <v>408</v>
      </c>
      <c r="B267" s="126">
        <v>40827</v>
      </c>
      <c r="C267" s="83" t="s">
        <v>2246</v>
      </c>
      <c r="D267" s="127" t="s">
        <v>2247</v>
      </c>
      <c r="E267" s="127" t="s">
        <v>2248</v>
      </c>
      <c r="F267" s="83" t="s">
        <v>70</v>
      </c>
      <c r="G267" s="83" t="s">
        <v>1869</v>
      </c>
      <c r="H267" s="128">
        <f>4000/1.18</f>
        <v>3389.8305084745766</v>
      </c>
      <c r="I267" s="128">
        <f t="shared" si="32"/>
        <v>610.16949152542372</v>
      </c>
      <c r="K267" s="128">
        <f t="shared" si="33"/>
        <v>4000.0000000000005</v>
      </c>
      <c r="L267" s="83" t="s">
        <v>2245</v>
      </c>
      <c r="M267" s="83" t="s">
        <v>2586</v>
      </c>
      <c r="P267" s="83" t="s">
        <v>663</v>
      </c>
      <c r="Q267" s="126">
        <v>40895</v>
      </c>
    </row>
    <row r="268" spans="1:17" x14ac:dyDescent="0.2">
      <c r="A268" s="83" t="s">
        <v>12</v>
      </c>
      <c r="B268" s="126">
        <v>40867</v>
      </c>
      <c r="C268" s="83">
        <v>2011101490</v>
      </c>
      <c r="D268" s="127" t="s">
        <v>14</v>
      </c>
      <c r="E268" s="127" t="s">
        <v>13</v>
      </c>
      <c r="F268" s="83" t="s">
        <v>2249</v>
      </c>
      <c r="G268" s="83" t="s">
        <v>2250</v>
      </c>
      <c r="H268" s="133">
        <v>2457.63</v>
      </c>
      <c r="I268" s="128">
        <f t="shared" si="32"/>
        <v>442.3734</v>
      </c>
      <c r="K268" s="128">
        <f t="shared" si="33"/>
        <v>2900.0034000000001</v>
      </c>
      <c r="L268" s="83" t="s">
        <v>1904</v>
      </c>
      <c r="P268" s="83" t="s">
        <v>663</v>
      </c>
      <c r="Q268" s="126">
        <v>40895</v>
      </c>
    </row>
    <row r="269" spans="1:17" x14ac:dyDescent="0.2">
      <c r="A269" s="83" t="s">
        <v>12</v>
      </c>
      <c r="B269" s="126">
        <v>40867</v>
      </c>
      <c r="C269" s="83">
        <v>2011101491</v>
      </c>
      <c r="D269" s="127" t="s">
        <v>14</v>
      </c>
      <c r="E269" s="127" t="s">
        <v>13</v>
      </c>
      <c r="F269" s="83" t="s">
        <v>2249</v>
      </c>
      <c r="G269" s="83" t="s">
        <v>2251</v>
      </c>
      <c r="H269" s="133">
        <v>2457.63</v>
      </c>
      <c r="I269" s="128">
        <f t="shared" si="32"/>
        <v>442.3734</v>
      </c>
      <c r="K269" s="128">
        <f t="shared" si="33"/>
        <v>2900.0034000000001</v>
      </c>
      <c r="L269" s="83" t="s">
        <v>1904</v>
      </c>
      <c r="P269" s="83" t="s">
        <v>663</v>
      </c>
      <c r="Q269" s="126">
        <v>40895</v>
      </c>
    </row>
    <row r="270" spans="1:17" x14ac:dyDescent="0.2">
      <c r="A270" s="83" t="s">
        <v>12</v>
      </c>
      <c r="B270" s="126">
        <v>40867</v>
      </c>
      <c r="C270" s="83">
        <v>2011101492</v>
      </c>
      <c r="D270" s="127" t="s">
        <v>14</v>
      </c>
      <c r="E270" s="127" t="s">
        <v>13</v>
      </c>
      <c r="F270" s="83" t="s">
        <v>2249</v>
      </c>
      <c r="G270" s="83" t="s">
        <v>2252</v>
      </c>
      <c r="H270" s="133">
        <v>2457.63</v>
      </c>
      <c r="I270" s="128">
        <f t="shared" si="32"/>
        <v>442.3734</v>
      </c>
      <c r="K270" s="128">
        <f t="shared" si="33"/>
        <v>2900.0034000000001</v>
      </c>
      <c r="L270" s="83" t="s">
        <v>2709</v>
      </c>
      <c r="P270" s="83" t="s">
        <v>663</v>
      </c>
      <c r="Q270" s="126">
        <v>40895</v>
      </c>
    </row>
    <row r="271" spans="1:17" x14ac:dyDescent="0.2">
      <c r="A271" s="83" t="s">
        <v>12</v>
      </c>
      <c r="B271" s="126">
        <v>40867</v>
      </c>
      <c r="C271" s="83">
        <v>2011101493</v>
      </c>
      <c r="D271" s="127" t="s">
        <v>14</v>
      </c>
      <c r="E271" s="127" t="s">
        <v>13</v>
      </c>
      <c r="F271" s="83" t="s">
        <v>2249</v>
      </c>
      <c r="G271" s="83" t="s">
        <v>2253</v>
      </c>
      <c r="H271" s="133">
        <v>2457.63</v>
      </c>
      <c r="I271" s="128">
        <f t="shared" si="32"/>
        <v>442.3734</v>
      </c>
      <c r="K271" s="128">
        <f t="shared" si="33"/>
        <v>2900.0034000000001</v>
      </c>
      <c r="L271" s="83" t="s">
        <v>2709</v>
      </c>
      <c r="P271" s="83" t="s">
        <v>663</v>
      </c>
      <c r="Q271" s="126">
        <v>40895</v>
      </c>
    </row>
    <row r="272" spans="1:17" x14ac:dyDescent="0.2">
      <c r="A272" s="83" t="s">
        <v>12</v>
      </c>
      <c r="B272" s="126">
        <v>40864</v>
      </c>
      <c r="C272" s="83">
        <v>2011101472</v>
      </c>
      <c r="D272" s="127" t="s">
        <v>14</v>
      </c>
      <c r="E272" s="127" t="s">
        <v>13</v>
      </c>
      <c r="F272" s="83" t="s">
        <v>1358</v>
      </c>
      <c r="G272" s="83" t="s">
        <v>2254</v>
      </c>
      <c r="H272" s="133">
        <v>2881.36</v>
      </c>
      <c r="I272" s="128">
        <f t="shared" si="32"/>
        <v>518.64480000000003</v>
      </c>
      <c r="K272" s="128">
        <f t="shared" si="33"/>
        <v>3400.0048000000002</v>
      </c>
      <c r="L272" s="83" t="s">
        <v>2709</v>
      </c>
      <c r="P272" s="83" t="s">
        <v>663</v>
      </c>
      <c r="Q272" s="126">
        <v>40895</v>
      </c>
    </row>
    <row r="273" spans="1:17" x14ac:dyDescent="0.2">
      <c r="A273" s="83" t="s">
        <v>12</v>
      </c>
      <c r="B273" s="126">
        <v>40864</v>
      </c>
      <c r="C273" s="83">
        <v>2011101473</v>
      </c>
      <c r="D273" s="127" t="s">
        <v>14</v>
      </c>
      <c r="E273" s="127" t="s">
        <v>13</v>
      </c>
      <c r="F273" s="83" t="s">
        <v>1358</v>
      </c>
      <c r="G273" s="83" t="s">
        <v>2255</v>
      </c>
      <c r="H273" s="133">
        <v>2542.37</v>
      </c>
      <c r="I273" s="128">
        <f t="shared" si="32"/>
        <v>457.62659999999994</v>
      </c>
      <c r="K273" s="128">
        <f t="shared" si="33"/>
        <v>2999.9965999999999</v>
      </c>
      <c r="L273" s="83" t="s">
        <v>1904</v>
      </c>
      <c r="P273" s="83" t="s">
        <v>663</v>
      </c>
      <c r="Q273" s="126">
        <v>40895</v>
      </c>
    </row>
    <row r="274" spans="1:17" x14ac:dyDescent="0.2">
      <c r="A274" s="83" t="s">
        <v>12</v>
      </c>
      <c r="B274" s="126">
        <v>40864</v>
      </c>
      <c r="C274" s="83">
        <v>2011101474</v>
      </c>
      <c r="D274" s="127" t="s">
        <v>14</v>
      </c>
      <c r="E274" s="127" t="s">
        <v>13</v>
      </c>
      <c r="F274" s="83" t="s">
        <v>1966</v>
      </c>
      <c r="G274" s="83" t="s">
        <v>2256</v>
      </c>
      <c r="H274" s="133">
        <v>4843.1899999999996</v>
      </c>
      <c r="I274" s="128">
        <f t="shared" si="32"/>
        <v>871.77419999999995</v>
      </c>
      <c r="K274" s="128">
        <f t="shared" si="33"/>
        <v>5714.9641999999994</v>
      </c>
      <c r="L274" s="83" t="s">
        <v>2507</v>
      </c>
      <c r="P274" s="83" t="s">
        <v>663</v>
      </c>
      <c r="Q274" s="126">
        <v>40895</v>
      </c>
    </row>
    <row r="275" spans="1:17" x14ac:dyDescent="0.2">
      <c r="A275" s="83" t="s">
        <v>12</v>
      </c>
      <c r="B275" s="126">
        <v>40864</v>
      </c>
      <c r="C275" s="83">
        <v>2011101475</v>
      </c>
      <c r="D275" s="127" t="s">
        <v>14</v>
      </c>
      <c r="E275" s="127" t="s">
        <v>13</v>
      </c>
      <c r="F275" s="83" t="s">
        <v>1536</v>
      </c>
      <c r="G275" s="83" t="s">
        <v>2257</v>
      </c>
      <c r="H275" s="133">
        <v>5026.2700000000004</v>
      </c>
      <c r="I275" s="128">
        <f t="shared" si="32"/>
        <v>904.72860000000003</v>
      </c>
      <c r="K275" s="128">
        <f t="shared" si="33"/>
        <v>5930.9986000000008</v>
      </c>
      <c r="L275" s="83" t="s">
        <v>1904</v>
      </c>
      <c r="P275" s="83" t="s">
        <v>663</v>
      </c>
      <c r="Q275" s="126">
        <v>40895</v>
      </c>
    </row>
    <row r="276" spans="1:17" x14ac:dyDescent="0.2">
      <c r="A276" s="83" t="s">
        <v>12</v>
      </c>
      <c r="B276" s="126">
        <v>40837</v>
      </c>
      <c r="C276" s="83">
        <v>2011101368</v>
      </c>
      <c r="D276" s="127" t="s">
        <v>14</v>
      </c>
      <c r="E276" s="127" t="s">
        <v>13</v>
      </c>
      <c r="F276" s="83" t="s">
        <v>1990</v>
      </c>
      <c r="G276" s="83" t="s">
        <v>2258</v>
      </c>
      <c r="H276" s="133">
        <v>13711.95</v>
      </c>
      <c r="I276" s="128">
        <f t="shared" si="32"/>
        <v>2468.1509999999998</v>
      </c>
      <c r="K276" s="128">
        <f t="shared" si="33"/>
        <v>16180.101000000001</v>
      </c>
      <c r="L276" s="83" t="s">
        <v>2709</v>
      </c>
      <c r="P276" s="83" t="s">
        <v>663</v>
      </c>
      <c r="Q276" s="126">
        <v>40895</v>
      </c>
    </row>
    <row r="277" spans="1:17" x14ac:dyDescent="0.2">
      <c r="A277" s="83" t="s">
        <v>12</v>
      </c>
      <c r="B277" s="126">
        <v>40823</v>
      </c>
      <c r="C277" s="83">
        <v>2011101316</v>
      </c>
      <c r="D277" s="127" t="s">
        <v>14</v>
      </c>
      <c r="E277" s="127" t="s">
        <v>13</v>
      </c>
      <c r="F277" s="83" t="s">
        <v>61</v>
      </c>
      <c r="G277" s="83" t="s">
        <v>2259</v>
      </c>
      <c r="H277" s="133">
        <v>4788.3500000000004</v>
      </c>
      <c r="I277" s="128">
        <f t="shared" si="32"/>
        <v>861.90300000000002</v>
      </c>
      <c r="K277" s="128">
        <f t="shared" si="33"/>
        <v>5650.2530000000006</v>
      </c>
      <c r="L277" s="83" t="s">
        <v>1904</v>
      </c>
      <c r="P277" s="83" t="s">
        <v>663</v>
      </c>
      <c r="Q277" s="126">
        <v>40895</v>
      </c>
    </row>
    <row r="278" spans="1:17" x14ac:dyDescent="0.2">
      <c r="A278" s="83" t="s">
        <v>12</v>
      </c>
      <c r="B278" s="126">
        <v>40823</v>
      </c>
      <c r="C278" s="83">
        <v>2011101315</v>
      </c>
      <c r="D278" s="127" t="s">
        <v>14</v>
      </c>
      <c r="E278" s="127" t="s">
        <v>13</v>
      </c>
      <c r="F278" s="83" t="s">
        <v>111</v>
      </c>
      <c r="G278" s="83" t="s">
        <v>2260</v>
      </c>
      <c r="H278" s="133">
        <v>1779.66</v>
      </c>
      <c r="I278" s="128">
        <f t="shared" si="32"/>
        <v>320.33879999999999</v>
      </c>
      <c r="K278" s="128">
        <f t="shared" si="33"/>
        <v>2099.9988000000003</v>
      </c>
      <c r="L278" s="83" t="s">
        <v>1904</v>
      </c>
      <c r="P278" s="83" t="s">
        <v>663</v>
      </c>
      <c r="Q278" s="126">
        <v>40895</v>
      </c>
    </row>
    <row r="279" spans="1:17" x14ac:dyDescent="0.2">
      <c r="A279" s="83" t="s">
        <v>12</v>
      </c>
      <c r="B279" s="126">
        <v>40837</v>
      </c>
      <c r="C279" s="83">
        <v>2011101361</v>
      </c>
      <c r="D279" s="127" t="s">
        <v>14</v>
      </c>
      <c r="E279" s="127" t="s">
        <v>13</v>
      </c>
      <c r="F279" s="83" t="s">
        <v>78</v>
      </c>
      <c r="G279" s="83" t="s">
        <v>2261</v>
      </c>
      <c r="H279" s="133">
        <v>1417.49</v>
      </c>
      <c r="I279" s="128">
        <f t="shared" si="32"/>
        <v>255.1482</v>
      </c>
      <c r="K279" s="128">
        <f t="shared" si="33"/>
        <v>1672.6382000000001</v>
      </c>
      <c r="L279" s="83" t="s">
        <v>1904</v>
      </c>
      <c r="P279" s="83" t="s">
        <v>663</v>
      </c>
      <c r="Q279" s="126">
        <v>40895</v>
      </c>
    </row>
    <row r="280" spans="1:17" x14ac:dyDescent="0.2">
      <c r="A280" s="83" t="s">
        <v>12</v>
      </c>
      <c r="B280" s="126">
        <v>40837</v>
      </c>
      <c r="C280" s="83">
        <v>2011101362</v>
      </c>
      <c r="D280" s="127" t="s">
        <v>14</v>
      </c>
      <c r="E280" s="127" t="s">
        <v>13</v>
      </c>
      <c r="F280" s="83" t="s">
        <v>78</v>
      </c>
      <c r="G280" s="83" t="s">
        <v>2262</v>
      </c>
      <c r="H280" s="133">
        <v>1271.19</v>
      </c>
      <c r="I280" s="128">
        <f t="shared" si="32"/>
        <v>228.8142</v>
      </c>
      <c r="K280" s="128">
        <f t="shared" si="33"/>
        <v>1500.0042000000001</v>
      </c>
      <c r="L280" s="83" t="s">
        <v>2709</v>
      </c>
      <c r="P280" s="83" t="s">
        <v>663</v>
      </c>
      <c r="Q280" s="126">
        <v>40895</v>
      </c>
    </row>
    <row r="281" spans="1:17" x14ac:dyDescent="0.2">
      <c r="A281" s="83" t="s">
        <v>12</v>
      </c>
      <c r="B281" s="126">
        <v>40837</v>
      </c>
      <c r="C281" s="83">
        <v>2011101360</v>
      </c>
      <c r="D281" s="127" t="s">
        <v>14</v>
      </c>
      <c r="E281" s="127" t="s">
        <v>13</v>
      </c>
      <c r="F281" s="83" t="s">
        <v>78</v>
      </c>
      <c r="G281" s="83" t="s">
        <v>2263</v>
      </c>
      <c r="H281" s="133">
        <v>1271.19</v>
      </c>
      <c r="I281" s="128">
        <f t="shared" si="32"/>
        <v>228.8142</v>
      </c>
      <c r="K281" s="128">
        <f t="shared" si="33"/>
        <v>1500.0042000000001</v>
      </c>
      <c r="L281" s="83" t="s">
        <v>1904</v>
      </c>
      <c r="P281" s="83" t="s">
        <v>663</v>
      </c>
      <c r="Q281" s="126">
        <v>40895</v>
      </c>
    </row>
    <row r="282" spans="1:17" x14ac:dyDescent="0.2">
      <c r="A282" s="83" t="s">
        <v>12</v>
      </c>
      <c r="B282" s="126">
        <v>40840</v>
      </c>
      <c r="C282" s="83" t="s">
        <v>2264</v>
      </c>
      <c r="D282" s="127" t="s">
        <v>2265</v>
      </c>
      <c r="E282" s="127" t="s">
        <v>2266</v>
      </c>
      <c r="F282" s="83" t="s">
        <v>2267</v>
      </c>
      <c r="G282" s="83" t="s">
        <v>2268</v>
      </c>
      <c r="H282" s="133">
        <v>5000</v>
      </c>
      <c r="I282" s="128">
        <f t="shared" si="32"/>
        <v>900</v>
      </c>
      <c r="K282" s="128">
        <f t="shared" si="33"/>
        <v>5900</v>
      </c>
      <c r="L282" s="83" t="s">
        <v>2709</v>
      </c>
      <c r="P282" s="83" t="s">
        <v>663</v>
      </c>
      <c r="Q282" s="126">
        <v>40895</v>
      </c>
    </row>
    <row r="283" spans="1:17" x14ac:dyDescent="0.2">
      <c r="A283" s="83" t="s">
        <v>12</v>
      </c>
      <c r="B283" s="126">
        <v>40837</v>
      </c>
      <c r="C283" s="83" t="s">
        <v>2269</v>
      </c>
      <c r="D283" s="127" t="s">
        <v>1795</v>
      </c>
      <c r="E283" s="127" t="s">
        <v>1796</v>
      </c>
      <c r="F283" s="83" t="s">
        <v>59</v>
      </c>
      <c r="G283" s="83" t="s">
        <v>2270</v>
      </c>
      <c r="J283" s="83" t="s">
        <v>303</v>
      </c>
      <c r="K283" s="83">
        <v>3500</v>
      </c>
      <c r="L283" s="83" t="s">
        <v>2709</v>
      </c>
      <c r="P283" s="83" t="s">
        <v>663</v>
      </c>
      <c r="Q283" s="126">
        <v>40895</v>
      </c>
    </row>
    <row r="284" spans="1:17" x14ac:dyDescent="0.2">
      <c r="A284" s="83" t="s">
        <v>12</v>
      </c>
      <c r="B284" s="126">
        <v>40843</v>
      </c>
      <c r="C284" s="83" t="s">
        <v>951</v>
      </c>
      <c r="D284" s="127" t="s">
        <v>2271</v>
      </c>
      <c r="E284" s="127" t="s">
        <v>2272</v>
      </c>
      <c r="F284" s="83" t="s">
        <v>2273</v>
      </c>
      <c r="G284" s="83" t="s">
        <v>2274</v>
      </c>
      <c r="J284" s="83" t="s">
        <v>303</v>
      </c>
      <c r="K284" s="83">
        <v>7000</v>
      </c>
      <c r="L284" s="83" t="s">
        <v>2709</v>
      </c>
      <c r="P284" s="83" t="s">
        <v>663</v>
      </c>
      <c r="Q284" s="126">
        <v>40895</v>
      </c>
    </row>
    <row r="285" spans="1:17" x14ac:dyDescent="0.2">
      <c r="A285" s="83" t="s">
        <v>12</v>
      </c>
      <c r="B285" s="126">
        <v>40849</v>
      </c>
      <c r="C285" s="83" t="s">
        <v>2275</v>
      </c>
      <c r="D285" s="127" t="s">
        <v>1946</v>
      </c>
      <c r="E285" s="127" t="s">
        <v>26</v>
      </c>
      <c r="F285" s="83" t="s">
        <v>978</v>
      </c>
      <c r="G285" s="83" t="s">
        <v>2276</v>
      </c>
      <c r="H285" s="83">
        <v>5084.75</v>
      </c>
      <c r="I285" s="128">
        <f t="shared" ref="I285:I292" si="34">H285*0.18</f>
        <v>915.255</v>
      </c>
      <c r="K285" s="128">
        <f t="shared" ref="K285:K292" si="35">+H285+I285</f>
        <v>6000.0050000000001</v>
      </c>
      <c r="L285" s="83" t="s">
        <v>1904</v>
      </c>
      <c r="P285" s="83" t="s">
        <v>663</v>
      </c>
      <c r="Q285" s="126">
        <v>40895</v>
      </c>
    </row>
    <row r="286" spans="1:17" x14ac:dyDescent="0.2">
      <c r="A286" s="83" t="s">
        <v>12</v>
      </c>
      <c r="B286" s="126">
        <v>40849</v>
      </c>
      <c r="C286" s="83" t="s">
        <v>2277</v>
      </c>
      <c r="D286" s="127" t="s">
        <v>1946</v>
      </c>
      <c r="E286" s="127" t="s">
        <v>26</v>
      </c>
      <c r="F286" s="83" t="s">
        <v>32</v>
      </c>
      <c r="G286" s="83" t="s">
        <v>2278</v>
      </c>
      <c r="H286" s="83">
        <v>2542.37</v>
      </c>
      <c r="I286" s="128">
        <f t="shared" si="34"/>
        <v>457.62659999999994</v>
      </c>
      <c r="K286" s="128">
        <f t="shared" si="35"/>
        <v>2999.9965999999999</v>
      </c>
      <c r="L286" s="83" t="s">
        <v>1904</v>
      </c>
      <c r="P286" s="83" t="s">
        <v>663</v>
      </c>
      <c r="Q286" s="126">
        <v>40895</v>
      </c>
    </row>
    <row r="287" spans="1:17" x14ac:dyDescent="0.2">
      <c r="A287" s="83" t="s">
        <v>12</v>
      </c>
      <c r="B287" s="126">
        <v>40842</v>
      </c>
      <c r="C287" s="83" t="s">
        <v>2279</v>
      </c>
      <c r="D287" s="127" t="s">
        <v>1946</v>
      </c>
      <c r="E287" s="127" t="s">
        <v>26</v>
      </c>
      <c r="F287" s="83" t="s">
        <v>53</v>
      </c>
      <c r="G287" s="83" t="s">
        <v>2280</v>
      </c>
      <c r="H287" s="83">
        <v>2203.39</v>
      </c>
      <c r="I287" s="128">
        <f t="shared" si="34"/>
        <v>396.61019999999996</v>
      </c>
      <c r="K287" s="128">
        <f t="shared" si="35"/>
        <v>2600.0001999999999</v>
      </c>
      <c r="L287" s="83" t="s">
        <v>1904</v>
      </c>
      <c r="P287" s="83" t="s">
        <v>663</v>
      </c>
      <c r="Q287" s="126">
        <v>40895</v>
      </c>
    </row>
    <row r="288" spans="1:17" x14ac:dyDescent="0.2">
      <c r="A288" s="83" t="s">
        <v>12</v>
      </c>
      <c r="B288" s="126">
        <v>40842</v>
      </c>
      <c r="C288" s="83" t="s">
        <v>2281</v>
      </c>
      <c r="D288" s="127" t="s">
        <v>1946</v>
      </c>
      <c r="E288" s="127" t="s">
        <v>26</v>
      </c>
      <c r="F288" s="83" t="s">
        <v>1044</v>
      </c>
      <c r="G288" s="83" t="s">
        <v>2282</v>
      </c>
      <c r="H288" s="83">
        <v>2542.37</v>
      </c>
      <c r="I288" s="128">
        <f t="shared" si="34"/>
        <v>457.62659999999994</v>
      </c>
      <c r="K288" s="128">
        <f t="shared" si="35"/>
        <v>2999.9965999999999</v>
      </c>
      <c r="L288" s="83" t="s">
        <v>1904</v>
      </c>
      <c r="P288" s="83" t="s">
        <v>663</v>
      </c>
      <c r="Q288" s="126">
        <v>40895</v>
      </c>
    </row>
    <row r="289" spans="1:17" x14ac:dyDescent="0.2">
      <c r="A289" s="83" t="s">
        <v>12</v>
      </c>
      <c r="B289" s="126">
        <v>40842</v>
      </c>
      <c r="C289" s="83" t="s">
        <v>2283</v>
      </c>
      <c r="D289" s="127" t="s">
        <v>1946</v>
      </c>
      <c r="E289" s="127" t="s">
        <v>26</v>
      </c>
      <c r="F289" s="83" t="s">
        <v>2284</v>
      </c>
      <c r="G289" s="83" t="s">
        <v>2285</v>
      </c>
      <c r="H289" s="83">
        <v>5084.75</v>
      </c>
      <c r="I289" s="128">
        <f t="shared" si="34"/>
        <v>915.255</v>
      </c>
      <c r="K289" s="128">
        <f t="shared" si="35"/>
        <v>6000.0050000000001</v>
      </c>
      <c r="L289" s="83" t="s">
        <v>2709</v>
      </c>
      <c r="P289" s="83" t="s">
        <v>663</v>
      </c>
      <c r="Q289" s="126">
        <v>40895</v>
      </c>
    </row>
    <row r="290" spans="1:17" x14ac:dyDescent="0.2">
      <c r="A290" s="83" t="s">
        <v>12</v>
      </c>
      <c r="B290" s="126">
        <v>40802</v>
      </c>
      <c r="C290" s="83" t="s">
        <v>2286</v>
      </c>
      <c r="D290" s="127" t="s">
        <v>1946</v>
      </c>
      <c r="E290" s="127" t="s">
        <v>26</v>
      </c>
      <c r="F290" s="83" t="s">
        <v>59</v>
      </c>
      <c r="G290" s="83" t="s">
        <v>2287</v>
      </c>
      <c r="H290" s="83">
        <v>1271.19</v>
      </c>
      <c r="I290" s="128">
        <f t="shared" si="34"/>
        <v>228.8142</v>
      </c>
      <c r="K290" s="128">
        <f t="shared" si="35"/>
        <v>1500.0042000000001</v>
      </c>
      <c r="L290" s="83" t="s">
        <v>1904</v>
      </c>
      <c r="P290" s="83" t="s">
        <v>663</v>
      </c>
      <c r="Q290" s="126">
        <v>40895</v>
      </c>
    </row>
    <row r="291" spans="1:17" x14ac:dyDescent="0.2">
      <c r="A291" s="83" t="s">
        <v>12</v>
      </c>
      <c r="B291" s="126">
        <v>40819</v>
      </c>
      <c r="C291" s="83" t="s">
        <v>2288</v>
      </c>
      <c r="D291" s="127" t="s">
        <v>1946</v>
      </c>
      <c r="E291" s="127" t="s">
        <v>26</v>
      </c>
      <c r="F291" s="83" t="s">
        <v>2289</v>
      </c>
      <c r="G291" s="83" t="s">
        <v>2290</v>
      </c>
      <c r="H291" s="83">
        <v>7711.86</v>
      </c>
      <c r="I291" s="128">
        <f t="shared" si="34"/>
        <v>1388.1347999999998</v>
      </c>
      <c r="K291" s="128">
        <f t="shared" si="35"/>
        <v>9099.9948000000004</v>
      </c>
      <c r="L291" s="83" t="s">
        <v>2709</v>
      </c>
      <c r="P291" s="83" t="s">
        <v>663</v>
      </c>
      <c r="Q291" s="126">
        <v>40895</v>
      </c>
    </row>
    <row r="292" spans="1:17" x14ac:dyDescent="0.2">
      <c r="A292" s="83" t="s">
        <v>12</v>
      </c>
      <c r="B292" s="126">
        <v>40822</v>
      </c>
      <c r="C292" s="83" t="s">
        <v>2291</v>
      </c>
      <c r="D292" s="127" t="s">
        <v>1946</v>
      </c>
      <c r="E292" s="127" t="s">
        <v>26</v>
      </c>
      <c r="F292" s="83" t="s">
        <v>1044</v>
      </c>
      <c r="G292" s="83" t="s">
        <v>2292</v>
      </c>
      <c r="H292" s="83">
        <v>2966.1</v>
      </c>
      <c r="I292" s="128">
        <f t="shared" si="34"/>
        <v>533.89799999999991</v>
      </c>
      <c r="K292" s="128">
        <f t="shared" si="35"/>
        <v>3499.9979999999996</v>
      </c>
      <c r="L292" s="83" t="s">
        <v>2709</v>
      </c>
      <c r="P292" s="83" t="s">
        <v>663</v>
      </c>
      <c r="Q292" s="126">
        <v>40895</v>
      </c>
    </row>
    <row r="293" spans="1:17" x14ac:dyDescent="0.2">
      <c r="A293" s="83" t="s">
        <v>12</v>
      </c>
      <c r="B293" s="126">
        <v>40871</v>
      </c>
      <c r="C293" s="83" t="s">
        <v>951</v>
      </c>
      <c r="D293" s="127" t="s">
        <v>2293</v>
      </c>
      <c r="E293" s="127" t="s">
        <v>2294</v>
      </c>
      <c r="F293" s="83" t="s">
        <v>2295</v>
      </c>
      <c r="G293" s="83" t="s">
        <v>2296</v>
      </c>
      <c r="J293" s="83" t="s">
        <v>303</v>
      </c>
      <c r="K293" s="83">
        <v>1000</v>
      </c>
      <c r="L293" s="83" t="s">
        <v>2709</v>
      </c>
      <c r="P293" s="83" t="s">
        <v>663</v>
      </c>
      <c r="Q293" s="126">
        <v>40895</v>
      </c>
    </row>
    <row r="294" spans="1:17" x14ac:dyDescent="0.2">
      <c r="A294" s="83" t="s">
        <v>12</v>
      </c>
      <c r="B294" s="126">
        <v>40871</v>
      </c>
      <c r="C294" s="83" t="s">
        <v>951</v>
      </c>
      <c r="D294" s="127" t="s">
        <v>2297</v>
      </c>
      <c r="E294" s="127" t="s">
        <v>2298</v>
      </c>
      <c r="F294" s="83" t="s">
        <v>2299</v>
      </c>
      <c r="G294" s="83" t="s">
        <v>2300</v>
      </c>
      <c r="J294" s="83" t="s">
        <v>303</v>
      </c>
      <c r="K294" s="83">
        <v>5500</v>
      </c>
      <c r="L294" s="83" t="s">
        <v>2709</v>
      </c>
      <c r="P294" s="83" t="s">
        <v>663</v>
      </c>
      <c r="Q294" s="126">
        <v>40895</v>
      </c>
    </row>
    <row r="295" spans="1:17" x14ac:dyDescent="0.2">
      <c r="A295" s="83" t="s">
        <v>408</v>
      </c>
      <c r="B295" s="126">
        <v>40851</v>
      </c>
      <c r="C295" s="83" t="s">
        <v>2301</v>
      </c>
      <c r="D295" s="127" t="s">
        <v>2302</v>
      </c>
      <c r="E295" s="127" t="s">
        <v>2303</v>
      </c>
      <c r="F295" s="83" t="s">
        <v>35</v>
      </c>
      <c r="G295" s="83" t="s">
        <v>2198</v>
      </c>
      <c r="H295" s="128">
        <f>7000/1.18</f>
        <v>5932.203389830509</v>
      </c>
      <c r="I295" s="128">
        <f>H295*0.18</f>
        <v>1067.7966101694915</v>
      </c>
      <c r="K295" s="128">
        <f>+H295+I295</f>
        <v>7000</v>
      </c>
      <c r="L295" s="83" t="s">
        <v>2304</v>
      </c>
      <c r="M295" s="83" t="s">
        <v>2619</v>
      </c>
      <c r="N295" s="83" t="s">
        <v>3467</v>
      </c>
      <c r="P295" s="83" t="s">
        <v>663</v>
      </c>
      <c r="Q295" s="126">
        <v>40895</v>
      </c>
    </row>
    <row r="296" spans="1:17" x14ac:dyDescent="0.2">
      <c r="A296" s="83" t="s">
        <v>408</v>
      </c>
      <c r="B296" s="126">
        <v>40875</v>
      </c>
      <c r="C296" s="83" t="s">
        <v>2305</v>
      </c>
      <c r="D296" s="127" t="s">
        <v>2306</v>
      </c>
      <c r="E296" s="127" t="s">
        <v>2307</v>
      </c>
      <c r="F296" s="83" t="s">
        <v>965</v>
      </c>
      <c r="G296" s="83" t="s">
        <v>1947</v>
      </c>
      <c r="H296" s="128">
        <f>4700/1.18</f>
        <v>3983.0508474576272</v>
      </c>
      <c r="I296" s="128">
        <f>H296*0.18</f>
        <v>716.94915254237287</v>
      </c>
      <c r="K296" s="128">
        <f>+H296+I296</f>
        <v>4700</v>
      </c>
      <c r="L296" s="83" t="s">
        <v>2308</v>
      </c>
      <c r="M296" s="83" t="s">
        <v>31</v>
      </c>
      <c r="P296" s="83" t="s">
        <v>663</v>
      </c>
      <c r="Q296" s="126">
        <v>40895</v>
      </c>
    </row>
    <row r="297" spans="1:17" x14ac:dyDescent="0.2">
      <c r="A297" s="83" t="s">
        <v>408</v>
      </c>
      <c r="B297" s="126">
        <v>40807</v>
      </c>
      <c r="C297" s="83" t="s">
        <v>2309</v>
      </c>
      <c r="D297" s="127" t="s">
        <v>2203</v>
      </c>
      <c r="E297" s="127" t="s">
        <v>2310</v>
      </c>
      <c r="F297" s="83" t="s">
        <v>112</v>
      </c>
      <c r="G297" s="83" t="s">
        <v>981</v>
      </c>
      <c r="J297" s="83" t="s">
        <v>303</v>
      </c>
      <c r="K297" s="83">
        <v>2000</v>
      </c>
      <c r="L297" s="83" t="s">
        <v>2311</v>
      </c>
      <c r="M297" s="83" t="s">
        <v>2620</v>
      </c>
      <c r="P297" s="83" t="s">
        <v>663</v>
      </c>
      <c r="Q297" s="126">
        <v>40895</v>
      </c>
    </row>
    <row r="298" spans="1:17" x14ac:dyDescent="0.2">
      <c r="A298" s="83" t="s">
        <v>12</v>
      </c>
      <c r="B298" s="126">
        <v>40806</v>
      </c>
      <c r="C298" s="83" t="s">
        <v>951</v>
      </c>
      <c r="D298" s="139" t="s">
        <v>1136</v>
      </c>
      <c r="E298" s="140" t="s">
        <v>1137</v>
      </c>
      <c r="F298" s="83" t="s">
        <v>112</v>
      </c>
      <c r="G298" s="83" t="s">
        <v>981</v>
      </c>
      <c r="J298" s="83" t="s">
        <v>303</v>
      </c>
      <c r="K298" s="83">
        <v>1800</v>
      </c>
      <c r="L298" s="83" t="s">
        <v>1904</v>
      </c>
      <c r="P298" s="83" t="s">
        <v>663</v>
      </c>
      <c r="Q298" s="126">
        <v>40895</v>
      </c>
    </row>
    <row r="299" spans="1:17" x14ac:dyDescent="0.2">
      <c r="A299" s="83" t="s">
        <v>408</v>
      </c>
      <c r="B299" s="126">
        <v>40849</v>
      </c>
      <c r="C299" s="83" t="s">
        <v>2312</v>
      </c>
      <c r="D299" s="127" t="s">
        <v>2313</v>
      </c>
      <c r="E299" s="127" t="s">
        <v>2314</v>
      </c>
      <c r="F299" s="83" t="s">
        <v>1044</v>
      </c>
      <c r="G299" s="83" t="s">
        <v>2188</v>
      </c>
      <c r="H299" s="128">
        <f>4700/1.18</f>
        <v>3983.0508474576272</v>
      </c>
      <c r="I299" s="128">
        <f>H299*0.18</f>
        <v>716.94915254237287</v>
      </c>
      <c r="K299" s="128">
        <f>+H299+I299</f>
        <v>4700</v>
      </c>
      <c r="L299" s="83" t="s">
        <v>2315</v>
      </c>
      <c r="M299" s="83" t="s">
        <v>2573</v>
      </c>
      <c r="P299" s="83" t="s">
        <v>663</v>
      </c>
      <c r="Q299" s="126">
        <v>40895</v>
      </c>
    </row>
    <row r="300" spans="1:17" x14ac:dyDescent="0.2">
      <c r="A300" s="83" t="s">
        <v>408</v>
      </c>
      <c r="B300" s="126">
        <v>40872</v>
      </c>
      <c r="C300" s="83" t="s">
        <v>2317</v>
      </c>
      <c r="D300" s="127" t="s">
        <v>2318</v>
      </c>
      <c r="E300" s="127" t="s">
        <v>2319</v>
      </c>
      <c r="F300" s="83" t="s">
        <v>32</v>
      </c>
      <c r="G300" s="83" t="s">
        <v>2278</v>
      </c>
      <c r="H300" s="128">
        <f>3900/1.18</f>
        <v>3305.0847457627119</v>
      </c>
      <c r="I300" s="128">
        <f>H300*0.18</f>
        <v>594.91525423728808</v>
      </c>
      <c r="K300" s="128">
        <f>+H300+I300</f>
        <v>3900</v>
      </c>
      <c r="L300" s="83" t="s">
        <v>2320</v>
      </c>
      <c r="M300" s="83" t="s">
        <v>2316</v>
      </c>
      <c r="P300" s="83" t="s">
        <v>663</v>
      </c>
      <c r="Q300" s="126">
        <v>40895</v>
      </c>
    </row>
    <row r="301" spans="1:17" x14ac:dyDescent="0.2">
      <c r="A301" s="83" t="s">
        <v>408</v>
      </c>
      <c r="B301" s="126">
        <v>40873</v>
      </c>
      <c r="C301" s="83" t="s">
        <v>2322</v>
      </c>
      <c r="D301" s="127" t="s">
        <v>244</v>
      </c>
      <c r="E301" s="127" t="s">
        <v>2323</v>
      </c>
      <c r="F301" s="83" t="s">
        <v>1358</v>
      </c>
      <c r="G301" s="83" t="s">
        <v>2261</v>
      </c>
      <c r="H301" s="128">
        <f>2000/1.18</f>
        <v>1694.9152542372883</v>
      </c>
      <c r="I301" s="128">
        <f>+H301*0.18</f>
        <v>305.08474576271186</v>
      </c>
      <c r="K301" s="83">
        <v>2000</v>
      </c>
      <c r="L301" s="83" t="s">
        <v>2324</v>
      </c>
      <c r="M301" s="83" t="s">
        <v>2321</v>
      </c>
      <c r="P301" s="83" t="s">
        <v>663</v>
      </c>
      <c r="Q301" s="126">
        <v>40895</v>
      </c>
    </row>
    <row r="302" spans="1:17" x14ac:dyDescent="0.2">
      <c r="A302" s="83" t="s">
        <v>408</v>
      </c>
      <c r="B302" s="126">
        <v>40837</v>
      </c>
      <c r="C302" s="83" t="s">
        <v>2325</v>
      </c>
      <c r="D302" s="127" t="s">
        <v>2326</v>
      </c>
      <c r="E302" s="127" t="s">
        <v>2327</v>
      </c>
      <c r="F302" s="83" t="s">
        <v>1358</v>
      </c>
      <c r="G302" s="83" t="s">
        <v>1791</v>
      </c>
      <c r="H302" s="128">
        <f>3000/1.18</f>
        <v>2542.3728813559323</v>
      </c>
      <c r="I302" s="128">
        <f t="shared" ref="I302:I309" si="36">H302*0.18</f>
        <v>457.62711864406782</v>
      </c>
      <c r="K302" s="128">
        <f t="shared" ref="K302:K309" si="37">+H302+I302</f>
        <v>3000</v>
      </c>
      <c r="L302" s="83" t="s">
        <v>1884</v>
      </c>
      <c r="M302" s="83" t="s">
        <v>2587</v>
      </c>
      <c r="P302" s="83" t="s">
        <v>663</v>
      </c>
      <c r="Q302" s="126">
        <v>40895</v>
      </c>
    </row>
    <row r="303" spans="1:17" x14ac:dyDescent="0.2">
      <c r="A303" s="83" t="s">
        <v>408</v>
      </c>
      <c r="B303" s="126">
        <v>40850</v>
      </c>
      <c r="C303" s="83" t="s">
        <v>2328</v>
      </c>
      <c r="D303" s="127" t="s">
        <v>2329</v>
      </c>
      <c r="E303" s="127" t="s">
        <v>2330</v>
      </c>
      <c r="F303" s="83" t="s">
        <v>978</v>
      </c>
      <c r="G303" s="83" t="s">
        <v>2276</v>
      </c>
      <c r="H303" s="128">
        <f>6300/1.18</f>
        <v>5338.9830508474579</v>
      </c>
      <c r="I303" s="128">
        <f t="shared" si="36"/>
        <v>961.01694915254234</v>
      </c>
      <c r="K303" s="128">
        <f t="shared" si="37"/>
        <v>6300</v>
      </c>
      <c r="L303" s="83" t="s">
        <v>2320</v>
      </c>
      <c r="M303" s="83" t="s">
        <v>2576</v>
      </c>
      <c r="P303" s="83" t="s">
        <v>663</v>
      </c>
      <c r="Q303" s="126">
        <v>40895</v>
      </c>
    </row>
    <row r="304" spans="1:17" x14ac:dyDescent="0.2">
      <c r="A304" s="83" t="s">
        <v>408</v>
      </c>
      <c r="B304" s="126">
        <v>40850</v>
      </c>
      <c r="C304" s="83" t="s">
        <v>2042</v>
      </c>
      <c r="D304" s="127" t="s">
        <v>2243</v>
      </c>
      <c r="E304" s="127" t="s">
        <v>2244</v>
      </c>
      <c r="F304" s="83" t="s">
        <v>2284</v>
      </c>
      <c r="G304" s="83" t="s">
        <v>2331</v>
      </c>
      <c r="H304" s="128">
        <f>5800/1.18</f>
        <v>4915.2542372881362</v>
      </c>
      <c r="I304" s="128">
        <f t="shared" si="36"/>
        <v>884.74576271186447</v>
      </c>
      <c r="K304" s="128">
        <f t="shared" si="37"/>
        <v>5800.0000000000009</v>
      </c>
      <c r="L304" s="83" t="s">
        <v>2334</v>
      </c>
      <c r="M304" s="83" t="s">
        <v>2572</v>
      </c>
      <c r="P304" s="83" t="s">
        <v>663</v>
      </c>
      <c r="Q304" s="126">
        <v>40895</v>
      </c>
    </row>
    <row r="305" spans="1:17" x14ac:dyDescent="0.2">
      <c r="A305" s="83" t="s">
        <v>12</v>
      </c>
      <c r="B305" s="126">
        <v>40841</v>
      </c>
      <c r="C305" s="83" t="s">
        <v>2458</v>
      </c>
      <c r="D305" s="127" t="s">
        <v>1946</v>
      </c>
      <c r="E305" s="127" t="s">
        <v>26</v>
      </c>
      <c r="F305" s="83" t="s">
        <v>1044</v>
      </c>
      <c r="G305" s="83" t="s">
        <v>2332</v>
      </c>
      <c r="H305" s="128">
        <f>3000/1.18</f>
        <v>2542.3728813559323</v>
      </c>
      <c r="I305" s="128">
        <f t="shared" si="36"/>
        <v>457.62711864406782</v>
      </c>
      <c r="K305" s="128">
        <f t="shared" si="37"/>
        <v>3000</v>
      </c>
      <c r="L305" s="83" t="s">
        <v>1904</v>
      </c>
      <c r="P305" s="83" t="s">
        <v>663</v>
      </c>
      <c r="Q305" s="126">
        <v>40895</v>
      </c>
    </row>
    <row r="306" spans="1:17" x14ac:dyDescent="0.2">
      <c r="A306" s="83" t="s">
        <v>12</v>
      </c>
      <c r="B306" s="126">
        <v>40841</v>
      </c>
      <c r="C306" s="83" t="s">
        <v>2449</v>
      </c>
      <c r="D306" s="127" t="s">
        <v>1946</v>
      </c>
      <c r="E306" s="127" t="s">
        <v>26</v>
      </c>
      <c r="F306" s="83" t="s">
        <v>2284</v>
      </c>
      <c r="G306" s="83" t="s">
        <v>2333</v>
      </c>
      <c r="H306" s="128">
        <f>5500/1.18</f>
        <v>4661.016949152543</v>
      </c>
      <c r="I306" s="128">
        <f t="shared" si="36"/>
        <v>838.98305084745766</v>
      </c>
      <c r="K306" s="128">
        <f t="shared" si="37"/>
        <v>5500.0000000000009</v>
      </c>
      <c r="L306" s="83" t="s">
        <v>1904</v>
      </c>
      <c r="P306" s="83" t="s">
        <v>663</v>
      </c>
      <c r="Q306" s="126">
        <v>40895</v>
      </c>
    </row>
    <row r="307" spans="1:17" x14ac:dyDescent="0.2">
      <c r="A307" s="83" t="s">
        <v>408</v>
      </c>
      <c r="B307" s="126">
        <v>40850</v>
      </c>
      <c r="C307" s="83" t="s">
        <v>2335</v>
      </c>
      <c r="D307" s="127" t="s">
        <v>2243</v>
      </c>
      <c r="E307" s="127" t="s">
        <v>2244</v>
      </c>
      <c r="F307" s="83" t="s">
        <v>1044</v>
      </c>
      <c r="G307" s="83" t="s">
        <v>2332</v>
      </c>
      <c r="H307" s="128">
        <f>3300/1.18</f>
        <v>2796.6101694915255</v>
      </c>
      <c r="I307" s="128">
        <f t="shared" si="36"/>
        <v>503.38983050847457</v>
      </c>
      <c r="K307" s="128">
        <f t="shared" si="37"/>
        <v>3300</v>
      </c>
      <c r="L307" s="83" t="s">
        <v>2334</v>
      </c>
      <c r="M307" s="83" t="s">
        <v>31</v>
      </c>
      <c r="P307" s="83" t="s">
        <v>663</v>
      </c>
      <c r="Q307" s="126">
        <v>40895</v>
      </c>
    </row>
    <row r="308" spans="1:17" x14ac:dyDescent="0.2">
      <c r="A308" s="83" t="s">
        <v>408</v>
      </c>
      <c r="B308" s="126">
        <v>40843</v>
      </c>
      <c r="C308" s="83" t="s">
        <v>664</v>
      </c>
      <c r="D308" s="127" t="s">
        <v>2336</v>
      </c>
      <c r="E308" s="127" t="s">
        <v>1200</v>
      </c>
      <c r="F308" s="83" t="s">
        <v>1358</v>
      </c>
      <c r="G308" s="83" t="s">
        <v>2263</v>
      </c>
      <c r="H308" s="128">
        <f>3200/1.18</f>
        <v>2711.8644067796613</v>
      </c>
      <c r="I308" s="128">
        <f t="shared" si="36"/>
        <v>488.13559322033899</v>
      </c>
      <c r="K308" s="128">
        <f t="shared" si="37"/>
        <v>3200.0000000000005</v>
      </c>
      <c r="L308" s="83" t="s">
        <v>2324</v>
      </c>
      <c r="M308" s="83" t="s">
        <v>31</v>
      </c>
      <c r="P308" s="83" t="s">
        <v>663</v>
      </c>
      <c r="Q308" s="126">
        <v>40895</v>
      </c>
    </row>
    <row r="309" spans="1:17" x14ac:dyDescent="0.2">
      <c r="A309" s="83" t="s">
        <v>408</v>
      </c>
      <c r="B309" s="126">
        <v>40865</v>
      </c>
      <c r="C309" s="83" t="s">
        <v>2338</v>
      </c>
      <c r="D309" s="127" t="s">
        <v>2339</v>
      </c>
      <c r="E309" s="127" t="s">
        <v>2340</v>
      </c>
      <c r="F309" s="83" t="s">
        <v>1536</v>
      </c>
      <c r="G309" s="83" t="s">
        <v>2257</v>
      </c>
      <c r="H309" s="128">
        <f>8500/1.18</f>
        <v>7203.3898305084749</v>
      </c>
      <c r="I309" s="128">
        <f t="shared" si="36"/>
        <v>1296.6101694915255</v>
      </c>
      <c r="K309" s="128">
        <f t="shared" si="37"/>
        <v>8500</v>
      </c>
      <c r="L309" s="83" t="s">
        <v>2337</v>
      </c>
      <c r="M309" s="83" t="s">
        <v>2578</v>
      </c>
      <c r="P309" s="83" t="s">
        <v>663</v>
      </c>
      <c r="Q309" s="126">
        <v>40895</v>
      </c>
    </row>
    <row r="310" spans="1:17" x14ac:dyDescent="0.2">
      <c r="A310" s="83" t="s">
        <v>408</v>
      </c>
      <c r="B310" s="126">
        <v>40853</v>
      </c>
      <c r="C310" s="83" t="s">
        <v>2341</v>
      </c>
      <c r="D310" s="127" t="s">
        <v>2342</v>
      </c>
      <c r="E310" s="127" t="s">
        <v>2343</v>
      </c>
      <c r="F310" s="83" t="s">
        <v>2284</v>
      </c>
      <c r="G310" s="83" t="s">
        <v>2459</v>
      </c>
      <c r="J310" s="83" t="s">
        <v>303</v>
      </c>
      <c r="K310" s="83">
        <v>800</v>
      </c>
      <c r="L310" s="84" t="s">
        <v>2658</v>
      </c>
      <c r="M310" s="83" t="s">
        <v>2620</v>
      </c>
      <c r="P310" s="83" t="s">
        <v>663</v>
      </c>
      <c r="Q310" s="126">
        <v>40895</v>
      </c>
    </row>
    <row r="311" spans="1:17" x14ac:dyDescent="0.2">
      <c r="A311" s="83" t="s">
        <v>408</v>
      </c>
      <c r="B311" s="126">
        <v>40834</v>
      </c>
      <c r="C311" s="83" t="s">
        <v>2344</v>
      </c>
      <c r="D311" s="127" t="s">
        <v>2345</v>
      </c>
      <c r="E311" s="127" t="s">
        <v>2346</v>
      </c>
      <c r="F311" s="83" t="s">
        <v>39</v>
      </c>
      <c r="G311" s="83" t="s">
        <v>1368</v>
      </c>
      <c r="H311" s="128">
        <f>2500/1.18</f>
        <v>2118.6440677966102</v>
      </c>
      <c r="I311" s="128">
        <f t="shared" ref="I311:I316" si="38">H311*0.18</f>
        <v>381.35593220338984</v>
      </c>
      <c r="K311" s="128">
        <f t="shared" ref="K311:K316" si="39">+H311+I311</f>
        <v>2500</v>
      </c>
      <c r="L311" s="83" t="s">
        <v>2347</v>
      </c>
      <c r="M311" s="83" t="s">
        <v>2620</v>
      </c>
      <c r="P311" s="83" t="s">
        <v>663</v>
      </c>
      <c r="Q311" s="126">
        <v>40895</v>
      </c>
    </row>
    <row r="312" spans="1:17" x14ac:dyDescent="0.2">
      <c r="A312" s="83" t="s">
        <v>408</v>
      </c>
      <c r="B312" s="126">
        <v>40873</v>
      </c>
      <c r="C312" s="83" t="s">
        <v>2348</v>
      </c>
      <c r="D312" s="127" t="s">
        <v>2241</v>
      </c>
      <c r="E312" s="127" t="s">
        <v>2029</v>
      </c>
      <c r="F312" s="83" t="s">
        <v>111</v>
      </c>
      <c r="G312" s="83" t="s">
        <v>2260</v>
      </c>
      <c r="H312" s="128">
        <f>3250/1.18</f>
        <v>2754.2372881355932</v>
      </c>
      <c r="I312" s="128">
        <f t="shared" si="38"/>
        <v>495.76271186440675</v>
      </c>
      <c r="K312" s="128">
        <f t="shared" si="39"/>
        <v>3250</v>
      </c>
      <c r="L312" s="83" t="s">
        <v>2349</v>
      </c>
      <c r="M312" s="83" t="s">
        <v>31</v>
      </c>
      <c r="P312" s="83" t="s">
        <v>663</v>
      </c>
      <c r="Q312" s="126">
        <v>40895</v>
      </c>
    </row>
    <row r="313" spans="1:17" x14ac:dyDescent="0.2">
      <c r="A313" s="83" t="s">
        <v>408</v>
      </c>
      <c r="B313" s="126">
        <v>40787</v>
      </c>
      <c r="C313" s="83" t="s">
        <v>2350</v>
      </c>
      <c r="D313" s="127" t="s">
        <v>2351</v>
      </c>
      <c r="E313" s="127" t="s">
        <v>2352</v>
      </c>
      <c r="F313" s="83" t="s">
        <v>1342</v>
      </c>
      <c r="G313" s="83" t="s">
        <v>2100</v>
      </c>
      <c r="H313" s="128">
        <f>3500/1.18</f>
        <v>2966.1016949152545</v>
      </c>
      <c r="I313" s="128">
        <f t="shared" si="38"/>
        <v>533.89830508474574</v>
      </c>
      <c r="K313" s="128">
        <f t="shared" si="39"/>
        <v>3500</v>
      </c>
      <c r="L313" s="83" t="s">
        <v>2353</v>
      </c>
      <c r="M313" s="83" t="s">
        <v>2569</v>
      </c>
      <c r="P313" s="83" t="s">
        <v>663</v>
      </c>
      <c r="Q313" s="126">
        <v>40895</v>
      </c>
    </row>
    <row r="314" spans="1:17" x14ac:dyDescent="0.2">
      <c r="A314" s="83" t="s">
        <v>408</v>
      </c>
      <c r="B314" s="126">
        <v>40833</v>
      </c>
      <c r="C314" s="83" t="s">
        <v>2381</v>
      </c>
      <c r="D314" s="127" t="s">
        <v>1906</v>
      </c>
      <c r="E314" s="127" t="s">
        <v>1907</v>
      </c>
      <c r="F314" s="83" t="s">
        <v>1358</v>
      </c>
      <c r="G314" s="83" t="s">
        <v>1363</v>
      </c>
      <c r="H314" s="128">
        <f>4000/1.18</f>
        <v>3389.8305084745766</v>
      </c>
      <c r="I314" s="128">
        <f t="shared" si="38"/>
        <v>610.16949152542372</v>
      </c>
      <c r="K314" s="128">
        <f t="shared" si="39"/>
        <v>4000.0000000000005</v>
      </c>
      <c r="L314" s="83" t="s">
        <v>1849</v>
      </c>
      <c r="M314" s="83" t="s">
        <v>31</v>
      </c>
      <c r="P314" s="83" t="s">
        <v>663</v>
      </c>
      <c r="Q314" s="126">
        <v>40895</v>
      </c>
    </row>
    <row r="315" spans="1:17" x14ac:dyDescent="0.2">
      <c r="A315" s="83" t="s">
        <v>408</v>
      </c>
      <c r="B315" s="126">
        <v>40836</v>
      </c>
      <c r="C315" s="83" t="s">
        <v>2354</v>
      </c>
      <c r="D315" s="127" t="s">
        <v>2355</v>
      </c>
      <c r="E315" s="127" t="s">
        <v>2356</v>
      </c>
      <c r="F315" s="83" t="s">
        <v>44</v>
      </c>
      <c r="G315" s="83" t="s">
        <v>2185</v>
      </c>
      <c r="H315" s="128">
        <f>1500/1.18</f>
        <v>1271.1864406779662</v>
      </c>
      <c r="I315" s="128">
        <f t="shared" si="38"/>
        <v>228.81355932203391</v>
      </c>
      <c r="K315" s="128">
        <f t="shared" si="39"/>
        <v>1500</v>
      </c>
      <c r="L315" s="83" t="s">
        <v>2357</v>
      </c>
      <c r="M315" s="83" t="s">
        <v>2620</v>
      </c>
      <c r="P315" s="83" t="s">
        <v>663</v>
      </c>
      <c r="Q315" s="126">
        <v>40895</v>
      </c>
    </row>
    <row r="316" spans="1:17" x14ac:dyDescent="0.2">
      <c r="A316" s="83" t="s">
        <v>408</v>
      </c>
      <c r="B316" s="126">
        <v>40836</v>
      </c>
      <c r="C316" s="83" t="s">
        <v>2358</v>
      </c>
      <c r="D316" s="127" t="s">
        <v>2243</v>
      </c>
      <c r="E316" s="127" t="s">
        <v>2244</v>
      </c>
      <c r="F316" s="83" t="s">
        <v>1358</v>
      </c>
      <c r="G316" s="83" t="s">
        <v>1780</v>
      </c>
      <c r="H316" s="128">
        <f>2360/1.18</f>
        <v>2000</v>
      </c>
      <c r="I316" s="128">
        <f t="shared" si="38"/>
        <v>360</v>
      </c>
      <c r="K316" s="128">
        <f t="shared" si="39"/>
        <v>2360</v>
      </c>
      <c r="L316" s="83" t="s">
        <v>2117</v>
      </c>
      <c r="M316" s="83" t="s">
        <v>2620</v>
      </c>
      <c r="P316" s="83" t="s">
        <v>663</v>
      </c>
      <c r="Q316" s="126">
        <v>40895</v>
      </c>
    </row>
    <row r="317" spans="1:17" x14ac:dyDescent="0.2">
      <c r="A317" s="83" t="s">
        <v>408</v>
      </c>
      <c r="B317" s="126">
        <v>40830</v>
      </c>
      <c r="C317" s="83" t="s">
        <v>2359</v>
      </c>
      <c r="D317" s="127" t="s">
        <v>2360</v>
      </c>
      <c r="E317" s="127" t="s">
        <v>2361</v>
      </c>
      <c r="F317" s="83" t="s">
        <v>978</v>
      </c>
      <c r="G317" s="83" t="s">
        <v>2206</v>
      </c>
      <c r="J317" s="83" t="s">
        <v>303</v>
      </c>
      <c r="K317" s="83">
        <v>3300</v>
      </c>
      <c r="L317" s="83" t="s">
        <v>2362</v>
      </c>
      <c r="M317" s="83" t="s">
        <v>31</v>
      </c>
      <c r="P317" s="83" t="s">
        <v>663</v>
      </c>
      <c r="Q317" s="126">
        <v>40895</v>
      </c>
    </row>
    <row r="318" spans="1:17" x14ac:dyDescent="0.2">
      <c r="A318" s="83" t="s">
        <v>408</v>
      </c>
      <c r="B318" s="126">
        <v>40843</v>
      </c>
      <c r="C318" s="83" t="s">
        <v>2363</v>
      </c>
      <c r="D318" s="127" t="s">
        <v>2364</v>
      </c>
      <c r="E318" s="127" t="s">
        <v>2365</v>
      </c>
      <c r="F318" s="83" t="s">
        <v>1358</v>
      </c>
      <c r="G318" s="83" t="s">
        <v>1942</v>
      </c>
      <c r="H318" s="128">
        <f>1180/1.18</f>
        <v>1000</v>
      </c>
      <c r="I318" s="128">
        <f t="shared" ref="I318:I325" si="40">H318*0.18</f>
        <v>180</v>
      </c>
      <c r="K318" s="128">
        <f t="shared" ref="K318:K325" si="41">+H318+I318</f>
        <v>1180</v>
      </c>
      <c r="L318" s="83" t="s">
        <v>2366</v>
      </c>
      <c r="M318" s="83" t="s">
        <v>2572</v>
      </c>
      <c r="P318" s="83" t="s">
        <v>663</v>
      </c>
      <c r="Q318" s="126">
        <v>40895</v>
      </c>
    </row>
    <row r="319" spans="1:17" x14ac:dyDescent="0.2">
      <c r="A319" s="83" t="s">
        <v>408</v>
      </c>
      <c r="B319" s="126">
        <v>40787</v>
      </c>
      <c r="C319" s="83" t="s">
        <v>2367</v>
      </c>
      <c r="D319" s="127" t="s">
        <v>2351</v>
      </c>
      <c r="E319" s="127" t="s">
        <v>2352</v>
      </c>
      <c r="F319" s="83" t="s">
        <v>1342</v>
      </c>
      <c r="G319" s="83" t="s">
        <v>2102</v>
      </c>
      <c r="H319" s="128">
        <f>4000/1.18</f>
        <v>3389.8305084745766</v>
      </c>
      <c r="I319" s="128">
        <f t="shared" si="40"/>
        <v>610.16949152542372</v>
      </c>
      <c r="K319" s="128">
        <f t="shared" si="41"/>
        <v>4000.0000000000005</v>
      </c>
      <c r="L319" s="83" t="s">
        <v>2368</v>
      </c>
      <c r="M319" s="83" t="s">
        <v>2557</v>
      </c>
      <c r="P319" s="83" t="s">
        <v>663</v>
      </c>
      <c r="Q319" s="126">
        <v>40895</v>
      </c>
    </row>
    <row r="320" spans="1:17" x14ac:dyDescent="0.2">
      <c r="A320" s="83" t="s">
        <v>408</v>
      </c>
      <c r="B320" s="126">
        <v>40862</v>
      </c>
      <c r="C320" s="83" t="s">
        <v>2369</v>
      </c>
      <c r="D320" s="127" t="s">
        <v>2370</v>
      </c>
      <c r="E320" s="127" t="s">
        <v>2462</v>
      </c>
      <c r="F320" s="83" t="s">
        <v>61</v>
      </c>
      <c r="G320" s="83" t="s">
        <v>2259</v>
      </c>
      <c r="H320" s="128">
        <f>3300/1.18</f>
        <v>2796.6101694915255</v>
      </c>
      <c r="I320" s="128">
        <f t="shared" si="40"/>
        <v>503.38983050847457</v>
      </c>
      <c r="K320" s="128">
        <f t="shared" si="41"/>
        <v>3300</v>
      </c>
      <c r="L320" s="83" t="s">
        <v>2349</v>
      </c>
      <c r="M320" s="83" t="s">
        <v>2577</v>
      </c>
      <c r="P320" s="83" t="s">
        <v>663</v>
      </c>
      <c r="Q320" s="126">
        <v>40895</v>
      </c>
    </row>
    <row r="321" spans="1:17" x14ac:dyDescent="0.2">
      <c r="A321" s="83" t="s">
        <v>408</v>
      </c>
      <c r="B321" s="126">
        <v>40605</v>
      </c>
      <c r="C321" s="83" t="s">
        <v>2371</v>
      </c>
      <c r="D321" s="127" t="s">
        <v>2372</v>
      </c>
      <c r="E321" s="127" t="s">
        <v>2460</v>
      </c>
      <c r="F321" s="83" t="s">
        <v>1342</v>
      </c>
      <c r="G321" s="83" t="s">
        <v>1621</v>
      </c>
      <c r="H321" s="128">
        <f>5700/1.18</f>
        <v>4830.5084745762715</v>
      </c>
      <c r="I321" s="128">
        <f t="shared" si="40"/>
        <v>869.49152542372883</v>
      </c>
      <c r="K321" s="128">
        <f t="shared" si="41"/>
        <v>5700</v>
      </c>
      <c r="L321" s="83" t="s">
        <v>2373</v>
      </c>
      <c r="M321" s="83" t="s">
        <v>2374</v>
      </c>
      <c r="P321" s="83" t="s">
        <v>663</v>
      </c>
      <c r="Q321" s="126">
        <v>40895</v>
      </c>
    </row>
    <row r="322" spans="1:17" x14ac:dyDescent="0.2">
      <c r="A322" s="83" t="s">
        <v>408</v>
      </c>
      <c r="B322" s="126">
        <v>40578</v>
      </c>
      <c r="C322" s="83" t="s">
        <v>2375</v>
      </c>
      <c r="D322" s="127" t="s">
        <v>1344</v>
      </c>
      <c r="E322" s="127" t="s">
        <v>525</v>
      </c>
      <c r="F322" s="83" t="s">
        <v>49</v>
      </c>
      <c r="G322" s="83" t="s">
        <v>1304</v>
      </c>
      <c r="H322" s="128">
        <f>4500/1.18</f>
        <v>3813.5593220338983</v>
      </c>
      <c r="I322" s="128">
        <f t="shared" si="40"/>
        <v>686.4406779661017</v>
      </c>
      <c r="K322" s="128">
        <f t="shared" si="41"/>
        <v>4500</v>
      </c>
      <c r="L322" s="83" t="s">
        <v>2236</v>
      </c>
      <c r="M322" s="83" t="s">
        <v>2374</v>
      </c>
      <c r="P322" s="83" t="s">
        <v>663</v>
      </c>
      <c r="Q322" s="126">
        <v>40895</v>
      </c>
    </row>
    <row r="323" spans="1:17" x14ac:dyDescent="0.2">
      <c r="A323" s="83" t="s">
        <v>408</v>
      </c>
      <c r="B323" s="126">
        <v>40819</v>
      </c>
      <c r="C323" s="83" t="s">
        <v>628</v>
      </c>
      <c r="D323" s="127" t="s">
        <v>2376</v>
      </c>
      <c r="E323" s="127" t="s">
        <v>2377</v>
      </c>
      <c r="F323" s="83" t="s">
        <v>111</v>
      </c>
      <c r="G323" s="83" t="s">
        <v>1980</v>
      </c>
      <c r="H323" s="128">
        <f>3700/1.18</f>
        <v>3135.5932203389834</v>
      </c>
      <c r="I323" s="128">
        <f t="shared" si="40"/>
        <v>564.40677966101703</v>
      </c>
      <c r="K323" s="128">
        <f t="shared" si="41"/>
        <v>3700.0000000000005</v>
      </c>
      <c r="L323" s="83" t="s">
        <v>2218</v>
      </c>
      <c r="M323" s="83" t="s">
        <v>2586</v>
      </c>
      <c r="P323" s="83" t="s">
        <v>663</v>
      </c>
      <c r="Q323" s="126">
        <v>40895</v>
      </c>
    </row>
    <row r="324" spans="1:17" x14ac:dyDescent="0.2">
      <c r="A324" s="83" t="s">
        <v>408</v>
      </c>
      <c r="B324" s="126">
        <v>40819</v>
      </c>
      <c r="C324" s="83" t="s">
        <v>632</v>
      </c>
      <c r="D324" s="127" t="s">
        <v>2378</v>
      </c>
      <c r="E324" s="127" t="s">
        <v>2379</v>
      </c>
      <c r="F324" s="83" t="s">
        <v>44</v>
      </c>
      <c r="G324" s="83" t="s">
        <v>1912</v>
      </c>
      <c r="H324" s="128">
        <f>3850/1.18</f>
        <v>3262.71186440678</v>
      </c>
      <c r="I324" s="128">
        <f t="shared" si="40"/>
        <v>587.28813559322043</v>
      </c>
      <c r="K324" s="128">
        <f t="shared" si="41"/>
        <v>3850.0000000000005</v>
      </c>
      <c r="L324" s="83" t="s">
        <v>2380</v>
      </c>
      <c r="M324" s="83" t="s">
        <v>2556</v>
      </c>
      <c r="P324" s="83" t="s">
        <v>663</v>
      </c>
      <c r="Q324" s="126">
        <v>40895</v>
      </c>
    </row>
    <row r="325" spans="1:17" x14ac:dyDescent="0.2">
      <c r="A325" s="83" t="s">
        <v>408</v>
      </c>
      <c r="B325" s="126">
        <v>40841</v>
      </c>
      <c r="C325" s="83" t="s">
        <v>633</v>
      </c>
      <c r="D325" s="127" t="s">
        <v>1344</v>
      </c>
      <c r="E325" s="127" t="s">
        <v>1494</v>
      </c>
      <c r="F325" s="83" t="s">
        <v>39</v>
      </c>
      <c r="G325" s="83" t="s">
        <v>1529</v>
      </c>
      <c r="H325" s="128">
        <f>4000/1.18</f>
        <v>3389.8305084745766</v>
      </c>
      <c r="I325" s="128">
        <f t="shared" si="40"/>
        <v>610.16949152542372</v>
      </c>
      <c r="K325" s="128">
        <f t="shared" si="41"/>
        <v>4000.0000000000005</v>
      </c>
      <c r="L325" s="83" t="s">
        <v>1896</v>
      </c>
      <c r="M325" s="83" t="s">
        <v>31</v>
      </c>
      <c r="P325" s="83" t="s">
        <v>663</v>
      </c>
      <c r="Q325" s="126">
        <v>40895</v>
      </c>
    </row>
    <row r="326" spans="1:17" x14ac:dyDescent="0.2">
      <c r="A326" s="83" t="s">
        <v>408</v>
      </c>
      <c r="B326" s="126">
        <v>40842</v>
      </c>
      <c r="C326" s="83" t="s">
        <v>2382</v>
      </c>
      <c r="D326" s="127" t="s">
        <v>1703</v>
      </c>
      <c r="E326" s="127" t="s">
        <v>1704</v>
      </c>
      <c r="F326" s="83" t="s">
        <v>2383</v>
      </c>
      <c r="G326" s="83" t="s">
        <v>2384</v>
      </c>
      <c r="H326" s="128"/>
      <c r="I326" s="128"/>
      <c r="J326" s="83" t="s">
        <v>303</v>
      </c>
      <c r="K326" s="128">
        <v>4000</v>
      </c>
      <c r="L326" s="83" t="s">
        <v>2433</v>
      </c>
      <c r="M326" s="83" t="s">
        <v>31</v>
      </c>
      <c r="P326" s="83" t="s">
        <v>663</v>
      </c>
      <c r="Q326" s="126">
        <v>40895</v>
      </c>
    </row>
    <row r="327" spans="1:17" x14ac:dyDescent="0.2">
      <c r="A327" s="83" t="s">
        <v>408</v>
      </c>
      <c r="B327" s="126">
        <v>40844</v>
      </c>
      <c r="C327" s="83" t="s">
        <v>641</v>
      </c>
      <c r="D327" s="127" t="s">
        <v>1703</v>
      </c>
      <c r="E327" s="127" t="s">
        <v>1704</v>
      </c>
      <c r="F327" s="83" t="s">
        <v>1981</v>
      </c>
      <c r="G327" s="83" t="s">
        <v>1982</v>
      </c>
      <c r="H327" s="128">
        <f>5000/1.18</f>
        <v>4237.2881355932204</v>
      </c>
      <c r="I327" s="128">
        <f t="shared" ref="I327:I335" si="42">H327*0.18</f>
        <v>762.71186440677968</v>
      </c>
      <c r="K327" s="128">
        <f t="shared" ref="K327:K335" si="43">+H327+I327</f>
        <v>5000</v>
      </c>
      <c r="L327" s="83" t="s">
        <v>2385</v>
      </c>
      <c r="M327" s="83" t="s">
        <v>2572</v>
      </c>
      <c r="P327" s="83" t="s">
        <v>663</v>
      </c>
      <c r="Q327" s="126">
        <v>40895</v>
      </c>
    </row>
    <row r="328" spans="1:17" x14ac:dyDescent="0.2">
      <c r="A328" s="83" t="s">
        <v>408</v>
      </c>
      <c r="B328" s="126">
        <v>40843</v>
      </c>
      <c r="C328" s="83" t="s">
        <v>645</v>
      </c>
      <c r="D328" s="127" t="s">
        <v>2336</v>
      </c>
      <c r="E328" s="127" t="s">
        <v>1200</v>
      </c>
      <c r="F328" s="83" t="s">
        <v>1708</v>
      </c>
      <c r="G328" s="83" t="s">
        <v>1977</v>
      </c>
      <c r="H328" s="128">
        <f>3700/1.18</f>
        <v>3135.5932203389834</v>
      </c>
      <c r="I328" s="128">
        <f t="shared" si="42"/>
        <v>564.40677966101703</v>
      </c>
      <c r="K328" s="128">
        <f t="shared" si="43"/>
        <v>3700.0000000000005</v>
      </c>
      <c r="L328" s="83" t="s">
        <v>2386</v>
      </c>
      <c r="M328" s="83" t="s">
        <v>2418</v>
      </c>
      <c r="P328" s="83" t="s">
        <v>663</v>
      </c>
      <c r="Q328" s="126">
        <v>40895</v>
      </c>
    </row>
    <row r="329" spans="1:17" x14ac:dyDescent="0.2">
      <c r="A329" s="83" t="s">
        <v>408</v>
      </c>
      <c r="B329" s="126">
        <v>40843</v>
      </c>
      <c r="C329" s="83" t="s">
        <v>658</v>
      </c>
      <c r="D329" s="127" t="s">
        <v>2336</v>
      </c>
      <c r="E329" s="127" t="s">
        <v>1200</v>
      </c>
      <c r="F329" s="83" t="s">
        <v>1012</v>
      </c>
      <c r="G329" s="83" t="s">
        <v>1960</v>
      </c>
      <c r="H329" s="128">
        <f>5500/1.18</f>
        <v>4661.016949152543</v>
      </c>
      <c r="I329" s="128">
        <f t="shared" si="42"/>
        <v>838.98305084745766</v>
      </c>
      <c r="K329" s="128">
        <f t="shared" si="43"/>
        <v>5500.0000000000009</v>
      </c>
      <c r="L329" s="83" t="s">
        <v>2169</v>
      </c>
      <c r="M329" s="83" t="s">
        <v>2418</v>
      </c>
      <c r="P329" s="83" t="s">
        <v>663</v>
      </c>
      <c r="Q329" s="126">
        <v>40895</v>
      </c>
    </row>
    <row r="330" spans="1:17" x14ac:dyDescent="0.2">
      <c r="A330" s="83" t="s">
        <v>408</v>
      </c>
      <c r="B330" s="126">
        <v>40865</v>
      </c>
      <c r="C330" s="83" t="s">
        <v>668</v>
      </c>
      <c r="D330" s="127" t="s">
        <v>1906</v>
      </c>
      <c r="E330" s="127" t="s">
        <v>1907</v>
      </c>
      <c r="F330" s="83" t="s">
        <v>968</v>
      </c>
      <c r="G330" s="83" t="s">
        <v>1473</v>
      </c>
      <c r="H330" s="128">
        <f>4900/1.18</f>
        <v>4152.5423728813557</v>
      </c>
      <c r="I330" s="128">
        <f t="shared" si="42"/>
        <v>747.45762711864404</v>
      </c>
      <c r="K330" s="128">
        <f t="shared" si="43"/>
        <v>4900</v>
      </c>
      <c r="L330" s="83" t="s">
        <v>1814</v>
      </c>
      <c r="M330" s="83" t="s">
        <v>31</v>
      </c>
      <c r="P330" s="83" t="s">
        <v>663</v>
      </c>
      <c r="Q330" s="126">
        <v>40895</v>
      </c>
    </row>
    <row r="331" spans="1:17" x14ac:dyDescent="0.2">
      <c r="A331" s="83" t="s">
        <v>408</v>
      </c>
      <c r="B331" s="126">
        <v>40870</v>
      </c>
      <c r="C331" s="83" t="s">
        <v>672</v>
      </c>
      <c r="D331" s="127" t="s">
        <v>278</v>
      </c>
      <c r="E331" s="127" t="s">
        <v>2061</v>
      </c>
      <c r="F331" s="83" t="s">
        <v>37</v>
      </c>
      <c r="G331" s="83" t="s">
        <v>1958</v>
      </c>
      <c r="H331" s="128">
        <f>3500/1.18</f>
        <v>2966.1016949152545</v>
      </c>
      <c r="I331" s="128">
        <f t="shared" si="42"/>
        <v>533.89830508474574</v>
      </c>
      <c r="K331" s="128">
        <f t="shared" si="43"/>
        <v>3500</v>
      </c>
      <c r="L331" s="83" t="s">
        <v>2169</v>
      </c>
      <c r="M331" s="83" t="s">
        <v>2590</v>
      </c>
      <c r="P331" s="83" t="s">
        <v>663</v>
      </c>
      <c r="Q331" s="126">
        <v>40895</v>
      </c>
    </row>
    <row r="332" spans="1:17" x14ac:dyDescent="0.2">
      <c r="A332" s="83" t="s">
        <v>408</v>
      </c>
      <c r="B332" s="126">
        <v>40869</v>
      </c>
      <c r="C332" s="83" t="s">
        <v>2387</v>
      </c>
      <c r="D332" s="127" t="s">
        <v>2388</v>
      </c>
      <c r="E332" s="127" t="s">
        <v>2389</v>
      </c>
      <c r="F332" s="83" t="s">
        <v>2190</v>
      </c>
      <c r="G332" s="83" t="s">
        <v>2191</v>
      </c>
      <c r="H332" s="128">
        <f>4700/1.18</f>
        <v>3983.0508474576272</v>
      </c>
      <c r="I332" s="128">
        <f t="shared" si="42"/>
        <v>716.94915254237287</v>
      </c>
      <c r="K332" s="128">
        <f t="shared" si="43"/>
        <v>4700</v>
      </c>
      <c r="L332" s="83" t="s">
        <v>2390</v>
      </c>
      <c r="M332" s="83" t="s">
        <v>2579</v>
      </c>
      <c r="P332" s="83" t="s">
        <v>663</v>
      </c>
      <c r="Q332" s="126">
        <v>40895</v>
      </c>
    </row>
    <row r="333" spans="1:17" x14ac:dyDescent="0.2">
      <c r="A333" s="83" t="s">
        <v>408</v>
      </c>
      <c r="B333" s="126">
        <v>40871</v>
      </c>
      <c r="C333" s="83" t="s">
        <v>2391</v>
      </c>
      <c r="D333" s="127" t="s">
        <v>2392</v>
      </c>
      <c r="E333" s="127" t="s">
        <v>2393</v>
      </c>
      <c r="F333" s="83" t="s">
        <v>1628</v>
      </c>
      <c r="G333" s="83" t="s">
        <v>1742</v>
      </c>
      <c r="H333" s="128">
        <f>3000/1.18</f>
        <v>2542.3728813559323</v>
      </c>
      <c r="I333" s="128">
        <f t="shared" si="42"/>
        <v>457.62711864406782</v>
      </c>
      <c r="K333" s="128">
        <f t="shared" si="43"/>
        <v>3000</v>
      </c>
      <c r="L333" s="83" t="s">
        <v>1808</v>
      </c>
      <c r="M333" s="83" t="s">
        <v>2568</v>
      </c>
      <c r="P333" s="83" t="s">
        <v>663</v>
      </c>
      <c r="Q333" s="126">
        <v>40895</v>
      </c>
    </row>
    <row r="334" spans="1:17" x14ac:dyDescent="0.2">
      <c r="A334" s="83" t="s">
        <v>408</v>
      </c>
      <c r="B334" s="126">
        <v>40871</v>
      </c>
      <c r="C334" s="83" t="s">
        <v>2394</v>
      </c>
      <c r="D334" s="127" t="s">
        <v>2395</v>
      </c>
      <c r="E334" s="127" t="s">
        <v>2430</v>
      </c>
      <c r="F334" s="83" t="s">
        <v>1785</v>
      </c>
      <c r="G334" s="83" t="s">
        <v>1786</v>
      </c>
      <c r="H334" s="83">
        <v>4237.29</v>
      </c>
      <c r="I334" s="128">
        <f t="shared" si="42"/>
        <v>762.71219999999994</v>
      </c>
      <c r="K334" s="128">
        <f t="shared" si="43"/>
        <v>5000.0021999999999</v>
      </c>
      <c r="L334" s="83" t="s">
        <v>2396</v>
      </c>
      <c r="M334" s="83" t="s">
        <v>31</v>
      </c>
      <c r="P334" s="83" t="s">
        <v>663</v>
      </c>
      <c r="Q334" s="126">
        <v>40895</v>
      </c>
    </row>
    <row r="335" spans="1:17" x14ac:dyDescent="0.2">
      <c r="A335" s="83" t="s">
        <v>408</v>
      </c>
      <c r="B335" s="126">
        <v>40871</v>
      </c>
      <c r="C335" s="83" t="s">
        <v>690</v>
      </c>
      <c r="D335" s="127" t="s">
        <v>2397</v>
      </c>
      <c r="E335" s="127" t="s">
        <v>2398</v>
      </c>
      <c r="F335" s="83" t="s">
        <v>32</v>
      </c>
      <c r="G335" s="83" t="s">
        <v>1733</v>
      </c>
      <c r="H335" s="128">
        <f>3800/1.18</f>
        <v>3220.3389830508477</v>
      </c>
      <c r="I335" s="128">
        <f t="shared" si="42"/>
        <v>579.66101694915255</v>
      </c>
      <c r="K335" s="128">
        <f t="shared" si="43"/>
        <v>3800</v>
      </c>
      <c r="L335" s="83" t="s">
        <v>1808</v>
      </c>
      <c r="M335" s="83" t="s">
        <v>2567</v>
      </c>
      <c r="P335" s="83" t="s">
        <v>663</v>
      </c>
      <c r="Q335" s="126">
        <v>40895</v>
      </c>
    </row>
    <row r="336" spans="1:17" x14ac:dyDescent="0.2">
      <c r="A336" s="83" t="s">
        <v>408</v>
      </c>
      <c r="B336" s="126">
        <v>40871</v>
      </c>
      <c r="C336" s="83" t="s">
        <v>695</v>
      </c>
      <c r="D336" s="127" t="s">
        <v>2397</v>
      </c>
      <c r="E336" s="127" t="s">
        <v>2399</v>
      </c>
      <c r="F336" s="83" t="s">
        <v>2284</v>
      </c>
      <c r="G336" s="83" t="s">
        <v>2400</v>
      </c>
      <c r="K336" s="83">
        <v>1600</v>
      </c>
      <c r="L336" s="83" t="s">
        <v>2422</v>
      </c>
      <c r="M336" s="83" t="s">
        <v>2567</v>
      </c>
      <c r="P336" s="83" t="s">
        <v>663</v>
      </c>
      <c r="Q336" s="126">
        <v>40895</v>
      </c>
    </row>
    <row r="337" spans="1:17" x14ac:dyDescent="0.2">
      <c r="A337" s="83" t="s">
        <v>408</v>
      </c>
      <c r="B337" s="126">
        <v>40871</v>
      </c>
      <c r="C337" s="83" t="s">
        <v>699</v>
      </c>
      <c r="D337" s="127" t="s">
        <v>2397</v>
      </c>
      <c r="E337" s="127" t="s">
        <v>2399</v>
      </c>
      <c r="F337" s="83" t="s">
        <v>1012</v>
      </c>
      <c r="G337" s="83" t="s">
        <v>2104</v>
      </c>
      <c r="H337" s="128">
        <f>2500/1.18</f>
        <v>2118.6440677966102</v>
      </c>
      <c r="I337" s="128">
        <f t="shared" ref="I337:I343" si="44">H337*0.18</f>
        <v>381.35593220338984</v>
      </c>
      <c r="K337" s="128">
        <f t="shared" ref="K337:K343" si="45">+H337+I337</f>
        <v>2500</v>
      </c>
      <c r="L337" s="83" t="s">
        <v>2401</v>
      </c>
      <c r="M337" s="83" t="s">
        <v>2567</v>
      </c>
      <c r="P337" s="83" t="s">
        <v>663</v>
      </c>
      <c r="Q337" s="126">
        <v>40895</v>
      </c>
    </row>
    <row r="338" spans="1:17" x14ac:dyDescent="0.2">
      <c r="A338" s="83" t="s">
        <v>408</v>
      </c>
      <c r="B338" s="126">
        <v>40871</v>
      </c>
      <c r="C338" s="83" t="s">
        <v>2402</v>
      </c>
      <c r="D338" s="127" t="s">
        <v>2397</v>
      </c>
      <c r="E338" s="127" t="s">
        <v>2399</v>
      </c>
      <c r="F338" s="83" t="s">
        <v>70</v>
      </c>
      <c r="G338" s="83" t="s">
        <v>1233</v>
      </c>
      <c r="H338" s="128">
        <f>4000/1.18</f>
        <v>3389.8305084745766</v>
      </c>
      <c r="I338" s="128">
        <f t="shared" si="44"/>
        <v>610.16949152542372</v>
      </c>
      <c r="K338" s="128">
        <f t="shared" si="45"/>
        <v>4000.0000000000005</v>
      </c>
      <c r="L338" s="83" t="s">
        <v>2403</v>
      </c>
      <c r="M338" s="83" t="s">
        <v>2567</v>
      </c>
      <c r="P338" s="83" t="s">
        <v>663</v>
      </c>
      <c r="Q338" s="126">
        <v>40895</v>
      </c>
    </row>
    <row r="339" spans="1:17" x14ac:dyDescent="0.2">
      <c r="A339" s="83" t="s">
        <v>408</v>
      </c>
      <c r="B339" s="126">
        <v>40871</v>
      </c>
      <c r="C339" s="83" t="s">
        <v>2404</v>
      </c>
      <c r="D339" s="127" t="s">
        <v>2405</v>
      </c>
      <c r="E339" s="127" t="s">
        <v>2406</v>
      </c>
      <c r="F339" s="83" t="s">
        <v>2249</v>
      </c>
      <c r="G339" s="83" t="s">
        <v>2251</v>
      </c>
      <c r="H339" s="128">
        <f>3100/1.18</f>
        <v>2627.1186440677966</v>
      </c>
      <c r="I339" s="128">
        <f t="shared" si="44"/>
        <v>472.88135593220335</v>
      </c>
      <c r="K339" s="128">
        <f t="shared" si="45"/>
        <v>3100</v>
      </c>
      <c r="L339" s="83" t="s">
        <v>2407</v>
      </c>
      <c r="M339" s="83" t="s">
        <v>2580</v>
      </c>
      <c r="P339" s="83" t="s">
        <v>663</v>
      </c>
      <c r="Q339" s="126">
        <v>40895</v>
      </c>
    </row>
    <row r="340" spans="1:17" x14ac:dyDescent="0.2">
      <c r="A340" s="83" t="s">
        <v>408</v>
      </c>
      <c r="B340" s="126">
        <v>40871</v>
      </c>
      <c r="C340" s="83" t="s">
        <v>2408</v>
      </c>
      <c r="D340" s="127" t="s">
        <v>2409</v>
      </c>
      <c r="E340" s="127" t="s">
        <v>2410</v>
      </c>
      <c r="F340" s="83" t="s">
        <v>1692</v>
      </c>
      <c r="G340" s="83" t="s">
        <v>2411</v>
      </c>
      <c r="H340" s="128">
        <f>3200/1.18</f>
        <v>2711.8644067796613</v>
      </c>
      <c r="I340" s="128">
        <f t="shared" si="44"/>
        <v>488.13559322033899</v>
      </c>
      <c r="K340" s="128">
        <f t="shared" si="45"/>
        <v>3200.0000000000005</v>
      </c>
      <c r="L340" s="83" t="s">
        <v>2506</v>
      </c>
      <c r="M340" s="83" t="s">
        <v>2580</v>
      </c>
      <c r="P340" s="83" t="s">
        <v>663</v>
      </c>
      <c r="Q340" s="126">
        <v>40895</v>
      </c>
    </row>
    <row r="341" spans="1:17" x14ac:dyDescent="0.2">
      <c r="A341" s="83" t="s">
        <v>408</v>
      </c>
      <c r="B341" s="126">
        <v>40871</v>
      </c>
      <c r="C341" s="83" t="s">
        <v>2412</v>
      </c>
      <c r="D341" s="127" t="s">
        <v>2243</v>
      </c>
      <c r="E341" s="127" t="s">
        <v>2244</v>
      </c>
      <c r="F341" s="83" t="s">
        <v>2249</v>
      </c>
      <c r="G341" s="83" t="s">
        <v>2250</v>
      </c>
      <c r="H341" s="128">
        <f>3100/1.18</f>
        <v>2627.1186440677966</v>
      </c>
      <c r="I341" s="128">
        <f t="shared" si="44"/>
        <v>472.88135593220335</v>
      </c>
      <c r="K341" s="128">
        <f t="shared" si="45"/>
        <v>3100</v>
      </c>
      <c r="L341" s="83" t="s">
        <v>2413</v>
      </c>
      <c r="M341" s="83" t="s">
        <v>2580</v>
      </c>
      <c r="P341" s="83" t="s">
        <v>663</v>
      </c>
      <c r="Q341" s="126">
        <v>40895</v>
      </c>
    </row>
    <row r="342" spans="1:17" x14ac:dyDescent="0.2">
      <c r="A342" s="83" t="s">
        <v>408</v>
      </c>
      <c r="B342" s="126">
        <v>40870</v>
      </c>
      <c r="C342" s="83" t="s">
        <v>2527</v>
      </c>
      <c r="D342" s="127" t="s">
        <v>2414</v>
      </c>
      <c r="E342" s="127" t="s">
        <v>2415</v>
      </c>
      <c r="F342" s="83" t="s">
        <v>70</v>
      </c>
      <c r="G342" s="83" t="s">
        <v>2086</v>
      </c>
      <c r="H342" s="128">
        <f>5800/1.18</f>
        <v>4915.2542372881362</v>
      </c>
      <c r="I342" s="128">
        <f t="shared" si="44"/>
        <v>884.74576271186447</v>
      </c>
      <c r="K342" s="128">
        <f t="shared" si="45"/>
        <v>5800.0000000000009</v>
      </c>
      <c r="L342" s="83" t="s">
        <v>2416</v>
      </c>
      <c r="M342" s="83" t="s">
        <v>31</v>
      </c>
      <c r="P342" s="83" t="s">
        <v>663</v>
      </c>
      <c r="Q342" s="126">
        <v>40895</v>
      </c>
    </row>
    <row r="343" spans="1:17" x14ac:dyDescent="0.2">
      <c r="A343" s="83" t="s">
        <v>408</v>
      </c>
      <c r="B343" s="126">
        <v>40878</v>
      </c>
      <c r="C343" s="83" t="s">
        <v>2428</v>
      </c>
      <c r="D343" s="127" t="s">
        <v>2427</v>
      </c>
      <c r="E343" s="83" t="s">
        <v>2429</v>
      </c>
      <c r="F343" s="83" t="s">
        <v>59</v>
      </c>
      <c r="G343" s="83" t="s">
        <v>1957</v>
      </c>
      <c r="H343" s="128">
        <f>3150/1.18</f>
        <v>2669.4915254237289</v>
      </c>
      <c r="I343" s="128">
        <f t="shared" si="44"/>
        <v>480.50847457627117</v>
      </c>
      <c r="K343" s="128">
        <f t="shared" si="45"/>
        <v>3150</v>
      </c>
      <c r="L343" s="83" t="s">
        <v>2417</v>
      </c>
      <c r="M343" s="83" t="s">
        <v>2581</v>
      </c>
      <c r="P343" s="83" t="s">
        <v>663</v>
      </c>
      <c r="Q343" s="126">
        <v>40895</v>
      </c>
    </row>
    <row r="344" spans="1:17" x14ac:dyDescent="0.2">
      <c r="A344" s="83" t="s">
        <v>12</v>
      </c>
      <c r="B344" s="126">
        <v>40753</v>
      </c>
      <c r="C344" s="83" t="s">
        <v>951</v>
      </c>
      <c r="D344" s="127" t="s">
        <v>2419</v>
      </c>
      <c r="E344" s="127" t="s">
        <v>2420</v>
      </c>
      <c r="F344" s="83" t="s">
        <v>2421</v>
      </c>
      <c r="G344" s="83" t="s">
        <v>2400</v>
      </c>
      <c r="K344" s="83">
        <v>1500</v>
      </c>
      <c r="L344" s="83" t="s">
        <v>1904</v>
      </c>
      <c r="P344" s="83" t="s">
        <v>663</v>
      </c>
      <c r="Q344" s="126">
        <v>40895</v>
      </c>
    </row>
    <row r="345" spans="1:17" x14ac:dyDescent="0.2">
      <c r="A345" s="83" t="s">
        <v>12</v>
      </c>
      <c r="B345" s="126">
        <v>40722</v>
      </c>
      <c r="C345" s="83" t="s">
        <v>951</v>
      </c>
      <c r="D345" s="127" t="s">
        <v>2424</v>
      </c>
      <c r="E345" s="127" t="s">
        <v>2033</v>
      </c>
      <c r="F345" s="83" t="s">
        <v>2141</v>
      </c>
      <c r="G345" s="83" t="s">
        <v>2142</v>
      </c>
      <c r="K345" s="83">
        <v>8500</v>
      </c>
      <c r="L345" s="83" t="s">
        <v>1904</v>
      </c>
      <c r="P345" s="83" t="s">
        <v>663</v>
      </c>
      <c r="Q345" s="126">
        <v>40895</v>
      </c>
    </row>
    <row r="346" spans="1:17" x14ac:dyDescent="0.2">
      <c r="A346" s="83" t="s">
        <v>12</v>
      </c>
      <c r="B346" s="126">
        <v>40806</v>
      </c>
      <c r="C346" s="83" t="s">
        <v>951</v>
      </c>
      <c r="D346" s="127" t="s">
        <v>2426</v>
      </c>
      <c r="E346" s="127" t="s">
        <v>2140</v>
      </c>
      <c r="F346" s="83" t="s">
        <v>2141</v>
      </c>
      <c r="G346" s="83" t="s">
        <v>2214</v>
      </c>
      <c r="K346" s="83">
        <v>4500</v>
      </c>
      <c r="L346" s="83" t="s">
        <v>1904</v>
      </c>
      <c r="P346" s="83" t="s">
        <v>663</v>
      </c>
      <c r="Q346" s="126">
        <v>40895</v>
      </c>
    </row>
    <row r="347" spans="1:17" x14ac:dyDescent="0.2">
      <c r="A347" s="83" t="s">
        <v>12</v>
      </c>
      <c r="B347" s="126">
        <v>40794</v>
      </c>
      <c r="C347" s="83" t="s">
        <v>951</v>
      </c>
      <c r="D347" s="83" t="s">
        <v>2150</v>
      </c>
      <c r="E347" s="127" t="s">
        <v>2431</v>
      </c>
      <c r="F347" s="83" t="s">
        <v>2210</v>
      </c>
      <c r="G347" s="83" t="s">
        <v>2211</v>
      </c>
      <c r="J347" s="83" t="s">
        <v>303</v>
      </c>
      <c r="K347" s="83">
        <v>8000</v>
      </c>
      <c r="L347" s="83" t="s">
        <v>1904</v>
      </c>
      <c r="P347" s="83" t="s">
        <v>663</v>
      </c>
      <c r="Q347" s="126">
        <v>40930</v>
      </c>
    </row>
    <row r="348" spans="1:17" x14ac:dyDescent="0.2">
      <c r="A348" s="83" t="s">
        <v>12</v>
      </c>
      <c r="B348" s="126">
        <v>40787</v>
      </c>
      <c r="C348" s="83" t="s">
        <v>951</v>
      </c>
      <c r="D348" s="83" t="s">
        <v>2221</v>
      </c>
      <c r="E348" s="83" t="s">
        <v>2434</v>
      </c>
      <c r="F348" s="83" t="s">
        <v>2383</v>
      </c>
      <c r="G348" s="83" t="s">
        <v>2384</v>
      </c>
      <c r="J348" s="83" t="s">
        <v>303</v>
      </c>
      <c r="K348" s="128">
        <v>3800</v>
      </c>
      <c r="L348" s="83" t="s">
        <v>1904</v>
      </c>
      <c r="P348" s="83" t="s">
        <v>663</v>
      </c>
      <c r="Q348" s="126">
        <v>40930</v>
      </c>
    </row>
    <row r="349" spans="1:17" x14ac:dyDescent="0.2">
      <c r="A349" s="83" t="s">
        <v>12</v>
      </c>
      <c r="B349" s="126">
        <v>40893</v>
      </c>
      <c r="C349" s="83" t="s">
        <v>2435</v>
      </c>
      <c r="D349" s="127" t="s">
        <v>1701</v>
      </c>
      <c r="E349" s="127" t="s">
        <v>1702</v>
      </c>
      <c r="F349" s="83" t="s">
        <v>1012</v>
      </c>
      <c r="G349" s="83" t="s">
        <v>1967</v>
      </c>
      <c r="H349" s="128">
        <f>6900/1.18</f>
        <v>5847.4576271186443</v>
      </c>
      <c r="I349" s="128">
        <f>H349*0.18</f>
        <v>1052.542372881356</v>
      </c>
      <c r="K349" s="128">
        <f>+H349+I349</f>
        <v>6900</v>
      </c>
      <c r="L349" s="83" t="s">
        <v>2709</v>
      </c>
      <c r="P349" s="83" t="s">
        <v>663</v>
      </c>
      <c r="Q349" s="126">
        <v>40930</v>
      </c>
    </row>
    <row r="350" spans="1:17" x14ac:dyDescent="0.2">
      <c r="A350" s="83" t="s">
        <v>12</v>
      </c>
      <c r="B350" s="126">
        <v>40878</v>
      </c>
      <c r="C350" s="83">
        <v>15101937</v>
      </c>
      <c r="D350" s="127" t="s">
        <v>2436</v>
      </c>
      <c r="E350" s="127" t="s">
        <v>2439</v>
      </c>
      <c r="F350" s="83" t="s">
        <v>2437</v>
      </c>
      <c r="G350" s="83" t="s">
        <v>2438</v>
      </c>
      <c r="J350" s="83" t="s">
        <v>303</v>
      </c>
      <c r="K350" s="83">
        <v>2000</v>
      </c>
      <c r="L350" s="83" t="s">
        <v>2507</v>
      </c>
      <c r="P350" s="83" t="s">
        <v>663</v>
      </c>
      <c r="Q350" s="126">
        <v>40930</v>
      </c>
    </row>
    <row r="351" spans="1:17" x14ac:dyDescent="0.2">
      <c r="A351" s="83" t="s">
        <v>12</v>
      </c>
      <c r="B351" s="126">
        <v>40884</v>
      </c>
      <c r="C351" s="83">
        <v>15101939</v>
      </c>
      <c r="D351" s="127" t="s">
        <v>2436</v>
      </c>
      <c r="E351" s="127" t="s">
        <v>2439</v>
      </c>
      <c r="F351" s="83" t="s">
        <v>2440</v>
      </c>
      <c r="G351" s="83" t="s">
        <v>2441</v>
      </c>
      <c r="J351" s="83" t="s">
        <v>303</v>
      </c>
      <c r="K351" s="83">
        <v>2400</v>
      </c>
      <c r="L351" s="83" t="s">
        <v>1904</v>
      </c>
      <c r="P351" s="83" t="s">
        <v>663</v>
      </c>
      <c r="Q351" s="126">
        <v>40930</v>
      </c>
    </row>
    <row r="352" spans="1:17" x14ac:dyDescent="0.2">
      <c r="A352" s="83" t="s">
        <v>12</v>
      </c>
      <c r="B352" s="126">
        <v>40884</v>
      </c>
      <c r="C352" s="83">
        <v>15101938</v>
      </c>
      <c r="D352" s="127" t="s">
        <v>2436</v>
      </c>
      <c r="E352" s="127" t="s">
        <v>2439</v>
      </c>
      <c r="F352" s="83" t="s">
        <v>2442</v>
      </c>
      <c r="G352" s="83" t="s">
        <v>2443</v>
      </c>
      <c r="J352" s="83" t="s">
        <v>303</v>
      </c>
      <c r="K352" s="83">
        <v>500</v>
      </c>
      <c r="L352" s="83" t="s">
        <v>1904</v>
      </c>
      <c r="P352" s="83" t="s">
        <v>663</v>
      </c>
      <c r="Q352" s="126">
        <v>40930</v>
      </c>
    </row>
    <row r="353" spans="1:17" x14ac:dyDescent="0.2">
      <c r="A353" s="83" t="s">
        <v>12</v>
      </c>
      <c r="B353" s="126">
        <v>40878</v>
      </c>
      <c r="C353" s="83" t="s">
        <v>951</v>
      </c>
      <c r="D353" s="127" t="s">
        <v>2306</v>
      </c>
      <c r="E353" s="127" t="s">
        <v>2444</v>
      </c>
      <c r="F353" s="83" t="s">
        <v>1012</v>
      </c>
      <c r="G353" s="83" t="s">
        <v>2445</v>
      </c>
      <c r="J353" s="83" t="s">
        <v>303</v>
      </c>
      <c r="K353" s="83">
        <v>16700</v>
      </c>
      <c r="L353" s="83" t="s">
        <v>3542</v>
      </c>
      <c r="P353" s="83" t="s">
        <v>663</v>
      </c>
      <c r="Q353" s="126">
        <v>40930</v>
      </c>
    </row>
    <row r="354" spans="1:17" x14ac:dyDescent="0.2">
      <c r="A354" s="83" t="s">
        <v>12</v>
      </c>
      <c r="B354" s="126">
        <v>40894</v>
      </c>
      <c r="C354" s="83">
        <v>2011101573</v>
      </c>
      <c r="D354" s="127" t="s">
        <v>14</v>
      </c>
      <c r="E354" s="127" t="s">
        <v>13</v>
      </c>
      <c r="F354" s="83" t="s">
        <v>2446</v>
      </c>
      <c r="G354" s="83" t="s">
        <v>2447</v>
      </c>
      <c r="H354" s="133">
        <v>3474.58</v>
      </c>
      <c r="I354" s="128">
        <f t="shared" ref="I354:I364" si="46">H354*0.18</f>
        <v>625.42439999999999</v>
      </c>
      <c r="K354" s="128">
        <f t="shared" ref="K354:K364" si="47">+H354+I354</f>
        <v>4100.0043999999998</v>
      </c>
      <c r="L354" s="83" t="s">
        <v>2709</v>
      </c>
      <c r="P354" s="83" t="s">
        <v>663</v>
      </c>
      <c r="Q354" s="126">
        <v>40930</v>
      </c>
    </row>
    <row r="355" spans="1:17" x14ac:dyDescent="0.2">
      <c r="A355" s="83" t="s">
        <v>12</v>
      </c>
      <c r="B355" s="126">
        <v>40894</v>
      </c>
      <c r="C355" s="83">
        <v>2011101572</v>
      </c>
      <c r="D355" s="127" t="s">
        <v>14</v>
      </c>
      <c r="E355" s="127" t="s">
        <v>13</v>
      </c>
      <c r="F355" s="83" t="s">
        <v>2446</v>
      </c>
      <c r="G355" s="83" t="s">
        <v>2448</v>
      </c>
      <c r="H355" s="133">
        <v>1166.1099999999999</v>
      </c>
      <c r="I355" s="128">
        <f t="shared" si="46"/>
        <v>209.89979999999997</v>
      </c>
      <c r="K355" s="128">
        <f t="shared" si="47"/>
        <v>1376.0097999999998</v>
      </c>
      <c r="L355" s="83" t="s">
        <v>2709</v>
      </c>
      <c r="P355" s="83" t="s">
        <v>663</v>
      </c>
      <c r="Q355" s="126">
        <v>40930</v>
      </c>
    </row>
    <row r="356" spans="1:17" x14ac:dyDescent="0.2">
      <c r="A356" s="83" t="s">
        <v>12</v>
      </c>
      <c r="B356" s="126">
        <v>40849</v>
      </c>
      <c r="C356" s="83" t="s">
        <v>2450</v>
      </c>
      <c r="D356" s="127" t="s">
        <v>1946</v>
      </c>
      <c r="E356" s="127" t="s">
        <v>26</v>
      </c>
      <c r="F356" s="83" t="s">
        <v>2284</v>
      </c>
      <c r="G356" s="83" t="s">
        <v>2451</v>
      </c>
      <c r="H356" s="83">
        <v>5084.75</v>
      </c>
      <c r="I356" s="128">
        <f t="shared" si="46"/>
        <v>915.255</v>
      </c>
      <c r="K356" s="128">
        <f t="shared" si="47"/>
        <v>6000.0050000000001</v>
      </c>
      <c r="P356" s="83" t="s">
        <v>663</v>
      </c>
      <c r="Q356" s="126">
        <v>40930</v>
      </c>
    </row>
    <row r="357" spans="1:17" x14ac:dyDescent="0.2">
      <c r="A357" s="83" t="s">
        <v>12</v>
      </c>
      <c r="B357" s="126">
        <v>40868</v>
      </c>
      <c r="C357" s="83" t="s">
        <v>2453</v>
      </c>
      <c r="D357" s="127" t="s">
        <v>1946</v>
      </c>
      <c r="E357" s="127" t="s">
        <v>26</v>
      </c>
      <c r="F357" s="83" t="s">
        <v>51</v>
      </c>
      <c r="G357" s="83" t="s">
        <v>2452</v>
      </c>
      <c r="H357" s="83">
        <v>5084.75</v>
      </c>
      <c r="I357" s="128">
        <f t="shared" si="46"/>
        <v>915.255</v>
      </c>
      <c r="K357" s="128">
        <f t="shared" si="47"/>
        <v>6000.0050000000001</v>
      </c>
      <c r="L357" s="83" t="s">
        <v>2709</v>
      </c>
      <c r="P357" s="83" t="s">
        <v>663</v>
      </c>
      <c r="Q357" s="126">
        <v>40930</v>
      </c>
    </row>
    <row r="358" spans="1:17" x14ac:dyDescent="0.2">
      <c r="A358" s="83" t="s">
        <v>12</v>
      </c>
      <c r="B358" s="126">
        <v>40868</v>
      </c>
      <c r="C358" s="83" t="s">
        <v>2454</v>
      </c>
      <c r="D358" s="127" t="s">
        <v>1946</v>
      </c>
      <c r="E358" s="127" t="s">
        <v>26</v>
      </c>
      <c r="F358" s="83" t="s">
        <v>1692</v>
      </c>
      <c r="G358" s="83" t="s">
        <v>2455</v>
      </c>
      <c r="H358" s="83">
        <v>5084.75</v>
      </c>
      <c r="I358" s="128">
        <f t="shared" si="46"/>
        <v>915.255</v>
      </c>
      <c r="K358" s="128">
        <f t="shared" si="47"/>
        <v>6000.0050000000001</v>
      </c>
      <c r="L358" s="83" t="s">
        <v>2709</v>
      </c>
      <c r="P358" s="83" t="s">
        <v>663</v>
      </c>
      <c r="Q358" s="126">
        <v>40930</v>
      </c>
    </row>
    <row r="359" spans="1:17" x14ac:dyDescent="0.2">
      <c r="A359" s="83" t="s">
        <v>12</v>
      </c>
      <c r="B359" s="126">
        <v>40868</v>
      </c>
      <c r="C359" s="83" t="s">
        <v>2456</v>
      </c>
      <c r="D359" s="127" t="s">
        <v>1946</v>
      </c>
      <c r="E359" s="127" t="s">
        <v>26</v>
      </c>
      <c r="F359" s="83" t="s">
        <v>978</v>
      </c>
      <c r="G359" s="83" t="s">
        <v>2457</v>
      </c>
      <c r="H359" s="83">
        <v>5084.75</v>
      </c>
      <c r="I359" s="128">
        <f t="shared" si="46"/>
        <v>915.255</v>
      </c>
      <c r="K359" s="128">
        <f t="shared" si="47"/>
        <v>6000.0050000000001</v>
      </c>
      <c r="L359" s="83" t="s">
        <v>1904</v>
      </c>
      <c r="P359" s="83" t="s">
        <v>663</v>
      </c>
      <c r="Q359" s="126">
        <v>40930</v>
      </c>
    </row>
    <row r="360" spans="1:17" x14ac:dyDescent="0.2">
      <c r="A360" s="83" t="s">
        <v>12</v>
      </c>
      <c r="B360" s="141">
        <v>40868</v>
      </c>
      <c r="C360" s="142" t="s">
        <v>2886</v>
      </c>
      <c r="D360" s="98" t="s">
        <v>1946</v>
      </c>
      <c r="E360" s="98" t="s">
        <v>26</v>
      </c>
      <c r="F360" s="106" t="s">
        <v>1692</v>
      </c>
      <c r="G360" s="106" t="s">
        <v>2411</v>
      </c>
      <c r="H360" s="146">
        <f>3100/1.18</f>
        <v>2627.1186440677966</v>
      </c>
      <c r="I360" s="146">
        <f t="shared" si="46"/>
        <v>472.88135593220335</v>
      </c>
      <c r="J360" s="106"/>
      <c r="K360" s="146">
        <f t="shared" si="47"/>
        <v>3100</v>
      </c>
      <c r="L360" s="83" t="s">
        <v>1904</v>
      </c>
      <c r="P360" s="83" t="s">
        <v>663</v>
      </c>
      <c r="Q360" s="126">
        <v>40930</v>
      </c>
    </row>
    <row r="361" spans="1:17" x14ac:dyDescent="0.2">
      <c r="A361" s="83" t="s">
        <v>12</v>
      </c>
      <c r="B361" s="141">
        <v>40876</v>
      </c>
      <c r="C361" s="142" t="s">
        <v>2890</v>
      </c>
      <c r="D361" s="98" t="s">
        <v>1946</v>
      </c>
      <c r="E361" s="98" t="s">
        <v>26</v>
      </c>
      <c r="F361" s="106" t="s">
        <v>1692</v>
      </c>
      <c r="G361" s="106" t="s">
        <v>2464</v>
      </c>
      <c r="H361" s="146">
        <f>2200/1.18</f>
        <v>1864.406779661017</v>
      </c>
      <c r="I361" s="146">
        <f t="shared" si="46"/>
        <v>335.59322033898303</v>
      </c>
      <c r="J361" s="106"/>
      <c r="K361" s="146">
        <f t="shared" si="47"/>
        <v>2200</v>
      </c>
      <c r="L361" s="83" t="s">
        <v>1904</v>
      </c>
      <c r="P361" s="83" t="s">
        <v>663</v>
      </c>
      <c r="Q361" s="126">
        <v>40930</v>
      </c>
    </row>
    <row r="362" spans="1:17" x14ac:dyDescent="0.2">
      <c r="A362" s="83" t="s">
        <v>408</v>
      </c>
      <c r="B362" s="126">
        <v>40886</v>
      </c>
      <c r="C362" s="83" t="s">
        <v>2463</v>
      </c>
      <c r="D362" s="127" t="s">
        <v>2405</v>
      </c>
      <c r="E362" s="127" t="s">
        <v>2406</v>
      </c>
      <c r="F362" s="83" t="s">
        <v>1692</v>
      </c>
      <c r="G362" s="83" t="s">
        <v>2464</v>
      </c>
      <c r="H362" s="128">
        <f>3100/1.18</f>
        <v>2627.1186440677966</v>
      </c>
      <c r="I362" s="128">
        <f t="shared" si="46"/>
        <v>472.88135593220335</v>
      </c>
      <c r="K362" s="128">
        <f t="shared" si="47"/>
        <v>3100</v>
      </c>
      <c r="L362" s="83" t="s">
        <v>2465</v>
      </c>
      <c r="M362" s="83" t="s">
        <v>2582</v>
      </c>
      <c r="P362" s="83" t="s">
        <v>663</v>
      </c>
      <c r="Q362" s="126">
        <v>40930</v>
      </c>
    </row>
    <row r="363" spans="1:17" x14ac:dyDescent="0.2">
      <c r="A363" s="83" t="s">
        <v>408</v>
      </c>
      <c r="B363" s="126">
        <v>40891</v>
      </c>
      <c r="C363" s="83" t="s">
        <v>2466</v>
      </c>
      <c r="D363" s="127" t="s">
        <v>2467</v>
      </c>
      <c r="E363" s="127" t="s">
        <v>2468</v>
      </c>
      <c r="F363" s="83" t="s">
        <v>53</v>
      </c>
      <c r="G363" s="83" t="s">
        <v>2280</v>
      </c>
      <c r="H363" s="128">
        <f>3700/1.18</f>
        <v>3135.5932203389834</v>
      </c>
      <c r="I363" s="128">
        <f t="shared" si="46"/>
        <v>564.40677966101703</v>
      </c>
      <c r="K363" s="128">
        <f t="shared" si="47"/>
        <v>3700.0000000000005</v>
      </c>
      <c r="L363" s="83" t="s">
        <v>2469</v>
      </c>
      <c r="M363" s="83" t="s">
        <v>31</v>
      </c>
      <c r="P363" s="83" t="s">
        <v>663</v>
      </c>
      <c r="Q363" s="126">
        <v>40930</v>
      </c>
    </row>
    <row r="364" spans="1:17" x14ac:dyDescent="0.2">
      <c r="A364" s="83" t="s">
        <v>408</v>
      </c>
      <c r="B364" s="126">
        <v>40889</v>
      </c>
      <c r="C364" s="83" t="s">
        <v>2470</v>
      </c>
      <c r="D364" s="127" t="s">
        <v>2471</v>
      </c>
      <c r="E364" s="127" t="s">
        <v>2472</v>
      </c>
      <c r="F364" s="83" t="s">
        <v>1357</v>
      </c>
      <c r="G364" s="83" t="s">
        <v>2107</v>
      </c>
      <c r="H364" s="128">
        <f>12500/1.18</f>
        <v>10593.220338983052</v>
      </c>
      <c r="I364" s="128">
        <f t="shared" si="46"/>
        <v>1906.7796610169494</v>
      </c>
      <c r="K364" s="128">
        <f t="shared" si="47"/>
        <v>12500.000000000002</v>
      </c>
      <c r="L364" s="83" t="s">
        <v>2473</v>
      </c>
      <c r="M364" s="83" t="s">
        <v>2574</v>
      </c>
      <c r="P364" s="83" t="s">
        <v>663</v>
      </c>
      <c r="Q364" s="126">
        <v>40930</v>
      </c>
    </row>
    <row r="365" spans="1:17" x14ac:dyDescent="0.2">
      <c r="A365" s="83" t="s">
        <v>408</v>
      </c>
      <c r="B365" s="126">
        <v>40891</v>
      </c>
      <c r="C365" s="83" t="s">
        <v>2474</v>
      </c>
      <c r="D365" s="127" t="s">
        <v>2475</v>
      </c>
      <c r="E365" s="127" t="s">
        <v>2476</v>
      </c>
      <c r="F365" s="83" t="s">
        <v>51</v>
      </c>
      <c r="G365" s="83" t="s">
        <v>2443</v>
      </c>
      <c r="J365" s="83" t="s">
        <v>303</v>
      </c>
      <c r="K365" s="83">
        <v>700</v>
      </c>
      <c r="L365" s="83" t="s">
        <v>2477</v>
      </c>
      <c r="M365" s="83" t="s">
        <v>2620</v>
      </c>
      <c r="P365" s="83" t="s">
        <v>663</v>
      </c>
      <c r="Q365" s="126">
        <v>40930</v>
      </c>
    </row>
    <row r="366" spans="1:17" x14ac:dyDescent="0.2">
      <c r="A366" s="83" t="s">
        <v>408</v>
      </c>
      <c r="B366" s="126">
        <v>40886</v>
      </c>
      <c r="C366" s="83" t="s">
        <v>2478</v>
      </c>
      <c r="D366" s="127" t="s">
        <v>2479</v>
      </c>
      <c r="E366" s="127" t="s">
        <v>2480</v>
      </c>
      <c r="F366" s="83" t="s">
        <v>2481</v>
      </c>
      <c r="G366" s="83" t="s">
        <v>2255</v>
      </c>
      <c r="H366" s="128">
        <f>3300/1.18</f>
        <v>2796.6101694915255</v>
      </c>
      <c r="I366" s="128">
        <f>H366*0.18</f>
        <v>503.38983050847457</v>
      </c>
      <c r="K366" s="128">
        <f>+H366+I366</f>
        <v>3300</v>
      </c>
      <c r="L366" s="83" t="s">
        <v>2337</v>
      </c>
      <c r="M366" s="83" t="s">
        <v>2582</v>
      </c>
      <c r="P366" s="83" t="s">
        <v>663</v>
      </c>
      <c r="Q366" s="126">
        <v>40930</v>
      </c>
    </row>
    <row r="367" spans="1:17" x14ac:dyDescent="0.2">
      <c r="A367" s="83" t="s">
        <v>408</v>
      </c>
      <c r="B367" s="126">
        <v>40882</v>
      </c>
      <c r="C367" s="83" t="s">
        <v>2482</v>
      </c>
      <c r="D367" s="127" t="s">
        <v>2243</v>
      </c>
      <c r="E367" s="127" t="s">
        <v>2244</v>
      </c>
      <c r="F367" s="83" t="s">
        <v>978</v>
      </c>
      <c r="G367" s="83" t="s">
        <v>2457</v>
      </c>
      <c r="H367" s="128">
        <f>6300/1.18</f>
        <v>5338.9830508474579</v>
      </c>
      <c r="I367" s="128">
        <f>H367*0.18</f>
        <v>961.01694915254234</v>
      </c>
      <c r="K367" s="128">
        <f>+H367+I367</f>
        <v>6300</v>
      </c>
      <c r="L367" s="83" t="s">
        <v>2483</v>
      </c>
      <c r="M367" s="83" t="s">
        <v>31</v>
      </c>
      <c r="P367" s="83" t="s">
        <v>663</v>
      </c>
      <c r="Q367" s="126">
        <v>40930</v>
      </c>
    </row>
    <row r="368" spans="1:17" x14ac:dyDescent="0.2">
      <c r="A368" s="83" t="s">
        <v>12</v>
      </c>
      <c r="B368" s="126">
        <v>40903</v>
      </c>
      <c r="C368" s="83">
        <v>2011101598</v>
      </c>
      <c r="D368" s="127" t="s">
        <v>14</v>
      </c>
      <c r="E368" s="127" t="s">
        <v>13</v>
      </c>
      <c r="F368" s="83" t="s">
        <v>1572</v>
      </c>
      <c r="G368" s="83" t="s">
        <v>2484</v>
      </c>
      <c r="H368" s="133">
        <v>5564.24</v>
      </c>
      <c r="I368" s="128">
        <f>H368*0.18</f>
        <v>1001.5631999999999</v>
      </c>
      <c r="K368" s="128">
        <f>+H368+I368</f>
        <v>6565.8031999999994</v>
      </c>
      <c r="L368" s="83" t="s">
        <v>2709</v>
      </c>
      <c r="P368" s="83" t="s">
        <v>663</v>
      </c>
      <c r="Q368" s="126">
        <v>40930</v>
      </c>
    </row>
    <row r="369" spans="1:17" x14ac:dyDescent="0.2">
      <c r="A369" s="83" t="s">
        <v>12</v>
      </c>
      <c r="B369" s="126">
        <v>40897</v>
      </c>
      <c r="C369" s="83" t="s">
        <v>951</v>
      </c>
      <c r="D369" s="127" t="s">
        <v>2485</v>
      </c>
      <c r="E369" s="127" t="s">
        <v>2486</v>
      </c>
      <c r="F369" s="83" t="s">
        <v>2487</v>
      </c>
      <c r="G369" s="83" t="s">
        <v>2488</v>
      </c>
      <c r="J369" s="83" t="s">
        <v>303</v>
      </c>
      <c r="K369" s="83">
        <v>300</v>
      </c>
      <c r="L369" s="83" t="s">
        <v>2709</v>
      </c>
      <c r="P369" s="83" t="s">
        <v>663</v>
      </c>
      <c r="Q369" s="126">
        <v>40930</v>
      </c>
    </row>
    <row r="370" spans="1:17" x14ac:dyDescent="0.2">
      <c r="A370" s="83" t="s">
        <v>12</v>
      </c>
      <c r="B370" s="126">
        <v>40878</v>
      </c>
      <c r="C370" s="83" t="s">
        <v>951</v>
      </c>
      <c r="D370" s="127" t="s">
        <v>2342</v>
      </c>
      <c r="E370" s="127" t="s">
        <v>2489</v>
      </c>
      <c r="F370" s="83" t="s">
        <v>47</v>
      </c>
      <c r="G370" s="83" t="s">
        <v>2490</v>
      </c>
      <c r="J370" s="83" t="s">
        <v>303</v>
      </c>
      <c r="K370" s="83">
        <v>1500</v>
      </c>
      <c r="L370" s="83" t="s">
        <v>2709</v>
      </c>
      <c r="P370" s="83" t="s">
        <v>663</v>
      </c>
      <c r="Q370" s="126">
        <v>40930</v>
      </c>
    </row>
    <row r="371" spans="1:17" x14ac:dyDescent="0.2">
      <c r="A371" s="83" t="s">
        <v>12</v>
      </c>
      <c r="B371" s="126">
        <v>40854</v>
      </c>
      <c r="C371" s="83" t="s">
        <v>2491</v>
      </c>
      <c r="D371" s="127" t="s">
        <v>1946</v>
      </c>
      <c r="E371" s="127" t="s">
        <v>26</v>
      </c>
      <c r="F371" s="83" t="s">
        <v>111</v>
      </c>
      <c r="G371" s="83" t="s">
        <v>2492</v>
      </c>
      <c r="H371" s="128">
        <f>3100/1.18</f>
        <v>2627.1186440677966</v>
      </c>
      <c r="I371" s="128">
        <f t="shared" ref="I371:I376" si="48">H371*0.18</f>
        <v>472.88135593220335</v>
      </c>
      <c r="K371" s="128">
        <f t="shared" ref="K371:K376" si="49">+H371+I371</f>
        <v>3100</v>
      </c>
      <c r="L371" s="83" t="s">
        <v>2709</v>
      </c>
      <c r="P371" s="83" t="s">
        <v>663</v>
      </c>
      <c r="Q371" s="126">
        <v>40930</v>
      </c>
    </row>
    <row r="372" spans="1:17" x14ac:dyDescent="0.2">
      <c r="A372" s="83" t="s">
        <v>12</v>
      </c>
      <c r="B372" s="126">
        <v>40879</v>
      </c>
      <c r="C372" s="83" t="s">
        <v>2493</v>
      </c>
      <c r="D372" s="127" t="s">
        <v>1946</v>
      </c>
      <c r="E372" s="127" t="s">
        <v>26</v>
      </c>
      <c r="F372" s="83" t="s">
        <v>59</v>
      </c>
      <c r="G372" s="83" t="s">
        <v>2494</v>
      </c>
      <c r="H372" s="128">
        <f>2500/1.18</f>
        <v>2118.6440677966102</v>
      </c>
      <c r="I372" s="128">
        <f t="shared" si="48"/>
        <v>381.35593220338984</v>
      </c>
      <c r="K372" s="128">
        <f t="shared" si="49"/>
        <v>2500</v>
      </c>
      <c r="L372" s="83" t="s">
        <v>2709</v>
      </c>
      <c r="P372" s="83" t="s">
        <v>663</v>
      </c>
      <c r="Q372" s="126">
        <v>40930</v>
      </c>
    </row>
    <row r="373" spans="1:17" x14ac:dyDescent="0.2">
      <c r="A373" s="83" t="s">
        <v>12</v>
      </c>
      <c r="B373" s="126">
        <v>40879</v>
      </c>
      <c r="C373" s="83" t="s">
        <v>2495</v>
      </c>
      <c r="D373" s="127" t="s">
        <v>1946</v>
      </c>
      <c r="E373" s="127" t="s">
        <v>26</v>
      </c>
      <c r="F373" s="83" t="s">
        <v>59</v>
      </c>
      <c r="G373" s="83" t="s">
        <v>2496</v>
      </c>
      <c r="H373" s="128">
        <f>1700/1.18</f>
        <v>1440.6779661016949</v>
      </c>
      <c r="I373" s="128">
        <f t="shared" si="48"/>
        <v>259.32203389830505</v>
      </c>
      <c r="K373" s="128">
        <f t="shared" si="49"/>
        <v>1700</v>
      </c>
      <c r="L373" s="83" t="s">
        <v>2709</v>
      </c>
      <c r="P373" s="83" t="s">
        <v>663</v>
      </c>
      <c r="Q373" s="126">
        <v>40930</v>
      </c>
    </row>
    <row r="374" spans="1:17" x14ac:dyDescent="0.2">
      <c r="A374" s="83" t="s">
        <v>12</v>
      </c>
      <c r="B374" s="126">
        <v>40876</v>
      </c>
      <c r="C374" s="83" t="s">
        <v>2497</v>
      </c>
      <c r="D374" s="127" t="s">
        <v>1946</v>
      </c>
      <c r="E374" s="127" t="s">
        <v>26</v>
      </c>
      <c r="F374" s="83" t="s">
        <v>1692</v>
      </c>
      <c r="G374" s="83" t="s">
        <v>2498</v>
      </c>
      <c r="H374" s="128">
        <f>2500/1.18</f>
        <v>2118.6440677966102</v>
      </c>
      <c r="I374" s="128">
        <f t="shared" si="48"/>
        <v>381.35593220338984</v>
      </c>
      <c r="K374" s="128">
        <f t="shared" si="49"/>
        <v>2500</v>
      </c>
      <c r="L374" s="83" t="s">
        <v>2709</v>
      </c>
      <c r="P374" s="83" t="s">
        <v>663</v>
      </c>
      <c r="Q374" s="126">
        <v>40930</v>
      </c>
    </row>
    <row r="375" spans="1:17" x14ac:dyDescent="0.2">
      <c r="A375" s="83" t="s">
        <v>12</v>
      </c>
      <c r="B375" s="126">
        <v>40879</v>
      </c>
      <c r="C375" s="83" t="s">
        <v>2499</v>
      </c>
      <c r="D375" s="127" t="s">
        <v>1946</v>
      </c>
      <c r="E375" s="127" t="s">
        <v>26</v>
      </c>
      <c r="F375" s="83" t="s">
        <v>59</v>
      </c>
      <c r="G375" s="83" t="s">
        <v>2500</v>
      </c>
      <c r="H375" s="128">
        <f>1700/1.18</f>
        <v>1440.6779661016949</v>
      </c>
      <c r="I375" s="128">
        <f t="shared" si="48"/>
        <v>259.32203389830505</v>
      </c>
      <c r="K375" s="128">
        <f t="shared" si="49"/>
        <v>1700</v>
      </c>
      <c r="L375" s="83" t="s">
        <v>2709</v>
      </c>
      <c r="P375" s="83" t="s">
        <v>663</v>
      </c>
      <c r="Q375" s="126">
        <v>40930</v>
      </c>
    </row>
    <row r="376" spans="1:17" x14ac:dyDescent="0.2">
      <c r="A376" s="83" t="s">
        <v>12</v>
      </c>
      <c r="B376" s="126">
        <v>40879</v>
      </c>
      <c r="C376" s="83" t="s">
        <v>2501</v>
      </c>
      <c r="D376" s="127" t="s">
        <v>1946</v>
      </c>
      <c r="E376" s="127" t="s">
        <v>26</v>
      </c>
      <c r="F376" s="83" t="s">
        <v>59</v>
      </c>
      <c r="G376" s="83" t="s">
        <v>2502</v>
      </c>
      <c r="H376" s="128">
        <f>1700/1.18</f>
        <v>1440.6779661016949</v>
      </c>
      <c r="I376" s="128">
        <f t="shared" si="48"/>
        <v>259.32203389830505</v>
      </c>
      <c r="K376" s="128">
        <f t="shared" si="49"/>
        <v>1700</v>
      </c>
      <c r="L376" s="83" t="s">
        <v>2709</v>
      </c>
      <c r="P376" s="83" t="s">
        <v>663</v>
      </c>
      <c r="Q376" s="126">
        <v>40930</v>
      </c>
    </row>
    <row r="377" spans="1:17" x14ac:dyDescent="0.2">
      <c r="A377" s="83" t="s">
        <v>12</v>
      </c>
      <c r="B377" s="126">
        <v>40879</v>
      </c>
      <c r="C377" s="83" t="s">
        <v>2503</v>
      </c>
      <c r="D377" s="127" t="s">
        <v>1946</v>
      </c>
      <c r="E377" s="127" t="s">
        <v>26</v>
      </c>
      <c r="F377" s="83" t="s">
        <v>2504</v>
      </c>
      <c r="G377" s="83" t="s">
        <v>2505</v>
      </c>
      <c r="H377" s="128">
        <f>1700/1.18</f>
        <v>1440.6779661016949</v>
      </c>
      <c r="I377" s="128">
        <f>H377*0.18</f>
        <v>259.32203389830505</v>
      </c>
      <c r="K377" s="128">
        <f>+H377+I377</f>
        <v>1700</v>
      </c>
      <c r="L377" s="83" t="s">
        <v>2709</v>
      </c>
      <c r="P377" s="83" t="s">
        <v>663</v>
      </c>
      <c r="Q377" s="126">
        <v>40930</v>
      </c>
    </row>
    <row r="378" spans="1:17" x14ac:dyDescent="0.2">
      <c r="A378" s="83" t="s">
        <v>408</v>
      </c>
      <c r="B378" s="126">
        <v>40907</v>
      </c>
      <c r="C378" s="83" t="s">
        <v>2508</v>
      </c>
      <c r="D378" s="127" t="s">
        <v>1906</v>
      </c>
      <c r="E378" s="127" t="s">
        <v>1907</v>
      </c>
      <c r="F378" s="83" t="s">
        <v>2440</v>
      </c>
      <c r="G378" s="83" t="s">
        <v>2441</v>
      </c>
      <c r="J378" s="83" t="s">
        <v>303</v>
      </c>
      <c r="K378" s="83">
        <v>2700</v>
      </c>
      <c r="L378" s="83" t="s">
        <v>2477</v>
      </c>
      <c r="M378" s="83" t="s">
        <v>2620</v>
      </c>
      <c r="P378" s="83" t="s">
        <v>663</v>
      </c>
      <c r="Q378" s="126">
        <v>40930</v>
      </c>
    </row>
    <row r="379" spans="1:17" x14ac:dyDescent="0.2">
      <c r="A379" s="83" t="s">
        <v>408</v>
      </c>
      <c r="B379" s="126">
        <v>40900</v>
      </c>
      <c r="C379" s="83">
        <v>23122</v>
      </c>
      <c r="D379" s="127" t="s">
        <v>2509</v>
      </c>
      <c r="E379" s="127" t="s">
        <v>2510</v>
      </c>
      <c r="F379" s="83" t="s">
        <v>1044</v>
      </c>
      <c r="G379" s="83" t="s">
        <v>2282</v>
      </c>
      <c r="H379" s="128">
        <f>3300/1.18</f>
        <v>2796.6101694915255</v>
      </c>
      <c r="I379" s="128">
        <f t="shared" ref="I379:I390" si="50">H379*0.18</f>
        <v>503.38983050847457</v>
      </c>
      <c r="K379" s="128">
        <f t="shared" ref="K379:K390" si="51">+H379+I379</f>
        <v>3300</v>
      </c>
      <c r="L379" s="83" t="s">
        <v>2511</v>
      </c>
      <c r="M379" s="83" t="s">
        <v>2572</v>
      </c>
      <c r="P379" s="83" t="s">
        <v>663</v>
      </c>
      <c r="Q379" s="126">
        <v>40930</v>
      </c>
    </row>
    <row r="380" spans="1:17" x14ac:dyDescent="0.2">
      <c r="A380" s="83" t="s">
        <v>12</v>
      </c>
      <c r="B380" s="141">
        <v>40890</v>
      </c>
      <c r="C380" s="142" t="s">
        <v>2889</v>
      </c>
      <c r="D380" s="98" t="s">
        <v>1946</v>
      </c>
      <c r="E380" s="98" t="s">
        <v>26</v>
      </c>
      <c r="F380" s="106" t="s">
        <v>1044</v>
      </c>
      <c r="G380" s="106" t="s">
        <v>2512</v>
      </c>
      <c r="H380" s="146">
        <f>3000/1.18</f>
        <v>2542.3728813559323</v>
      </c>
      <c r="I380" s="146">
        <f t="shared" si="50"/>
        <v>457.62711864406782</v>
      </c>
      <c r="J380" s="106"/>
      <c r="K380" s="146">
        <f t="shared" si="51"/>
        <v>3000</v>
      </c>
      <c r="L380" s="83" t="s">
        <v>1904</v>
      </c>
      <c r="P380" s="83" t="s">
        <v>663</v>
      </c>
      <c r="Q380" s="126">
        <v>40930</v>
      </c>
    </row>
    <row r="381" spans="1:17" x14ac:dyDescent="0.2">
      <c r="A381" s="83" t="s">
        <v>12</v>
      </c>
      <c r="B381" s="126">
        <v>40887</v>
      </c>
      <c r="C381" s="84" t="s">
        <v>2671</v>
      </c>
      <c r="D381" s="127" t="s">
        <v>1946</v>
      </c>
      <c r="E381" s="127" t="s">
        <v>26</v>
      </c>
      <c r="F381" s="83" t="s">
        <v>1628</v>
      </c>
      <c r="G381" s="83" t="s">
        <v>2513</v>
      </c>
      <c r="H381" s="128">
        <f>2100/1.18</f>
        <v>1779.6610169491526</v>
      </c>
      <c r="I381" s="128">
        <f t="shared" si="50"/>
        <v>320.33898305084745</v>
      </c>
      <c r="K381" s="128">
        <f t="shared" si="51"/>
        <v>2100</v>
      </c>
      <c r="L381" s="83" t="s">
        <v>2709</v>
      </c>
      <c r="P381" s="83" t="s">
        <v>663</v>
      </c>
      <c r="Q381" s="126">
        <v>40930</v>
      </c>
    </row>
    <row r="382" spans="1:17" x14ac:dyDescent="0.2">
      <c r="A382" s="83" t="s">
        <v>12</v>
      </c>
      <c r="B382" s="141">
        <v>40889</v>
      </c>
      <c r="C382" s="142" t="s">
        <v>2888</v>
      </c>
      <c r="D382" s="98" t="s">
        <v>1946</v>
      </c>
      <c r="E382" s="98" t="s">
        <v>26</v>
      </c>
      <c r="F382" s="106" t="s">
        <v>1342</v>
      </c>
      <c r="G382" s="106" t="s">
        <v>2514</v>
      </c>
      <c r="H382" s="146">
        <f>3000/1.18</f>
        <v>2542.3728813559323</v>
      </c>
      <c r="I382" s="146">
        <f t="shared" si="50"/>
        <v>457.62711864406782</v>
      </c>
      <c r="J382" s="106"/>
      <c r="K382" s="146">
        <f t="shared" si="51"/>
        <v>3000</v>
      </c>
      <c r="P382" s="83" t="s">
        <v>663</v>
      </c>
      <c r="Q382" s="126">
        <v>40930</v>
      </c>
    </row>
    <row r="383" spans="1:17" x14ac:dyDescent="0.2">
      <c r="A383" s="83" t="s">
        <v>12</v>
      </c>
      <c r="B383" s="126">
        <v>40893</v>
      </c>
      <c r="C383" s="84" t="s">
        <v>2673</v>
      </c>
      <c r="D383" s="127" t="s">
        <v>1946</v>
      </c>
      <c r="E383" s="127" t="s">
        <v>26</v>
      </c>
      <c r="F383" s="83" t="s">
        <v>1044</v>
      </c>
      <c r="G383" s="83" t="s">
        <v>2515</v>
      </c>
      <c r="H383" s="128">
        <f>3000/1.18</f>
        <v>2542.3728813559323</v>
      </c>
      <c r="I383" s="128">
        <f t="shared" si="50"/>
        <v>457.62711864406782</v>
      </c>
      <c r="K383" s="128">
        <f t="shared" si="51"/>
        <v>3000</v>
      </c>
      <c r="L383" s="83" t="s">
        <v>2709</v>
      </c>
      <c r="P383" s="83" t="s">
        <v>663</v>
      </c>
      <c r="Q383" s="126">
        <v>40930</v>
      </c>
    </row>
    <row r="384" spans="1:17" x14ac:dyDescent="0.2">
      <c r="A384" s="83" t="s">
        <v>12</v>
      </c>
      <c r="B384" s="126">
        <v>40897</v>
      </c>
      <c r="C384" s="84" t="s">
        <v>2672</v>
      </c>
      <c r="D384" s="127" t="s">
        <v>1946</v>
      </c>
      <c r="E384" s="127" t="s">
        <v>26</v>
      </c>
      <c r="F384" s="83" t="s">
        <v>1044</v>
      </c>
      <c r="G384" s="83" t="s">
        <v>2516</v>
      </c>
      <c r="H384" s="128">
        <f>3500/1.18</f>
        <v>2966.1016949152545</v>
      </c>
      <c r="I384" s="128">
        <f t="shared" si="50"/>
        <v>533.89830508474574</v>
      </c>
      <c r="K384" s="128">
        <f t="shared" si="51"/>
        <v>3500</v>
      </c>
      <c r="P384" s="83" t="s">
        <v>663</v>
      </c>
      <c r="Q384" s="126">
        <v>40930</v>
      </c>
    </row>
    <row r="385" spans="1:17" x14ac:dyDescent="0.2">
      <c r="A385" s="83" t="s">
        <v>12</v>
      </c>
      <c r="B385" s="126">
        <v>40897</v>
      </c>
      <c r="C385" s="84" t="s">
        <v>2659</v>
      </c>
      <c r="D385" s="127" t="s">
        <v>1946</v>
      </c>
      <c r="E385" s="127" t="s">
        <v>26</v>
      </c>
      <c r="F385" s="83" t="s">
        <v>2284</v>
      </c>
      <c r="G385" s="83" t="s">
        <v>2517</v>
      </c>
      <c r="H385" s="128">
        <f>5300/1.18</f>
        <v>4491.5254237288136</v>
      </c>
      <c r="I385" s="128">
        <f t="shared" si="50"/>
        <v>808.47457627118638</v>
      </c>
      <c r="K385" s="128">
        <f t="shared" si="51"/>
        <v>5300</v>
      </c>
      <c r="L385" s="83" t="s">
        <v>2709</v>
      </c>
      <c r="P385" s="83" t="s">
        <v>663</v>
      </c>
      <c r="Q385" s="126">
        <v>40930</v>
      </c>
    </row>
    <row r="386" spans="1:17" x14ac:dyDescent="0.2">
      <c r="A386" s="83" t="s">
        <v>408</v>
      </c>
      <c r="B386" s="126">
        <v>40900</v>
      </c>
      <c r="C386" s="83" t="s">
        <v>2518</v>
      </c>
      <c r="D386" s="127" t="s">
        <v>2519</v>
      </c>
      <c r="E386" s="127" t="s">
        <v>2520</v>
      </c>
      <c r="F386" s="83" t="s">
        <v>2521</v>
      </c>
      <c r="G386" s="83" t="s">
        <v>2512</v>
      </c>
      <c r="H386" s="128">
        <f>3300/1.18</f>
        <v>2796.6101694915255</v>
      </c>
      <c r="I386" s="128">
        <f t="shared" si="50"/>
        <v>503.38983050847457</v>
      </c>
      <c r="K386" s="128">
        <f t="shared" si="51"/>
        <v>3300</v>
      </c>
      <c r="L386" s="83" t="s">
        <v>2522</v>
      </c>
      <c r="M386" s="83" t="s">
        <v>31</v>
      </c>
      <c r="P386" s="83" t="s">
        <v>663</v>
      </c>
      <c r="Q386" s="126">
        <v>40930</v>
      </c>
    </row>
    <row r="387" spans="1:17" x14ac:dyDescent="0.2">
      <c r="A387" s="83" t="s">
        <v>408</v>
      </c>
      <c r="B387" s="126">
        <v>40905</v>
      </c>
      <c r="C387" s="83" t="s">
        <v>2523</v>
      </c>
      <c r="D387" s="127" t="s">
        <v>2524</v>
      </c>
      <c r="E387" s="127" t="s">
        <v>2525</v>
      </c>
      <c r="F387" s="83" t="s">
        <v>59</v>
      </c>
      <c r="G387" s="83" t="s">
        <v>2287</v>
      </c>
      <c r="H387" s="128">
        <f>1800/1.18</f>
        <v>1525.4237288135594</v>
      </c>
      <c r="I387" s="128">
        <f t="shared" si="50"/>
        <v>274.57627118644069</v>
      </c>
      <c r="K387" s="128">
        <f t="shared" si="51"/>
        <v>1800</v>
      </c>
      <c r="L387" s="83" t="s">
        <v>2526</v>
      </c>
      <c r="M387" s="83" t="s">
        <v>2620</v>
      </c>
      <c r="P387" s="83" t="s">
        <v>663</v>
      </c>
      <c r="Q387" s="126">
        <v>40930</v>
      </c>
    </row>
    <row r="388" spans="1:17" x14ac:dyDescent="0.2">
      <c r="A388" s="83" t="s">
        <v>408</v>
      </c>
      <c r="B388" s="126">
        <v>40891</v>
      </c>
      <c r="C388" s="83" t="s">
        <v>725</v>
      </c>
      <c r="D388" s="127" t="s">
        <v>1701</v>
      </c>
      <c r="E388" s="127" t="s">
        <v>1702</v>
      </c>
      <c r="F388" s="83" t="s">
        <v>37</v>
      </c>
      <c r="G388" s="83" t="s">
        <v>1913</v>
      </c>
      <c r="H388" s="83">
        <v>4152.54</v>
      </c>
      <c r="I388" s="128">
        <f t="shared" si="50"/>
        <v>747.45719999999994</v>
      </c>
      <c r="K388" s="128">
        <f t="shared" si="51"/>
        <v>4899.9971999999998</v>
      </c>
      <c r="L388" s="83" t="s">
        <v>2048</v>
      </c>
      <c r="M388" s="83" t="s">
        <v>31</v>
      </c>
      <c r="P388" s="83" t="s">
        <v>663</v>
      </c>
      <c r="Q388" s="126">
        <v>40930</v>
      </c>
    </row>
    <row r="389" spans="1:17" x14ac:dyDescent="0.2">
      <c r="A389" s="83" t="s">
        <v>408</v>
      </c>
      <c r="B389" s="126">
        <v>40683</v>
      </c>
      <c r="C389" s="83" t="s">
        <v>2528</v>
      </c>
      <c r="D389" s="127" t="s">
        <v>2529</v>
      </c>
      <c r="E389" s="127" t="s">
        <v>242</v>
      </c>
      <c r="F389" s="83" t="s">
        <v>1940</v>
      </c>
      <c r="G389" s="83" t="s">
        <v>1583</v>
      </c>
      <c r="H389" s="128">
        <f>2999/1.18</f>
        <v>2541.5254237288136</v>
      </c>
      <c r="I389" s="128">
        <f t="shared" si="50"/>
        <v>457.47457627118644</v>
      </c>
      <c r="K389" s="128">
        <f t="shared" si="51"/>
        <v>2999</v>
      </c>
      <c r="L389" s="83" t="s">
        <v>2530</v>
      </c>
      <c r="M389" s="83" t="s">
        <v>2620</v>
      </c>
      <c r="P389" s="83" t="s">
        <v>663</v>
      </c>
      <c r="Q389" s="126">
        <v>40930</v>
      </c>
    </row>
    <row r="390" spans="1:17" x14ac:dyDescent="0.2">
      <c r="A390" s="83" t="s">
        <v>408</v>
      </c>
      <c r="B390" s="126">
        <v>40906</v>
      </c>
      <c r="C390" s="83" t="s">
        <v>2531</v>
      </c>
      <c r="D390" s="127" t="s">
        <v>2532</v>
      </c>
      <c r="E390" s="127" t="s">
        <v>2533</v>
      </c>
      <c r="F390" s="83" t="s">
        <v>1962</v>
      </c>
      <c r="G390" s="83" t="s">
        <v>1963</v>
      </c>
      <c r="H390" s="128">
        <f>12500/1.18</f>
        <v>10593.220338983052</v>
      </c>
      <c r="I390" s="128">
        <f t="shared" si="50"/>
        <v>1906.7796610169494</v>
      </c>
      <c r="K390" s="128">
        <f t="shared" si="51"/>
        <v>12500.000000000002</v>
      </c>
      <c r="L390" s="83" t="s">
        <v>2169</v>
      </c>
      <c r="M390" s="83" t="s">
        <v>2575</v>
      </c>
      <c r="N390" s="83" t="s">
        <v>3467</v>
      </c>
      <c r="P390" s="83" t="s">
        <v>663</v>
      </c>
      <c r="Q390" s="126">
        <v>40930</v>
      </c>
    </row>
  </sheetData>
  <autoFilter ref="A1:Q390" xr:uid="{00000000-0009-0000-0000-000009000000}"/>
  <sortState xmlns:xlrd2="http://schemas.microsoft.com/office/spreadsheetml/2017/richdata2" ref="A2:Q73">
    <sortCondition ref="B2:B73"/>
    <sortCondition ref="C2:C73"/>
  </sortState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/>
  <dimension ref="A1:Q410"/>
  <sheetViews>
    <sheetView workbookViewId="0">
      <pane ySplit="1" topLeftCell="A19" activePane="bottomLeft" state="frozen"/>
      <selection activeCell="D1" sqref="D1"/>
      <selection pane="bottomLeft" activeCell="F40" sqref="F40"/>
    </sheetView>
  </sheetViews>
  <sheetFormatPr baseColWidth="10" defaultColWidth="11.42578125" defaultRowHeight="12.75" x14ac:dyDescent="0.2"/>
  <cols>
    <col min="1" max="1" width="9.140625" style="1" customWidth="1"/>
    <col min="2" max="2" width="11.85546875" style="1" bestFit="1" customWidth="1"/>
    <col min="3" max="3" width="29.7109375" style="8" customWidth="1"/>
    <col min="4" max="4" width="40" style="1" customWidth="1"/>
    <col min="5" max="5" width="16.7109375" style="1" customWidth="1"/>
    <col min="6" max="6" width="21.5703125" style="1" bestFit="1" customWidth="1"/>
    <col min="7" max="7" width="16.42578125" style="1" bestFit="1" customWidth="1"/>
    <col min="8" max="8" width="13.140625" style="1" bestFit="1" customWidth="1"/>
    <col min="9" max="9" width="14.140625" style="1" bestFit="1" customWidth="1"/>
    <col min="10" max="10" width="6.140625" style="1" customWidth="1"/>
    <col min="11" max="11" width="11.28515625" style="1" customWidth="1"/>
    <col min="12" max="12" width="13.42578125" style="1" customWidth="1"/>
    <col min="13" max="13" width="12.7109375" style="1" bestFit="1" customWidth="1"/>
    <col min="14" max="14" width="14.140625" style="1" customWidth="1"/>
    <col min="15" max="15" width="15.85546875" style="1" bestFit="1" customWidth="1"/>
    <col min="16" max="16" width="15.85546875" style="1" customWidth="1"/>
    <col min="17" max="17" width="11.85546875" style="1" bestFit="1" customWidth="1"/>
    <col min="18" max="16384" width="11.42578125" style="1"/>
  </cols>
  <sheetData>
    <row r="1" spans="1:17" x14ac:dyDescent="0.2">
      <c r="A1" s="15" t="s">
        <v>0</v>
      </c>
      <c r="B1" s="16" t="s">
        <v>1</v>
      </c>
      <c r="C1" s="17" t="s">
        <v>2</v>
      </c>
      <c r="D1" s="18" t="s">
        <v>3</v>
      </c>
      <c r="E1" s="19" t="s">
        <v>4</v>
      </c>
      <c r="F1" s="18" t="s">
        <v>5</v>
      </c>
      <c r="G1" s="18" t="s">
        <v>6</v>
      </c>
      <c r="H1" s="18" t="s">
        <v>7</v>
      </c>
      <c r="I1" s="18" t="s">
        <v>1289</v>
      </c>
      <c r="J1" s="18" t="s">
        <v>22</v>
      </c>
      <c r="K1" s="18" t="s">
        <v>9</v>
      </c>
      <c r="L1" s="20" t="s">
        <v>83</v>
      </c>
      <c r="M1" s="20" t="s">
        <v>84</v>
      </c>
      <c r="N1" s="20" t="s">
        <v>85</v>
      </c>
      <c r="O1" s="20" t="s">
        <v>86</v>
      </c>
      <c r="P1" s="20" t="s">
        <v>11</v>
      </c>
      <c r="Q1" s="6" t="s">
        <v>30</v>
      </c>
    </row>
    <row r="2" spans="1:17" x14ac:dyDescent="0.2">
      <c r="A2" s="1" t="s">
        <v>12</v>
      </c>
      <c r="B2" s="4">
        <v>40179</v>
      </c>
      <c r="C2" s="8">
        <v>12019149</v>
      </c>
      <c r="D2" s="1" t="s">
        <v>19</v>
      </c>
      <c r="E2" s="1" t="s">
        <v>20</v>
      </c>
      <c r="F2" s="1" t="s">
        <v>87</v>
      </c>
      <c r="G2" s="1" t="s">
        <v>1556</v>
      </c>
      <c r="H2" s="1">
        <v>1100</v>
      </c>
      <c r="I2" s="2"/>
      <c r="J2" s="2" t="s">
        <v>21</v>
      </c>
      <c r="K2" s="2">
        <f>H2+I2</f>
        <v>1100</v>
      </c>
      <c r="P2" s="1" t="s">
        <v>961</v>
      </c>
    </row>
    <row r="3" spans="1:17" x14ac:dyDescent="0.2">
      <c r="A3" s="1" t="s">
        <v>12</v>
      </c>
      <c r="B3" s="4">
        <v>40179</v>
      </c>
      <c r="C3" s="8">
        <v>12019151</v>
      </c>
      <c r="D3" s="1" t="s">
        <v>19</v>
      </c>
      <c r="E3" s="1" t="s">
        <v>20</v>
      </c>
      <c r="F3" s="1" t="s">
        <v>88</v>
      </c>
      <c r="G3" s="1" t="s">
        <v>1562</v>
      </c>
      <c r="H3" s="1">
        <v>800</v>
      </c>
      <c r="I3" s="2"/>
      <c r="J3" s="2" t="s">
        <v>21</v>
      </c>
      <c r="K3" s="2">
        <f>H3+I3</f>
        <v>800</v>
      </c>
      <c r="O3" s="4">
        <v>40161</v>
      </c>
      <c r="P3" s="1" t="s">
        <v>961</v>
      </c>
    </row>
    <row r="4" spans="1:17" x14ac:dyDescent="0.2">
      <c r="A4" s="1" t="s">
        <v>12</v>
      </c>
      <c r="B4" s="4">
        <v>40179</v>
      </c>
      <c r="C4" s="8" t="s">
        <v>100</v>
      </c>
      <c r="D4" s="1" t="s">
        <v>101</v>
      </c>
      <c r="E4" s="1" t="s">
        <v>102</v>
      </c>
      <c r="F4" s="1" t="s">
        <v>53</v>
      </c>
      <c r="G4" s="1" t="s">
        <v>103</v>
      </c>
      <c r="H4" s="1">
        <v>2672.41</v>
      </c>
      <c r="I4" s="2">
        <f t="shared" ref="I4:I49" si="0">+H4*0.16</f>
        <v>427.5856</v>
      </c>
      <c r="J4" s="2">
        <v>50</v>
      </c>
      <c r="K4" s="2">
        <f>H4+I4+J4</f>
        <v>3149.9955999999997</v>
      </c>
      <c r="O4" s="4">
        <v>40086</v>
      </c>
      <c r="P4" s="1" t="s">
        <v>961</v>
      </c>
    </row>
    <row r="5" spans="1:17" x14ac:dyDescent="0.2">
      <c r="A5" s="1" t="s">
        <v>12</v>
      </c>
      <c r="B5" s="4">
        <v>40180</v>
      </c>
      <c r="C5" s="8" t="s">
        <v>55</v>
      </c>
      <c r="D5" s="1" t="s">
        <v>14</v>
      </c>
      <c r="E5" s="1" t="s">
        <v>13</v>
      </c>
      <c r="F5" s="1" t="s">
        <v>56</v>
      </c>
      <c r="G5" s="1" t="s">
        <v>57</v>
      </c>
      <c r="H5" s="1">
        <v>344.83</v>
      </c>
      <c r="I5" s="2">
        <f t="shared" si="0"/>
        <v>55.172799999999995</v>
      </c>
      <c r="J5" s="2"/>
      <c r="K5" s="2">
        <f>H5+I5</f>
        <v>400.00279999999998</v>
      </c>
      <c r="P5" s="1" t="s">
        <v>961</v>
      </c>
    </row>
    <row r="6" spans="1:17" x14ac:dyDescent="0.2">
      <c r="A6" s="1" t="s">
        <v>12</v>
      </c>
      <c r="B6" s="4">
        <v>40181</v>
      </c>
      <c r="C6" s="8">
        <v>2010100010</v>
      </c>
      <c r="D6" s="1" t="s">
        <v>14</v>
      </c>
      <c r="E6" s="1" t="s">
        <v>13</v>
      </c>
      <c r="F6" s="1" t="s">
        <v>70</v>
      </c>
      <c r="G6" s="1" t="s">
        <v>71</v>
      </c>
      <c r="H6" s="1">
        <v>3879.31</v>
      </c>
      <c r="I6" s="2">
        <f t="shared" si="0"/>
        <v>620.68960000000004</v>
      </c>
      <c r="J6" s="2"/>
      <c r="K6" s="2">
        <f>H6+I6</f>
        <v>4499.9996000000001</v>
      </c>
      <c r="P6" s="1" t="s">
        <v>961</v>
      </c>
    </row>
    <row r="7" spans="1:17" x14ac:dyDescent="0.2">
      <c r="A7" s="1" t="s">
        <v>12</v>
      </c>
      <c r="B7" s="4">
        <v>40181</v>
      </c>
      <c r="C7" s="8">
        <v>2010100011</v>
      </c>
      <c r="D7" s="1" t="s">
        <v>14</v>
      </c>
      <c r="E7" s="1" t="s">
        <v>13</v>
      </c>
      <c r="F7" s="1" t="s">
        <v>72</v>
      </c>
      <c r="G7" s="1" t="s">
        <v>73</v>
      </c>
      <c r="H7" s="1">
        <v>3017.24</v>
      </c>
      <c r="I7" s="2">
        <f t="shared" si="0"/>
        <v>482.75839999999999</v>
      </c>
      <c r="J7" s="2"/>
      <c r="K7" s="2">
        <f>H7+I7</f>
        <v>3499.9983999999999</v>
      </c>
      <c r="P7" s="1" t="s">
        <v>961</v>
      </c>
    </row>
    <row r="8" spans="1:17" x14ac:dyDescent="0.2">
      <c r="A8" s="21" t="s">
        <v>126</v>
      </c>
      <c r="B8" s="22">
        <v>40189</v>
      </c>
      <c r="C8" s="23" t="s">
        <v>127</v>
      </c>
      <c r="D8" s="24" t="s">
        <v>178</v>
      </c>
      <c r="E8" s="25" t="s">
        <v>179</v>
      </c>
      <c r="F8" s="26" t="s">
        <v>180</v>
      </c>
      <c r="G8" s="21"/>
      <c r="H8" s="21">
        <v>450</v>
      </c>
      <c r="I8" s="27">
        <f t="shared" si="0"/>
        <v>72</v>
      </c>
      <c r="J8" s="21"/>
      <c r="K8" s="27">
        <f>+H8+I8</f>
        <v>522</v>
      </c>
      <c r="P8" s="1" t="s">
        <v>961</v>
      </c>
    </row>
    <row r="9" spans="1:17" x14ac:dyDescent="0.2">
      <c r="A9" s="1" t="s">
        <v>12</v>
      </c>
      <c r="B9" s="4">
        <v>40196</v>
      </c>
      <c r="C9" s="8" t="s">
        <v>93</v>
      </c>
      <c r="D9" s="1" t="s">
        <v>25</v>
      </c>
      <c r="E9" s="1" t="s">
        <v>26</v>
      </c>
      <c r="F9" s="1" t="s">
        <v>95</v>
      </c>
      <c r="G9" s="1" t="s">
        <v>97</v>
      </c>
      <c r="H9" s="1">
        <v>3448.28</v>
      </c>
      <c r="I9" s="2">
        <f t="shared" si="0"/>
        <v>551.72480000000007</v>
      </c>
      <c r="J9" s="2"/>
      <c r="K9" s="2">
        <f t="shared" ref="K9:K22" si="1">H9+I9</f>
        <v>4000.0048000000002</v>
      </c>
      <c r="O9" s="1" t="s">
        <v>94</v>
      </c>
      <c r="P9" s="1" t="s">
        <v>961</v>
      </c>
    </row>
    <row r="10" spans="1:17" x14ac:dyDescent="0.2">
      <c r="A10" s="1" t="s">
        <v>12</v>
      </c>
      <c r="B10" s="4">
        <v>40196</v>
      </c>
      <c r="C10" s="8" t="s">
        <v>93</v>
      </c>
      <c r="D10" s="1" t="s">
        <v>25</v>
      </c>
      <c r="E10" s="1" t="s">
        <v>26</v>
      </c>
      <c r="F10" s="1" t="s">
        <v>96</v>
      </c>
      <c r="G10" s="1" t="s">
        <v>98</v>
      </c>
      <c r="H10" s="1">
        <v>2586.21</v>
      </c>
      <c r="I10" s="2">
        <f t="shared" si="0"/>
        <v>413.79360000000003</v>
      </c>
      <c r="J10" s="2"/>
      <c r="K10" s="2">
        <f t="shared" si="1"/>
        <v>3000.0036</v>
      </c>
      <c r="O10" s="1" t="s">
        <v>94</v>
      </c>
      <c r="P10" s="1" t="s">
        <v>961</v>
      </c>
    </row>
    <row r="11" spans="1:17" x14ac:dyDescent="0.2">
      <c r="A11" s="1" t="s">
        <v>12</v>
      </c>
      <c r="B11" s="4">
        <v>40196</v>
      </c>
      <c r="C11" s="8" t="s">
        <v>93</v>
      </c>
      <c r="D11" s="1" t="s">
        <v>25</v>
      </c>
      <c r="E11" s="1" t="s">
        <v>26</v>
      </c>
      <c r="F11" s="1" t="s">
        <v>49</v>
      </c>
      <c r="G11" s="1" t="s">
        <v>99</v>
      </c>
      <c r="H11" s="1">
        <v>3879.31</v>
      </c>
      <c r="I11" s="2">
        <f t="shared" si="0"/>
        <v>620.68960000000004</v>
      </c>
      <c r="J11" s="2"/>
      <c r="K11" s="2">
        <f t="shared" si="1"/>
        <v>4499.9996000000001</v>
      </c>
      <c r="O11" s="1" t="s">
        <v>94</v>
      </c>
      <c r="P11" s="1" t="s">
        <v>961</v>
      </c>
    </row>
    <row r="12" spans="1:17" x14ac:dyDescent="0.2">
      <c r="A12" s="1" t="s">
        <v>12</v>
      </c>
      <c r="B12" s="4">
        <v>40196</v>
      </c>
      <c r="C12" s="9" t="s">
        <v>114</v>
      </c>
      <c r="D12" s="1" t="s">
        <v>23</v>
      </c>
      <c r="E12" s="1" t="s">
        <v>24</v>
      </c>
      <c r="F12" s="1" t="s">
        <v>53</v>
      </c>
      <c r="G12" s="1" t="s">
        <v>962</v>
      </c>
      <c r="H12" s="1">
        <v>2068.9699999999998</v>
      </c>
      <c r="I12" s="2">
        <f t="shared" si="0"/>
        <v>331.03519999999997</v>
      </c>
      <c r="J12" s="2"/>
      <c r="K12" s="2">
        <f t="shared" si="1"/>
        <v>2400.0051999999996</v>
      </c>
      <c r="P12" s="1" t="s">
        <v>961</v>
      </c>
    </row>
    <row r="13" spans="1:17" x14ac:dyDescent="0.2">
      <c r="A13" s="1" t="s">
        <v>12</v>
      </c>
      <c r="B13" s="4">
        <v>40198</v>
      </c>
      <c r="C13" s="8">
        <v>2010100102</v>
      </c>
      <c r="D13" s="1" t="s">
        <v>14</v>
      </c>
      <c r="E13" s="1" t="s">
        <v>13</v>
      </c>
      <c r="F13" s="1" t="s">
        <v>49</v>
      </c>
      <c r="G13" s="1" t="s">
        <v>58</v>
      </c>
      <c r="H13" s="1">
        <v>1318.8</v>
      </c>
      <c r="I13" s="2">
        <f t="shared" si="0"/>
        <v>211.00800000000001</v>
      </c>
      <c r="J13" s="2"/>
      <c r="K13" s="2">
        <f t="shared" si="1"/>
        <v>1529.808</v>
      </c>
      <c r="P13" s="1" t="s">
        <v>961</v>
      </c>
    </row>
    <row r="14" spans="1:17" x14ac:dyDescent="0.2">
      <c r="A14" s="1" t="s">
        <v>12</v>
      </c>
      <c r="B14" s="4">
        <v>40198</v>
      </c>
      <c r="C14" s="8">
        <v>2010100103</v>
      </c>
      <c r="D14" s="1" t="s">
        <v>14</v>
      </c>
      <c r="E14" s="1" t="s">
        <v>13</v>
      </c>
      <c r="F14" s="1" t="s">
        <v>59</v>
      </c>
      <c r="G14" s="1" t="s">
        <v>60</v>
      </c>
      <c r="H14" s="1">
        <v>1995.51</v>
      </c>
      <c r="I14" s="2">
        <f t="shared" si="0"/>
        <v>319.28160000000003</v>
      </c>
      <c r="J14" s="2"/>
      <c r="K14" s="2">
        <f t="shared" si="1"/>
        <v>2314.7916</v>
      </c>
      <c r="P14" s="1" t="s">
        <v>961</v>
      </c>
    </row>
    <row r="15" spans="1:17" x14ac:dyDescent="0.2">
      <c r="A15" s="1" t="s">
        <v>12</v>
      </c>
      <c r="B15" s="4">
        <v>40198</v>
      </c>
      <c r="C15" s="8">
        <v>2010100104</v>
      </c>
      <c r="D15" s="1" t="s">
        <v>14</v>
      </c>
      <c r="E15" s="1" t="s">
        <v>13</v>
      </c>
      <c r="F15" s="1" t="s">
        <v>61</v>
      </c>
      <c r="G15" s="1" t="s">
        <v>62</v>
      </c>
      <c r="H15" s="1">
        <v>3793.1</v>
      </c>
      <c r="I15" s="2">
        <f t="shared" si="0"/>
        <v>606.89599999999996</v>
      </c>
      <c r="J15" s="2"/>
      <c r="K15" s="2">
        <f t="shared" si="1"/>
        <v>4399.9960000000001</v>
      </c>
      <c r="P15" s="1" t="s">
        <v>961</v>
      </c>
    </row>
    <row r="16" spans="1:17" x14ac:dyDescent="0.2">
      <c r="A16" s="1" t="s">
        <v>12</v>
      </c>
      <c r="B16" s="4">
        <v>40198</v>
      </c>
      <c r="C16" s="8">
        <v>2010100105</v>
      </c>
      <c r="D16" s="1" t="s">
        <v>14</v>
      </c>
      <c r="E16" s="1" t="s">
        <v>13</v>
      </c>
      <c r="F16" s="1" t="s">
        <v>63</v>
      </c>
      <c r="G16" s="1" t="s">
        <v>64</v>
      </c>
      <c r="H16" s="1">
        <v>3448.28</v>
      </c>
      <c r="I16" s="2">
        <f t="shared" si="0"/>
        <v>551.72480000000007</v>
      </c>
      <c r="J16" s="2"/>
      <c r="K16" s="2">
        <f t="shared" si="1"/>
        <v>4000.0048000000002</v>
      </c>
      <c r="P16" s="1" t="s">
        <v>961</v>
      </c>
    </row>
    <row r="17" spans="1:16" x14ac:dyDescent="0.2">
      <c r="A17" s="1" t="s">
        <v>12</v>
      </c>
      <c r="B17" s="4">
        <v>40198</v>
      </c>
      <c r="C17" s="8">
        <v>2010012880</v>
      </c>
      <c r="D17" s="1" t="s">
        <v>17</v>
      </c>
      <c r="E17" s="1" t="s">
        <v>18</v>
      </c>
      <c r="F17" s="1" t="s">
        <v>89</v>
      </c>
      <c r="G17" s="1" t="s">
        <v>963</v>
      </c>
      <c r="H17" s="1">
        <v>3344.83</v>
      </c>
      <c r="I17" s="2">
        <f t="shared" si="0"/>
        <v>535.17280000000005</v>
      </c>
      <c r="J17" s="2"/>
      <c r="K17" s="2">
        <f t="shared" si="1"/>
        <v>3880.0028000000002</v>
      </c>
      <c r="P17" s="1" t="s">
        <v>961</v>
      </c>
    </row>
    <row r="18" spans="1:16" x14ac:dyDescent="0.2">
      <c r="A18" s="1" t="s">
        <v>12</v>
      </c>
      <c r="B18" s="4">
        <v>40198</v>
      </c>
      <c r="C18" s="8">
        <v>2010042881</v>
      </c>
      <c r="D18" s="1" t="s">
        <v>17</v>
      </c>
      <c r="E18" s="1" t="s">
        <v>18</v>
      </c>
      <c r="F18" s="1" t="s">
        <v>53</v>
      </c>
      <c r="G18" s="1" t="s">
        <v>90</v>
      </c>
      <c r="H18" s="1">
        <v>1534.48</v>
      </c>
      <c r="I18" s="2">
        <f t="shared" si="0"/>
        <v>245.51680000000002</v>
      </c>
      <c r="J18" s="2"/>
      <c r="K18" s="2">
        <f t="shared" si="1"/>
        <v>1779.9968000000001</v>
      </c>
      <c r="P18" s="1" t="s">
        <v>961</v>
      </c>
    </row>
    <row r="19" spans="1:16" x14ac:dyDescent="0.2">
      <c r="A19" s="1" t="s">
        <v>12</v>
      </c>
      <c r="B19" s="4">
        <v>40198</v>
      </c>
      <c r="C19" s="8">
        <v>2010042882</v>
      </c>
      <c r="D19" s="1" t="s">
        <v>17</v>
      </c>
      <c r="E19" s="1" t="s">
        <v>18</v>
      </c>
      <c r="F19" s="1" t="s">
        <v>53</v>
      </c>
      <c r="G19" s="1" t="s">
        <v>91</v>
      </c>
      <c r="H19" s="1">
        <v>1620.69</v>
      </c>
      <c r="I19" s="2">
        <f t="shared" si="0"/>
        <v>259.31040000000002</v>
      </c>
      <c r="J19" s="2"/>
      <c r="K19" s="2">
        <f t="shared" si="1"/>
        <v>1880.0004000000001</v>
      </c>
      <c r="P19" s="1" t="s">
        <v>961</v>
      </c>
    </row>
    <row r="20" spans="1:16" x14ac:dyDescent="0.2">
      <c r="A20" s="1" t="s">
        <v>12</v>
      </c>
      <c r="B20" s="4">
        <v>40198</v>
      </c>
      <c r="C20" s="8">
        <v>2010042883</v>
      </c>
      <c r="D20" s="1" t="s">
        <v>17</v>
      </c>
      <c r="E20" s="1" t="s">
        <v>18</v>
      </c>
      <c r="F20" s="1" t="s">
        <v>61</v>
      </c>
      <c r="G20" s="1" t="s">
        <v>92</v>
      </c>
      <c r="H20" s="1">
        <v>3948.28</v>
      </c>
      <c r="I20" s="2">
        <f t="shared" si="0"/>
        <v>631.72480000000007</v>
      </c>
      <c r="J20" s="2"/>
      <c r="K20" s="2">
        <f t="shared" si="1"/>
        <v>4580.0048000000006</v>
      </c>
      <c r="P20" s="1" t="s">
        <v>961</v>
      </c>
    </row>
    <row r="21" spans="1:16" x14ac:dyDescent="0.2">
      <c r="A21" s="1" t="s">
        <v>12</v>
      </c>
      <c r="B21" s="4">
        <v>40199</v>
      </c>
      <c r="C21" s="8" t="s">
        <v>117</v>
      </c>
      <c r="D21" s="1" t="s">
        <v>25</v>
      </c>
      <c r="E21" s="1" t="s">
        <v>26</v>
      </c>
      <c r="F21" s="1" t="s">
        <v>118</v>
      </c>
      <c r="G21" s="1" t="s">
        <v>119</v>
      </c>
      <c r="H21" s="1">
        <v>2413.79</v>
      </c>
      <c r="I21" s="2">
        <f t="shared" si="0"/>
        <v>386.20640000000003</v>
      </c>
      <c r="J21" s="2"/>
      <c r="K21" s="2">
        <f t="shared" si="1"/>
        <v>2799.9964</v>
      </c>
      <c r="P21" s="1" t="s">
        <v>961</v>
      </c>
    </row>
    <row r="22" spans="1:16" x14ac:dyDescent="0.2">
      <c r="A22" s="1" t="s">
        <v>12</v>
      </c>
      <c r="B22" s="4">
        <v>40199</v>
      </c>
      <c r="C22" s="8" t="s">
        <v>123</v>
      </c>
      <c r="D22" s="1" t="s">
        <v>25</v>
      </c>
      <c r="E22" s="1" t="s">
        <v>26</v>
      </c>
      <c r="F22" s="1" t="s">
        <v>118</v>
      </c>
      <c r="G22" s="1" t="s">
        <v>124</v>
      </c>
      <c r="H22" s="1">
        <v>2413.79</v>
      </c>
      <c r="I22" s="2">
        <f t="shared" si="0"/>
        <v>386.20640000000003</v>
      </c>
      <c r="J22" s="2"/>
      <c r="K22" s="2">
        <f t="shared" si="1"/>
        <v>2799.9964</v>
      </c>
      <c r="P22" s="1" t="s">
        <v>961</v>
      </c>
    </row>
    <row r="23" spans="1:16" x14ac:dyDescent="0.2">
      <c r="A23" s="21" t="s">
        <v>126</v>
      </c>
      <c r="B23" s="22">
        <v>40203</v>
      </c>
      <c r="C23" s="23" t="s">
        <v>128</v>
      </c>
      <c r="D23" s="24" t="s">
        <v>181</v>
      </c>
      <c r="E23" s="25" t="s">
        <v>182</v>
      </c>
      <c r="F23" s="26" t="s">
        <v>183</v>
      </c>
      <c r="G23" s="26" t="s">
        <v>184</v>
      </c>
      <c r="H23" s="21">
        <v>3620.69</v>
      </c>
      <c r="I23" s="27">
        <f t="shared" si="0"/>
        <v>579.31040000000007</v>
      </c>
      <c r="J23" s="21"/>
      <c r="K23" s="27">
        <f>+H23+I23</f>
        <v>4200.0003999999999</v>
      </c>
      <c r="P23" s="1" t="s">
        <v>961</v>
      </c>
    </row>
    <row r="24" spans="1:16" x14ac:dyDescent="0.2">
      <c r="A24" s="21" t="s">
        <v>126</v>
      </c>
      <c r="B24" s="22">
        <v>40203</v>
      </c>
      <c r="C24" s="28" t="s">
        <v>188</v>
      </c>
      <c r="D24" s="24" t="s">
        <v>189</v>
      </c>
      <c r="E24" s="25" t="s">
        <v>190</v>
      </c>
      <c r="F24" s="26" t="s">
        <v>191</v>
      </c>
      <c r="G24" s="26" t="s">
        <v>192</v>
      </c>
      <c r="H24" s="21">
        <v>4310.3450000000003</v>
      </c>
      <c r="I24" s="27">
        <f t="shared" si="0"/>
        <v>689.65520000000004</v>
      </c>
      <c r="J24" s="21"/>
      <c r="K24" s="27">
        <f>+H24+I24</f>
        <v>5000.0002000000004</v>
      </c>
      <c r="P24" s="1" t="s">
        <v>961</v>
      </c>
    </row>
    <row r="25" spans="1:16" x14ac:dyDescent="0.2">
      <c r="A25" s="21" t="s">
        <v>126</v>
      </c>
      <c r="B25" s="22">
        <v>40203</v>
      </c>
      <c r="C25" s="28" t="s">
        <v>194</v>
      </c>
      <c r="D25" s="24" t="s">
        <v>195</v>
      </c>
      <c r="E25" s="25" t="s">
        <v>196</v>
      </c>
      <c r="F25" s="26" t="s">
        <v>197</v>
      </c>
      <c r="G25" s="26" t="s">
        <v>198</v>
      </c>
      <c r="H25" s="21">
        <v>4309.4799999999996</v>
      </c>
      <c r="I25" s="27">
        <f t="shared" si="0"/>
        <v>689.51679999999999</v>
      </c>
      <c r="J25" s="21"/>
      <c r="K25" s="27">
        <f>+H25+I25</f>
        <v>4998.9967999999999</v>
      </c>
      <c r="P25" s="1" t="s">
        <v>961</v>
      </c>
    </row>
    <row r="26" spans="1:16" x14ac:dyDescent="0.2">
      <c r="A26" s="68" t="s">
        <v>126</v>
      </c>
      <c r="B26" s="69">
        <v>40203</v>
      </c>
      <c r="C26" s="70" t="s">
        <v>203</v>
      </c>
      <c r="D26" s="71" t="s">
        <v>204</v>
      </c>
      <c r="E26" s="72" t="s">
        <v>205</v>
      </c>
      <c r="F26" s="73" t="s">
        <v>206</v>
      </c>
      <c r="G26" s="73" t="s">
        <v>207</v>
      </c>
      <c r="H26" s="68">
        <f>3017.24/2</f>
        <v>1508.62</v>
      </c>
      <c r="I26" s="74">
        <f t="shared" si="0"/>
        <v>241.3792</v>
      </c>
      <c r="J26" s="68"/>
      <c r="K26" s="74">
        <f>+H26+I26</f>
        <v>1749.9992</v>
      </c>
      <c r="P26" s="1" t="s">
        <v>961</v>
      </c>
    </row>
    <row r="27" spans="1:16" x14ac:dyDescent="0.2">
      <c r="A27" s="21" t="s">
        <v>126</v>
      </c>
      <c r="B27" s="22">
        <v>40203</v>
      </c>
      <c r="C27" s="23" t="s">
        <v>132</v>
      </c>
      <c r="D27" s="24" t="s">
        <v>208</v>
      </c>
      <c r="E27" s="25" t="s">
        <v>209</v>
      </c>
      <c r="F27" s="26" t="s">
        <v>210</v>
      </c>
      <c r="G27" s="26" t="s">
        <v>211</v>
      </c>
      <c r="H27" s="21">
        <v>2241.38</v>
      </c>
      <c r="I27" s="27">
        <f t="shared" si="0"/>
        <v>358.62080000000003</v>
      </c>
      <c r="J27" s="21"/>
      <c r="K27" s="27">
        <f>+H27+I27</f>
        <v>2600.0008000000003</v>
      </c>
      <c r="P27" s="1" t="s">
        <v>961</v>
      </c>
    </row>
    <row r="28" spans="1:16" x14ac:dyDescent="0.2">
      <c r="A28" s="1" t="s">
        <v>12</v>
      </c>
      <c r="B28" s="4">
        <v>40206</v>
      </c>
      <c r="C28" s="8">
        <v>2010100191</v>
      </c>
      <c r="D28" s="1" t="s">
        <v>14</v>
      </c>
      <c r="E28" s="1" t="s">
        <v>13</v>
      </c>
      <c r="F28" s="1" t="s">
        <v>44</v>
      </c>
      <c r="G28" s="1" t="s">
        <v>46</v>
      </c>
      <c r="H28" s="1">
        <v>3017.24</v>
      </c>
      <c r="I28" s="2">
        <f t="shared" si="0"/>
        <v>482.75839999999999</v>
      </c>
      <c r="J28" s="2"/>
      <c r="K28" s="2">
        <f>H28+I28</f>
        <v>3499.9983999999999</v>
      </c>
      <c r="P28" s="1" t="s">
        <v>961</v>
      </c>
    </row>
    <row r="29" spans="1:16" x14ac:dyDescent="0.2">
      <c r="A29" s="1" t="s">
        <v>12</v>
      </c>
      <c r="B29" s="4">
        <v>40206</v>
      </c>
      <c r="C29" s="8">
        <v>2010100185</v>
      </c>
      <c r="D29" s="1" t="s">
        <v>14</v>
      </c>
      <c r="E29" s="1" t="s">
        <v>13</v>
      </c>
      <c r="F29" s="1" t="s">
        <v>47</v>
      </c>
      <c r="G29" s="1" t="s">
        <v>48</v>
      </c>
      <c r="H29" s="1">
        <v>1381.63</v>
      </c>
      <c r="I29" s="2">
        <f t="shared" si="0"/>
        <v>221.06080000000003</v>
      </c>
      <c r="J29" s="2"/>
      <c r="K29" s="2">
        <f>H29+I29</f>
        <v>1602.6908000000001</v>
      </c>
      <c r="P29" s="1" t="s">
        <v>961</v>
      </c>
    </row>
    <row r="30" spans="1:16" x14ac:dyDescent="0.2">
      <c r="A30" s="1" t="s">
        <v>12</v>
      </c>
      <c r="B30" s="4">
        <v>40206</v>
      </c>
      <c r="C30" s="8">
        <v>2010100186</v>
      </c>
      <c r="D30" s="1" t="s">
        <v>14</v>
      </c>
      <c r="E30" s="1" t="s">
        <v>13</v>
      </c>
      <c r="F30" s="1" t="s">
        <v>49</v>
      </c>
      <c r="G30" s="1" t="s">
        <v>50</v>
      </c>
      <c r="H30" s="1">
        <v>1493.07</v>
      </c>
      <c r="I30" s="2">
        <f t="shared" si="0"/>
        <v>238.8912</v>
      </c>
      <c r="J30" s="2"/>
      <c r="K30" s="2">
        <f>H30+I30</f>
        <v>1731.9612</v>
      </c>
      <c r="P30" s="1" t="s">
        <v>961</v>
      </c>
    </row>
    <row r="31" spans="1:16" x14ac:dyDescent="0.2">
      <c r="A31" s="1" t="s">
        <v>12</v>
      </c>
      <c r="B31" s="4">
        <v>40206</v>
      </c>
      <c r="C31" s="8">
        <v>2010100187</v>
      </c>
      <c r="D31" s="1" t="s">
        <v>14</v>
      </c>
      <c r="E31" s="1" t="s">
        <v>13</v>
      </c>
      <c r="F31" s="1" t="s">
        <v>51</v>
      </c>
      <c r="G31" s="1" t="s">
        <v>52</v>
      </c>
      <c r="H31" s="1">
        <v>6392.36</v>
      </c>
      <c r="I31" s="2">
        <f t="shared" si="0"/>
        <v>1022.7776</v>
      </c>
      <c r="J31" s="2"/>
      <c r="K31" s="2">
        <f>H31+I31</f>
        <v>7415.1376</v>
      </c>
      <c r="P31" s="1" t="s">
        <v>961</v>
      </c>
    </row>
    <row r="32" spans="1:16" x14ac:dyDescent="0.2">
      <c r="A32" s="1" t="s">
        <v>12</v>
      </c>
      <c r="B32" s="4">
        <v>40206</v>
      </c>
      <c r="C32" s="8">
        <v>2010100188</v>
      </c>
      <c r="D32" s="1" t="s">
        <v>14</v>
      </c>
      <c r="E32" s="1" t="s">
        <v>13</v>
      </c>
      <c r="F32" s="1" t="s">
        <v>53</v>
      </c>
      <c r="G32" s="1" t="s">
        <v>54</v>
      </c>
      <c r="H32" s="1">
        <v>3378.68</v>
      </c>
      <c r="I32" s="2">
        <f t="shared" si="0"/>
        <v>540.58879999999999</v>
      </c>
      <c r="J32" s="2"/>
      <c r="K32" s="2">
        <f>H32+I32</f>
        <v>3919.2687999999998</v>
      </c>
      <c r="P32" s="1" t="s">
        <v>961</v>
      </c>
    </row>
    <row r="33" spans="1:16" x14ac:dyDescent="0.2">
      <c r="A33" s="21" t="s">
        <v>126</v>
      </c>
      <c r="B33" s="22">
        <v>40206</v>
      </c>
      <c r="C33" s="23" t="s">
        <v>129</v>
      </c>
      <c r="D33" s="24" t="s">
        <v>185</v>
      </c>
      <c r="E33" s="25" t="s">
        <v>186</v>
      </c>
      <c r="F33" s="26" t="s">
        <v>187</v>
      </c>
      <c r="G33" s="26" t="s">
        <v>444</v>
      </c>
      <c r="H33" s="21">
        <v>3448.28</v>
      </c>
      <c r="I33" s="27">
        <f t="shared" si="0"/>
        <v>551.72480000000007</v>
      </c>
      <c r="J33" s="21"/>
      <c r="K33" s="27">
        <f>+H33+I33</f>
        <v>4000.0048000000002</v>
      </c>
      <c r="P33" s="1" t="s">
        <v>961</v>
      </c>
    </row>
    <row r="34" spans="1:16" x14ac:dyDescent="0.2">
      <c r="A34" s="21" t="s">
        <v>126</v>
      </c>
      <c r="B34" s="22">
        <v>40206</v>
      </c>
      <c r="C34" s="23" t="s">
        <v>130</v>
      </c>
      <c r="D34" s="24" t="s">
        <v>185</v>
      </c>
      <c r="E34" s="25" t="s">
        <v>186</v>
      </c>
      <c r="F34" s="26" t="s">
        <v>183</v>
      </c>
      <c r="G34" s="26" t="s">
        <v>193</v>
      </c>
      <c r="H34" s="21">
        <v>5689.66</v>
      </c>
      <c r="I34" s="27">
        <f t="shared" si="0"/>
        <v>910.34559999999999</v>
      </c>
      <c r="J34" s="21"/>
      <c r="K34" s="27">
        <f>+H34+I34</f>
        <v>6600.0055999999995</v>
      </c>
      <c r="P34" s="1" t="s">
        <v>961</v>
      </c>
    </row>
    <row r="35" spans="1:16" x14ac:dyDescent="0.2">
      <c r="A35" s="1" t="s">
        <v>43</v>
      </c>
      <c r="B35" s="4">
        <v>40210</v>
      </c>
      <c r="C35" s="8">
        <v>2010200009</v>
      </c>
      <c r="D35" s="1" t="s">
        <v>14</v>
      </c>
      <c r="E35" s="1" t="s">
        <v>13</v>
      </c>
      <c r="F35" s="1" t="s">
        <v>44</v>
      </c>
      <c r="G35" s="1" t="s">
        <v>45</v>
      </c>
      <c r="H35" s="1">
        <v>-211.96</v>
      </c>
      <c r="I35" s="2">
        <f t="shared" si="0"/>
        <v>-33.913600000000002</v>
      </c>
      <c r="J35" s="2"/>
      <c r="K35" s="2">
        <f>H35+I35</f>
        <v>-245.87360000000001</v>
      </c>
      <c r="P35" s="1" t="s">
        <v>961</v>
      </c>
    </row>
    <row r="36" spans="1:16" x14ac:dyDescent="0.2">
      <c r="A36" s="21" t="s">
        <v>126</v>
      </c>
      <c r="B36" s="22">
        <v>40210</v>
      </c>
      <c r="C36" s="23" t="s">
        <v>131</v>
      </c>
      <c r="D36" s="24" t="s">
        <v>199</v>
      </c>
      <c r="E36" s="25" t="s">
        <v>200</v>
      </c>
      <c r="F36" s="26" t="s">
        <v>201</v>
      </c>
      <c r="G36" s="26" t="s">
        <v>202</v>
      </c>
      <c r="H36" s="21">
        <v>3017.24</v>
      </c>
      <c r="I36" s="27">
        <f t="shared" si="0"/>
        <v>482.75839999999999</v>
      </c>
      <c r="J36" s="21"/>
      <c r="K36" s="27">
        <f>+H36+I36</f>
        <v>3499.9983999999999</v>
      </c>
      <c r="P36" s="1" t="s">
        <v>961</v>
      </c>
    </row>
    <row r="37" spans="1:16" x14ac:dyDescent="0.2">
      <c r="A37" s="1" t="s">
        <v>12</v>
      </c>
      <c r="B37" s="4">
        <v>40211</v>
      </c>
      <c r="C37" s="8">
        <v>2010100212</v>
      </c>
      <c r="D37" s="1" t="s">
        <v>14</v>
      </c>
      <c r="E37" s="1" t="s">
        <v>13</v>
      </c>
      <c r="F37" s="1" t="s">
        <v>32</v>
      </c>
      <c r="G37" s="1" t="s">
        <v>33</v>
      </c>
      <c r="H37" s="1">
        <v>1293.0999999999999</v>
      </c>
      <c r="I37" s="2">
        <f t="shared" si="0"/>
        <v>206.89599999999999</v>
      </c>
      <c r="J37" s="2"/>
      <c r="K37" s="2">
        <f>H37+I37</f>
        <v>1499.9959999999999</v>
      </c>
      <c r="P37" s="1" t="s">
        <v>961</v>
      </c>
    </row>
    <row r="38" spans="1:16" x14ac:dyDescent="0.2">
      <c r="A38" s="1" t="s">
        <v>12</v>
      </c>
      <c r="B38" s="4">
        <v>40211</v>
      </c>
      <c r="C38" s="8">
        <v>2010100213</v>
      </c>
      <c r="D38" s="1" t="s">
        <v>14</v>
      </c>
      <c r="E38" s="1" t="s">
        <v>13</v>
      </c>
      <c r="F38" s="1" t="s">
        <v>35</v>
      </c>
      <c r="G38" s="1" t="s">
        <v>36</v>
      </c>
      <c r="H38" s="1">
        <v>3965.52</v>
      </c>
      <c r="I38" s="2">
        <f t="shared" si="0"/>
        <v>634.48320000000001</v>
      </c>
      <c r="J38" s="2"/>
      <c r="K38" s="2">
        <f>H38+I38</f>
        <v>4600.0032000000001</v>
      </c>
      <c r="P38" s="1" t="s">
        <v>961</v>
      </c>
    </row>
    <row r="39" spans="1:16" x14ac:dyDescent="0.2">
      <c r="A39" s="1" t="s">
        <v>12</v>
      </c>
      <c r="B39" s="4">
        <v>40211</v>
      </c>
      <c r="C39" s="8">
        <v>2010100214</v>
      </c>
      <c r="D39" s="1" t="s">
        <v>14</v>
      </c>
      <c r="E39" s="1" t="s">
        <v>13</v>
      </c>
      <c r="F39" s="1" t="s">
        <v>37</v>
      </c>
      <c r="G39" s="1" t="s">
        <v>38</v>
      </c>
      <c r="H39" s="1">
        <v>2301.7199999999998</v>
      </c>
      <c r="I39" s="2">
        <f t="shared" si="0"/>
        <v>368.27519999999998</v>
      </c>
      <c r="J39" s="2"/>
      <c r="K39" s="2">
        <f>H39+I39</f>
        <v>2669.9951999999998</v>
      </c>
      <c r="P39" s="1" t="s">
        <v>961</v>
      </c>
    </row>
    <row r="40" spans="1:16" x14ac:dyDescent="0.2">
      <c r="A40" s="1" t="s">
        <v>12</v>
      </c>
      <c r="B40" s="4">
        <v>40212</v>
      </c>
      <c r="C40" s="8" t="s">
        <v>104</v>
      </c>
      <c r="D40" s="1" t="s">
        <v>105</v>
      </c>
      <c r="E40" s="1" t="s">
        <v>106</v>
      </c>
      <c r="F40" s="1" t="s">
        <v>107</v>
      </c>
      <c r="G40" s="1" t="s">
        <v>108</v>
      </c>
      <c r="H40" s="1">
        <v>6030</v>
      </c>
      <c r="I40" s="2">
        <f t="shared" si="0"/>
        <v>964.80000000000007</v>
      </c>
      <c r="J40" s="2"/>
      <c r="K40" s="2">
        <f>H40+I40</f>
        <v>6994.8</v>
      </c>
      <c r="L40" s="1" t="s">
        <v>31</v>
      </c>
      <c r="N40" s="4">
        <v>40212</v>
      </c>
      <c r="P40" s="1" t="s">
        <v>961</v>
      </c>
    </row>
    <row r="41" spans="1:16" x14ac:dyDescent="0.2">
      <c r="A41" s="21" t="s">
        <v>126</v>
      </c>
      <c r="B41" s="22">
        <v>40217</v>
      </c>
      <c r="C41" s="23" t="s">
        <v>133</v>
      </c>
      <c r="D41" s="24" t="s">
        <v>212</v>
      </c>
      <c r="E41" s="25" t="s">
        <v>213</v>
      </c>
      <c r="F41" s="26" t="s">
        <v>214</v>
      </c>
      <c r="G41" s="26" t="s">
        <v>215</v>
      </c>
      <c r="H41" s="21">
        <v>6895.69</v>
      </c>
      <c r="I41" s="27">
        <f t="shared" si="0"/>
        <v>1103.3104000000001</v>
      </c>
      <c r="J41" s="21"/>
      <c r="K41" s="27">
        <f t="shared" ref="K41:K47" si="2">+H41+I41</f>
        <v>7999.0003999999999</v>
      </c>
      <c r="P41" s="1" t="s">
        <v>961</v>
      </c>
    </row>
    <row r="42" spans="1:16" x14ac:dyDescent="0.2">
      <c r="A42" s="21" t="s">
        <v>126</v>
      </c>
      <c r="B42" s="22">
        <v>40217</v>
      </c>
      <c r="C42" s="23" t="s">
        <v>134</v>
      </c>
      <c r="D42" s="24" t="s">
        <v>216</v>
      </c>
      <c r="E42" s="25" t="s">
        <v>217</v>
      </c>
      <c r="F42" s="26" t="s">
        <v>218</v>
      </c>
      <c r="G42" s="26" t="s">
        <v>219</v>
      </c>
      <c r="H42" s="21">
        <v>1724.14</v>
      </c>
      <c r="I42" s="27">
        <f t="shared" si="0"/>
        <v>275.86240000000004</v>
      </c>
      <c r="J42" s="21"/>
      <c r="K42" s="27">
        <f t="shared" si="2"/>
        <v>2000.0024000000001</v>
      </c>
      <c r="P42" s="1" t="s">
        <v>961</v>
      </c>
    </row>
    <row r="43" spans="1:16" x14ac:dyDescent="0.2">
      <c r="A43" s="21" t="s">
        <v>126</v>
      </c>
      <c r="B43" s="22">
        <v>40217</v>
      </c>
      <c r="C43" s="23" t="s">
        <v>135</v>
      </c>
      <c r="D43" s="24" t="s">
        <v>220</v>
      </c>
      <c r="E43" s="25" t="s">
        <v>221</v>
      </c>
      <c r="F43" s="26" t="s">
        <v>218</v>
      </c>
      <c r="G43" s="26" t="s">
        <v>222</v>
      </c>
      <c r="H43" s="21">
        <v>1724.14</v>
      </c>
      <c r="I43" s="27">
        <f t="shared" si="0"/>
        <v>275.86240000000004</v>
      </c>
      <c r="J43" s="21"/>
      <c r="K43" s="27">
        <f t="shared" si="2"/>
        <v>2000.0024000000001</v>
      </c>
      <c r="P43" s="1" t="s">
        <v>961</v>
      </c>
    </row>
    <row r="44" spans="1:16" x14ac:dyDescent="0.2">
      <c r="A44" s="21" t="s">
        <v>126</v>
      </c>
      <c r="B44" s="22">
        <v>40217</v>
      </c>
      <c r="C44" s="23" t="s">
        <v>136</v>
      </c>
      <c r="D44" s="24" t="s">
        <v>223</v>
      </c>
      <c r="E44" s="25" t="s">
        <v>959</v>
      </c>
      <c r="F44" s="26" t="s">
        <v>201</v>
      </c>
      <c r="G44" s="26" t="s">
        <v>224</v>
      </c>
      <c r="H44" s="21">
        <v>3017.24</v>
      </c>
      <c r="I44" s="27">
        <f t="shared" si="0"/>
        <v>482.75839999999999</v>
      </c>
      <c r="J44" s="21"/>
      <c r="K44" s="27">
        <f t="shared" si="2"/>
        <v>3499.9983999999999</v>
      </c>
      <c r="P44" s="1" t="s">
        <v>961</v>
      </c>
    </row>
    <row r="45" spans="1:16" x14ac:dyDescent="0.2">
      <c r="A45" s="21" t="s">
        <v>126</v>
      </c>
      <c r="B45" s="22">
        <v>40217</v>
      </c>
      <c r="C45" s="23" t="s">
        <v>137</v>
      </c>
      <c r="D45" s="24" t="s">
        <v>225</v>
      </c>
      <c r="E45" s="21" t="s">
        <v>960</v>
      </c>
      <c r="F45" s="26" t="s">
        <v>201</v>
      </c>
      <c r="G45" s="26" t="s">
        <v>226</v>
      </c>
      <c r="H45" s="21">
        <v>2155.17</v>
      </c>
      <c r="I45" s="27">
        <f t="shared" si="0"/>
        <v>344.8272</v>
      </c>
      <c r="J45" s="21"/>
      <c r="K45" s="27">
        <f t="shared" si="2"/>
        <v>2499.9972000000002</v>
      </c>
      <c r="P45" s="1" t="s">
        <v>961</v>
      </c>
    </row>
    <row r="46" spans="1:16" x14ac:dyDescent="0.2">
      <c r="A46" s="21" t="s">
        <v>126</v>
      </c>
      <c r="B46" s="22">
        <v>40217</v>
      </c>
      <c r="C46" s="23" t="s">
        <v>138</v>
      </c>
      <c r="D46" s="24" t="s">
        <v>225</v>
      </c>
      <c r="E46" s="21" t="s">
        <v>960</v>
      </c>
      <c r="F46" s="26" t="s">
        <v>218</v>
      </c>
      <c r="G46" s="26" t="s">
        <v>227</v>
      </c>
      <c r="H46" s="21">
        <v>2586.21</v>
      </c>
      <c r="I46" s="27">
        <f t="shared" si="0"/>
        <v>413.79360000000003</v>
      </c>
      <c r="J46" s="21"/>
      <c r="K46" s="27">
        <f t="shared" si="2"/>
        <v>3000.0036</v>
      </c>
      <c r="P46" s="1" t="s">
        <v>961</v>
      </c>
    </row>
    <row r="47" spans="1:16" x14ac:dyDescent="0.2">
      <c r="A47" s="21" t="s">
        <v>126</v>
      </c>
      <c r="B47" s="22">
        <v>40217</v>
      </c>
      <c r="C47" s="23" t="s">
        <v>139</v>
      </c>
      <c r="D47" s="24" t="s">
        <v>228</v>
      </c>
      <c r="E47" s="25" t="s">
        <v>229</v>
      </c>
      <c r="F47" s="26" t="s">
        <v>230</v>
      </c>
      <c r="G47" s="26" t="s">
        <v>231</v>
      </c>
      <c r="H47" s="21">
        <v>2155.17</v>
      </c>
      <c r="I47" s="27">
        <f t="shared" si="0"/>
        <v>344.8272</v>
      </c>
      <c r="J47" s="21"/>
      <c r="K47" s="27">
        <f t="shared" si="2"/>
        <v>2499.9972000000002</v>
      </c>
      <c r="P47" s="1" t="s">
        <v>961</v>
      </c>
    </row>
    <row r="48" spans="1:16" x14ac:dyDescent="0.2">
      <c r="A48" s="1" t="s">
        <v>12</v>
      </c>
      <c r="B48" s="4">
        <v>40218</v>
      </c>
      <c r="C48" s="8">
        <v>2010100273</v>
      </c>
      <c r="D48" s="1" t="s">
        <v>14</v>
      </c>
      <c r="E48" s="1" t="s">
        <v>13</v>
      </c>
      <c r="F48" s="1" t="s">
        <v>61</v>
      </c>
      <c r="G48" s="1" t="s">
        <v>68</v>
      </c>
      <c r="H48" s="1">
        <v>4257.22</v>
      </c>
      <c r="I48" s="2">
        <f t="shared" si="0"/>
        <v>681.15520000000004</v>
      </c>
      <c r="J48" s="2"/>
      <c r="K48" s="2">
        <f>H48+I48</f>
        <v>4938.3752000000004</v>
      </c>
      <c r="P48" s="1" t="s">
        <v>961</v>
      </c>
    </row>
    <row r="49" spans="1:16" x14ac:dyDescent="0.2">
      <c r="A49" s="21" t="s">
        <v>126</v>
      </c>
      <c r="B49" s="22">
        <v>40218</v>
      </c>
      <c r="C49" s="23" t="s">
        <v>140</v>
      </c>
      <c r="D49" s="24" t="s">
        <v>232</v>
      </c>
      <c r="E49" s="25" t="s">
        <v>233</v>
      </c>
      <c r="F49" s="26" t="s">
        <v>234</v>
      </c>
      <c r="G49" s="26" t="s">
        <v>235</v>
      </c>
      <c r="H49" s="21">
        <v>3706.9</v>
      </c>
      <c r="I49" s="27">
        <f t="shared" si="0"/>
        <v>593.10400000000004</v>
      </c>
      <c r="J49" s="21"/>
      <c r="K49" s="27">
        <f>+H49+I49</f>
        <v>4300.0039999999999</v>
      </c>
      <c r="P49" s="1" t="s">
        <v>961</v>
      </c>
    </row>
    <row r="50" spans="1:16" x14ac:dyDescent="0.2">
      <c r="A50" s="1" t="s">
        <v>12</v>
      </c>
      <c r="B50" s="4">
        <v>40220</v>
      </c>
      <c r="C50" s="8">
        <v>12019476</v>
      </c>
      <c r="D50" s="1" t="s">
        <v>19</v>
      </c>
      <c r="E50" s="1" t="s">
        <v>20</v>
      </c>
      <c r="F50" s="1" t="s">
        <v>81</v>
      </c>
      <c r="G50" s="1" t="s">
        <v>82</v>
      </c>
      <c r="H50" s="1">
        <v>2000</v>
      </c>
      <c r="I50" s="2"/>
      <c r="J50" s="2" t="s">
        <v>21</v>
      </c>
      <c r="K50" s="2">
        <f>H50+I50</f>
        <v>2000</v>
      </c>
      <c r="L50" s="1" t="s">
        <v>31</v>
      </c>
      <c r="M50" s="1" t="s">
        <v>1904</v>
      </c>
      <c r="N50" s="4">
        <v>40211</v>
      </c>
      <c r="O50" s="4">
        <v>40161</v>
      </c>
      <c r="P50" s="1" t="s">
        <v>961</v>
      </c>
    </row>
    <row r="51" spans="1:16" x14ac:dyDescent="0.2">
      <c r="A51" s="21" t="s">
        <v>126</v>
      </c>
      <c r="B51" s="22">
        <v>40220</v>
      </c>
      <c r="C51" s="23" t="s">
        <v>143</v>
      </c>
      <c r="D51" s="24" t="s">
        <v>236</v>
      </c>
      <c r="E51" s="25" t="s">
        <v>237</v>
      </c>
      <c r="F51" s="26" t="s">
        <v>218</v>
      </c>
      <c r="G51" s="26" t="s">
        <v>238</v>
      </c>
      <c r="H51" s="21">
        <v>2715.52</v>
      </c>
      <c r="I51" s="27">
        <f t="shared" ref="I51:I58" si="3">+H51*0.16</f>
        <v>434.48320000000001</v>
      </c>
      <c r="J51" s="21"/>
      <c r="K51" s="27">
        <f>+H51+I51</f>
        <v>3150.0032000000001</v>
      </c>
      <c r="P51" s="1" t="s">
        <v>961</v>
      </c>
    </row>
    <row r="52" spans="1:16" x14ac:dyDescent="0.2">
      <c r="A52" s="21" t="s">
        <v>126</v>
      </c>
      <c r="B52" s="22">
        <v>40220</v>
      </c>
      <c r="C52" s="23" t="s">
        <v>144</v>
      </c>
      <c r="D52" s="24" t="s">
        <v>236</v>
      </c>
      <c r="E52" s="25" t="s">
        <v>237</v>
      </c>
      <c r="F52" s="26" t="s">
        <v>239</v>
      </c>
      <c r="G52" s="26" t="s">
        <v>240</v>
      </c>
      <c r="H52" s="21">
        <v>2715.52</v>
      </c>
      <c r="I52" s="27">
        <f t="shared" si="3"/>
        <v>434.48320000000001</v>
      </c>
      <c r="J52" s="21"/>
      <c r="K52" s="27">
        <f>+H52+I52</f>
        <v>3150.0032000000001</v>
      </c>
      <c r="P52" s="1" t="s">
        <v>961</v>
      </c>
    </row>
    <row r="53" spans="1:16" x14ac:dyDescent="0.2">
      <c r="A53" s="21" t="s">
        <v>126</v>
      </c>
      <c r="B53" s="22">
        <v>40221</v>
      </c>
      <c r="C53" s="23" t="s">
        <v>145</v>
      </c>
      <c r="D53" s="24" t="s">
        <v>241</v>
      </c>
      <c r="E53" s="25" t="s">
        <v>242</v>
      </c>
      <c r="F53" s="26" t="s">
        <v>218</v>
      </c>
      <c r="G53" s="26" t="s">
        <v>243</v>
      </c>
      <c r="H53" s="21">
        <v>3000</v>
      </c>
      <c r="I53" s="27">
        <f t="shared" si="3"/>
        <v>480</v>
      </c>
      <c r="J53" s="21"/>
      <c r="K53" s="27">
        <f>+H53+I53</f>
        <v>3480</v>
      </c>
      <c r="P53" s="1" t="s">
        <v>961</v>
      </c>
    </row>
    <row r="54" spans="1:16" x14ac:dyDescent="0.2">
      <c r="A54" s="1" t="s">
        <v>12</v>
      </c>
      <c r="B54" s="4">
        <v>40224</v>
      </c>
      <c r="C54" s="8">
        <v>2010100315</v>
      </c>
      <c r="D54" s="1" t="s">
        <v>14</v>
      </c>
      <c r="E54" s="1" t="s">
        <v>13</v>
      </c>
      <c r="F54" s="1" t="s">
        <v>65</v>
      </c>
      <c r="G54" s="1" t="s">
        <v>66</v>
      </c>
      <c r="H54" s="1">
        <v>1293.0999999999999</v>
      </c>
      <c r="I54" s="2">
        <f t="shared" si="3"/>
        <v>206.89599999999999</v>
      </c>
      <c r="J54" s="2"/>
      <c r="K54" s="2">
        <f t="shared" ref="K54:K60" si="4">H54+I54</f>
        <v>1499.9959999999999</v>
      </c>
      <c r="P54" s="1" t="s">
        <v>961</v>
      </c>
    </row>
    <row r="55" spans="1:16" x14ac:dyDescent="0.2">
      <c r="A55" s="1" t="s">
        <v>12</v>
      </c>
      <c r="B55" s="4">
        <v>40224</v>
      </c>
      <c r="C55" s="8">
        <v>2010100316</v>
      </c>
      <c r="D55" s="1" t="s">
        <v>14</v>
      </c>
      <c r="E55" s="1" t="s">
        <v>13</v>
      </c>
      <c r="F55" s="1" t="s">
        <v>53</v>
      </c>
      <c r="G55" s="1" t="s">
        <v>67</v>
      </c>
      <c r="H55" s="1">
        <v>1896.55</v>
      </c>
      <c r="I55" s="2">
        <f t="shared" si="3"/>
        <v>303.44799999999998</v>
      </c>
      <c r="J55" s="2"/>
      <c r="K55" s="2">
        <f t="shared" si="4"/>
        <v>2199.998</v>
      </c>
      <c r="P55" s="1" t="s">
        <v>961</v>
      </c>
    </row>
    <row r="56" spans="1:16" x14ac:dyDescent="0.2">
      <c r="A56" s="1" t="s">
        <v>12</v>
      </c>
      <c r="B56" s="4">
        <v>40224</v>
      </c>
      <c r="C56" s="8">
        <v>2010100314</v>
      </c>
      <c r="D56" s="1" t="s">
        <v>14</v>
      </c>
      <c r="E56" s="1" t="s">
        <v>13</v>
      </c>
      <c r="F56" s="1" t="s">
        <v>49</v>
      </c>
      <c r="G56" s="1" t="s">
        <v>69</v>
      </c>
      <c r="H56" s="1">
        <v>3017.24</v>
      </c>
      <c r="I56" s="2">
        <f t="shared" si="3"/>
        <v>482.75839999999999</v>
      </c>
      <c r="J56" s="2"/>
      <c r="K56" s="2">
        <f t="shared" si="4"/>
        <v>3499.9983999999999</v>
      </c>
      <c r="P56" s="1" t="s">
        <v>961</v>
      </c>
    </row>
    <row r="57" spans="1:16" x14ac:dyDescent="0.2">
      <c r="A57" s="1" t="s">
        <v>12</v>
      </c>
      <c r="B57" s="4">
        <v>40226</v>
      </c>
      <c r="C57" s="8" t="s">
        <v>120</v>
      </c>
      <c r="D57" s="1" t="s">
        <v>25</v>
      </c>
      <c r="E57" s="1" t="s">
        <v>26</v>
      </c>
      <c r="F57" s="1" t="s">
        <v>111</v>
      </c>
      <c r="G57" s="1" t="s">
        <v>121</v>
      </c>
      <c r="H57" s="1">
        <v>3879.31</v>
      </c>
      <c r="I57" s="2">
        <f t="shared" si="3"/>
        <v>620.68960000000004</v>
      </c>
      <c r="J57" s="2"/>
      <c r="K57" s="2">
        <f t="shared" si="4"/>
        <v>4499.9996000000001</v>
      </c>
      <c r="O57" s="1" t="s">
        <v>113</v>
      </c>
      <c r="P57" s="1" t="s">
        <v>961</v>
      </c>
    </row>
    <row r="58" spans="1:16" x14ac:dyDescent="0.2">
      <c r="A58" s="1" t="s">
        <v>12</v>
      </c>
      <c r="B58" s="4">
        <v>40226</v>
      </c>
      <c r="C58" s="8" t="s">
        <v>120</v>
      </c>
      <c r="D58" s="1" t="s">
        <v>25</v>
      </c>
      <c r="E58" s="1" t="s">
        <v>26</v>
      </c>
      <c r="F58" s="1" t="s">
        <v>53</v>
      </c>
      <c r="G58" s="1" t="s">
        <v>122</v>
      </c>
      <c r="H58" s="1">
        <v>3275.86</v>
      </c>
      <c r="I58" s="2">
        <f t="shared" si="3"/>
        <v>524.13760000000002</v>
      </c>
      <c r="J58" s="2"/>
      <c r="K58" s="2">
        <f t="shared" si="4"/>
        <v>3799.9976000000001</v>
      </c>
      <c r="O58" s="1" t="s">
        <v>113</v>
      </c>
      <c r="P58" s="1" t="s">
        <v>961</v>
      </c>
    </row>
    <row r="59" spans="1:16" x14ac:dyDescent="0.2">
      <c r="A59" s="1" t="s">
        <v>12</v>
      </c>
      <c r="B59" s="4">
        <v>40228</v>
      </c>
      <c r="C59" s="8">
        <v>39784</v>
      </c>
      <c r="D59" s="1" t="s">
        <v>109</v>
      </c>
      <c r="E59" s="1" t="s">
        <v>110</v>
      </c>
      <c r="F59" s="1" t="s">
        <v>111</v>
      </c>
      <c r="G59" s="3" t="s">
        <v>1415</v>
      </c>
      <c r="H59" s="1">
        <v>2000</v>
      </c>
      <c r="I59" s="2"/>
      <c r="J59" s="2"/>
      <c r="K59" s="2">
        <f t="shared" si="4"/>
        <v>2000</v>
      </c>
      <c r="L59" s="1" t="s">
        <v>31</v>
      </c>
      <c r="M59" s="63" t="s">
        <v>983</v>
      </c>
      <c r="N59" s="4">
        <v>40228</v>
      </c>
      <c r="O59" s="1" t="s">
        <v>113</v>
      </c>
      <c r="P59" s="1" t="s">
        <v>961</v>
      </c>
    </row>
    <row r="60" spans="1:16" x14ac:dyDescent="0.2">
      <c r="A60" s="1" t="s">
        <v>12</v>
      </c>
      <c r="B60" s="4">
        <v>40228</v>
      </c>
      <c r="C60" s="8">
        <v>39784</v>
      </c>
      <c r="D60" s="1" t="s">
        <v>109</v>
      </c>
      <c r="E60" s="1" t="s">
        <v>110</v>
      </c>
      <c r="F60" s="1" t="s">
        <v>112</v>
      </c>
      <c r="G60" s="1" t="s">
        <v>981</v>
      </c>
      <c r="H60" s="1">
        <v>2000</v>
      </c>
      <c r="I60" s="2"/>
      <c r="J60" s="2"/>
      <c r="K60" s="2">
        <f t="shared" si="4"/>
        <v>2000</v>
      </c>
      <c r="L60" s="1" t="s">
        <v>31</v>
      </c>
      <c r="M60" s="63" t="s">
        <v>983</v>
      </c>
      <c r="N60" s="4">
        <v>40228</v>
      </c>
      <c r="O60" s="1" t="s">
        <v>113</v>
      </c>
      <c r="P60" s="1" t="s">
        <v>961</v>
      </c>
    </row>
    <row r="61" spans="1:16" x14ac:dyDescent="0.2">
      <c r="A61" s="21" t="s">
        <v>126</v>
      </c>
      <c r="B61" s="22">
        <v>40232</v>
      </c>
      <c r="C61" s="23" t="s">
        <v>146</v>
      </c>
      <c r="D61" s="24" t="s">
        <v>244</v>
      </c>
      <c r="E61" s="25" t="s">
        <v>245</v>
      </c>
      <c r="F61" s="26" t="s">
        <v>246</v>
      </c>
      <c r="G61" s="26" t="s">
        <v>247</v>
      </c>
      <c r="H61" s="21">
        <v>1724.14</v>
      </c>
      <c r="I61" s="27">
        <f>+H61*0.16</f>
        <v>275.86240000000004</v>
      </c>
      <c r="J61" s="21"/>
      <c r="K61" s="27">
        <f>+H61+I61</f>
        <v>2000.0024000000001</v>
      </c>
      <c r="P61" s="1" t="s">
        <v>961</v>
      </c>
    </row>
    <row r="62" spans="1:16" x14ac:dyDescent="0.2">
      <c r="A62" s="1" t="s">
        <v>12</v>
      </c>
      <c r="B62" s="4">
        <v>40233</v>
      </c>
      <c r="C62" s="8">
        <v>2010100361</v>
      </c>
      <c r="D62" s="1" t="s">
        <v>14</v>
      </c>
      <c r="E62" s="1" t="s">
        <v>13</v>
      </c>
      <c r="F62" s="1" t="s">
        <v>39</v>
      </c>
      <c r="G62" s="1" t="s">
        <v>40</v>
      </c>
      <c r="H62" s="1">
        <v>4446.71</v>
      </c>
      <c r="I62" s="2">
        <f>+H62*0.16</f>
        <v>711.47360000000003</v>
      </c>
      <c r="J62" s="2"/>
      <c r="K62" s="2">
        <f>H62+I62</f>
        <v>5158.1836000000003</v>
      </c>
      <c r="P62" s="1" t="s">
        <v>961</v>
      </c>
    </row>
    <row r="63" spans="1:16" x14ac:dyDescent="0.2">
      <c r="A63" s="1" t="s">
        <v>12</v>
      </c>
      <c r="B63" s="4">
        <v>40233</v>
      </c>
      <c r="C63" s="8">
        <v>2010100362</v>
      </c>
      <c r="D63" s="1" t="s">
        <v>14</v>
      </c>
      <c r="E63" s="1" t="s">
        <v>13</v>
      </c>
      <c r="F63" s="1" t="s">
        <v>39</v>
      </c>
      <c r="G63" s="1" t="s">
        <v>41</v>
      </c>
      <c r="H63" s="1">
        <v>3898.41</v>
      </c>
      <c r="I63" s="2">
        <f>+H63*0.16</f>
        <v>623.74559999999997</v>
      </c>
      <c r="J63" s="2"/>
      <c r="K63" s="2">
        <f>H63+I63</f>
        <v>4522.1556</v>
      </c>
      <c r="P63" s="1" t="s">
        <v>961</v>
      </c>
    </row>
    <row r="64" spans="1:16" x14ac:dyDescent="0.2">
      <c r="A64" s="1" t="s">
        <v>12</v>
      </c>
      <c r="B64" s="4">
        <v>40233</v>
      </c>
      <c r="C64" s="8">
        <v>2010100363</v>
      </c>
      <c r="D64" s="1" t="s">
        <v>14</v>
      </c>
      <c r="E64" s="1" t="s">
        <v>13</v>
      </c>
      <c r="F64" s="1" t="s">
        <v>37</v>
      </c>
      <c r="G64" s="1" t="s">
        <v>42</v>
      </c>
      <c r="H64" s="1">
        <v>2413.79</v>
      </c>
      <c r="I64" s="2">
        <f>+H64*0.16</f>
        <v>386.20640000000003</v>
      </c>
      <c r="J64" s="2"/>
      <c r="K64" s="2">
        <f>H64+I64</f>
        <v>2799.9964</v>
      </c>
      <c r="P64" s="1" t="s">
        <v>961</v>
      </c>
    </row>
    <row r="65" spans="1:16" x14ac:dyDescent="0.2">
      <c r="A65" s="1" t="s">
        <v>12</v>
      </c>
      <c r="B65" s="4">
        <v>40235</v>
      </c>
      <c r="C65" s="8">
        <v>35634</v>
      </c>
      <c r="D65" s="1" t="s">
        <v>985</v>
      </c>
      <c r="E65" s="1" t="s">
        <v>115</v>
      </c>
      <c r="F65" s="1" t="s">
        <v>53</v>
      </c>
      <c r="G65" s="1" t="s">
        <v>116</v>
      </c>
      <c r="H65" s="1">
        <v>3189.66</v>
      </c>
      <c r="I65" s="2">
        <f>+H65*0.16</f>
        <v>510.34559999999999</v>
      </c>
      <c r="J65" s="2"/>
      <c r="K65" s="2">
        <f>H65+I65</f>
        <v>3700.0056</v>
      </c>
      <c r="P65" s="1" t="s">
        <v>961</v>
      </c>
    </row>
    <row r="66" spans="1:16" x14ac:dyDescent="0.2">
      <c r="A66" s="1" t="s">
        <v>12</v>
      </c>
      <c r="B66" s="4">
        <v>40237</v>
      </c>
      <c r="C66" s="8" t="s">
        <v>995</v>
      </c>
      <c r="D66" s="66" t="s">
        <v>1073</v>
      </c>
      <c r="E66" s="1" t="s">
        <v>996</v>
      </c>
      <c r="F66" s="1" t="s">
        <v>61</v>
      </c>
      <c r="G66" s="1" t="s">
        <v>125</v>
      </c>
      <c r="K66" s="1">
        <v>4000</v>
      </c>
      <c r="L66" s="1" t="s">
        <v>21</v>
      </c>
      <c r="P66" s="1" t="s">
        <v>348</v>
      </c>
    </row>
    <row r="67" spans="1:16" x14ac:dyDescent="0.2">
      <c r="A67" s="21" t="s">
        <v>126</v>
      </c>
      <c r="B67" s="22">
        <v>40235</v>
      </c>
      <c r="C67" s="23" t="s">
        <v>147</v>
      </c>
      <c r="D67" s="24" t="s">
        <v>248</v>
      </c>
      <c r="E67" s="25" t="s">
        <v>249</v>
      </c>
      <c r="F67" s="26" t="s">
        <v>246</v>
      </c>
      <c r="G67" s="26" t="s">
        <v>250</v>
      </c>
      <c r="H67" s="21">
        <v>3879.31</v>
      </c>
      <c r="I67" s="27">
        <f t="shared" ref="I67:I89" si="5">+H67*0.16</f>
        <v>620.68960000000004</v>
      </c>
      <c r="J67" s="21"/>
      <c r="K67" s="27">
        <f t="shared" ref="K67:K74" si="6">+H67+I67</f>
        <v>4499.9996000000001</v>
      </c>
      <c r="P67" s="1" t="s">
        <v>961</v>
      </c>
    </row>
    <row r="68" spans="1:16" x14ac:dyDescent="0.2">
      <c r="A68" s="21" t="s">
        <v>126</v>
      </c>
      <c r="B68" s="22">
        <v>40235</v>
      </c>
      <c r="C68" s="23" t="s">
        <v>148</v>
      </c>
      <c r="D68" s="24" t="s">
        <v>251</v>
      </c>
      <c r="E68" s="25" t="s">
        <v>252</v>
      </c>
      <c r="F68" s="26" t="s">
        <v>230</v>
      </c>
      <c r="G68" s="26" t="s">
        <v>253</v>
      </c>
      <c r="H68" s="21">
        <v>2155.17</v>
      </c>
      <c r="I68" s="27">
        <f t="shared" si="5"/>
        <v>344.8272</v>
      </c>
      <c r="J68" s="21"/>
      <c r="K68" s="27">
        <f t="shared" si="6"/>
        <v>2499.9972000000002</v>
      </c>
      <c r="P68" s="1" t="s">
        <v>961</v>
      </c>
    </row>
    <row r="69" spans="1:16" x14ac:dyDescent="0.2">
      <c r="A69" s="21" t="s">
        <v>126</v>
      </c>
      <c r="B69" s="22">
        <v>40235</v>
      </c>
      <c r="C69" s="23" t="s">
        <v>149</v>
      </c>
      <c r="D69" s="24" t="s">
        <v>254</v>
      </c>
      <c r="E69" s="25" t="s">
        <v>255</v>
      </c>
      <c r="F69" s="26" t="s">
        <v>256</v>
      </c>
      <c r="G69" s="26" t="s">
        <v>257</v>
      </c>
      <c r="H69" s="21">
        <v>3275.86</v>
      </c>
      <c r="I69" s="27">
        <f t="shared" si="5"/>
        <v>524.13760000000002</v>
      </c>
      <c r="J69" s="21"/>
      <c r="K69" s="27">
        <f t="shared" si="6"/>
        <v>3799.9976000000001</v>
      </c>
      <c r="P69" s="1" t="s">
        <v>961</v>
      </c>
    </row>
    <row r="70" spans="1:16" x14ac:dyDescent="0.2">
      <c r="A70" s="21" t="s">
        <v>126</v>
      </c>
      <c r="B70" s="22">
        <v>40235</v>
      </c>
      <c r="C70" s="23" t="s">
        <v>150</v>
      </c>
      <c r="D70" s="24" t="s">
        <v>258</v>
      </c>
      <c r="E70" s="25" t="s">
        <v>259</v>
      </c>
      <c r="F70" s="26" t="s">
        <v>239</v>
      </c>
      <c r="G70" s="26" t="s">
        <v>260</v>
      </c>
      <c r="H70" s="21">
        <v>1896.55</v>
      </c>
      <c r="I70" s="27">
        <f t="shared" si="5"/>
        <v>303.44799999999998</v>
      </c>
      <c r="J70" s="21"/>
      <c r="K70" s="27">
        <f t="shared" si="6"/>
        <v>2199.998</v>
      </c>
      <c r="P70" s="1" t="s">
        <v>961</v>
      </c>
    </row>
    <row r="71" spans="1:16" x14ac:dyDescent="0.2">
      <c r="A71" s="21" t="s">
        <v>126</v>
      </c>
      <c r="B71" s="22">
        <v>40235</v>
      </c>
      <c r="C71" s="23" t="s">
        <v>151</v>
      </c>
      <c r="D71" s="24" t="s">
        <v>261</v>
      </c>
      <c r="E71" s="25" t="s">
        <v>262</v>
      </c>
      <c r="F71" s="26" t="s">
        <v>201</v>
      </c>
      <c r="G71" s="26" t="s">
        <v>263</v>
      </c>
      <c r="H71" s="21">
        <v>1724.14</v>
      </c>
      <c r="I71" s="27">
        <f t="shared" si="5"/>
        <v>275.86240000000004</v>
      </c>
      <c r="J71" s="21"/>
      <c r="K71" s="27">
        <f t="shared" si="6"/>
        <v>2000.0024000000001</v>
      </c>
      <c r="P71" s="1" t="s">
        <v>961</v>
      </c>
    </row>
    <row r="72" spans="1:16" x14ac:dyDescent="0.2">
      <c r="A72" s="21" t="s">
        <v>126</v>
      </c>
      <c r="B72" s="22">
        <v>40235</v>
      </c>
      <c r="C72" s="23" t="s">
        <v>152</v>
      </c>
      <c r="D72" s="24" t="s">
        <v>264</v>
      </c>
      <c r="E72" s="25" t="s">
        <v>265</v>
      </c>
      <c r="F72" s="26" t="s">
        <v>266</v>
      </c>
      <c r="G72" s="26" t="s">
        <v>1561</v>
      </c>
      <c r="H72" s="21">
        <v>431.03500000000003</v>
      </c>
      <c r="I72" s="27">
        <f t="shared" si="5"/>
        <v>68.965600000000009</v>
      </c>
      <c r="J72" s="21"/>
      <c r="K72" s="27">
        <f t="shared" si="6"/>
        <v>500.00060000000002</v>
      </c>
      <c r="P72" s="1" t="s">
        <v>961</v>
      </c>
    </row>
    <row r="73" spans="1:16" x14ac:dyDescent="0.2">
      <c r="A73" s="21" t="s">
        <v>126</v>
      </c>
      <c r="B73" s="22">
        <v>40235</v>
      </c>
      <c r="C73" s="23" t="s">
        <v>153</v>
      </c>
      <c r="D73" s="24" t="s">
        <v>267</v>
      </c>
      <c r="E73" s="25" t="s">
        <v>268</v>
      </c>
      <c r="F73" s="26" t="s">
        <v>269</v>
      </c>
      <c r="G73" s="26" t="s">
        <v>270</v>
      </c>
      <c r="H73" s="21">
        <v>4310.3450000000003</v>
      </c>
      <c r="I73" s="27">
        <f t="shared" si="5"/>
        <v>689.65520000000004</v>
      </c>
      <c r="J73" s="21"/>
      <c r="K73" s="27">
        <f t="shared" si="6"/>
        <v>5000.0002000000004</v>
      </c>
      <c r="P73" s="1" t="s">
        <v>961</v>
      </c>
    </row>
    <row r="74" spans="1:16" x14ac:dyDescent="0.2">
      <c r="A74" s="21" t="s">
        <v>126</v>
      </c>
      <c r="B74" s="22">
        <v>40235</v>
      </c>
      <c r="C74" s="23" t="s">
        <v>154</v>
      </c>
      <c r="D74" s="24" t="s">
        <v>271</v>
      </c>
      <c r="E74" s="25" t="s">
        <v>272</v>
      </c>
      <c r="F74" s="26" t="s">
        <v>218</v>
      </c>
      <c r="G74" s="26" t="s">
        <v>273</v>
      </c>
      <c r="H74" s="21">
        <v>1379.31</v>
      </c>
      <c r="I74" s="27">
        <f t="shared" si="5"/>
        <v>220.68959999999998</v>
      </c>
      <c r="J74" s="21"/>
      <c r="K74" s="27">
        <f t="shared" si="6"/>
        <v>1599.9995999999999</v>
      </c>
      <c r="P74" s="1" t="s">
        <v>961</v>
      </c>
    </row>
    <row r="75" spans="1:16" x14ac:dyDescent="0.2">
      <c r="A75" s="1" t="s">
        <v>43</v>
      </c>
      <c r="B75" s="4">
        <v>40238</v>
      </c>
      <c r="C75" s="8">
        <v>496375</v>
      </c>
      <c r="D75" s="1" t="s">
        <v>23</v>
      </c>
      <c r="E75" s="1" t="s">
        <v>24</v>
      </c>
      <c r="F75" s="1" t="s">
        <v>53</v>
      </c>
      <c r="G75" s="1" t="s">
        <v>962</v>
      </c>
      <c r="H75" s="1">
        <v>-2068.9699999999998</v>
      </c>
      <c r="I75" s="2">
        <f t="shared" si="5"/>
        <v>-331.03519999999997</v>
      </c>
      <c r="J75" s="2"/>
      <c r="K75" s="2">
        <f t="shared" ref="K75:K81" si="7">H75+I75</f>
        <v>-2400.0051999999996</v>
      </c>
      <c r="P75" s="1" t="s">
        <v>961</v>
      </c>
    </row>
    <row r="76" spans="1:16" x14ac:dyDescent="0.2">
      <c r="A76" s="1" t="s">
        <v>12</v>
      </c>
      <c r="B76" s="4">
        <v>40240</v>
      </c>
      <c r="C76" s="8">
        <v>2010100437</v>
      </c>
      <c r="D76" s="1" t="s">
        <v>14</v>
      </c>
      <c r="E76" s="1" t="s">
        <v>13</v>
      </c>
      <c r="F76" s="1" t="s">
        <v>47</v>
      </c>
      <c r="G76" s="1" t="s">
        <v>74</v>
      </c>
      <c r="H76" s="1">
        <v>1746.16</v>
      </c>
      <c r="I76" s="2">
        <f t="shared" si="5"/>
        <v>279.38560000000001</v>
      </c>
      <c r="J76" s="2"/>
      <c r="K76" s="2">
        <f t="shared" si="7"/>
        <v>2025.5456000000001</v>
      </c>
      <c r="P76" s="1" t="s">
        <v>961</v>
      </c>
    </row>
    <row r="77" spans="1:16" x14ac:dyDescent="0.2">
      <c r="A77" s="1" t="s">
        <v>12</v>
      </c>
      <c r="B77" s="4">
        <v>40240</v>
      </c>
      <c r="C77" s="8">
        <v>2010100438</v>
      </c>
      <c r="D77" s="1" t="s">
        <v>14</v>
      </c>
      <c r="E77" s="1" t="s">
        <v>13</v>
      </c>
      <c r="F77" s="1" t="s">
        <v>47</v>
      </c>
      <c r="G77" s="1" t="s">
        <v>75</v>
      </c>
      <c r="H77" s="1">
        <v>1694.94</v>
      </c>
      <c r="I77" s="2">
        <f t="shared" si="5"/>
        <v>271.19040000000001</v>
      </c>
      <c r="J77" s="2"/>
      <c r="K77" s="2">
        <f t="shared" si="7"/>
        <v>1966.1304</v>
      </c>
      <c r="P77" s="1" t="s">
        <v>961</v>
      </c>
    </row>
    <row r="78" spans="1:16" x14ac:dyDescent="0.2">
      <c r="A78" s="1" t="s">
        <v>12</v>
      </c>
      <c r="B78" s="4">
        <v>40240</v>
      </c>
      <c r="C78" s="8">
        <v>2010100439</v>
      </c>
      <c r="D78" s="1" t="s">
        <v>14</v>
      </c>
      <c r="E78" s="1" t="s">
        <v>13</v>
      </c>
      <c r="F78" s="1" t="s">
        <v>39</v>
      </c>
      <c r="G78" s="1" t="s">
        <v>76</v>
      </c>
      <c r="H78" s="1">
        <v>4146.99</v>
      </c>
      <c r="I78" s="2">
        <f t="shared" si="5"/>
        <v>663.51839999999993</v>
      </c>
      <c r="J78" s="2"/>
      <c r="K78" s="2">
        <f t="shared" si="7"/>
        <v>4810.5083999999997</v>
      </c>
      <c r="P78" s="1" t="s">
        <v>961</v>
      </c>
    </row>
    <row r="79" spans="1:16" x14ac:dyDescent="0.2">
      <c r="A79" s="1" t="s">
        <v>12</v>
      </c>
      <c r="B79" s="4">
        <v>40240</v>
      </c>
      <c r="C79" s="8">
        <v>2010100440</v>
      </c>
      <c r="D79" s="1" t="s">
        <v>14</v>
      </c>
      <c r="E79" s="1" t="s">
        <v>13</v>
      </c>
      <c r="F79" s="1" t="s">
        <v>39</v>
      </c>
      <c r="G79" s="1" t="s">
        <v>77</v>
      </c>
      <c r="H79" s="1">
        <v>3856.64</v>
      </c>
      <c r="I79" s="2">
        <f t="shared" si="5"/>
        <v>617.06240000000003</v>
      </c>
      <c r="J79" s="2"/>
      <c r="K79" s="2">
        <f t="shared" si="7"/>
        <v>4473.7024000000001</v>
      </c>
      <c r="P79" s="1" t="s">
        <v>961</v>
      </c>
    </row>
    <row r="80" spans="1:16" x14ac:dyDescent="0.2">
      <c r="A80" s="1" t="s">
        <v>12</v>
      </c>
      <c r="B80" s="4">
        <v>40240</v>
      </c>
      <c r="C80" s="8">
        <v>2010100441</v>
      </c>
      <c r="D80" s="1" t="s">
        <v>14</v>
      </c>
      <c r="E80" s="1" t="s">
        <v>13</v>
      </c>
      <c r="F80" s="1" t="s">
        <v>78</v>
      </c>
      <c r="G80" s="1" t="s">
        <v>79</v>
      </c>
      <c r="H80" s="1">
        <v>1688.72</v>
      </c>
      <c r="I80" s="2">
        <f t="shared" si="5"/>
        <v>270.1952</v>
      </c>
      <c r="J80" s="2"/>
      <c r="K80" s="2">
        <f t="shared" si="7"/>
        <v>1958.9151999999999</v>
      </c>
      <c r="P80" s="1" t="s">
        <v>961</v>
      </c>
    </row>
    <row r="81" spans="1:16" x14ac:dyDescent="0.2">
      <c r="A81" s="1" t="s">
        <v>12</v>
      </c>
      <c r="B81" s="4">
        <v>40240</v>
      </c>
      <c r="C81" s="8">
        <v>2010100442</v>
      </c>
      <c r="D81" s="1" t="s">
        <v>14</v>
      </c>
      <c r="E81" s="1" t="s">
        <v>13</v>
      </c>
      <c r="F81" s="1" t="s">
        <v>78</v>
      </c>
      <c r="G81" s="1" t="s">
        <v>80</v>
      </c>
      <c r="H81" s="1">
        <v>1671.17</v>
      </c>
      <c r="I81" s="2">
        <f t="shared" si="5"/>
        <v>267.38720000000001</v>
      </c>
      <c r="J81" s="2"/>
      <c r="K81" s="2">
        <f t="shared" si="7"/>
        <v>1938.5572000000002</v>
      </c>
      <c r="P81" s="1" t="s">
        <v>961</v>
      </c>
    </row>
    <row r="82" spans="1:16" x14ac:dyDescent="0.2">
      <c r="A82" s="21" t="s">
        <v>126</v>
      </c>
      <c r="B82" s="22">
        <v>40240</v>
      </c>
      <c r="C82" s="23" t="s">
        <v>155</v>
      </c>
      <c r="D82" s="24" t="s">
        <v>274</v>
      </c>
      <c r="E82" s="25" t="s">
        <v>275</v>
      </c>
      <c r="F82" s="26" t="s">
        <v>276</v>
      </c>
      <c r="G82" s="26" t="s">
        <v>277</v>
      </c>
      <c r="H82" s="21">
        <v>5172.41</v>
      </c>
      <c r="I82" s="27">
        <f t="shared" si="5"/>
        <v>827.5856</v>
      </c>
      <c r="J82" s="21"/>
      <c r="K82" s="27">
        <f t="shared" ref="K82:K102" si="8">+H82+I82</f>
        <v>5999.9956000000002</v>
      </c>
      <c r="P82" s="1" t="s">
        <v>961</v>
      </c>
    </row>
    <row r="83" spans="1:16" x14ac:dyDescent="0.2">
      <c r="A83" s="21" t="s">
        <v>126</v>
      </c>
      <c r="B83" s="22">
        <v>40241</v>
      </c>
      <c r="C83" s="23" t="s">
        <v>156</v>
      </c>
      <c r="D83" s="24" t="s">
        <v>278</v>
      </c>
      <c r="E83" s="25" t="s">
        <v>279</v>
      </c>
      <c r="F83" s="21" t="s">
        <v>187</v>
      </c>
      <c r="G83" s="26" t="s">
        <v>280</v>
      </c>
      <c r="H83" s="21">
        <v>3448.28</v>
      </c>
      <c r="I83" s="27">
        <f t="shared" si="5"/>
        <v>551.72480000000007</v>
      </c>
      <c r="J83" s="21"/>
      <c r="K83" s="27">
        <f t="shared" si="8"/>
        <v>4000.0048000000002</v>
      </c>
      <c r="P83" s="1" t="s">
        <v>961</v>
      </c>
    </row>
    <row r="84" spans="1:16" x14ac:dyDescent="0.2">
      <c r="A84" s="21" t="s">
        <v>126</v>
      </c>
      <c r="B84" s="22">
        <v>40241</v>
      </c>
      <c r="C84" s="23" t="s">
        <v>157</v>
      </c>
      <c r="D84" s="24" t="s">
        <v>278</v>
      </c>
      <c r="E84" s="25" t="s">
        <v>279</v>
      </c>
      <c r="F84" s="21" t="s">
        <v>187</v>
      </c>
      <c r="G84" s="26" t="s">
        <v>281</v>
      </c>
      <c r="H84" s="21">
        <v>3448.28</v>
      </c>
      <c r="I84" s="27">
        <f t="shared" si="5"/>
        <v>551.72480000000007</v>
      </c>
      <c r="J84" s="21"/>
      <c r="K84" s="27">
        <f t="shared" si="8"/>
        <v>4000.0048000000002</v>
      </c>
      <c r="P84" s="1" t="s">
        <v>961</v>
      </c>
    </row>
    <row r="85" spans="1:16" x14ac:dyDescent="0.2">
      <c r="A85" s="21" t="s">
        <v>126</v>
      </c>
      <c r="B85" s="22">
        <v>40254</v>
      </c>
      <c r="C85" s="23" t="s">
        <v>158</v>
      </c>
      <c r="D85" s="24" t="s">
        <v>282</v>
      </c>
      <c r="E85" s="25" t="s">
        <v>283</v>
      </c>
      <c r="F85" s="26" t="s">
        <v>284</v>
      </c>
      <c r="G85" s="26" t="s">
        <v>285</v>
      </c>
      <c r="H85" s="21">
        <v>4353.45</v>
      </c>
      <c r="I85" s="27">
        <f t="shared" si="5"/>
        <v>696.55200000000002</v>
      </c>
      <c r="J85" s="21"/>
      <c r="K85" s="27">
        <f t="shared" si="8"/>
        <v>5050.0019999999995</v>
      </c>
      <c r="P85" s="1" t="s">
        <v>961</v>
      </c>
    </row>
    <row r="86" spans="1:16" x14ac:dyDescent="0.2">
      <c r="A86" s="21" t="s">
        <v>126</v>
      </c>
      <c r="B86" s="22">
        <v>40259</v>
      </c>
      <c r="C86" s="23" t="s">
        <v>159</v>
      </c>
      <c r="D86" s="24" t="s">
        <v>286</v>
      </c>
      <c r="E86" s="25" t="s">
        <v>287</v>
      </c>
      <c r="F86" s="26" t="s">
        <v>239</v>
      </c>
      <c r="G86" s="26" t="s">
        <v>288</v>
      </c>
      <c r="H86" s="21">
        <v>2758.62</v>
      </c>
      <c r="I86" s="27">
        <f t="shared" si="5"/>
        <v>441.37919999999997</v>
      </c>
      <c r="J86" s="21"/>
      <c r="K86" s="27">
        <f t="shared" si="8"/>
        <v>3199.9991999999997</v>
      </c>
      <c r="P86" s="1" t="s">
        <v>961</v>
      </c>
    </row>
    <row r="87" spans="1:16" x14ac:dyDescent="0.2">
      <c r="A87" s="21" t="s">
        <v>126</v>
      </c>
      <c r="B87" s="22">
        <v>40259</v>
      </c>
      <c r="C87" s="23" t="s">
        <v>160</v>
      </c>
      <c r="D87" s="24" t="s">
        <v>289</v>
      </c>
      <c r="E87" s="25" t="s">
        <v>290</v>
      </c>
      <c r="F87" s="26" t="s">
        <v>291</v>
      </c>
      <c r="G87" s="26" t="s">
        <v>292</v>
      </c>
      <c r="H87" s="21">
        <v>2413.79</v>
      </c>
      <c r="I87" s="27">
        <f t="shared" si="5"/>
        <v>386.20640000000003</v>
      </c>
      <c r="J87" s="21"/>
      <c r="K87" s="27">
        <f t="shared" si="8"/>
        <v>2799.9964</v>
      </c>
      <c r="P87" s="1" t="s">
        <v>961</v>
      </c>
    </row>
    <row r="88" spans="1:16" x14ac:dyDescent="0.2">
      <c r="A88" s="21" t="s">
        <v>126</v>
      </c>
      <c r="B88" s="22">
        <v>40259</v>
      </c>
      <c r="C88" s="23" t="s">
        <v>161</v>
      </c>
      <c r="D88" s="24" t="s">
        <v>293</v>
      </c>
      <c r="E88" s="25" t="s">
        <v>294</v>
      </c>
      <c r="F88" s="26" t="s">
        <v>218</v>
      </c>
      <c r="G88" s="26" t="s">
        <v>295</v>
      </c>
      <c r="H88" s="21">
        <v>2758.62</v>
      </c>
      <c r="I88" s="27">
        <f t="shared" si="5"/>
        <v>441.37919999999997</v>
      </c>
      <c r="J88" s="21"/>
      <c r="K88" s="27">
        <f t="shared" si="8"/>
        <v>3199.9991999999997</v>
      </c>
      <c r="P88" s="1" t="s">
        <v>961</v>
      </c>
    </row>
    <row r="89" spans="1:16" x14ac:dyDescent="0.2">
      <c r="A89" s="68" t="s">
        <v>126</v>
      </c>
      <c r="B89" s="69">
        <v>40259</v>
      </c>
      <c r="C89" s="75" t="s">
        <v>162</v>
      </c>
      <c r="D89" s="71" t="s">
        <v>296</v>
      </c>
      <c r="E89" s="72" t="s">
        <v>297</v>
      </c>
      <c r="F89" s="73" t="s">
        <v>230</v>
      </c>
      <c r="G89" s="73" t="s">
        <v>298</v>
      </c>
      <c r="H89" s="68">
        <f>3017.24/2</f>
        <v>1508.62</v>
      </c>
      <c r="I89" s="74">
        <f t="shared" si="5"/>
        <v>241.3792</v>
      </c>
      <c r="J89" s="68"/>
      <c r="K89" s="74">
        <f t="shared" si="8"/>
        <v>1749.9992</v>
      </c>
      <c r="P89" s="1" t="s">
        <v>961</v>
      </c>
    </row>
    <row r="90" spans="1:16" x14ac:dyDescent="0.2">
      <c r="A90" s="21" t="s">
        <v>126</v>
      </c>
      <c r="B90" s="22">
        <v>40259</v>
      </c>
      <c r="C90" s="23" t="s">
        <v>163</v>
      </c>
      <c r="D90" s="24" t="s">
        <v>299</v>
      </c>
      <c r="E90" s="25" t="s">
        <v>300</v>
      </c>
      <c r="F90" s="26" t="s">
        <v>301</v>
      </c>
      <c r="G90" s="26" t="s">
        <v>302</v>
      </c>
      <c r="H90" s="21">
        <v>2500</v>
      </c>
      <c r="I90" s="27"/>
      <c r="J90" s="21" t="s">
        <v>303</v>
      </c>
      <c r="K90" s="27">
        <f t="shared" si="8"/>
        <v>2500</v>
      </c>
      <c r="P90" s="1" t="s">
        <v>961</v>
      </c>
    </row>
    <row r="91" spans="1:16" x14ac:dyDescent="0.2">
      <c r="A91" s="21" t="s">
        <v>126</v>
      </c>
      <c r="B91" s="22">
        <v>40259</v>
      </c>
      <c r="C91" s="23" t="s">
        <v>164</v>
      </c>
      <c r="D91" s="24" t="s">
        <v>304</v>
      </c>
      <c r="E91" s="25" t="s">
        <v>305</v>
      </c>
      <c r="F91" s="26" t="s">
        <v>183</v>
      </c>
      <c r="G91" s="26" t="s">
        <v>306</v>
      </c>
      <c r="H91" s="21">
        <v>3879.31</v>
      </c>
      <c r="I91" s="27">
        <f t="shared" ref="I91:I102" si="9">+H91*0.16</f>
        <v>620.68960000000004</v>
      </c>
      <c r="J91" s="21"/>
      <c r="K91" s="27">
        <f t="shared" si="8"/>
        <v>4499.9996000000001</v>
      </c>
      <c r="P91" s="1" t="s">
        <v>961</v>
      </c>
    </row>
    <row r="92" spans="1:16" x14ac:dyDescent="0.2">
      <c r="A92" s="21" t="s">
        <v>126</v>
      </c>
      <c r="B92" s="22">
        <v>40259</v>
      </c>
      <c r="C92" s="23" t="s">
        <v>165</v>
      </c>
      <c r="D92" s="24" t="s">
        <v>307</v>
      </c>
      <c r="E92" s="25" t="s">
        <v>308</v>
      </c>
      <c r="F92" s="26" t="s">
        <v>309</v>
      </c>
      <c r="G92" s="26" t="s">
        <v>310</v>
      </c>
      <c r="H92" s="21">
        <v>3017.24</v>
      </c>
      <c r="I92" s="27">
        <f t="shared" si="9"/>
        <v>482.75839999999999</v>
      </c>
      <c r="J92" s="21"/>
      <c r="K92" s="27">
        <f t="shared" si="8"/>
        <v>3499.9983999999999</v>
      </c>
      <c r="P92" s="1" t="s">
        <v>961</v>
      </c>
    </row>
    <row r="93" spans="1:16" x14ac:dyDescent="0.2">
      <c r="A93" s="21" t="s">
        <v>126</v>
      </c>
      <c r="B93" s="22">
        <v>40259</v>
      </c>
      <c r="C93" s="23" t="s">
        <v>166</v>
      </c>
      <c r="D93" s="24" t="s">
        <v>311</v>
      </c>
      <c r="E93" s="25" t="s">
        <v>312</v>
      </c>
      <c r="F93" s="26" t="s">
        <v>313</v>
      </c>
      <c r="G93" s="26" t="s">
        <v>314</v>
      </c>
      <c r="H93" s="21">
        <v>4310.3450000000003</v>
      </c>
      <c r="I93" s="27">
        <f t="shared" si="9"/>
        <v>689.65520000000004</v>
      </c>
      <c r="J93" s="21"/>
      <c r="K93" s="27">
        <f t="shared" si="8"/>
        <v>5000.0002000000004</v>
      </c>
      <c r="L93" s="1" t="s">
        <v>958</v>
      </c>
      <c r="P93" s="1" t="s">
        <v>961</v>
      </c>
    </row>
    <row r="94" spans="1:16" x14ac:dyDescent="0.2">
      <c r="A94" s="21" t="s">
        <v>126</v>
      </c>
      <c r="B94" s="22">
        <v>40259</v>
      </c>
      <c r="C94" s="23" t="s">
        <v>167</v>
      </c>
      <c r="D94" s="24" t="s">
        <v>315</v>
      </c>
      <c r="E94" s="25" t="s">
        <v>316</v>
      </c>
      <c r="F94" s="26" t="s">
        <v>317</v>
      </c>
      <c r="G94" s="26" t="s">
        <v>318</v>
      </c>
      <c r="H94" s="21">
        <v>6465.52</v>
      </c>
      <c r="I94" s="27">
        <f t="shared" si="9"/>
        <v>1034.4832000000001</v>
      </c>
      <c r="J94" s="21"/>
      <c r="K94" s="27">
        <f t="shared" si="8"/>
        <v>7500.003200000001</v>
      </c>
      <c r="P94" s="1" t="s">
        <v>961</v>
      </c>
    </row>
    <row r="95" spans="1:16" x14ac:dyDescent="0.2">
      <c r="A95" s="21" t="s">
        <v>126</v>
      </c>
      <c r="B95" s="22">
        <v>40268</v>
      </c>
      <c r="C95" s="23" t="s">
        <v>168</v>
      </c>
      <c r="D95" s="24" t="s">
        <v>319</v>
      </c>
      <c r="E95" s="25" t="s">
        <v>320</v>
      </c>
      <c r="F95" s="26" t="s">
        <v>239</v>
      </c>
      <c r="G95" s="26" t="s">
        <v>321</v>
      </c>
      <c r="H95" s="21">
        <v>2500</v>
      </c>
      <c r="I95" s="27">
        <f t="shared" si="9"/>
        <v>400</v>
      </c>
      <c r="J95" s="21"/>
      <c r="K95" s="27">
        <f t="shared" si="8"/>
        <v>2900</v>
      </c>
      <c r="P95" s="1" t="s">
        <v>961</v>
      </c>
    </row>
    <row r="96" spans="1:16" x14ac:dyDescent="0.2">
      <c r="A96" s="21" t="s">
        <v>126</v>
      </c>
      <c r="B96" s="22">
        <v>40268</v>
      </c>
      <c r="C96" s="23" t="s">
        <v>169</v>
      </c>
      <c r="D96" s="24" t="s">
        <v>322</v>
      </c>
      <c r="E96" s="25" t="s">
        <v>323</v>
      </c>
      <c r="F96" s="26" t="s">
        <v>230</v>
      </c>
      <c r="G96" s="26" t="s">
        <v>324</v>
      </c>
      <c r="H96" s="21">
        <v>1724.14</v>
      </c>
      <c r="I96" s="27">
        <f t="shared" si="9"/>
        <v>275.86240000000004</v>
      </c>
      <c r="J96" s="21"/>
      <c r="K96" s="27">
        <f t="shared" si="8"/>
        <v>2000.0024000000001</v>
      </c>
      <c r="P96" s="1" t="s">
        <v>961</v>
      </c>
    </row>
    <row r="97" spans="1:16" x14ac:dyDescent="0.2">
      <c r="A97" s="21" t="s">
        <v>126</v>
      </c>
      <c r="B97" s="22">
        <v>40268</v>
      </c>
      <c r="C97" s="23" t="s">
        <v>170</v>
      </c>
      <c r="D97" s="24" t="s">
        <v>296</v>
      </c>
      <c r="E97" s="25" t="s">
        <v>297</v>
      </c>
      <c r="F97" s="26" t="s">
        <v>325</v>
      </c>
      <c r="G97" s="26" t="s">
        <v>326</v>
      </c>
      <c r="H97" s="21">
        <v>3275.86</v>
      </c>
      <c r="I97" s="27">
        <f t="shared" si="9"/>
        <v>524.13760000000002</v>
      </c>
      <c r="J97" s="21"/>
      <c r="K97" s="27">
        <f t="shared" si="8"/>
        <v>3799.9976000000001</v>
      </c>
      <c r="P97" s="1" t="s">
        <v>961</v>
      </c>
    </row>
    <row r="98" spans="1:16" x14ac:dyDescent="0.2">
      <c r="A98" s="21" t="s">
        <v>126</v>
      </c>
      <c r="B98" s="22">
        <v>40268</v>
      </c>
      <c r="C98" s="23" t="s">
        <v>171</v>
      </c>
      <c r="D98" s="24" t="s">
        <v>327</v>
      </c>
      <c r="E98" s="25" t="s">
        <v>328</v>
      </c>
      <c r="F98" s="26" t="s">
        <v>206</v>
      </c>
      <c r="G98" s="26" t="s">
        <v>329</v>
      </c>
      <c r="H98" s="21">
        <v>3448.28</v>
      </c>
      <c r="I98" s="27">
        <f t="shared" si="9"/>
        <v>551.72480000000007</v>
      </c>
      <c r="J98" s="21"/>
      <c r="K98" s="27">
        <f t="shared" si="8"/>
        <v>4000.0048000000002</v>
      </c>
      <c r="L98" s="1" t="s">
        <v>957</v>
      </c>
      <c r="P98" s="1" t="s">
        <v>961</v>
      </c>
    </row>
    <row r="99" spans="1:16" x14ac:dyDescent="0.2">
      <c r="A99" s="21" t="s">
        <v>126</v>
      </c>
      <c r="B99" s="22">
        <v>40268</v>
      </c>
      <c r="C99" s="23" t="s">
        <v>172</v>
      </c>
      <c r="D99" s="24" t="s">
        <v>330</v>
      </c>
      <c r="E99" s="25" t="s">
        <v>331</v>
      </c>
      <c r="F99" s="26" t="s">
        <v>239</v>
      </c>
      <c r="G99" s="26" t="s">
        <v>332</v>
      </c>
      <c r="H99" s="21">
        <v>2500</v>
      </c>
      <c r="I99" s="27">
        <f t="shared" si="9"/>
        <v>400</v>
      </c>
      <c r="J99" s="21"/>
      <c r="K99" s="27">
        <f t="shared" si="8"/>
        <v>2900</v>
      </c>
      <c r="P99" s="1" t="s">
        <v>961</v>
      </c>
    </row>
    <row r="100" spans="1:16" x14ac:dyDescent="0.2">
      <c r="A100" s="21" t="s">
        <v>126</v>
      </c>
      <c r="B100" s="22">
        <v>40268</v>
      </c>
      <c r="C100" s="23" t="s">
        <v>173</v>
      </c>
      <c r="D100" s="24" t="s">
        <v>333</v>
      </c>
      <c r="E100" s="25" t="s">
        <v>334</v>
      </c>
      <c r="F100" s="26" t="s">
        <v>335</v>
      </c>
      <c r="G100" s="26" t="s">
        <v>336</v>
      </c>
      <c r="H100" s="21">
        <v>1724.14</v>
      </c>
      <c r="I100" s="27">
        <f t="shared" si="9"/>
        <v>275.86240000000004</v>
      </c>
      <c r="J100" s="21"/>
      <c r="K100" s="27">
        <f t="shared" si="8"/>
        <v>2000.0024000000001</v>
      </c>
      <c r="P100" s="1" t="s">
        <v>961</v>
      </c>
    </row>
    <row r="101" spans="1:16" x14ac:dyDescent="0.2">
      <c r="A101" s="21" t="s">
        <v>126</v>
      </c>
      <c r="B101" s="22">
        <v>40268</v>
      </c>
      <c r="C101" s="23" t="s">
        <v>174</v>
      </c>
      <c r="D101" s="24" t="s">
        <v>337</v>
      </c>
      <c r="E101" s="25" t="s">
        <v>338</v>
      </c>
      <c r="F101" s="26" t="s">
        <v>276</v>
      </c>
      <c r="G101" s="26" t="s">
        <v>339</v>
      </c>
      <c r="H101" s="21">
        <v>5000</v>
      </c>
      <c r="I101" s="27">
        <f t="shared" si="9"/>
        <v>800</v>
      </c>
      <c r="J101" s="21"/>
      <c r="K101" s="27">
        <f t="shared" si="8"/>
        <v>5800</v>
      </c>
      <c r="P101" s="1" t="s">
        <v>961</v>
      </c>
    </row>
    <row r="102" spans="1:16" x14ac:dyDescent="0.2">
      <c r="A102" s="21" t="s">
        <v>126</v>
      </c>
      <c r="B102" s="22">
        <v>40268</v>
      </c>
      <c r="C102" s="23" t="s">
        <v>175</v>
      </c>
      <c r="D102" s="24" t="s">
        <v>340</v>
      </c>
      <c r="E102" s="25" t="s">
        <v>341</v>
      </c>
      <c r="F102" s="26" t="s">
        <v>246</v>
      </c>
      <c r="G102" s="26" t="s">
        <v>342</v>
      </c>
      <c r="H102" s="21">
        <v>4051.72</v>
      </c>
      <c r="I102" s="27">
        <f t="shared" si="9"/>
        <v>648.27519999999993</v>
      </c>
      <c r="J102" s="21"/>
      <c r="K102" s="27">
        <f t="shared" si="8"/>
        <v>4699.9951999999994</v>
      </c>
      <c r="P102" s="1" t="s">
        <v>961</v>
      </c>
    </row>
    <row r="103" spans="1:16" x14ac:dyDescent="0.2">
      <c r="A103" s="1" t="s">
        <v>12</v>
      </c>
      <c r="B103" s="4">
        <v>40260</v>
      </c>
      <c r="C103" s="8" t="s">
        <v>998</v>
      </c>
      <c r="D103" s="66" t="s">
        <v>1073</v>
      </c>
      <c r="E103" s="1" t="s">
        <v>996</v>
      </c>
      <c r="F103" s="1" t="s">
        <v>49</v>
      </c>
      <c r="G103" s="1" t="s">
        <v>997</v>
      </c>
      <c r="H103" s="1">
        <v>1724.14</v>
      </c>
      <c r="I103" s="2">
        <f t="shared" ref="I103:I108" si="10">+H103*0.16</f>
        <v>275.86240000000004</v>
      </c>
      <c r="K103" s="2">
        <f>+H103+I103</f>
        <v>2000.0024000000001</v>
      </c>
      <c r="P103" s="1" t="s">
        <v>348</v>
      </c>
    </row>
    <row r="104" spans="1:16" x14ac:dyDescent="0.2">
      <c r="A104" s="1" t="s">
        <v>12</v>
      </c>
      <c r="B104" s="4">
        <v>40259</v>
      </c>
      <c r="C104" s="8" t="s">
        <v>999</v>
      </c>
      <c r="D104" s="66" t="s">
        <v>1073</v>
      </c>
      <c r="E104" s="1" t="s">
        <v>996</v>
      </c>
      <c r="F104" s="1" t="s">
        <v>61</v>
      </c>
      <c r="G104" s="1" t="s">
        <v>1000</v>
      </c>
      <c r="H104" s="1">
        <v>3534.48</v>
      </c>
      <c r="I104" s="2">
        <f t="shared" si="10"/>
        <v>565.51679999999999</v>
      </c>
      <c r="K104" s="2">
        <f>+H104+I104</f>
        <v>4099.9967999999999</v>
      </c>
      <c r="P104" s="1" t="s">
        <v>348</v>
      </c>
    </row>
    <row r="105" spans="1:16" x14ac:dyDescent="0.2">
      <c r="A105" s="1" t="s">
        <v>12</v>
      </c>
      <c r="B105" s="4">
        <v>40259</v>
      </c>
      <c r="C105" s="8" t="s">
        <v>1001</v>
      </c>
      <c r="D105" s="66" t="s">
        <v>1073</v>
      </c>
      <c r="E105" s="1" t="s">
        <v>996</v>
      </c>
      <c r="F105" s="1" t="s">
        <v>49</v>
      </c>
      <c r="G105" s="1" t="s">
        <v>1002</v>
      </c>
      <c r="H105" s="1">
        <v>1724.14</v>
      </c>
      <c r="I105" s="2">
        <f t="shared" si="10"/>
        <v>275.86240000000004</v>
      </c>
      <c r="K105" s="2">
        <f>+H105+I105</f>
        <v>2000.0024000000001</v>
      </c>
      <c r="P105" s="1" t="s">
        <v>348</v>
      </c>
    </row>
    <row r="106" spans="1:16" x14ac:dyDescent="0.2">
      <c r="A106" s="21" t="s">
        <v>126</v>
      </c>
      <c r="B106" s="21"/>
      <c r="C106" s="23" t="s">
        <v>141</v>
      </c>
      <c r="D106" s="21"/>
      <c r="E106" s="21"/>
      <c r="F106" s="21"/>
      <c r="G106" s="21"/>
      <c r="H106" s="21"/>
      <c r="I106" s="27">
        <f t="shared" si="10"/>
        <v>0</v>
      </c>
      <c r="J106" s="21"/>
      <c r="K106" s="27">
        <f>+H106+I106</f>
        <v>0</v>
      </c>
      <c r="P106" s="1" t="s">
        <v>961</v>
      </c>
    </row>
    <row r="107" spans="1:16" x14ac:dyDescent="0.2">
      <c r="A107" s="21" t="s">
        <v>126</v>
      </c>
      <c r="B107" s="21"/>
      <c r="C107" s="23" t="s">
        <v>142</v>
      </c>
      <c r="D107" s="21"/>
      <c r="E107" s="21"/>
      <c r="F107" s="21"/>
      <c r="G107" s="21"/>
      <c r="H107" s="21"/>
      <c r="I107" s="27">
        <f t="shared" si="10"/>
        <v>0</v>
      </c>
      <c r="J107" s="21"/>
      <c r="K107" s="27">
        <f>+H107+I107</f>
        <v>0</v>
      </c>
      <c r="P107" s="1" t="s">
        <v>961</v>
      </c>
    </row>
    <row r="108" spans="1:16" x14ac:dyDescent="0.2">
      <c r="A108" s="1" t="s">
        <v>126</v>
      </c>
      <c r="B108" s="4">
        <v>40214</v>
      </c>
      <c r="C108" s="9" t="s">
        <v>343</v>
      </c>
      <c r="D108" s="1" t="s">
        <v>344</v>
      </c>
      <c r="E108" s="1" t="s">
        <v>345</v>
      </c>
      <c r="F108" s="1" t="s">
        <v>96</v>
      </c>
      <c r="G108" s="1" t="s">
        <v>98</v>
      </c>
      <c r="H108" s="2">
        <f>3300/1.16</f>
        <v>2844.8275862068967</v>
      </c>
      <c r="I108" s="2">
        <f t="shared" si="10"/>
        <v>455.17241379310349</v>
      </c>
      <c r="J108" s="2"/>
      <c r="K108" s="2">
        <f>H108+I108</f>
        <v>3300</v>
      </c>
      <c r="P108" s="1" t="s">
        <v>961</v>
      </c>
    </row>
    <row r="109" spans="1:16" x14ac:dyDescent="0.2">
      <c r="A109" s="1" t="s">
        <v>12</v>
      </c>
      <c r="B109" s="4">
        <v>40214</v>
      </c>
      <c r="C109" s="9" t="s">
        <v>951</v>
      </c>
      <c r="D109" s="1" t="s">
        <v>952</v>
      </c>
      <c r="E109" s="1" t="s">
        <v>953</v>
      </c>
      <c r="F109" s="3" t="s">
        <v>301</v>
      </c>
      <c r="G109" s="3" t="s">
        <v>302</v>
      </c>
      <c r="H109" s="1">
        <v>2000</v>
      </c>
      <c r="J109" s="1" t="s">
        <v>21</v>
      </c>
      <c r="K109" s="1">
        <v>2000</v>
      </c>
      <c r="P109" s="1" t="s">
        <v>961</v>
      </c>
    </row>
    <row r="110" spans="1:16" x14ac:dyDescent="0.2">
      <c r="A110" s="1" t="s">
        <v>408</v>
      </c>
      <c r="B110" s="4">
        <v>40225</v>
      </c>
      <c r="C110" s="9" t="s">
        <v>954</v>
      </c>
      <c r="D110" s="1" t="s">
        <v>955</v>
      </c>
      <c r="E110" s="1" t="s">
        <v>956</v>
      </c>
      <c r="F110" s="1" t="s">
        <v>63</v>
      </c>
      <c r="G110" s="1" t="s">
        <v>882</v>
      </c>
      <c r="H110" s="1">
        <f>4500/1.16</f>
        <v>3879.3103448275865</v>
      </c>
      <c r="I110" s="2">
        <f t="shared" ref="I110:I115" si="11">+H110*0.16</f>
        <v>620.68965517241384</v>
      </c>
      <c r="J110" s="2"/>
      <c r="K110" s="2">
        <f t="shared" ref="K110:K115" si="12">H110+I110</f>
        <v>4500</v>
      </c>
      <c r="P110" s="1" t="s">
        <v>961</v>
      </c>
    </row>
    <row r="111" spans="1:16" x14ac:dyDescent="0.2">
      <c r="A111" s="1" t="s">
        <v>12</v>
      </c>
      <c r="B111" s="4">
        <v>40284</v>
      </c>
      <c r="C111" s="8" t="s">
        <v>964</v>
      </c>
      <c r="D111" s="1" t="s">
        <v>25</v>
      </c>
      <c r="E111" s="1" t="s">
        <v>26</v>
      </c>
      <c r="F111" s="1" t="s">
        <v>965</v>
      </c>
      <c r="G111" s="1" t="s">
        <v>966</v>
      </c>
      <c r="H111" s="1">
        <v>2844.83</v>
      </c>
      <c r="I111" s="2">
        <f t="shared" si="11"/>
        <v>455.1728</v>
      </c>
      <c r="J111" s="2"/>
      <c r="K111" s="2">
        <f t="shared" si="12"/>
        <v>3300.0027999999998</v>
      </c>
      <c r="P111" s="1" t="s">
        <v>348</v>
      </c>
    </row>
    <row r="112" spans="1:16" x14ac:dyDescent="0.2">
      <c r="A112" s="1" t="s">
        <v>12</v>
      </c>
      <c r="B112" s="4">
        <v>40260</v>
      </c>
      <c r="C112" s="8" t="s">
        <v>967</v>
      </c>
      <c r="D112" s="1" t="s">
        <v>25</v>
      </c>
      <c r="E112" s="1" t="s">
        <v>26</v>
      </c>
      <c r="F112" s="1" t="s">
        <v>968</v>
      </c>
      <c r="G112" s="1" t="s">
        <v>969</v>
      </c>
      <c r="H112" s="1">
        <v>3017.24</v>
      </c>
      <c r="I112" s="2">
        <f t="shared" si="11"/>
        <v>482.75839999999999</v>
      </c>
      <c r="J112" s="2"/>
      <c r="K112" s="2">
        <f t="shared" si="12"/>
        <v>3499.9983999999999</v>
      </c>
      <c r="P112" s="1" t="s">
        <v>348</v>
      </c>
    </row>
    <row r="113" spans="1:16" x14ac:dyDescent="0.2">
      <c r="A113" s="1" t="s">
        <v>12</v>
      </c>
      <c r="B113" s="4">
        <v>40261</v>
      </c>
      <c r="C113" s="8" t="s">
        <v>970</v>
      </c>
      <c r="D113" s="1" t="s">
        <v>25</v>
      </c>
      <c r="E113" s="1" t="s">
        <v>26</v>
      </c>
      <c r="F113" s="1" t="s">
        <v>968</v>
      </c>
      <c r="G113" s="1" t="s">
        <v>971</v>
      </c>
      <c r="H113" s="1">
        <v>3448.28</v>
      </c>
      <c r="I113" s="2">
        <f t="shared" si="11"/>
        <v>551.72480000000007</v>
      </c>
      <c r="J113" s="2"/>
      <c r="K113" s="2">
        <f t="shared" si="12"/>
        <v>4000.0048000000002</v>
      </c>
      <c r="P113" s="1" t="s">
        <v>348</v>
      </c>
    </row>
    <row r="114" spans="1:16" x14ac:dyDescent="0.2">
      <c r="A114" s="1" t="s">
        <v>12</v>
      </c>
      <c r="B114" s="4">
        <v>40322</v>
      </c>
      <c r="C114" s="8" t="s">
        <v>972</v>
      </c>
      <c r="D114" s="1" t="s">
        <v>973</v>
      </c>
      <c r="E114" s="1" t="s">
        <v>974</v>
      </c>
      <c r="F114" s="1" t="s">
        <v>975</v>
      </c>
      <c r="G114" s="1" t="s">
        <v>976</v>
      </c>
      <c r="H114" s="2">
        <f>4000/1.16</f>
        <v>3448.2758620689656</v>
      </c>
      <c r="I114" s="2">
        <f t="shared" si="11"/>
        <v>551.72413793103453</v>
      </c>
      <c r="J114" s="2"/>
      <c r="K114" s="2">
        <f t="shared" si="12"/>
        <v>4000</v>
      </c>
      <c r="L114" s="1" t="s">
        <v>977</v>
      </c>
      <c r="P114" s="1" t="s">
        <v>348</v>
      </c>
    </row>
    <row r="115" spans="1:16" x14ac:dyDescent="0.2">
      <c r="A115" s="1" t="s">
        <v>12</v>
      </c>
      <c r="B115" s="4">
        <v>40322</v>
      </c>
      <c r="C115" s="8" t="s">
        <v>972</v>
      </c>
      <c r="D115" s="1" t="s">
        <v>973</v>
      </c>
      <c r="E115" s="1" t="s">
        <v>974</v>
      </c>
      <c r="F115" s="1" t="s">
        <v>978</v>
      </c>
      <c r="G115" s="1" t="s">
        <v>979</v>
      </c>
      <c r="H115" s="2">
        <f>8500/1.16</f>
        <v>7327.5862068965525</v>
      </c>
      <c r="I115" s="2">
        <f t="shared" si="11"/>
        <v>1172.4137931034484</v>
      </c>
      <c r="J115" s="2"/>
      <c r="K115" s="2">
        <f t="shared" si="12"/>
        <v>8500</v>
      </c>
      <c r="L115" s="1" t="s">
        <v>977</v>
      </c>
      <c r="P115" s="1" t="s">
        <v>348</v>
      </c>
    </row>
    <row r="116" spans="1:16" x14ac:dyDescent="0.2">
      <c r="A116" s="1" t="s">
        <v>12</v>
      </c>
      <c r="B116" s="4">
        <v>40297</v>
      </c>
      <c r="C116" s="8">
        <v>39913</v>
      </c>
      <c r="D116" s="1" t="s">
        <v>109</v>
      </c>
      <c r="E116" s="1" t="s">
        <v>110</v>
      </c>
      <c r="F116" s="1" t="s">
        <v>980</v>
      </c>
      <c r="G116" s="1" t="s">
        <v>982</v>
      </c>
      <c r="H116" s="1">
        <v>2100</v>
      </c>
      <c r="K116" s="1">
        <v>2100</v>
      </c>
      <c r="L116" s="1" t="s">
        <v>31</v>
      </c>
      <c r="M116" s="63" t="s">
        <v>983</v>
      </c>
      <c r="P116" s="1" t="s">
        <v>348</v>
      </c>
    </row>
    <row r="117" spans="1:16" x14ac:dyDescent="0.2">
      <c r="A117" s="1" t="s">
        <v>12</v>
      </c>
      <c r="B117" s="4">
        <v>40295</v>
      </c>
      <c r="C117" s="8" t="s">
        <v>984</v>
      </c>
      <c r="D117" s="1" t="s">
        <v>985</v>
      </c>
      <c r="E117" s="1" t="s">
        <v>115</v>
      </c>
      <c r="F117" s="1" t="s">
        <v>65</v>
      </c>
      <c r="G117" s="1" t="s">
        <v>986</v>
      </c>
      <c r="H117" s="1">
        <v>2931.04</v>
      </c>
      <c r="I117" s="2">
        <f>+H117*0.16</f>
        <v>468.96640000000002</v>
      </c>
      <c r="J117" s="2"/>
      <c r="K117" s="2">
        <f>H117+I117</f>
        <v>3400.0064000000002</v>
      </c>
      <c r="P117" s="1" t="s">
        <v>348</v>
      </c>
    </row>
    <row r="118" spans="1:16" x14ac:dyDescent="0.2">
      <c r="A118" s="1" t="s">
        <v>12</v>
      </c>
      <c r="B118" s="4">
        <v>40298</v>
      </c>
      <c r="C118" s="8" t="s">
        <v>987</v>
      </c>
      <c r="D118" s="1" t="s">
        <v>988</v>
      </c>
      <c r="E118" s="1" t="s">
        <v>989</v>
      </c>
      <c r="F118" s="1" t="s">
        <v>990</v>
      </c>
      <c r="G118" s="1" t="s">
        <v>991</v>
      </c>
      <c r="H118" s="1">
        <v>15695.85</v>
      </c>
      <c r="I118" s="2">
        <f>+H118*0.16</f>
        <v>2511.3360000000002</v>
      </c>
      <c r="J118" s="2">
        <v>92.81</v>
      </c>
      <c r="K118" s="2">
        <f>+H118+I118+J118</f>
        <v>18299.996000000003</v>
      </c>
      <c r="L118" s="1" t="s">
        <v>992</v>
      </c>
      <c r="P118" s="1" t="s">
        <v>348</v>
      </c>
    </row>
    <row r="119" spans="1:16" x14ac:dyDescent="0.2">
      <c r="A119" s="1" t="s">
        <v>12</v>
      </c>
      <c r="B119" s="4">
        <v>40305</v>
      </c>
      <c r="C119" s="8" t="s">
        <v>993</v>
      </c>
      <c r="D119" s="1" t="s">
        <v>23</v>
      </c>
      <c r="E119" s="1" t="s">
        <v>24</v>
      </c>
      <c r="F119" s="1" t="s">
        <v>994</v>
      </c>
      <c r="G119" s="64" t="s">
        <v>2017</v>
      </c>
      <c r="H119" s="1">
        <v>3879.31</v>
      </c>
      <c r="I119" s="2">
        <f t="shared" ref="I119:I148" si="13">+H119*0.16</f>
        <v>620.68960000000004</v>
      </c>
      <c r="J119" s="2"/>
      <c r="K119" s="2">
        <f>H119+I119</f>
        <v>4499.9996000000001</v>
      </c>
      <c r="L119" s="1" t="s">
        <v>1904</v>
      </c>
      <c r="P119" s="1" t="s">
        <v>348</v>
      </c>
    </row>
    <row r="120" spans="1:16" x14ac:dyDescent="0.2">
      <c r="A120" s="1" t="s">
        <v>12</v>
      </c>
      <c r="B120" s="4">
        <v>40259</v>
      </c>
      <c r="C120" s="8" t="s">
        <v>1003</v>
      </c>
      <c r="D120" s="66" t="s">
        <v>1073</v>
      </c>
      <c r="E120" s="1" t="s">
        <v>996</v>
      </c>
      <c r="F120" s="1" t="s">
        <v>61</v>
      </c>
      <c r="G120" s="1" t="s">
        <v>1004</v>
      </c>
      <c r="H120" s="1">
        <v>3879.31</v>
      </c>
      <c r="I120" s="2">
        <f t="shared" si="13"/>
        <v>620.68960000000004</v>
      </c>
      <c r="K120" s="2">
        <f>+H120+I120</f>
        <v>4499.9996000000001</v>
      </c>
      <c r="P120" s="1" t="s">
        <v>348</v>
      </c>
    </row>
    <row r="121" spans="1:16" x14ac:dyDescent="0.2">
      <c r="A121" s="1" t="s">
        <v>12</v>
      </c>
      <c r="B121" s="4">
        <v>40237</v>
      </c>
      <c r="C121" s="8" t="s">
        <v>1005</v>
      </c>
      <c r="D121" s="66" t="s">
        <v>1073</v>
      </c>
      <c r="E121" s="1" t="s">
        <v>996</v>
      </c>
      <c r="F121" s="1" t="s">
        <v>49</v>
      </c>
      <c r="G121" s="1" t="s">
        <v>1006</v>
      </c>
      <c r="H121" s="1">
        <v>1810.345</v>
      </c>
      <c r="I121" s="2">
        <f t="shared" si="13"/>
        <v>289.65520000000004</v>
      </c>
      <c r="K121" s="2">
        <f>+H121+I121</f>
        <v>2100.0001999999999</v>
      </c>
      <c r="P121" s="1" t="s">
        <v>348</v>
      </c>
    </row>
    <row r="122" spans="1:16" x14ac:dyDescent="0.2">
      <c r="A122" s="1" t="s">
        <v>12</v>
      </c>
      <c r="B122" s="4">
        <v>40237</v>
      </c>
      <c r="C122" s="8" t="s">
        <v>1007</v>
      </c>
      <c r="D122" s="66" t="s">
        <v>1073</v>
      </c>
      <c r="E122" s="1" t="s">
        <v>996</v>
      </c>
      <c r="F122" s="1" t="s">
        <v>49</v>
      </c>
      <c r="G122" s="1" t="s">
        <v>321</v>
      </c>
      <c r="H122" s="1">
        <v>1810.345</v>
      </c>
      <c r="I122" s="2">
        <f t="shared" si="13"/>
        <v>289.65520000000004</v>
      </c>
      <c r="K122" s="2">
        <f>+H122+I122</f>
        <v>2100.0001999999999</v>
      </c>
      <c r="P122" s="1" t="s">
        <v>348</v>
      </c>
    </row>
    <row r="123" spans="1:16" x14ac:dyDescent="0.2">
      <c r="A123" s="1" t="s">
        <v>12</v>
      </c>
      <c r="B123" s="4">
        <v>40237</v>
      </c>
      <c r="C123" s="8" t="s">
        <v>1008</v>
      </c>
      <c r="D123" s="66" t="s">
        <v>1073</v>
      </c>
      <c r="E123" s="1" t="s">
        <v>996</v>
      </c>
      <c r="F123" s="1" t="s">
        <v>49</v>
      </c>
      <c r="G123" s="1" t="s">
        <v>332</v>
      </c>
      <c r="H123" s="1">
        <v>1810.345</v>
      </c>
      <c r="I123" s="2">
        <f t="shared" si="13"/>
        <v>289.65520000000004</v>
      </c>
      <c r="K123" s="2">
        <f>+H123+I123</f>
        <v>2100.0001999999999</v>
      </c>
      <c r="P123" s="1" t="s">
        <v>348</v>
      </c>
    </row>
    <row r="124" spans="1:16" x14ac:dyDescent="0.2">
      <c r="A124" s="1" t="s">
        <v>12</v>
      </c>
      <c r="B124" s="4">
        <v>40303</v>
      </c>
      <c r="C124" s="8">
        <v>2010100806</v>
      </c>
      <c r="D124" s="1" t="s">
        <v>14</v>
      </c>
      <c r="E124" s="1" t="s">
        <v>13</v>
      </c>
      <c r="F124" s="1" t="s">
        <v>111</v>
      </c>
      <c r="G124" s="1" t="s">
        <v>1009</v>
      </c>
      <c r="H124" s="1">
        <v>1212.22</v>
      </c>
      <c r="I124" s="2">
        <f t="shared" si="13"/>
        <v>193.95520000000002</v>
      </c>
      <c r="J124" s="2"/>
      <c r="K124" s="2">
        <f t="shared" ref="K124:K148" si="14">H124+I124</f>
        <v>1406.1752000000001</v>
      </c>
      <c r="P124" s="1" t="s">
        <v>348</v>
      </c>
    </row>
    <row r="125" spans="1:16" x14ac:dyDescent="0.2">
      <c r="A125" s="1" t="s">
        <v>12</v>
      </c>
      <c r="B125" s="4">
        <v>40303</v>
      </c>
      <c r="C125" s="8">
        <v>2010100805</v>
      </c>
      <c r="D125" s="1" t="s">
        <v>14</v>
      </c>
      <c r="E125" s="1" t="s">
        <v>13</v>
      </c>
      <c r="F125" s="1" t="s">
        <v>1010</v>
      </c>
      <c r="G125" s="1" t="s">
        <v>1011</v>
      </c>
      <c r="H125" s="1">
        <v>4396.55</v>
      </c>
      <c r="I125" s="2">
        <f t="shared" si="13"/>
        <v>703.44800000000009</v>
      </c>
      <c r="J125" s="2"/>
      <c r="K125" s="2">
        <f t="shared" si="14"/>
        <v>5099.9980000000005</v>
      </c>
      <c r="P125" s="1" t="s">
        <v>348</v>
      </c>
    </row>
    <row r="126" spans="1:16" x14ac:dyDescent="0.2">
      <c r="A126" s="1" t="s">
        <v>12</v>
      </c>
      <c r="B126" s="4">
        <v>40303</v>
      </c>
      <c r="C126" s="8">
        <v>2010100808</v>
      </c>
      <c r="D126" s="1" t="s">
        <v>14</v>
      </c>
      <c r="E126" s="1" t="s">
        <v>13</v>
      </c>
      <c r="F126" s="1" t="s">
        <v>1012</v>
      </c>
      <c r="G126" s="1" t="s">
        <v>1013</v>
      </c>
      <c r="H126" s="1">
        <v>3965.52</v>
      </c>
      <c r="I126" s="2">
        <f t="shared" si="13"/>
        <v>634.48320000000001</v>
      </c>
      <c r="J126" s="2"/>
      <c r="K126" s="2">
        <f t="shared" si="14"/>
        <v>4600.0032000000001</v>
      </c>
      <c r="P126" s="1" t="s">
        <v>348</v>
      </c>
    </row>
    <row r="127" spans="1:16" x14ac:dyDescent="0.2">
      <c r="A127" s="1" t="s">
        <v>12</v>
      </c>
      <c r="B127" s="4">
        <v>40303</v>
      </c>
      <c r="C127" s="8">
        <v>2010100807</v>
      </c>
      <c r="D127" s="1" t="s">
        <v>14</v>
      </c>
      <c r="E127" s="1" t="s">
        <v>13</v>
      </c>
      <c r="F127" s="1" t="s">
        <v>309</v>
      </c>
      <c r="G127" s="1" t="s">
        <v>1014</v>
      </c>
      <c r="H127" s="1">
        <v>2184.66</v>
      </c>
      <c r="I127" s="2">
        <f t="shared" si="13"/>
        <v>349.54559999999998</v>
      </c>
      <c r="J127" s="2"/>
      <c r="K127" s="2">
        <f t="shared" si="14"/>
        <v>2534.2055999999998</v>
      </c>
      <c r="P127" s="1" t="s">
        <v>348</v>
      </c>
    </row>
    <row r="128" spans="1:16" x14ac:dyDescent="0.2">
      <c r="A128" s="1" t="s">
        <v>12</v>
      </c>
      <c r="B128" s="4">
        <v>40315</v>
      </c>
      <c r="C128" s="8">
        <v>2010100862</v>
      </c>
      <c r="D128" s="1" t="s">
        <v>14</v>
      </c>
      <c r="E128" s="1" t="s">
        <v>13</v>
      </c>
      <c r="F128" s="1" t="s">
        <v>78</v>
      </c>
      <c r="G128" s="1" t="s">
        <v>1015</v>
      </c>
      <c r="H128" s="1">
        <v>1379.31</v>
      </c>
      <c r="I128" s="2">
        <f t="shared" si="13"/>
        <v>220.68959999999998</v>
      </c>
      <c r="J128" s="2"/>
      <c r="K128" s="2">
        <f t="shared" si="14"/>
        <v>1599.9995999999999</v>
      </c>
      <c r="P128" s="1" t="s">
        <v>348</v>
      </c>
    </row>
    <row r="129" spans="1:16" x14ac:dyDescent="0.2">
      <c r="A129" s="1" t="s">
        <v>12</v>
      </c>
      <c r="B129" s="4">
        <v>40315</v>
      </c>
      <c r="C129" s="8">
        <v>2010100863</v>
      </c>
      <c r="D129" s="1" t="s">
        <v>14</v>
      </c>
      <c r="E129" s="1" t="s">
        <v>13</v>
      </c>
      <c r="F129" s="1" t="s">
        <v>78</v>
      </c>
      <c r="G129" s="1" t="s">
        <v>1016</v>
      </c>
      <c r="H129" s="1">
        <v>1379.31</v>
      </c>
      <c r="I129" s="2">
        <f t="shared" si="13"/>
        <v>220.68959999999998</v>
      </c>
      <c r="J129" s="2"/>
      <c r="K129" s="2">
        <f t="shared" si="14"/>
        <v>1599.9995999999999</v>
      </c>
      <c r="P129" s="1" t="s">
        <v>348</v>
      </c>
    </row>
    <row r="130" spans="1:16" x14ac:dyDescent="0.2">
      <c r="A130" s="1" t="s">
        <v>12</v>
      </c>
      <c r="B130" s="4">
        <v>40315</v>
      </c>
      <c r="C130" s="8">
        <v>2010100864</v>
      </c>
      <c r="D130" s="1" t="s">
        <v>14</v>
      </c>
      <c r="E130" s="1" t="s">
        <v>13</v>
      </c>
      <c r="F130" s="1" t="s">
        <v>53</v>
      </c>
      <c r="G130" s="1" t="s">
        <v>1017</v>
      </c>
      <c r="H130" s="1">
        <v>2241.38</v>
      </c>
      <c r="I130" s="2">
        <f t="shared" si="13"/>
        <v>358.62080000000003</v>
      </c>
      <c r="J130" s="2"/>
      <c r="K130" s="2">
        <f t="shared" si="14"/>
        <v>2600.0008000000003</v>
      </c>
      <c r="P130" s="1" t="s">
        <v>348</v>
      </c>
    </row>
    <row r="131" spans="1:16" x14ac:dyDescent="0.2">
      <c r="A131" s="1" t="s">
        <v>12</v>
      </c>
      <c r="B131" s="4">
        <v>40326</v>
      </c>
      <c r="C131" s="8">
        <v>2010100946</v>
      </c>
      <c r="D131" s="1" t="s">
        <v>14</v>
      </c>
      <c r="E131" s="1" t="s">
        <v>13</v>
      </c>
      <c r="F131" s="1" t="s">
        <v>44</v>
      </c>
      <c r="G131" s="1" t="s">
        <v>1018</v>
      </c>
      <c r="H131" s="1">
        <v>1453.27</v>
      </c>
      <c r="I131" s="2">
        <f t="shared" si="13"/>
        <v>232.5232</v>
      </c>
      <c r="J131" s="2"/>
      <c r="K131" s="2">
        <f t="shared" si="14"/>
        <v>1685.7932000000001</v>
      </c>
      <c r="P131" s="1" t="s">
        <v>348</v>
      </c>
    </row>
    <row r="132" spans="1:16" x14ac:dyDescent="0.2">
      <c r="A132" s="1" t="s">
        <v>12</v>
      </c>
      <c r="B132" s="4">
        <v>40326</v>
      </c>
      <c r="C132" s="8">
        <v>2010100947</v>
      </c>
      <c r="D132" s="1" t="s">
        <v>14</v>
      </c>
      <c r="E132" s="1" t="s">
        <v>13</v>
      </c>
      <c r="F132" s="1" t="s">
        <v>1019</v>
      </c>
      <c r="G132" s="1" t="s">
        <v>1020</v>
      </c>
      <c r="H132" s="1">
        <v>2108.4499999999998</v>
      </c>
      <c r="I132" s="2">
        <f t="shared" si="13"/>
        <v>337.35199999999998</v>
      </c>
      <c r="J132" s="2"/>
      <c r="K132" s="2">
        <f t="shared" si="14"/>
        <v>2445.8019999999997</v>
      </c>
      <c r="P132" s="1" t="s">
        <v>348</v>
      </c>
    </row>
    <row r="133" spans="1:16" x14ac:dyDescent="0.2">
      <c r="A133" s="1" t="s">
        <v>12</v>
      </c>
      <c r="B133" s="4">
        <v>40326</v>
      </c>
      <c r="C133" s="8">
        <v>2010100944</v>
      </c>
      <c r="D133" s="1" t="s">
        <v>14</v>
      </c>
      <c r="E133" s="1" t="s">
        <v>13</v>
      </c>
      <c r="F133" s="1" t="s">
        <v>1021</v>
      </c>
      <c r="G133" s="1" t="s">
        <v>1022</v>
      </c>
      <c r="H133" s="1">
        <v>2089.17</v>
      </c>
      <c r="I133" s="2">
        <f t="shared" si="13"/>
        <v>334.2672</v>
      </c>
      <c r="J133" s="2"/>
      <c r="K133" s="2">
        <f t="shared" si="14"/>
        <v>2423.4372000000003</v>
      </c>
      <c r="P133" s="1" t="s">
        <v>348</v>
      </c>
    </row>
    <row r="134" spans="1:16" x14ac:dyDescent="0.2">
      <c r="A134" s="1" t="s">
        <v>12</v>
      </c>
      <c r="B134" s="4">
        <v>40326</v>
      </c>
      <c r="C134" s="8">
        <v>2010100945</v>
      </c>
      <c r="D134" s="1" t="s">
        <v>14</v>
      </c>
      <c r="E134" s="1" t="s">
        <v>13</v>
      </c>
      <c r="F134" s="1" t="s">
        <v>44</v>
      </c>
      <c r="G134" s="1" t="s">
        <v>1023</v>
      </c>
      <c r="H134" s="1">
        <v>1146.04</v>
      </c>
      <c r="I134" s="2">
        <f t="shared" si="13"/>
        <v>183.3664</v>
      </c>
      <c r="J134" s="2"/>
      <c r="K134" s="2">
        <f t="shared" si="14"/>
        <v>1329.4063999999998</v>
      </c>
      <c r="P134" s="1" t="s">
        <v>348</v>
      </c>
    </row>
    <row r="135" spans="1:16" x14ac:dyDescent="0.2">
      <c r="A135" s="1" t="s">
        <v>12</v>
      </c>
      <c r="B135" s="4">
        <v>40269</v>
      </c>
      <c r="C135" s="8">
        <v>2010100630</v>
      </c>
      <c r="D135" s="1" t="s">
        <v>14</v>
      </c>
      <c r="E135" s="1" t="s">
        <v>13</v>
      </c>
      <c r="F135" s="1" t="s">
        <v>978</v>
      </c>
      <c r="G135" s="1" t="s">
        <v>1024</v>
      </c>
      <c r="H135" s="1">
        <v>9482.76</v>
      </c>
      <c r="I135" s="2">
        <f t="shared" si="13"/>
        <v>1517.2416000000001</v>
      </c>
      <c r="J135" s="2"/>
      <c r="K135" s="2">
        <f t="shared" si="14"/>
        <v>11000.0016</v>
      </c>
      <c r="P135" s="1" t="s">
        <v>348</v>
      </c>
    </row>
    <row r="136" spans="1:16" x14ac:dyDescent="0.2">
      <c r="A136" s="1" t="s">
        <v>12</v>
      </c>
      <c r="B136" s="4">
        <v>40269</v>
      </c>
      <c r="C136" s="8">
        <v>2010100631</v>
      </c>
      <c r="D136" s="1" t="s">
        <v>14</v>
      </c>
      <c r="E136" s="1" t="s">
        <v>13</v>
      </c>
      <c r="F136" s="1" t="s">
        <v>1012</v>
      </c>
      <c r="G136" s="1" t="s">
        <v>1025</v>
      </c>
      <c r="H136" s="1">
        <v>3879.31</v>
      </c>
      <c r="I136" s="2">
        <f t="shared" si="13"/>
        <v>620.68960000000004</v>
      </c>
      <c r="J136" s="2"/>
      <c r="K136" s="2">
        <f t="shared" si="14"/>
        <v>4499.9996000000001</v>
      </c>
      <c r="P136" s="1" t="s">
        <v>348</v>
      </c>
    </row>
    <row r="137" spans="1:16" x14ac:dyDescent="0.2">
      <c r="A137" s="1" t="s">
        <v>12</v>
      </c>
      <c r="B137" s="4">
        <v>40255</v>
      </c>
      <c r="C137" s="8">
        <v>2010100550</v>
      </c>
      <c r="D137" s="1" t="s">
        <v>14</v>
      </c>
      <c r="E137" s="1" t="s">
        <v>13</v>
      </c>
      <c r="F137" s="1" t="s">
        <v>47</v>
      </c>
      <c r="G137" s="1" t="s">
        <v>1026</v>
      </c>
      <c r="H137" s="1">
        <v>1427.89</v>
      </c>
      <c r="I137" s="2">
        <f t="shared" si="13"/>
        <v>228.46240000000003</v>
      </c>
      <c r="J137" s="2"/>
      <c r="K137" s="2">
        <f t="shared" si="14"/>
        <v>1656.3524000000002</v>
      </c>
      <c r="P137" s="1" t="s">
        <v>348</v>
      </c>
    </row>
    <row r="138" spans="1:16" x14ac:dyDescent="0.2">
      <c r="A138" s="1" t="s">
        <v>12</v>
      </c>
      <c r="B138" s="4">
        <v>40255</v>
      </c>
      <c r="C138" s="8">
        <v>2010100551</v>
      </c>
      <c r="D138" s="1" t="s">
        <v>14</v>
      </c>
      <c r="E138" s="1" t="s">
        <v>13</v>
      </c>
      <c r="F138" s="1" t="s">
        <v>47</v>
      </c>
      <c r="G138" s="1" t="s">
        <v>1027</v>
      </c>
      <c r="H138" s="1">
        <v>1490.25</v>
      </c>
      <c r="I138" s="2">
        <f t="shared" si="13"/>
        <v>238.44</v>
      </c>
      <c r="J138" s="2"/>
      <c r="K138" s="2">
        <f t="shared" si="14"/>
        <v>1728.69</v>
      </c>
      <c r="P138" s="1" t="s">
        <v>348</v>
      </c>
    </row>
    <row r="139" spans="1:16" x14ac:dyDescent="0.2">
      <c r="A139" s="1" t="s">
        <v>12</v>
      </c>
      <c r="B139" s="4">
        <v>40255</v>
      </c>
      <c r="C139" s="8">
        <v>2010100552</v>
      </c>
      <c r="D139" s="1" t="s">
        <v>14</v>
      </c>
      <c r="E139" s="1" t="s">
        <v>13</v>
      </c>
      <c r="F139" s="1" t="s">
        <v>44</v>
      </c>
      <c r="G139" s="1" t="s">
        <v>1028</v>
      </c>
      <c r="H139" s="1">
        <v>1303.96</v>
      </c>
      <c r="I139" s="2">
        <f t="shared" si="13"/>
        <v>208.6336</v>
      </c>
      <c r="J139" s="2"/>
      <c r="K139" s="2">
        <f t="shared" si="14"/>
        <v>1512.5936000000002</v>
      </c>
      <c r="P139" s="1" t="s">
        <v>348</v>
      </c>
    </row>
    <row r="140" spans="1:16" x14ac:dyDescent="0.2">
      <c r="A140" s="1" t="s">
        <v>12</v>
      </c>
      <c r="B140" s="4">
        <v>40255</v>
      </c>
      <c r="C140" s="8">
        <v>2010100553</v>
      </c>
      <c r="D140" s="1" t="s">
        <v>14</v>
      </c>
      <c r="E140" s="1" t="s">
        <v>13</v>
      </c>
      <c r="F140" s="1" t="s">
        <v>1012</v>
      </c>
      <c r="G140" s="1" t="s">
        <v>1029</v>
      </c>
      <c r="H140" s="1">
        <v>2565.87</v>
      </c>
      <c r="I140" s="2">
        <f t="shared" si="13"/>
        <v>410.53919999999999</v>
      </c>
      <c r="J140" s="2"/>
      <c r="K140" s="2">
        <f t="shared" si="14"/>
        <v>2976.4092000000001</v>
      </c>
      <c r="P140" s="1" t="s">
        <v>348</v>
      </c>
    </row>
    <row r="141" spans="1:16" x14ac:dyDescent="0.2">
      <c r="A141" s="1" t="s">
        <v>12</v>
      </c>
      <c r="B141" s="4">
        <v>40299</v>
      </c>
      <c r="C141" s="8">
        <v>2010100784</v>
      </c>
      <c r="D141" s="1" t="s">
        <v>14</v>
      </c>
      <c r="E141" s="1" t="s">
        <v>13</v>
      </c>
      <c r="F141" s="1" t="s">
        <v>1030</v>
      </c>
      <c r="G141" s="1" t="s">
        <v>1031</v>
      </c>
      <c r="H141" s="1">
        <v>3751.64</v>
      </c>
      <c r="I141" s="2">
        <f t="shared" si="13"/>
        <v>600.26239999999996</v>
      </c>
      <c r="J141" s="2"/>
      <c r="K141" s="2">
        <f t="shared" si="14"/>
        <v>4351.9023999999999</v>
      </c>
      <c r="P141" s="1" t="s">
        <v>348</v>
      </c>
    </row>
    <row r="142" spans="1:16" x14ac:dyDescent="0.2">
      <c r="A142" s="1" t="s">
        <v>12</v>
      </c>
      <c r="B142" s="4">
        <v>40282</v>
      </c>
      <c r="C142" s="8">
        <v>2010100674</v>
      </c>
      <c r="D142" s="1" t="s">
        <v>14</v>
      </c>
      <c r="E142" s="1" t="s">
        <v>13</v>
      </c>
      <c r="F142" s="1" t="s">
        <v>32</v>
      </c>
      <c r="G142" s="1" t="s">
        <v>1032</v>
      </c>
      <c r="H142" s="1">
        <v>1624.64</v>
      </c>
      <c r="I142" s="2">
        <f t="shared" si="13"/>
        <v>259.94240000000002</v>
      </c>
      <c r="J142" s="2"/>
      <c r="K142" s="2">
        <f t="shared" si="14"/>
        <v>1884.5824000000002</v>
      </c>
      <c r="P142" s="1" t="s">
        <v>348</v>
      </c>
    </row>
    <row r="143" spans="1:16" x14ac:dyDescent="0.2">
      <c r="A143" s="1" t="s">
        <v>12</v>
      </c>
      <c r="B143" s="4">
        <v>40282</v>
      </c>
      <c r="C143" s="8">
        <v>2010100673</v>
      </c>
      <c r="D143" s="1" t="s">
        <v>14</v>
      </c>
      <c r="E143" s="1" t="s">
        <v>13</v>
      </c>
      <c r="F143" s="1" t="s">
        <v>47</v>
      </c>
      <c r="G143" s="1" t="s">
        <v>1033</v>
      </c>
      <c r="H143" s="1">
        <v>1487.39</v>
      </c>
      <c r="I143" s="2">
        <f t="shared" si="13"/>
        <v>237.98240000000001</v>
      </c>
      <c r="J143" s="2"/>
      <c r="K143" s="2">
        <f t="shared" si="14"/>
        <v>1725.3724000000002</v>
      </c>
      <c r="P143" s="1" t="s">
        <v>348</v>
      </c>
    </row>
    <row r="144" spans="1:16" x14ac:dyDescent="0.2">
      <c r="A144" s="1" t="s">
        <v>12</v>
      </c>
      <c r="B144" s="4">
        <v>40288</v>
      </c>
      <c r="C144" s="8">
        <v>2010100714</v>
      </c>
      <c r="D144" s="1" t="s">
        <v>14</v>
      </c>
      <c r="E144" s="1" t="s">
        <v>13</v>
      </c>
      <c r="F144" s="1" t="s">
        <v>32</v>
      </c>
      <c r="G144" s="1" t="s">
        <v>1034</v>
      </c>
      <c r="H144" s="1">
        <v>4125.1000000000004</v>
      </c>
      <c r="I144" s="2">
        <f t="shared" si="13"/>
        <v>660.01600000000008</v>
      </c>
      <c r="J144" s="2"/>
      <c r="K144" s="2">
        <f t="shared" si="14"/>
        <v>4785.116</v>
      </c>
      <c r="P144" s="1" t="s">
        <v>348</v>
      </c>
    </row>
    <row r="145" spans="1:16" x14ac:dyDescent="0.2">
      <c r="A145" s="1" t="s">
        <v>12</v>
      </c>
      <c r="B145" s="4">
        <v>40261</v>
      </c>
      <c r="C145" s="8">
        <v>2010100573</v>
      </c>
      <c r="D145" s="1" t="s">
        <v>14</v>
      </c>
      <c r="E145" s="1" t="s">
        <v>13</v>
      </c>
      <c r="F145" s="1" t="s">
        <v>1035</v>
      </c>
      <c r="G145" s="1" t="s">
        <v>1036</v>
      </c>
      <c r="H145" s="1">
        <v>4310.3500000000004</v>
      </c>
      <c r="I145" s="2">
        <f t="shared" si="13"/>
        <v>689.65600000000006</v>
      </c>
      <c r="J145" s="2"/>
      <c r="K145" s="2">
        <f t="shared" si="14"/>
        <v>5000.0060000000003</v>
      </c>
      <c r="P145" s="1" t="s">
        <v>348</v>
      </c>
    </row>
    <row r="146" spans="1:16" x14ac:dyDescent="0.2">
      <c r="A146" s="1" t="s">
        <v>12</v>
      </c>
      <c r="B146" s="4">
        <v>40261</v>
      </c>
      <c r="C146" s="8">
        <v>2010100574</v>
      </c>
      <c r="D146" s="1" t="s">
        <v>14</v>
      </c>
      <c r="E146" s="1" t="s">
        <v>13</v>
      </c>
      <c r="F146" s="1" t="s">
        <v>53</v>
      </c>
      <c r="G146" s="1" t="s">
        <v>1037</v>
      </c>
      <c r="H146" s="1">
        <v>2791.54</v>
      </c>
      <c r="I146" s="2">
        <f t="shared" si="13"/>
        <v>446.64640000000003</v>
      </c>
      <c r="J146" s="2"/>
      <c r="K146" s="2">
        <f t="shared" si="14"/>
        <v>3238.1864</v>
      </c>
      <c r="P146" s="1" t="s">
        <v>348</v>
      </c>
    </row>
    <row r="147" spans="1:16" x14ac:dyDescent="0.2">
      <c r="A147" s="1" t="s">
        <v>12</v>
      </c>
      <c r="B147" s="4">
        <v>40261</v>
      </c>
      <c r="C147" s="8">
        <v>2010100575</v>
      </c>
      <c r="D147" s="1" t="s">
        <v>14</v>
      </c>
      <c r="E147" s="1" t="s">
        <v>13</v>
      </c>
      <c r="F147" s="1" t="s">
        <v>53</v>
      </c>
      <c r="G147" s="1" t="s">
        <v>1038</v>
      </c>
      <c r="H147" s="1">
        <v>2131.9699999999998</v>
      </c>
      <c r="I147" s="2">
        <f t="shared" si="13"/>
        <v>341.11519999999996</v>
      </c>
      <c r="J147" s="2"/>
      <c r="K147" s="2">
        <f t="shared" si="14"/>
        <v>2473.0851999999995</v>
      </c>
      <c r="P147" s="1" t="s">
        <v>348</v>
      </c>
    </row>
    <row r="148" spans="1:16" x14ac:dyDescent="0.2">
      <c r="A148" s="1" t="s">
        <v>12</v>
      </c>
      <c r="B148" s="4">
        <v>40261</v>
      </c>
      <c r="C148" s="8">
        <v>2010100576</v>
      </c>
      <c r="D148" s="1" t="s">
        <v>14</v>
      </c>
      <c r="E148" s="1" t="s">
        <v>13</v>
      </c>
      <c r="F148" s="1" t="s">
        <v>1044</v>
      </c>
      <c r="G148" s="1" t="s">
        <v>1039</v>
      </c>
      <c r="H148" s="1">
        <v>4741.38</v>
      </c>
      <c r="I148" s="2">
        <f t="shared" si="13"/>
        <v>758.62080000000003</v>
      </c>
      <c r="J148" s="2"/>
      <c r="K148" s="2">
        <f t="shared" si="14"/>
        <v>5500.0007999999998</v>
      </c>
      <c r="P148" s="1" t="s">
        <v>348</v>
      </c>
    </row>
    <row r="149" spans="1:16" x14ac:dyDescent="0.2">
      <c r="A149" s="1" t="s">
        <v>12</v>
      </c>
      <c r="B149" s="4">
        <v>40301</v>
      </c>
      <c r="C149" s="8" t="s">
        <v>1040</v>
      </c>
      <c r="D149" s="1" t="s">
        <v>1041</v>
      </c>
      <c r="E149" s="1" t="s">
        <v>1052</v>
      </c>
      <c r="F149" s="1" t="s">
        <v>53</v>
      </c>
      <c r="G149" s="1" t="s">
        <v>1053</v>
      </c>
      <c r="H149" s="2">
        <v>3534.4749999999999</v>
      </c>
      <c r="I149" s="2">
        <f>+H149*0.16</f>
        <v>565.51599999999996</v>
      </c>
      <c r="K149" s="2">
        <f>+H149+I149</f>
        <v>4099.991</v>
      </c>
      <c r="P149" s="1" t="s">
        <v>348</v>
      </c>
    </row>
    <row r="150" spans="1:16" x14ac:dyDescent="0.2">
      <c r="A150" s="1" t="s">
        <v>12</v>
      </c>
      <c r="B150" s="4">
        <v>40345</v>
      </c>
      <c r="C150" s="8" t="s">
        <v>951</v>
      </c>
      <c r="D150" s="1" t="s">
        <v>1042</v>
      </c>
      <c r="E150" s="1" t="s">
        <v>1043</v>
      </c>
      <c r="F150" s="1" t="s">
        <v>1045</v>
      </c>
      <c r="G150" s="1" t="s">
        <v>1046</v>
      </c>
      <c r="K150" s="1">
        <v>1500</v>
      </c>
      <c r="L150" s="1" t="s">
        <v>31</v>
      </c>
      <c r="P150" s="1" t="s">
        <v>348</v>
      </c>
    </row>
    <row r="151" spans="1:16" x14ac:dyDescent="0.2">
      <c r="A151" s="1" t="s">
        <v>12</v>
      </c>
      <c r="B151" s="4">
        <v>40283</v>
      </c>
      <c r="C151" s="8" t="s">
        <v>951</v>
      </c>
      <c r="D151" s="1" t="s">
        <v>267</v>
      </c>
      <c r="E151" s="1" t="s">
        <v>1047</v>
      </c>
      <c r="F151" s="1" t="s">
        <v>269</v>
      </c>
      <c r="G151" s="1" t="s">
        <v>478</v>
      </c>
      <c r="K151" s="1">
        <v>750</v>
      </c>
      <c r="L151" s="1" t="s">
        <v>303</v>
      </c>
      <c r="P151" s="1" t="s">
        <v>348</v>
      </c>
    </row>
    <row r="152" spans="1:16" x14ac:dyDescent="0.2">
      <c r="A152" s="1" t="s">
        <v>408</v>
      </c>
      <c r="B152" s="4">
        <v>40326</v>
      </c>
      <c r="C152" s="8">
        <v>285</v>
      </c>
      <c r="D152" s="1" t="s">
        <v>1051</v>
      </c>
      <c r="E152" s="1" t="s">
        <v>1048</v>
      </c>
      <c r="F152" s="1" t="s">
        <v>1049</v>
      </c>
      <c r="G152" s="1" t="s">
        <v>1050</v>
      </c>
      <c r="H152" s="1">
        <v>4000</v>
      </c>
      <c r="K152" s="1">
        <v>4000</v>
      </c>
      <c r="L152" s="1" t="s">
        <v>21</v>
      </c>
      <c r="P152" s="1" t="s">
        <v>348</v>
      </c>
    </row>
    <row r="153" spans="1:16" x14ac:dyDescent="0.2">
      <c r="A153" s="1" t="s">
        <v>408</v>
      </c>
      <c r="B153" s="4">
        <v>40316</v>
      </c>
      <c r="C153" s="8">
        <v>185</v>
      </c>
      <c r="D153" s="1" t="s">
        <v>1054</v>
      </c>
      <c r="E153" s="1" t="s">
        <v>1055</v>
      </c>
      <c r="F153" s="1" t="s">
        <v>111</v>
      </c>
      <c r="G153" s="1" t="s">
        <v>1056</v>
      </c>
      <c r="H153" s="2">
        <f>4000/1.16</f>
        <v>3448.2758620689656</v>
      </c>
      <c r="I153" s="2">
        <f>+H153*0.16</f>
        <v>551.72413793103453</v>
      </c>
      <c r="K153" s="1">
        <f>H153+I153</f>
        <v>4000</v>
      </c>
      <c r="P153" s="1" t="s">
        <v>348</v>
      </c>
    </row>
    <row r="154" spans="1:16" x14ac:dyDescent="0.2">
      <c r="A154" s="1" t="s">
        <v>408</v>
      </c>
      <c r="B154" s="4">
        <v>40304</v>
      </c>
      <c r="C154" s="1">
        <v>65210</v>
      </c>
      <c r="D154" s="1" t="s">
        <v>1057</v>
      </c>
      <c r="E154" s="1" t="s">
        <v>1058</v>
      </c>
      <c r="F154" s="1" t="s">
        <v>1012</v>
      </c>
      <c r="G154" s="1" t="s">
        <v>1025</v>
      </c>
      <c r="H154" s="2">
        <f>6500/1.16</f>
        <v>5603.4482758620697</v>
      </c>
      <c r="I154" s="2">
        <f>+H154*0.16</f>
        <v>896.55172413793116</v>
      </c>
      <c r="K154" s="1">
        <f>H154+I154</f>
        <v>6500.0000000000009</v>
      </c>
      <c r="P154" s="1" t="s">
        <v>348</v>
      </c>
    </row>
    <row r="155" spans="1:16" x14ac:dyDescent="0.2">
      <c r="A155" s="1" t="s">
        <v>12</v>
      </c>
      <c r="B155" s="4">
        <v>40304</v>
      </c>
      <c r="C155" s="8" t="s">
        <v>951</v>
      </c>
      <c r="D155" s="1" t="s">
        <v>1057</v>
      </c>
      <c r="E155" s="1" t="s">
        <v>1058</v>
      </c>
      <c r="F155" s="6" t="s">
        <v>1059</v>
      </c>
      <c r="G155" s="1" t="s">
        <v>1060</v>
      </c>
      <c r="K155" s="1">
        <v>7000</v>
      </c>
      <c r="L155" s="1" t="s">
        <v>21</v>
      </c>
      <c r="P155" s="1" t="s">
        <v>348</v>
      </c>
    </row>
    <row r="156" spans="1:16" x14ac:dyDescent="0.2">
      <c r="A156" s="1" t="s">
        <v>408</v>
      </c>
      <c r="B156" s="65">
        <v>40275</v>
      </c>
      <c r="C156" s="23" t="s">
        <v>176</v>
      </c>
      <c r="D156" s="66" t="s">
        <v>1063</v>
      </c>
      <c r="E156" s="67" t="s">
        <v>1064</v>
      </c>
      <c r="F156" s="3" t="s">
        <v>201</v>
      </c>
      <c r="G156" s="3" t="s">
        <v>1068</v>
      </c>
      <c r="H156" s="2">
        <v>2155.17</v>
      </c>
      <c r="I156" s="2">
        <f>+H156*0.16</f>
        <v>344.8272</v>
      </c>
      <c r="J156" s="2"/>
      <c r="K156" s="2">
        <f>H156+I156</f>
        <v>2499.9972000000002</v>
      </c>
      <c r="P156" s="1" t="s">
        <v>348</v>
      </c>
    </row>
    <row r="157" spans="1:16" x14ac:dyDescent="0.2">
      <c r="A157" s="1" t="s">
        <v>408</v>
      </c>
      <c r="B157" s="65">
        <v>40276</v>
      </c>
      <c r="C157" s="23" t="s">
        <v>177</v>
      </c>
      <c r="D157" s="66" t="s">
        <v>1065</v>
      </c>
      <c r="E157" s="67" t="s">
        <v>1066</v>
      </c>
      <c r="F157" s="3" t="s">
        <v>239</v>
      </c>
      <c r="G157" s="3" t="s">
        <v>1067</v>
      </c>
      <c r="H157" s="2">
        <v>1724.14</v>
      </c>
      <c r="I157" s="2">
        <f t="shared" ref="I157:I220" si="15">+H157*0.16</f>
        <v>275.86240000000004</v>
      </c>
      <c r="J157" s="2"/>
      <c r="K157" s="2">
        <f t="shared" ref="K157:K183" si="16">H157+I157</f>
        <v>2000.0024000000001</v>
      </c>
      <c r="P157" s="1" t="s">
        <v>348</v>
      </c>
    </row>
    <row r="158" spans="1:16" x14ac:dyDescent="0.2">
      <c r="A158" s="1" t="s">
        <v>408</v>
      </c>
      <c r="B158" s="65">
        <v>40276</v>
      </c>
      <c r="C158" s="23" t="s">
        <v>625</v>
      </c>
      <c r="D158" s="66" t="s">
        <v>1069</v>
      </c>
      <c r="E158" s="67" t="s">
        <v>1070</v>
      </c>
      <c r="F158" s="3" t="s">
        <v>1071</v>
      </c>
      <c r="G158" s="3" t="s">
        <v>1072</v>
      </c>
      <c r="H158" s="2">
        <v>6034.48</v>
      </c>
      <c r="I158" s="2">
        <f t="shared" si="15"/>
        <v>965.51679999999999</v>
      </c>
      <c r="J158" s="2"/>
      <c r="K158" s="2">
        <f t="shared" si="16"/>
        <v>6999.9967999999999</v>
      </c>
      <c r="P158" s="1" t="s">
        <v>348</v>
      </c>
    </row>
    <row r="159" spans="1:16" x14ac:dyDescent="0.2">
      <c r="A159" s="1" t="s">
        <v>408</v>
      </c>
      <c r="B159" s="65">
        <v>40284</v>
      </c>
      <c r="C159" s="23" t="s">
        <v>628</v>
      </c>
      <c r="D159" s="66" t="s">
        <v>1073</v>
      </c>
      <c r="E159" s="67" t="s">
        <v>1075</v>
      </c>
      <c r="F159" s="3" t="s">
        <v>256</v>
      </c>
      <c r="G159" s="3" t="s">
        <v>1074</v>
      </c>
      <c r="H159" s="2">
        <v>4482.76</v>
      </c>
      <c r="I159" s="2">
        <f t="shared" si="15"/>
        <v>717.24160000000006</v>
      </c>
      <c r="J159" s="2"/>
      <c r="K159" s="2">
        <f t="shared" si="16"/>
        <v>5200.0016000000005</v>
      </c>
      <c r="P159" s="1" t="s">
        <v>348</v>
      </c>
    </row>
    <row r="160" spans="1:16" x14ac:dyDescent="0.2">
      <c r="A160" s="1" t="s">
        <v>408</v>
      </c>
      <c r="B160" s="65">
        <v>40284</v>
      </c>
      <c r="C160" s="23" t="s">
        <v>632</v>
      </c>
      <c r="D160" s="66" t="s">
        <v>1073</v>
      </c>
      <c r="E160" s="67" t="s">
        <v>1075</v>
      </c>
      <c r="F160" s="3" t="s">
        <v>256</v>
      </c>
      <c r="G160" s="3" t="s">
        <v>1076</v>
      </c>
      <c r="H160" s="2">
        <v>4482.76</v>
      </c>
      <c r="I160" s="2">
        <f t="shared" si="15"/>
        <v>717.24160000000006</v>
      </c>
      <c r="J160" s="2"/>
      <c r="K160" s="2">
        <f t="shared" si="16"/>
        <v>5200.0016000000005</v>
      </c>
      <c r="P160" s="1" t="s">
        <v>348</v>
      </c>
    </row>
    <row r="161" spans="1:16" x14ac:dyDescent="0.2">
      <c r="A161" s="64" t="s">
        <v>408</v>
      </c>
      <c r="B161" s="76">
        <v>40284</v>
      </c>
      <c r="C161" s="75" t="s">
        <v>633</v>
      </c>
      <c r="D161" s="77" t="s">
        <v>1077</v>
      </c>
      <c r="E161" s="78" t="s">
        <v>1078</v>
      </c>
      <c r="F161" s="79" t="s">
        <v>1079</v>
      </c>
      <c r="G161" s="79" t="s">
        <v>1080</v>
      </c>
      <c r="H161" s="80">
        <v>6200</v>
      </c>
      <c r="I161" s="80"/>
      <c r="J161" s="80"/>
      <c r="K161" s="80">
        <f t="shared" si="16"/>
        <v>6200</v>
      </c>
      <c r="L161" s="64" t="s">
        <v>303</v>
      </c>
      <c r="P161" s="1" t="s">
        <v>348</v>
      </c>
    </row>
    <row r="162" spans="1:16" x14ac:dyDescent="0.2">
      <c r="A162" s="1" t="s">
        <v>408</v>
      </c>
      <c r="B162" s="65">
        <v>40286</v>
      </c>
      <c r="C162" s="23" t="s">
        <v>637</v>
      </c>
      <c r="D162" s="66" t="s">
        <v>1081</v>
      </c>
      <c r="E162" s="67" t="s">
        <v>1082</v>
      </c>
      <c r="F162" s="3" t="s">
        <v>680</v>
      </c>
      <c r="G162" s="3" t="s">
        <v>681</v>
      </c>
      <c r="H162" s="2"/>
      <c r="I162" s="2">
        <f t="shared" si="15"/>
        <v>0</v>
      </c>
      <c r="J162" s="2"/>
      <c r="K162" s="2">
        <v>850</v>
      </c>
      <c r="L162" s="1" t="s">
        <v>303</v>
      </c>
      <c r="P162" s="1" t="s">
        <v>348</v>
      </c>
    </row>
    <row r="163" spans="1:16" x14ac:dyDescent="0.2">
      <c r="A163" s="1" t="s">
        <v>408</v>
      </c>
      <c r="B163" s="65">
        <v>40286</v>
      </c>
      <c r="C163" s="23" t="s">
        <v>641</v>
      </c>
      <c r="D163" s="66" t="s">
        <v>1083</v>
      </c>
      <c r="E163" s="1" t="s">
        <v>1084</v>
      </c>
      <c r="F163" s="3" t="s">
        <v>218</v>
      </c>
      <c r="G163" s="3" t="s">
        <v>1085</v>
      </c>
      <c r="H163" s="2">
        <v>3879.31</v>
      </c>
      <c r="I163" s="2">
        <f t="shared" si="15"/>
        <v>620.68960000000004</v>
      </c>
      <c r="J163" s="2"/>
      <c r="K163" s="2">
        <f t="shared" si="16"/>
        <v>4499.9996000000001</v>
      </c>
      <c r="P163" s="1" t="s">
        <v>348</v>
      </c>
    </row>
    <row r="164" spans="1:16" x14ac:dyDescent="0.2">
      <c r="A164" s="1" t="s">
        <v>408</v>
      </c>
      <c r="B164" s="65">
        <v>40286</v>
      </c>
      <c r="C164" s="23" t="s">
        <v>645</v>
      </c>
      <c r="D164" s="66" t="s">
        <v>1086</v>
      </c>
      <c r="E164" s="67" t="s">
        <v>1087</v>
      </c>
      <c r="F164" s="3" t="s">
        <v>218</v>
      </c>
      <c r="G164" s="3" t="s">
        <v>1088</v>
      </c>
      <c r="H164" s="2">
        <v>2068.9699999999998</v>
      </c>
      <c r="I164" s="2">
        <f t="shared" si="15"/>
        <v>331.03519999999997</v>
      </c>
      <c r="J164" s="2"/>
      <c r="K164" s="2">
        <f t="shared" si="16"/>
        <v>2400.0051999999996</v>
      </c>
      <c r="P164" s="1" t="s">
        <v>348</v>
      </c>
    </row>
    <row r="165" spans="1:16" x14ac:dyDescent="0.2">
      <c r="A165" s="1" t="s">
        <v>408</v>
      </c>
      <c r="B165" s="65">
        <v>40289</v>
      </c>
      <c r="C165" s="23" t="s">
        <v>658</v>
      </c>
      <c r="D165" s="66" t="s">
        <v>1089</v>
      </c>
      <c r="E165" s="67" t="s">
        <v>1090</v>
      </c>
      <c r="F165" s="3" t="s">
        <v>201</v>
      </c>
      <c r="G165" s="3" t="s">
        <v>1091</v>
      </c>
      <c r="H165" s="2">
        <v>4310.3450000000003</v>
      </c>
      <c r="I165" s="2">
        <f t="shared" si="15"/>
        <v>689.65520000000004</v>
      </c>
      <c r="J165" s="2"/>
      <c r="K165" s="2">
        <f t="shared" si="16"/>
        <v>5000.0002000000004</v>
      </c>
      <c r="P165" s="1" t="s">
        <v>348</v>
      </c>
    </row>
    <row r="166" spans="1:16" x14ac:dyDescent="0.2">
      <c r="A166" s="1" t="s">
        <v>408</v>
      </c>
      <c r="B166" s="65">
        <v>40297</v>
      </c>
      <c r="C166" s="23" t="s">
        <v>664</v>
      </c>
      <c r="D166" s="66" t="s">
        <v>1092</v>
      </c>
      <c r="E166" s="67" t="s">
        <v>1093</v>
      </c>
      <c r="F166" s="3" t="s">
        <v>1094</v>
      </c>
      <c r="G166" s="3" t="s">
        <v>1095</v>
      </c>
      <c r="H166" s="2">
        <v>15517.24</v>
      </c>
      <c r="I166" s="2">
        <f t="shared" si="15"/>
        <v>2482.7584000000002</v>
      </c>
      <c r="J166" s="2"/>
      <c r="K166" s="2">
        <f t="shared" si="16"/>
        <v>17999.9984</v>
      </c>
      <c r="P166" s="1" t="s">
        <v>348</v>
      </c>
    </row>
    <row r="167" spans="1:16" x14ac:dyDescent="0.2">
      <c r="A167" s="1" t="s">
        <v>408</v>
      </c>
      <c r="B167" s="65">
        <v>40298</v>
      </c>
      <c r="C167" s="23" t="s">
        <v>668</v>
      </c>
      <c r="D167" s="66" t="s">
        <v>1096</v>
      </c>
      <c r="E167" s="67" t="s">
        <v>1097</v>
      </c>
      <c r="F167" s="3" t="s">
        <v>325</v>
      </c>
      <c r="G167" s="3" t="s">
        <v>1098</v>
      </c>
      <c r="H167" s="2">
        <v>2155.17</v>
      </c>
      <c r="I167" s="2">
        <f t="shared" si="15"/>
        <v>344.8272</v>
      </c>
      <c r="J167" s="2"/>
      <c r="K167" s="2">
        <f t="shared" si="16"/>
        <v>2499.9972000000002</v>
      </c>
      <c r="P167" s="1" t="s">
        <v>348</v>
      </c>
    </row>
    <row r="168" spans="1:16" x14ac:dyDescent="0.2">
      <c r="A168" s="1" t="s">
        <v>408</v>
      </c>
      <c r="B168" s="65">
        <v>40298</v>
      </c>
      <c r="C168" s="23" t="s">
        <v>672</v>
      </c>
      <c r="D168" s="66" t="s">
        <v>1099</v>
      </c>
      <c r="E168" s="67" t="s">
        <v>1100</v>
      </c>
      <c r="F168" s="3" t="s">
        <v>239</v>
      </c>
      <c r="G168" s="3" t="s">
        <v>1101</v>
      </c>
      <c r="H168" s="2">
        <v>4051.72</v>
      </c>
      <c r="I168" s="2">
        <f t="shared" si="15"/>
        <v>648.27519999999993</v>
      </c>
      <c r="J168" s="2"/>
      <c r="K168" s="2">
        <f t="shared" si="16"/>
        <v>4699.9951999999994</v>
      </c>
      <c r="P168" s="1" t="s">
        <v>348</v>
      </c>
    </row>
    <row r="169" spans="1:16" x14ac:dyDescent="0.2">
      <c r="A169" s="1" t="s">
        <v>408</v>
      </c>
      <c r="B169" s="65">
        <v>40298</v>
      </c>
      <c r="C169" s="23" t="s">
        <v>677</v>
      </c>
      <c r="D169" s="66" t="s">
        <v>1102</v>
      </c>
      <c r="E169" s="67" t="s">
        <v>1103</v>
      </c>
      <c r="F169" s="3" t="s">
        <v>276</v>
      </c>
      <c r="G169" s="3" t="s">
        <v>1104</v>
      </c>
      <c r="H169" s="2">
        <v>3879.31</v>
      </c>
      <c r="I169" s="2">
        <f t="shared" si="15"/>
        <v>620.68960000000004</v>
      </c>
      <c r="J169" s="2"/>
      <c r="K169" s="2">
        <f t="shared" si="16"/>
        <v>4499.9996000000001</v>
      </c>
      <c r="P169" s="1" t="s">
        <v>348</v>
      </c>
    </row>
    <row r="170" spans="1:16" x14ac:dyDescent="0.2">
      <c r="A170" s="1" t="s">
        <v>408</v>
      </c>
      <c r="B170" s="65">
        <v>40298</v>
      </c>
      <c r="C170" s="23" t="s">
        <v>682</v>
      </c>
      <c r="D170" s="66" t="s">
        <v>1105</v>
      </c>
      <c r="E170" s="67" t="s">
        <v>1106</v>
      </c>
      <c r="F170" s="3" t="s">
        <v>230</v>
      </c>
      <c r="G170" s="3" t="s">
        <v>1107</v>
      </c>
      <c r="H170" s="2">
        <v>3017.24</v>
      </c>
      <c r="I170" s="2">
        <f t="shared" si="15"/>
        <v>482.75839999999999</v>
      </c>
      <c r="J170" s="2"/>
      <c r="K170" s="2">
        <f t="shared" si="16"/>
        <v>3499.9983999999999</v>
      </c>
      <c r="P170" s="1" t="s">
        <v>348</v>
      </c>
    </row>
    <row r="171" spans="1:16" x14ac:dyDescent="0.2">
      <c r="A171" s="1" t="s">
        <v>408</v>
      </c>
      <c r="B171" s="65">
        <v>40303</v>
      </c>
      <c r="C171" s="23" t="s">
        <v>686</v>
      </c>
      <c r="D171" s="66" t="s">
        <v>1108</v>
      </c>
      <c r="E171" s="67" t="s">
        <v>1109</v>
      </c>
      <c r="F171" s="3" t="s">
        <v>569</v>
      </c>
      <c r="G171" s="3" t="s">
        <v>1110</v>
      </c>
      <c r="H171" s="2">
        <v>2500</v>
      </c>
      <c r="I171" s="2">
        <f t="shared" si="15"/>
        <v>400</v>
      </c>
      <c r="J171" s="2"/>
      <c r="K171" s="2">
        <f t="shared" si="16"/>
        <v>2900</v>
      </c>
      <c r="P171" s="1" t="s">
        <v>348</v>
      </c>
    </row>
    <row r="172" spans="1:16" x14ac:dyDescent="0.2">
      <c r="A172" s="1" t="s">
        <v>408</v>
      </c>
      <c r="B172" s="65">
        <v>40303</v>
      </c>
      <c r="C172" s="23" t="s">
        <v>690</v>
      </c>
      <c r="D172" s="66" t="s">
        <v>232</v>
      </c>
      <c r="E172" s="67" t="s">
        <v>233</v>
      </c>
      <c r="F172" s="3" t="s">
        <v>201</v>
      </c>
      <c r="G172" s="3" t="s">
        <v>1111</v>
      </c>
      <c r="H172" s="2">
        <v>2413.79</v>
      </c>
      <c r="I172" s="2">
        <f t="shared" si="15"/>
        <v>386.20640000000003</v>
      </c>
      <c r="J172" s="2"/>
      <c r="K172" s="2">
        <f t="shared" si="16"/>
        <v>2799.9964</v>
      </c>
      <c r="P172" s="1" t="s">
        <v>348</v>
      </c>
    </row>
    <row r="173" spans="1:16" x14ac:dyDescent="0.2">
      <c r="A173" s="1" t="s">
        <v>408</v>
      </c>
      <c r="B173" s="65">
        <v>40309</v>
      </c>
      <c r="C173" s="23" t="s">
        <v>695</v>
      </c>
      <c r="D173" s="66" t="s">
        <v>1112</v>
      </c>
      <c r="E173" s="67" t="s">
        <v>1113</v>
      </c>
      <c r="F173" s="3" t="s">
        <v>201</v>
      </c>
      <c r="G173" s="3" t="s">
        <v>1114</v>
      </c>
      <c r="H173" s="2">
        <v>3879.31</v>
      </c>
      <c r="I173" s="2">
        <f t="shared" si="15"/>
        <v>620.68960000000004</v>
      </c>
      <c r="J173" s="2"/>
      <c r="K173" s="2">
        <f t="shared" si="16"/>
        <v>4499.9996000000001</v>
      </c>
      <c r="P173" s="1" t="s">
        <v>348</v>
      </c>
    </row>
    <row r="174" spans="1:16" x14ac:dyDescent="0.2">
      <c r="A174" s="1" t="s">
        <v>408</v>
      </c>
      <c r="B174" s="65">
        <v>40311</v>
      </c>
      <c r="C174" s="23" t="s">
        <v>699</v>
      </c>
      <c r="D174" s="66" t="s">
        <v>1115</v>
      </c>
      <c r="E174" s="67" t="s">
        <v>1116</v>
      </c>
      <c r="F174" s="3" t="s">
        <v>230</v>
      </c>
      <c r="G174" s="3" t="s">
        <v>1117</v>
      </c>
      <c r="H174" s="2">
        <v>2155.17</v>
      </c>
      <c r="I174" s="2">
        <f t="shared" si="15"/>
        <v>344.8272</v>
      </c>
      <c r="J174" s="2"/>
      <c r="K174" s="2">
        <f t="shared" si="16"/>
        <v>2499.9972000000002</v>
      </c>
      <c r="P174" s="1" t="s">
        <v>348</v>
      </c>
    </row>
    <row r="175" spans="1:16" x14ac:dyDescent="0.2">
      <c r="A175" s="64" t="s">
        <v>408</v>
      </c>
      <c r="B175" s="76">
        <v>40311</v>
      </c>
      <c r="C175" s="75" t="s">
        <v>703</v>
      </c>
      <c r="D175" s="77" t="s">
        <v>1118</v>
      </c>
      <c r="E175" s="78" t="s">
        <v>1119</v>
      </c>
      <c r="F175" s="79" t="s">
        <v>1120</v>
      </c>
      <c r="G175" s="79" t="s">
        <v>1121</v>
      </c>
      <c r="H175" s="80">
        <f>4568.97/2</f>
        <v>2284.4850000000001</v>
      </c>
      <c r="I175" s="80">
        <f t="shared" si="15"/>
        <v>365.51760000000002</v>
      </c>
      <c r="J175" s="80"/>
      <c r="K175" s="80">
        <f t="shared" si="16"/>
        <v>2650.0026000000003</v>
      </c>
      <c r="P175" s="1" t="s">
        <v>348</v>
      </c>
    </row>
    <row r="176" spans="1:16" x14ac:dyDescent="0.2">
      <c r="A176" s="1" t="s">
        <v>408</v>
      </c>
      <c r="B176" s="65">
        <v>40311</v>
      </c>
      <c r="C176" s="23" t="s">
        <v>708</v>
      </c>
      <c r="D176" s="66" t="s">
        <v>1122</v>
      </c>
      <c r="E176" s="67" t="s">
        <v>1123</v>
      </c>
      <c r="F176" s="3" t="s">
        <v>276</v>
      </c>
      <c r="G176" s="3" t="s">
        <v>1124</v>
      </c>
      <c r="H176" s="2">
        <v>4741.38</v>
      </c>
      <c r="I176" s="2">
        <f t="shared" si="15"/>
        <v>758.62080000000003</v>
      </c>
      <c r="J176" s="2"/>
      <c r="K176" s="2">
        <f t="shared" si="16"/>
        <v>5500.0007999999998</v>
      </c>
      <c r="P176" s="1" t="s">
        <v>348</v>
      </c>
    </row>
    <row r="177" spans="1:16" x14ac:dyDescent="0.2">
      <c r="A177" s="1" t="s">
        <v>408</v>
      </c>
      <c r="B177" s="65">
        <v>40311</v>
      </c>
      <c r="C177" s="23" t="s">
        <v>713</v>
      </c>
      <c r="D177" s="66" t="s">
        <v>1125</v>
      </c>
      <c r="E177" s="67" t="s">
        <v>1126</v>
      </c>
      <c r="F177" s="3" t="s">
        <v>276</v>
      </c>
      <c r="G177" s="3" t="s">
        <v>1127</v>
      </c>
      <c r="H177" s="2">
        <v>3448.28</v>
      </c>
      <c r="I177" s="2">
        <f t="shared" si="15"/>
        <v>551.72480000000007</v>
      </c>
      <c r="J177" s="2"/>
      <c r="K177" s="2">
        <f t="shared" si="16"/>
        <v>4000.0048000000002</v>
      </c>
      <c r="P177" s="1" t="s">
        <v>348</v>
      </c>
    </row>
    <row r="178" spans="1:16" x14ac:dyDescent="0.2">
      <c r="A178" s="1" t="s">
        <v>408</v>
      </c>
      <c r="B178" s="65">
        <v>40312</v>
      </c>
      <c r="C178" s="23" t="s">
        <v>718</v>
      </c>
      <c r="D178" s="66" t="s">
        <v>1128</v>
      </c>
      <c r="E178" s="67" t="s">
        <v>1129</v>
      </c>
      <c r="F178" s="3" t="s">
        <v>239</v>
      </c>
      <c r="G178" s="3" t="s">
        <v>904</v>
      </c>
      <c r="H178" s="2">
        <v>2758.62</v>
      </c>
      <c r="I178" s="2">
        <f t="shared" si="15"/>
        <v>441.37919999999997</v>
      </c>
      <c r="J178" s="2"/>
      <c r="K178" s="2">
        <f t="shared" si="16"/>
        <v>3199.9991999999997</v>
      </c>
      <c r="P178" s="1" t="s">
        <v>348</v>
      </c>
    </row>
    <row r="179" spans="1:16" x14ac:dyDescent="0.2">
      <c r="A179" s="1" t="s">
        <v>408</v>
      </c>
      <c r="B179" s="65">
        <v>40312</v>
      </c>
      <c r="C179" s="23" t="s">
        <v>1061</v>
      </c>
      <c r="D179" s="66" t="s">
        <v>1130</v>
      </c>
      <c r="E179" s="67" t="s">
        <v>1131</v>
      </c>
      <c r="F179" s="3" t="s">
        <v>239</v>
      </c>
      <c r="G179" s="3" t="s">
        <v>1132</v>
      </c>
      <c r="H179" s="2">
        <v>2327.59</v>
      </c>
      <c r="I179" s="2">
        <f t="shared" si="15"/>
        <v>372.41440000000006</v>
      </c>
      <c r="J179" s="2"/>
      <c r="K179" s="2">
        <f t="shared" si="16"/>
        <v>2700.0044000000003</v>
      </c>
      <c r="P179" s="1" t="s">
        <v>348</v>
      </c>
    </row>
    <row r="180" spans="1:16" x14ac:dyDescent="0.2">
      <c r="A180" s="1" t="s">
        <v>408</v>
      </c>
      <c r="B180" s="65">
        <v>40312</v>
      </c>
      <c r="C180" s="23" t="s">
        <v>722</v>
      </c>
      <c r="D180" s="66" t="s">
        <v>1133</v>
      </c>
      <c r="E180" s="67" t="s">
        <v>1134</v>
      </c>
      <c r="F180" s="3" t="s">
        <v>256</v>
      </c>
      <c r="G180" s="3" t="s">
        <v>1135</v>
      </c>
      <c r="H180" s="2">
        <v>5775.86</v>
      </c>
      <c r="I180" s="2">
        <f t="shared" si="15"/>
        <v>924.13760000000002</v>
      </c>
      <c r="J180" s="2"/>
      <c r="K180" s="2">
        <f t="shared" si="16"/>
        <v>6699.9975999999997</v>
      </c>
      <c r="P180" s="1" t="s">
        <v>348</v>
      </c>
    </row>
    <row r="181" spans="1:16" x14ac:dyDescent="0.2">
      <c r="A181" s="64" t="s">
        <v>408</v>
      </c>
      <c r="B181" s="76">
        <v>40312</v>
      </c>
      <c r="C181" s="75" t="s">
        <v>725</v>
      </c>
      <c r="D181" s="77" t="s">
        <v>1136</v>
      </c>
      <c r="E181" s="78" t="s">
        <v>1137</v>
      </c>
      <c r="F181" s="79" t="s">
        <v>1138</v>
      </c>
      <c r="G181" s="79" t="s">
        <v>1139</v>
      </c>
      <c r="H181" s="80">
        <v>3000</v>
      </c>
      <c r="I181" s="80"/>
      <c r="J181" s="80"/>
      <c r="K181" s="80">
        <f t="shared" si="16"/>
        <v>3000</v>
      </c>
      <c r="L181" s="64" t="s">
        <v>303</v>
      </c>
      <c r="P181" s="1" t="s">
        <v>348</v>
      </c>
    </row>
    <row r="182" spans="1:16" x14ac:dyDescent="0.2">
      <c r="A182" s="1" t="s">
        <v>408</v>
      </c>
      <c r="B182" s="65">
        <v>40312</v>
      </c>
      <c r="C182" s="23" t="s">
        <v>728</v>
      </c>
      <c r="D182" s="66" t="s">
        <v>1140</v>
      </c>
      <c r="E182" s="1" t="s">
        <v>1141</v>
      </c>
      <c r="F182" s="3" t="s">
        <v>201</v>
      </c>
      <c r="G182" s="3" t="s">
        <v>1142</v>
      </c>
      <c r="H182" s="2">
        <v>3448.28</v>
      </c>
      <c r="I182" s="2">
        <f t="shared" si="15"/>
        <v>551.72480000000007</v>
      </c>
      <c r="J182" s="2"/>
      <c r="K182" s="2">
        <f t="shared" si="16"/>
        <v>4000.0048000000002</v>
      </c>
      <c r="P182" s="1" t="s">
        <v>348</v>
      </c>
    </row>
    <row r="183" spans="1:16" x14ac:dyDescent="0.2">
      <c r="A183" s="64" t="s">
        <v>408</v>
      </c>
      <c r="B183" s="76">
        <v>40312</v>
      </c>
      <c r="C183" s="75" t="s">
        <v>731</v>
      </c>
      <c r="D183" s="77" t="s">
        <v>1143</v>
      </c>
      <c r="E183" s="78" t="s">
        <v>1144</v>
      </c>
      <c r="F183" s="79" t="s">
        <v>1145</v>
      </c>
      <c r="G183" s="79" t="s">
        <v>1146</v>
      </c>
      <c r="H183" s="80">
        <v>4000</v>
      </c>
      <c r="I183" s="80"/>
      <c r="J183" s="80"/>
      <c r="K183" s="80">
        <f t="shared" si="16"/>
        <v>4000</v>
      </c>
      <c r="L183" s="64" t="s">
        <v>303</v>
      </c>
      <c r="P183" s="1" t="s">
        <v>348</v>
      </c>
    </row>
    <row r="184" spans="1:16" x14ac:dyDescent="0.2">
      <c r="A184" s="1" t="s">
        <v>408</v>
      </c>
      <c r="B184" s="65">
        <v>40318</v>
      </c>
      <c r="C184" s="23" t="s">
        <v>735</v>
      </c>
      <c r="D184" s="66" t="s">
        <v>1147</v>
      </c>
      <c r="E184" s="67" t="s">
        <v>1148</v>
      </c>
      <c r="F184" s="3" t="s">
        <v>518</v>
      </c>
      <c r="G184" s="3" t="s">
        <v>1149</v>
      </c>
      <c r="H184" s="2">
        <v>3620.69</v>
      </c>
      <c r="I184" s="2">
        <f>+H184*0.16</f>
        <v>579.31040000000007</v>
      </c>
      <c r="J184" s="2"/>
      <c r="K184" s="2">
        <f>H184+I184</f>
        <v>4200.0003999999999</v>
      </c>
      <c r="P184" s="1" t="s">
        <v>348</v>
      </c>
    </row>
    <row r="185" spans="1:16" x14ac:dyDescent="0.2">
      <c r="A185" s="1" t="s">
        <v>408</v>
      </c>
      <c r="B185" s="65">
        <v>40324</v>
      </c>
      <c r="C185" s="23" t="s">
        <v>742</v>
      </c>
      <c r="D185" s="66" t="s">
        <v>1150</v>
      </c>
      <c r="E185" s="67" t="s">
        <v>1151</v>
      </c>
      <c r="F185" s="3" t="s">
        <v>246</v>
      </c>
      <c r="G185" s="3" t="s">
        <v>1152</v>
      </c>
      <c r="H185" s="2">
        <v>2931.03</v>
      </c>
      <c r="I185" s="2">
        <f t="shared" si="15"/>
        <v>468.96480000000003</v>
      </c>
      <c r="J185" s="2"/>
      <c r="K185" s="2">
        <f t="shared" ref="K185:K212" si="17">H185+I185</f>
        <v>3399.9948000000004</v>
      </c>
      <c r="P185" s="1" t="s">
        <v>348</v>
      </c>
    </row>
    <row r="186" spans="1:16" x14ac:dyDescent="0.2">
      <c r="A186" s="1" t="s">
        <v>408</v>
      </c>
      <c r="B186" s="65">
        <v>40330</v>
      </c>
      <c r="C186" s="23" t="s">
        <v>747</v>
      </c>
      <c r="D186" s="66" t="s">
        <v>1153</v>
      </c>
      <c r="E186" s="67" t="s">
        <v>1154</v>
      </c>
      <c r="F186" s="3" t="s">
        <v>218</v>
      </c>
      <c r="G186" s="3" t="s">
        <v>1155</v>
      </c>
      <c r="H186" s="2">
        <v>3017.24</v>
      </c>
      <c r="I186" s="2">
        <f t="shared" si="15"/>
        <v>482.75839999999999</v>
      </c>
      <c r="J186" s="2"/>
      <c r="K186" s="2">
        <f t="shared" si="17"/>
        <v>3499.9983999999999</v>
      </c>
      <c r="P186" s="1" t="s">
        <v>348</v>
      </c>
    </row>
    <row r="187" spans="1:16" x14ac:dyDescent="0.2">
      <c r="A187" s="1" t="s">
        <v>408</v>
      </c>
      <c r="B187" s="65">
        <v>40330</v>
      </c>
      <c r="C187" s="23" t="s">
        <v>751</v>
      </c>
      <c r="D187" s="66" t="s">
        <v>1156</v>
      </c>
      <c r="E187" s="67" t="s">
        <v>1157</v>
      </c>
      <c r="F187" s="3" t="s">
        <v>422</v>
      </c>
      <c r="G187" s="3" t="s">
        <v>1158</v>
      </c>
      <c r="H187" s="2">
        <v>862.07</v>
      </c>
      <c r="I187" s="2">
        <f t="shared" si="15"/>
        <v>137.93120000000002</v>
      </c>
      <c r="J187" s="2"/>
      <c r="K187" s="2">
        <f t="shared" si="17"/>
        <v>1000.0012</v>
      </c>
      <c r="P187" s="1" t="s">
        <v>348</v>
      </c>
    </row>
    <row r="188" spans="1:16" x14ac:dyDescent="0.2">
      <c r="A188" s="1" t="s">
        <v>408</v>
      </c>
      <c r="B188" s="65">
        <v>40330</v>
      </c>
      <c r="C188" s="23" t="s">
        <v>755</v>
      </c>
      <c r="D188" s="66" t="s">
        <v>1159</v>
      </c>
      <c r="E188" s="67" t="s">
        <v>1160</v>
      </c>
      <c r="F188" s="3" t="s">
        <v>518</v>
      </c>
      <c r="G188" s="3" t="s">
        <v>1161</v>
      </c>
      <c r="H188" s="2">
        <v>2155.17</v>
      </c>
      <c r="I188" s="2">
        <f t="shared" si="15"/>
        <v>344.8272</v>
      </c>
      <c r="J188" s="2"/>
      <c r="K188" s="2">
        <f t="shared" si="17"/>
        <v>2499.9972000000002</v>
      </c>
      <c r="P188" s="1" t="s">
        <v>348</v>
      </c>
    </row>
    <row r="189" spans="1:16" x14ac:dyDescent="0.2">
      <c r="A189" s="1" t="s">
        <v>408</v>
      </c>
      <c r="B189" s="65">
        <v>40330</v>
      </c>
      <c r="C189" s="23" t="s">
        <v>738</v>
      </c>
      <c r="D189" s="66" t="s">
        <v>1162</v>
      </c>
      <c r="E189" s="67" t="s">
        <v>1163</v>
      </c>
      <c r="F189" s="3" t="s">
        <v>201</v>
      </c>
      <c r="G189" s="3" t="s">
        <v>1164</v>
      </c>
      <c r="H189" s="2">
        <v>3620.69</v>
      </c>
      <c r="I189" s="2">
        <f t="shared" si="15"/>
        <v>579.31040000000007</v>
      </c>
      <c r="J189" s="2"/>
      <c r="K189" s="2">
        <f t="shared" si="17"/>
        <v>4200.0003999999999</v>
      </c>
      <c r="P189" s="1" t="s">
        <v>348</v>
      </c>
    </row>
    <row r="190" spans="1:16" x14ac:dyDescent="0.2">
      <c r="A190" s="64" t="s">
        <v>408</v>
      </c>
      <c r="B190" s="76">
        <v>40330</v>
      </c>
      <c r="C190" s="75" t="s">
        <v>764</v>
      </c>
      <c r="D190" s="77" t="s">
        <v>1165</v>
      </c>
      <c r="E190" s="78" t="s">
        <v>1166</v>
      </c>
      <c r="F190" s="79" t="s">
        <v>1167</v>
      </c>
      <c r="G190" s="79" t="s">
        <v>1168</v>
      </c>
      <c r="H190" s="80">
        <f>3017.24/2</f>
        <v>1508.62</v>
      </c>
      <c r="I190" s="80">
        <f t="shared" si="15"/>
        <v>241.3792</v>
      </c>
      <c r="J190" s="80"/>
      <c r="K190" s="80">
        <f t="shared" si="17"/>
        <v>1749.9992</v>
      </c>
      <c r="P190" s="1" t="s">
        <v>348</v>
      </c>
    </row>
    <row r="191" spans="1:16" x14ac:dyDescent="0.2">
      <c r="A191" s="1" t="s">
        <v>408</v>
      </c>
      <c r="B191" s="65">
        <v>40298</v>
      </c>
      <c r="C191" s="23" t="s">
        <v>767</v>
      </c>
      <c r="D191" s="66" t="s">
        <v>1169</v>
      </c>
      <c r="E191" s="67" t="s">
        <v>670</v>
      </c>
      <c r="F191" s="3" t="s">
        <v>201</v>
      </c>
      <c r="G191" s="3" t="s">
        <v>1053</v>
      </c>
      <c r="H191" s="2">
        <v>3275.86</v>
      </c>
      <c r="I191" s="2">
        <f t="shared" si="15"/>
        <v>524.13760000000002</v>
      </c>
      <c r="J191" s="2"/>
      <c r="K191" s="2">
        <f t="shared" si="17"/>
        <v>3799.9976000000001</v>
      </c>
      <c r="P191" s="1" t="s">
        <v>348</v>
      </c>
    </row>
    <row r="192" spans="1:16" x14ac:dyDescent="0.2">
      <c r="A192" s="1" t="s">
        <v>408</v>
      </c>
      <c r="B192" s="65">
        <v>40333</v>
      </c>
      <c r="C192" s="23" t="s">
        <v>773</v>
      </c>
      <c r="D192" s="66" t="s">
        <v>1170</v>
      </c>
      <c r="E192" s="67" t="s">
        <v>1171</v>
      </c>
      <c r="F192" s="3" t="s">
        <v>1172</v>
      </c>
      <c r="G192" s="3" t="s">
        <v>1173</v>
      </c>
      <c r="H192" s="2">
        <v>4310.34</v>
      </c>
      <c r="I192" s="2">
        <f t="shared" si="15"/>
        <v>689.65440000000001</v>
      </c>
      <c r="J192" s="2"/>
      <c r="K192" s="2">
        <f t="shared" si="17"/>
        <v>4999.9944000000005</v>
      </c>
      <c r="P192" s="1" t="s">
        <v>348</v>
      </c>
    </row>
    <row r="193" spans="1:16" x14ac:dyDescent="0.2">
      <c r="A193" s="1" t="s">
        <v>408</v>
      </c>
      <c r="B193" s="65">
        <v>40333</v>
      </c>
      <c r="C193" s="23" t="s">
        <v>778</v>
      </c>
      <c r="D193" s="66" t="s">
        <v>1174</v>
      </c>
      <c r="E193" s="67" t="s">
        <v>1175</v>
      </c>
      <c r="F193" s="3" t="s">
        <v>787</v>
      </c>
      <c r="G193" s="3" t="s">
        <v>1176</v>
      </c>
      <c r="H193" s="2"/>
      <c r="I193" s="2">
        <f t="shared" si="15"/>
        <v>0</v>
      </c>
      <c r="J193" s="2"/>
      <c r="K193" s="2">
        <v>3000</v>
      </c>
      <c r="L193" s="1" t="s">
        <v>303</v>
      </c>
      <c r="P193" s="1" t="s">
        <v>348</v>
      </c>
    </row>
    <row r="194" spans="1:16" x14ac:dyDescent="0.2">
      <c r="A194" s="1" t="s">
        <v>408</v>
      </c>
      <c r="B194" s="65">
        <v>40338</v>
      </c>
      <c r="C194" s="23" t="s">
        <v>782</v>
      </c>
      <c r="D194" s="66" t="s">
        <v>1177</v>
      </c>
      <c r="E194" s="67" t="s">
        <v>1178</v>
      </c>
      <c r="F194" s="3" t="s">
        <v>187</v>
      </c>
      <c r="G194" s="3" t="s">
        <v>491</v>
      </c>
      <c r="H194" s="2">
        <v>3879.31</v>
      </c>
      <c r="I194" s="2">
        <f t="shared" si="15"/>
        <v>620.68960000000004</v>
      </c>
      <c r="J194" s="2"/>
      <c r="K194" s="2">
        <f t="shared" si="17"/>
        <v>4499.9996000000001</v>
      </c>
      <c r="P194" s="1" t="s">
        <v>348</v>
      </c>
    </row>
    <row r="195" spans="1:16" x14ac:dyDescent="0.2">
      <c r="A195" s="1" t="s">
        <v>408</v>
      </c>
      <c r="B195" s="65">
        <v>40338</v>
      </c>
      <c r="C195" s="23" t="s">
        <v>784</v>
      </c>
      <c r="D195" s="66" t="s">
        <v>1179</v>
      </c>
      <c r="E195" s="67" t="s">
        <v>1180</v>
      </c>
      <c r="F195" s="3" t="s">
        <v>239</v>
      </c>
      <c r="G195" s="3" t="s">
        <v>1181</v>
      </c>
      <c r="H195" s="2">
        <v>2586.21</v>
      </c>
      <c r="I195" s="2">
        <f t="shared" si="15"/>
        <v>413.79360000000003</v>
      </c>
      <c r="J195" s="2"/>
      <c r="K195" s="2">
        <f t="shared" si="17"/>
        <v>3000.0036</v>
      </c>
      <c r="P195" s="1" t="s">
        <v>348</v>
      </c>
    </row>
    <row r="196" spans="1:16" x14ac:dyDescent="0.2">
      <c r="A196" s="1" t="s">
        <v>408</v>
      </c>
      <c r="B196" s="65">
        <v>40346</v>
      </c>
      <c r="C196" s="23" t="s">
        <v>789</v>
      </c>
      <c r="D196" s="66" t="s">
        <v>1182</v>
      </c>
      <c r="E196" s="67" t="s">
        <v>1183</v>
      </c>
      <c r="F196" s="3" t="s">
        <v>1184</v>
      </c>
      <c r="G196" s="3" t="s">
        <v>1185</v>
      </c>
      <c r="H196" s="2"/>
      <c r="I196" s="2">
        <f t="shared" si="15"/>
        <v>0</v>
      </c>
      <c r="J196" s="2"/>
      <c r="K196" s="2">
        <v>1600</v>
      </c>
      <c r="L196" s="1" t="s">
        <v>303</v>
      </c>
      <c r="P196" s="1" t="s">
        <v>348</v>
      </c>
    </row>
    <row r="197" spans="1:16" x14ac:dyDescent="0.2">
      <c r="A197" s="1" t="s">
        <v>408</v>
      </c>
      <c r="B197" s="65">
        <v>40352</v>
      </c>
      <c r="C197" s="23" t="s">
        <v>793</v>
      </c>
      <c r="D197" s="66" t="s">
        <v>1186</v>
      </c>
      <c r="E197" s="67" t="s">
        <v>1187</v>
      </c>
      <c r="F197" s="3" t="s">
        <v>1188</v>
      </c>
      <c r="G197" s="3" t="s">
        <v>1189</v>
      </c>
      <c r="H197" s="2"/>
      <c r="I197" s="2">
        <f t="shared" si="15"/>
        <v>0</v>
      </c>
      <c r="J197" s="2"/>
      <c r="K197" s="2">
        <v>2200</v>
      </c>
      <c r="L197" s="1" t="s">
        <v>303</v>
      </c>
      <c r="P197" s="1" t="s">
        <v>348</v>
      </c>
    </row>
    <row r="198" spans="1:16" x14ac:dyDescent="0.2">
      <c r="A198" s="1" t="s">
        <v>408</v>
      </c>
      <c r="B198" s="65">
        <v>40353</v>
      </c>
      <c r="C198" s="23" t="s">
        <v>796</v>
      </c>
      <c r="D198" s="66" t="s">
        <v>1190</v>
      </c>
      <c r="E198" s="67" t="s">
        <v>1191</v>
      </c>
      <c r="F198" s="3" t="s">
        <v>309</v>
      </c>
      <c r="G198" s="3" t="s">
        <v>1192</v>
      </c>
      <c r="H198" s="2">
        <v>3017.24</v>
      </c>
      <c r="I198" s="2">
        <f t="shared" si="15"/>
        <v>482.75839999999999</v>
      </c>
      <c r="J198" s="2"/>
      <c r="K198" s="2">
        <f t="shared" si="17"/>
        <v>3499.9983999999999</v>
      </c>
      <c r="P198" s="1" t="s">
        <v>348</v>
      </c>
    </row>
    <row r="199" spans="1:16" x14ac:dyDescent="0.2">
      <c r="A199" s="1" t="s">
        <v>408</v>
      </c>
      <c r="B199" s="65">
        <v>40354</v>
      </c>
      <c r="C199" s="23" t="s">
        <v>800</v>
      </c>
      <c r="D199" s="66" t="s">
        <v>1193</v>
      </c>
      <c r="E199" s="67" t="s">
        <v>1194</v>
      </c>
      <c r="F199" s="3" t="s">
        <v>1145</v>
      </c>
      <c r="G199" s="3" t="s">
        <v>1195</v>
      </c>
      <c r="H199" s="2">
        <v>5603.45</v>
      </c>
      <c r="I199" s="2">
        <f t="shared" si="15"/>
        <v>896.55200000000002</v>
      </c>
      <c r="J199" s="2"/>
      <c r="K199" s="2">
        <f t="shared" si="17"/>
        <v>6500.0019999999995</v>
      </c>
      <c r="P199" s="1" t="s">
        <v>348</v>
      </c>
    </row>
    <row r="200" spans="1:16" x14ac:dyDescent="0.2">
      <c r="A200" s="1" t="s">
        <v>408</v>
      </c>
      <c r="B200" s="65">
        <v>40354</v>
      </c>
      <c r="C200" s="23" t="s">
        <v>802</v>
      </c>
      <c r="D200" s="66" t="s">
        <v>1196</v>
      </c>
      <c r="E200" s="67" t="s">
        <v>1197</v>
      </c>
      <c r="F200" s="3" t="s">
        <v>218</v>
      </c>
      <c r="G200" s="3" t="s">
        <v>1198</v>
      </c>
      <c r="H200" s="2">
        <v>2887.93</v>
      </c>
      <c r="I200" s="2">
        <f t="shared" si="15"/>
        <v>462.06880000000001</v>
      </c>
      <c r="J200" s="2"/>
      <c r="K200" s="2">
        <f t="shared" si="17"/>
        <v>3349.9987999999998</v>
      </c>
      <c r="P200" s="1" t="s">
        <v>348</v>
      </c>
    </row>
    <row r="201" spans="1:16" x14ac:dyDescent="0.2">
      <c r="A201" s="1" t="s">
        <v>408</v>
      </c>
      <c r="B201" s="65">
        <v>40354</v>
      </c>
      <c r="C201" s="23" t="s">
        <v>806</v>
      </c>
      <c r="D201" s="66" t="s">
        <v>1199</v>
      </c>
      <c r="E201" s="67" t="s">
        <v>1200</v>
      </c>
      <c r="F201" s="3" t="s">
        <v>218</v>
      </c>
      <c r="G201" s="3" t="s">
        <v>1201</v>
      </c>
      <c r="H201" s="2">
        <v>2844.83</v>
      </c>
      <c r="I201" s="2">
        <f t="shared" si="15"/>
        <v>455.1728</v>
      </c>
      <c r="J201" s="2"/>
      <c r="K201" s="2">
        <f t="shared" si="17"/>
        <v>3300.0027999999998</v>
      </c>
      <c r="P201" s="1" t="s">
        <v>348</v>
      </c>
    </row>
    <row r="202" spans="1:16" x14ac:dyDescent="0.2">
      <c r="A202" s="1" t="s">
        <v>408</v>
      </c>
      <c r="B202" s="65">
        <v>40354</v>
      </c>
      <c r="C202" s="23" t="s">
        <v>811</v>
      </c>
      <c r="D202" s="66" t="s">
        <v>1202</v>
      </c>
      <c r="E202" s="67" t="s">
        <v>1203</v>
      </c>
      <c r="F202" s="1" t="s">
        <v>1172</v>
      </c>
      <c r="G202" s="3" t="s">
        <v>887</v>
      </c>
      <c r="H202" s="2">
        <v>3879.31</v>
      </c>
      <c r="I202" s="2">
        <f t="shared" si="15"/>
        <v>620.68960000000004</v>
      </c>
      <c r="J202" s="2"/>
      <c r="K202" s="2">
        <f t="shared" si="17"/>
        <v>4499.9996000000001</v>
      </c>
      <c r="P202" s="1" t="s">
        <v>348</v>
      </c>
    </row>
    <row r="203" spans="1:16" x14ac:dyDescent="0.2">
      <c r="A203" s="1" t="s">
        <v>408</v>
      </c>
      <c r="B203" s="65">
        <v>40354</v>
      </c>
      <c r="C203" s="23" t="s">
        <v>815</v>
      </c>
      <c r="D203" s="66" t="s">
        <v>1386</v>
      </c>
      <c r="E203" s="67"/>
      <c r="F203" s="3" t="s">
        <v>201</v>
      </c>
      <c r="G203" s="3" t="s">
        <v>1204</v>
      </c>
      <c r="H203" s="2">
        <v>3362.07</v>
      </c>
      <c r="I203" s="2">
        <f t="shared" si="15"/>
        <v>537.93119999999999</v>
      </c>
      <c r="J203" s="2"/>
      <c r="K203" s="2">
        <f t="shared" si="17"/>
        <v>3900.0012000000002</v>
      </c>
      <c r="P203" s="1" t="s">
        <v>348</v>
      </c>
    </row>
    <row r="204" spans="1:16" x14ac:dyDescent="0.2">
      <c r="A204" s="1" t="s">
        <v>408</v>
      </c>
      <c r="B204" s="65">
        <v>40354</v>
      </c>
      <c r="C204" s="23" t="s">
        <v>821</v>
      </c>
      <c r="D204" s="66" t="s">
        <v>1205</v>
      </c>
      <c r="E204" s="67" t="s">
        <v>1206</v>
      </c>
      <c r="F204" s="3" t="s">
        <v>1207</v>
      </c>
      <c r="G204" s="3" t="s">
        <v>1208</v>
      </c>
      <c r="H204" s="2"/>
      <c r="I204" s="2">
        <f t="shared" si="15"/>
        <v>0</v>
      </c>
      <c r="J204" s="2"/>
      <c r="K204" s="2">
        <v>3500</v>
      </c>
      <c r="L204" s="1" t="s">
        <v>303</v>
      </c>
      <c r="P204" s="1" t="s">
        <v>348</v>
      </c>
    </row>
    <row r="205" spans="1:16" x14ac:dyDescent="0.2">
      <c r="A205" s="1" t="s">
        <v>408</v>
      </c>
      <c r="B205" s="65">
        <v>40359</v>
      </c>
      <c r="C205" s="23" t="s">
        <v>825</v>
      </c>
      <c r="D205" s="66" t="s">
        <v>1169</v>
      </c>
      <c r="E205" s="67" t="s">
        <v>1209</v>
      </c>
      <c r="F205" s="3" t="s">
        <v>276</v>
      </c>
      <c r="G205" s="3" t="s">
        <v>1210</v>
      </c>
      <c r="H205" s="2">
        <v>4482.76</v>
      </c>
      <c r="I205" s="2">
        <f t="shared" si="15"/>
        <v>717.24160000000006</v>
      </c>
      <c r="J205" s="2"/>
      <c r="K205" s="2">
        <f t="shared" si="17"/>
        <v>5200.0016000000005</v>
      </c>
      <c r="P205" s="1" t="s">
        <v>348</v>
      </c>
    </row>
    <row r="206" spans="1:16" x14ac:dyDescent="0.2">
      <c r="A206" s="1" t="s">
        <v>408</v>
      </c>
      <c r="B206" s="65">
        <v>40359</v>
      </c>
      <c r="C206" s="23" t="s">
        <v>1062</v>
      </c>
      <c r="D206" s="66" t="s">
        <v>1211</v>
      </c>
      <c r="E206" s="67" t="s">
        <v>1212</v>
      </c>
      <c r="F206" s="3" t="s">
        <v>246</v>
      </c>
      <c r="G206" s="3" t="s">
        <v>1213</v>
      </c>
      <c r="H206" s="2">
        <v>2155.17</v>
      </c>
      <c r="I206" s="2">
        <f t="shared" si="15"/>
        <v>344.8272</v>
      </c>
      <c r="J206" s="2"/>
      <c r="K206" s="2">
        <f t="shared" si="17"/>
        <v>2499.9972000000002</v>
      </c>
      <c r="P206" s="1" t="s">
        <v>348</v>
      </c>
    </row>
    <row r="207" spans="1:16" x14ac:dyDescent="0.2">
      <c r="A207" s="1" t="s">
        <v>408</v>
      </c>
      <c r="B207" s="65">
        <v>40359</v>
      </c>
      <c r="C207" s="23" t="s">
        <v>833</v>
      </c>
      <c r="D207" s="66" t="s">
        <v>286</v>
      </c>
      <c r="E207" s="67" t="s">
        <v>287</v>
      </c>
      <c r="F207" s="3" t="s">
        <v>239</v>
      </c>
      <c r="G207" s="3" t="s">
        <v>1214</v>
      </c>
      <c r="H207" s="2">
        <v>2413.79</v>
      </c>
      <c r="I207" s="2">
        <f t="shared" si="15"/>
        <v>386.20640000000003</v>
      </c>
      <c r="J207" s="2"/>
      <c r="K207" s="2">
        <f t="shared" si="17"/>
        <v>2799.9964</v>
      </c>
      <c r="P207" s="1" t="s">
        <v>348</v>
      </c>
    </row>
    <row r="208" spans="1:16" x14ac:dyDescent="0.2">
      <c r="A208" s="1" t="s">
        <v>408</v>
      </c>
      <c r="B208" s="65">
        <v>40359</v>
      </c>
      <c r="C208" s="23" t="s">
        <v>835</v>
      </c>
      <c r="D208" s="66" t="s">
        <v>1199</v>
      </c>
      <c r="E208" s="67" t="s">
        <v>1200</v>
      </c>
      <c r="F208" s="3" t="s">
        <v>218</v>
      </c>
      <c r="G208" s="3" t="s">
        <v>877</v>
      </c>
      <c r="H208" s="2">
        <v>2586.21</v>
      </c>
      <c r="I208" s="2">
        <f t="shared" si="15"/>
        <v>413.79360000000003</v>
      </c>
      <c r="J208" s="2"/>
      <c r="K208" s="2">
        <f t="shared" si="17"/>
        <v>3000.0036</v>
      </c>
      <c r="P208" s="1" t="s">
        <v>348</v>
      </c>
    </row>
    <row r="209" spans="1:16" x14ac:dyDescent="0.2">
      <c r="A209" s="1" t="s">
        <v>408</v>
      </c>
      <c r="B209" s="65">
        <v>40359</v>
      </c>
      <c r="C209" s="23" t="s">
        <v>841</v>
      </c>
      <c r="D209" s="66" t="s">
        <v>1215</v>
      </c>
      <c r="E209" s="67" t="s">
        <v>1216</v>
      </c>
      <c r="F209" s="3" t="s">
        <v>201</v>
      </c>
      <c r="G209" s="3" t="s">
        <v>1217</v>
      </c>
      <c r="H209" s="1">
        <v>2844.83</v>
      </c>
      <c r="I209" s="2">
        <f t="shared" si="15"/>
        <v>455.1728</v>
      </c>
      <c r="K209" s="2">
        <f t="shared" si="17"/>
        <v>3300.0027999999998</v>
      </c>
      <c r="P209" s="1" t="s">
        <v>348</v>
      </c>
    </row>
    <row r="210" spans="1:16" x14ac:dyDescent="0.2">
      <c r="A210" s="1" t="s">
        <v>408</v>
      </c>
      <c r="B210" s="65">
        <v>40359</v>
      </c>
      <c r="C210" s="23" t="s">
        <v>845</v>
      </c>
      <c r="D210" s="66" t="s">
        <v>1218</v>
      </c>
      <c r="E210" s="67" t="s">
        <v>1219</v>
      </c>
      <c r="F210" s="3" t="s">
        <v>239</v>
      </c>
      <c r="G210" s="3" t="s">
        <v>1220</v>
      </c>
      <c r="H210" s="1">
        <v>2586.21</v>
      </c>
      <c r="I210" s="2">
        <f t="shared" si="15"/>
        <v>413.79360000000003</v>
      </c>
      <c r="K210" s="2">
        <f t="shared" si="17"/>
        <v>3000.0036</v>
      </c>
      <c r="P210" s="1" t="s">
        <v>348</v>
      </c>
    </row>
    <row r="211" spans="1:16" x14ac:dyDescent="0.2">
      <c r="A211" s="1" t="s">
        <v>408</v>
      </c>
      <c r="B211" s="65">
        <v>40359</v>
      </c>
      <c r="C211" s="23" t="s">
        <v>848</v>
      </c>
      <c r="D211" s="66" t="s">
        <v>1221</v>
      </c>
      <c r="E211" s="67" t="s">
        <v>1222</v>
      </c>
      <c r="F211" s="3" t="s">
        <v>313</v>
      </c>
      <c r="G211" s="3" t="s">
        <v>1223</v>
      </c>
      <c r="H211" s="1">
        <v>4051.72</v>
      </c>
      <c r="I211" s="2">
        <f t="shared" si="15"/>
        <v>648.27519999999993</v>
      </c>
      <c r="K211" s="2">
        <f t="shared" si="17"/>
        <v>4699.9951999999994</v>
      </c>
      <c r="P211" s="1" t="s">
        <v>348</v>
      </c>
    </row>
    <row r="212" spans="1:16" x14ac:dyDescent="0.2">
      <c r="A212" s="1" t="s">
        <v>408</v>
      </c>
      <c r="B212" s="65">
        <v>40359</v>
      </c>
      <c r="C212" s="23" t="s">
        <v>851</v>
      </c>
      <c r="D212" s="66" t="s">
        <v>1224</v>
      </c>
      <c r="E212" s="67" t="s">
        <v>1225</v>
      </c>
      <c r="F212" s="3" t="s">
        <v>313</v>
      </c>
      <c r="G212" s="3" t="s">
        <v>914</v>
      </c>
      <c r="H212" s="1">
        <v>5948.28</v>
      </c>
      <c r="I212" s="2">
        <f t="shared" si="15"/>
        <v>951.72479999999996</v>
      </c>
      <c r="K212" s="2">
        <f t="shared" si="17"/>
        <v>6900.0047999999997</v>
      </c>
      <c r="P212" s="1" t="s">
        <v>348</v>
      </c>
    </row>
    <row r="213" spans="1:16" x14ac:dyDescent="0.2">
      <c r="A213" s="1" t="s">
        <v>408</v>
      </c>
      <c r="B213" s="65">
        <v>40359</v>
      </c>
      <c r="C213" s="23" t="s">
        <v>853</v>
      </c>
      <c r="D213" s="66" t="s">
        <v>1226</v>
      </c>
      <c r="E213" s="67" t="s">
        <v>1227</v>
      </c>
      <c r="F213" s="3" t="s">
        <v>183</v>
      </c>
      <c r="G213" s="3" t="s">
        <v>1228</v>
      </c>
      <c r="H213" s="1">
        <v>2844.83</v>
      </c>
      <c r="I213" s="2">
        <f t="shared" si="15"/>
        <v>455.1728</v>
      </c>
      <c r="K213" s="2">
        <f t="shared" ref="K213:K224" si="18">H213+I213</f>
        <v>3300.0027999999998</v>
      </c>
      <c r="P213" s="1" t="s">
        <v>348</v>
      </c>
    </row>
    <row r="214" spans="1:16" x14ac:dyDescent="0.2">
      <c r="A214" s="1" t="s">
        <v>12</v>
      </c>
      <c r="B214" s="4">
        <v>40333</v>
      </c>
      <c r="C214" s="8">
        <v>2010100981</v>
      </c>
      <c r="D214" s="1" t="s">
        <v>14</v>
      </c>
      <c r="E214" s="1" t="s">
        <v>13</v>
      </c>
      <c r="F214" s="1" t="s">
        <v>53</v>
      </c>
      <c r="G214" s="1" t="s">
        <v>1229</v>
      </c>
      <c r="H214" s="1">
        <v>3454.38</v>
      </c>
      <c r="I214" s="2">
        <f t="shared" si="15"/>
        <v>552.70080000000007</v>
      </c>
      <c r="J214" s="2"/>
      <c r="K214" s="2">
        <f t="shared" si="18"/>
        <v>4007.0808000000002</v>
      </c>
      <c r="P214" s="1" t="s">
        <v>348</v>
      </c>
    </row>
    <row r="215" spans="1:16" x14ac:dyDescent="0.2">
      <c r="A215" s="1" t="s">
        <v>12</v>
      </c>
      <c r="B215" s="4">
        <v>40333</v>
      </c>
      <c r="C215" s="8">
        <v>2010100982</v>
      </c>
      <c r="D215" s="1" t="s">
        <v>14</v>
      </c>
      <c r="E215" s="1" t="s">
        <v>13</v>
      </c>
      <c r="F215" s="1" t="s">
        <v>1012</v>
      </c>
      <c r="G215" s="1" t="s">
        <v>1230</v>
      </c>
      <c r="H215" s="1">
        <v>3977.98</v>
      </c>
      <c r="I215" s="2">
        <f t="shared" si="15"/>
        <v>636.47680000000003</v>
      </c>
      <c r="J215" s="2"/>
      <c r="K215" s="2">
        <f t="shared" si="18"/>
        <v>4614.4567999999999</v>
      </c>
      <c r="P215" s="1" t="s">
        <v>348</v>
      </c>
    </row>
    <row r="216" spans="1:16" x14ac:dyDescent="0.2">
      <c r="A216" s="1" t="s">
        <v>12</v>
      </c>
      <c r="B216" s="4">
        <v>40333</v>
      </c>
      <c r="C216" s="8">
        <v>2010100979</v>
      </c>
      <c r="D216" s="1" t="s">
        <v>14</v>
      </c>
      <c r="E216" s="1" t="s">
        <v>13</v>
      </c>
      <c r="F216" s="1" t="s">
        <v>47</v>
      </c>
      <c r="G216" s="1" t="s">
        <v>1231</v>
      </c>
      <c r="H216" s="1">
        <v>1724.14</v>
      </c>
      <c r="I216" s="2">
        <f t="shared" si="15"/>
        <v>275.86240000000004</v>
      </c>
      <c r="J216" s="2"/>
      <c r="K216" s="2">
        <f t="shared" si="18"/>
        <v>2000.0024000000001</v>
      </c>
      <c r="P216" s="1" t="s">
        <v>348</v>
      </c>
    </row>
    <row r="217" spans="1:16" x14ac:dyDescent="0.2">
      <c r="A217" s="1" t="s">
        <v>12</v>
      </c>
      <c r="B217" s="4">
        <v>40333</v>
      </c>
      <c r="C217" s="8">
        <v>2010100980</v>
      </c>
      <c r="D217" s="1" t="s">
        <v>14</v>
      </c>
      <c r="E217" s="1" t="s">
        <v>13</v>
      </c>
      <c r="F217" s="1" t="s">
        <v>39</v>
      </c>
      <c r="G217" s="1" t="s">
        <v>1232</v>
      </c>
      <c r="H217" s="1">
        <v>2437.4899999999998</v>
      </c>
      <c r="I217" s="2">
        <f t="shared" si="15"/>
        <v>389.99839999999995</v>
      </c>
      <c r="J217" s="2"/>
      <c r="K217" s="2">
        <f t="shared" si="18"/>
        <v>2827.4883999999997</v>
      </c>
      <c r="P217" s="1" t="s">
        <v>348</v>
      </c>
    </row>
    <row r="218" spans="1:16" x14ac:dyDescent="0.2">
      <c r="A218" s="1" t="s">
        <v>12</v>
      </c>
      <c r="B218" s="4">
        <v>40354</v>
      </c>
      <c r="C218" s="8">
        <v>2010101094</v>
      </c>
      <c r="D218" s="1" t="s">
        <v>14</v>
      </c>
      <c r="E218" s="1" t="s">
        <v>13</v>
      </c>
      <c r="F218" s="1" t="s">
        <v>1172</v>
      </c>
      <c r="G218" s="1" t="s">
        <v>1233</v>
      </c>
      <c r="H218" s="1">
        <v>3428.97</v>
      </c>
      <c r="I218" s="2">
        <f t="shared" si="15"/>
        <v>548.63519999999994</v>
      </c>
      <c r="J218" s="2"/>
      <c r="K218" s="2">
        <f t="shared" si="18"/>
        <v>3977.6052</v>
      </c>
      <c r="L218" s="1" t="s">
        <v>1904</v>
      </c>
      <c r="P218" s="1" t="s">
        <v>348</v>
      </c>
    </row>
    <row r="219" spans="1:16" x14ac:dyDescent="0.2">
      <c r="A219" s="1" t="s">
        <v>12</v>
      </c>
      <c r="B219" s="4">
        <v>40354</v>
      </c>
      <c r="C219" s="8">
        <v>2010101095</v>
      </c>
      <c r="D219" s="1" t="s">
        <v>14</v>
      </c>
      <c r="E219" s="1" t="s">
        <v>13</v>
      </c>
      <c r="F219" s="1" t="s">
        <v>70</v>
      </c>
      <c r="G219" s="1" t="s">
        <v>1234</v>
      </c>
      <c r="H219" s="1">
        <v>4594.16</v>
      </c>
      <c r="I219" s="2">
        <f t="shared" si="15"/>
        <v>735.06560000000002</v>
      </c>
      <c r="J219" s="2"/>
      <c r="K219" s="2">
        <f t="shared" si="18"/>
        <v>5329.2255999999998</v>
      </c>
      <c r="P219" s="1" t="s">
        <v>348</v>
      </c>
    </row>
    <row r="220" spans="1:16" x14ac:dyDescent="0.2">
      <c r="A220" s="1" t="s">
        <v>12</v>
      </c>
      <c r="B220" s="4">
        <v>40354</v>
      </c>
      <c r="C220" s="8">
        <v>2010101096</v>
      </c>
      <c r="D220" s="1" t="s">
        <v>14</v>
      </c>
      <c r="E220" s="1" t="s">
        <v>13</v>
      </c>
      <c r="F220" s="1" t="s">
        <v>1172</v>
      </c>
      <c r="G220" s="1" t="s">
        <v>1235</v>
      </c>
      <c r="H220" s="1">
        <v>4509.78</v>
      </c>
      <c r="I220" s="2">
        <f t="shared" si="15"/>
        <v>721.56479999999999</v>
      </c>
      <c r="J220" s="2"/>
      <c r="K220" s="2">
        <f t="shared" si="18"/>
        <v>5231.3447999999999</v>
      </c>
      <c r="P220" s="1" t="s">
        <v>348</v>
      </c>
    </row>
    <row r="221" spans="1:16" x14ac:dyDescent="0.2">
      <c r="A221" s="1" t="s">
        <v>12</v>
      </c>
      <c r="B221" s="4">
        <v>40354</v>
      </c>
      <c r="C221" s="8">
        <v>2010101097</v>
      </c>
      <c r="D221" s="1" t="s">
        <v>14</v>
      </c>
      <c r="E221" s="1" t="s">
        <v>13</v>
      </c>
      <c r="F221" s="1" t="s">
        <v>1237</v>
      </c>
      <c r="G221" s="1" t="s">
        <v>1236</v>
      </c>
      <c r="H221" s="1">
        <v>5603.45</v>
      </c>
      <c r="I221" s="2">
        <f>+H221*0.16</f>
        <v>896.55200000000002</v>
      </c>
      <c r="J221" s="2"/>
      <c r="K221" s="2">
        <f t="shared" si="18"/>
        <v>6500.0019999999995</v>
      </c>
      <c r="P221" s="1" t="s">
        <v>348</v>
      </c>
    </row>
    <row r="222" spans="1:16" x14ac:dyDescent="0.2">
      <c r="A222" s="1" t="s">
        <v>12</v>
      </c>
      <c r="B222" s="4">
        <v>40354</v>
      </c>
      <c r="C222" s="8">
        <v>2010101098</v>
      </c>
      <c r="D222" s="1" t="s">
        <v>14</v>
      </c>
      <c r="E222" s="1" t="s">
        <v>13</v>
      </c>
      <c r="F222" s="1" t="s">
        <v>51</v>
      </c>
      <c r="G222" s="1" t="s">
        <v>1238</v>
      </c>
      <c r="H222" s="1">
        <v>7208.31</v>
      </c>
      <c r="I222" s="2">
        <f>+H222*0.16</f>
        <v>1153.3296</v>
      </c>
      <c r="J222" s="2"/>
      <c r="K222" s="2">
        <f t="shared" si="18"/>
        <v>8361.6396000000004</v>
      </c>
      <c r="P222" s="1" t="s">
        <v>348</v>
      </c>
    </row>
    <row r="223" spans="1:16" x14ac:dyDescent="0.2">
      <c r="A223" s="1" t="s">
        <v>12</v>
      </c>
      <c r="B223" s="4">
        <v>40359</v>
      </c>
      <c r="C223" s="8">
        <v>2010101135</v>
      </c>
      <c r="D223" s="1" t="s">
        <v>14</v>
      </c>
      <c r="E223" s="1" t="s">
        <v>13</v>
      </c>
      <c r="F223" s="1" t="s">
        <v>1035</v>
      </c>
      <c r="G223" s="1" t="s">
        <v>1239</v>
      </c>
      <c r="H223" s="1">
        <v>5126.84</v>
      </c>
      <c r="I223" s="2">
        <f>+H223*0.16</f>
        <v>820.2944</v>
      </c>
      <c r="J223" s="2"/>
      <c r="K223" s="2">
        <f t="shared" si="18"/>
        <v>5947.1343999999999</v>
      </c>
      <c r="P223" s="1" t="s">
        <v>348</v>
      </c>
    </row>
    <row r="224" spans="1:16" x14ac:dyDescent="0.2">
      <c r="A224" s="1" t="s">
        <v>12</v>
      </c>
      <c r="B224" s="4">
        <v>40359</v>
      </c>
      <c r="C224" s="8">
        <v>2010101136</v>
      </c>
      <c r="D224" s="1" t="s">
        <v>14</v>
      </c>
      <c r="E224" s="1" t="s">
        <v>13</v>
      </c>
      <c r="F224" s="1" t="s">
        <v>65</v>
      </c>
      <c r="G224" s="1" t="s">
        <v>1240</v>
      </c>
      <c r="H224" s="1">
        <v>2283.09</v>
      </c>
      <c r="I224" s="2">
        <f>+H224*0.16</f>
        <v>365.29440000000005</v>
      </c>
      <c r="J224" s="2"/>
      <c r="K224" s="2">
        <f t="shared" si="18"/>
        <v>2648.3844000000004</v>
      </c>
      <c r="P224" s="1" t="s">
        <v>348</v>
      </c>
    </row>
    <row r="225" spans="1:16" x14ac:dyDescent="0.2">
      <c r="A225" s="1" t="s">
        <v>12</v>
      </c>
      <c r="B225" s="4">
        <v>40344</v>
      </c>
      <c r="C225" s="8">
        <v>2010101027</v>
      </c>
      <c r="D225" s="1" t="s">
        <v>14</v>
      </c>
      <c r="E225" s="1" t="s">
        <v>13</v>
      </c>
      <c r="F225" s="1" t="s">
        <v>44</v>
      </c>
      <c r="G225" s="1" t="s">
        <v>1241</v>
      </c>
      <c r="H225" s="1">
        <v>2045.43</v>
      </c>
      <c r="I225" s="2">
        <f t="shared" ref="I225:I230" si="19">+H225*0.16</f>
        <v>327.2688</v>
      </c>
      <c r="J225" s="2"/>
      <c r="K225" s="2">
        <f t="shared" ref="K225:K230" si="20">H225+I225</f>
        <v>2372.6988000000001</v>
      </c>
      <c r="P225" s="1" t="s">
        <v>348</v>
      </c>
    </row>
    <row r="226" spans="1:16" x14ac:dyDescent="0.2">
      <c r="A226" s="1" t="s">
        <v>12</v>
      </c>
      <c r="B226" s="4">
        <v>40344</v>
      </c>
      <c r="C226" s="8">
        <v>2010101028</v>
      </c>
      <c r="D226" s="1" t="s">
        <v>14</v>
      </c>
      <c r="E226" s="1" t="s">
        <v>13</v>
      </c>
      <c r="F226" s="1" t="s">
        <v>309</v>
      </c>
      <c r="G226" s="1" t="s">
        <v>1242</v>
      </c>
      <c r="H226" s="1">
        <v>2068.9699999999998</v>
      </c>
      <c r="I226" s="2">
        <f t="shared" si="19"/>
        <v>331.03519999999997</v>
      </c>
      <c r="J226" s="2"/>
      <c r="K226" s="2">
        <f t="shared" si="20"/>
        <v>2400.0051999999996</v>
      </c>
      <c r="P226" s="1" t="s">
        <v>348</v>
      </c>
    </row>
    <row r="227" spans="1:16" x14ac:dyDescent="0.2">
      <c r="A227" s="1" t="s">
        <v>12</v>
      </c>
      <c r="B227" s="4">
        <v>40344</v>
      </c>
      <c r="C227" s="8">
        <v>2010101029</v>
      </c>
      <c r="D227" s="1" t="s">
        <v>14</v>
      </c>
      <c r="E227" s="1" t="s">
        <v>13</v>
      </c>
      <c r="F227" s="1" t="s">
        <v>1243</v>
      </c>
      <c r="G227" s="1" t="s">
        <v>1244</v>
      </c>
      <c r="H227" s="1">
        <v>4666.08</v>
      </c>
      <c r="I227" s="2">
        <f t="shared" si="19"/>
        <v>746.57280000000003</v>
      </c>
      <c r="J227" s="2"/>
      <c r="K227" s="2">
        <f t="shared" si="20"/>
        <v>5412.6527999999998</v>
      </c>
      <c r="P227" s="1" t="s">
        <v>348</v>
      </c>
    </row>
    <row r="228" spans="1:16" x14ac:dyDescent="0.2">
      <c r="A228" s="1" t="s">
        <v>12</v>
      </c>
      <c r="B228" s="4">
        <v>40344</v>
      </c>
      <c r="C228" s="8">
        <v>2010101026</v>
      </c>
      <c r="D228" s="1" t="s">
        <v>14</v>
      </c>
      <c r="E228" s="1" t="s">
        <v>13</v>
      </c>
      <c r="F228" s="1" t="s">
        <v>44</v>
      </c>
      <c r="G228" s="1" t="s">
        <v>1245</v>
      </c>
      <c r="H228" s="1">
        <v>1796.93</v>
      </c>
      <c r="I228" s="2">
        <f t="shared" si="19"/>
        <v>287.50880000000001</v>
      </c>
      <c r="J228" s="2"/>
      <c r="K228" s="2">
        <f t="shared" si="20"/>
        <v>2084.4387999999999</v>
      </c>
      <c r="P228" s="1" t="s">
        <v>348</v>
      </c>
    </row>
    <row r="229" spans="1:16" x14ac:dyDescent="0.2">
      <c r="A229" s="1" t="s">
        <v>12</v>
      </c>
      <c r="B229" s="4">
        <v>40345</v>
      </c>
      <c r="C229" s="8">
        <v>201001609</v>
      </c>
      <c r="D229" s="1" t="s">
        <v>1246</v>
      </c>
      <c r="E229" s="1" t="s">
        <v>1247</v>
      </c>
      <c r="F229" s="1" t="s">
        <v>1248</v>
      </c>
      <c r="G229" s="1" t="s">
        <v>1249</v>
      </c>
      <c r="H229" s="1">
        <v>4500</v>
      </c>
      <c r="I229" s="1">
        <f t="shared" si="19"/>
        <v>720</v>
      </c>
      <c r="K229" s="1">
        <f t="shared" si="20"/>
        <v>5220</v>
      </c>
      <c r="L229" s="1" t="s">
        <v>1324</v>
      </c>
      <c r="M229" s="1" t="s">
        <v>1325</v>
      </c>
      <c r="N229" s="4">
        <v>40359</v>
      </c>
      <c r="P229" s="1" t="s">
        <v>348</v>
      </c>
    </row>
    <row r="230" spans="1:16" x14ac:dyDescent="0.2">
      <c r="A230" s="1" t="s">
        <v>12</v>
      </c>
      <c r="B230" s="4">
        <v>40347</v>
      </c>
      <c r="C230" s="8" t="s">
        <v>1250</v>
      </c>
      <c r="D230" s="1" t="s">
        <v>1251</v>
      </c>
      <c r="E230" s="1" t="s">
        <v>1252</v>
      </c>
      <c r="F230" s="1" t="s">
        <v>1253</v>
      </c>
      <c r="G230" s="1" t="s">
        <v>1254</v>
      </c>
      <c r="H230" s="1">
        <v>15517.24</v>
      </c>
      <c r="I230" s="2">
        <f t="shared" si="19"/>
        <v>2482.7584000000002</v>
      </c>
      <c r="J230" s="2"/>
      <c r="K230" s="2">
        <f t="shared" si="20"/>
        <v>17999.9984</v>
      </c>
      <c r="P230" s="1" t="s">
        <v>348</v>
      </c>
    </row>
    <row r="231" spans="1:16" x14ac:dyDescent="0.2">
      <c r="A231" s="1" t="s">
        <v>12</v>
      </c>
      <c r="B231" s="4">
        <v>40355</v>
      </c>
      <c r="C231" s="8" t="s">
        <v>951</v>
      </c>
      <c r="D231" s="1" t="s">
        <v>1255</v>
      </c>
      <c r="E231" s="1" t="s">
        <v>1256</v>
      </c>
      <c r="F231" s="1" t="s">
        <v>1012</v>
      </c>
      <c r="G231" s="1" t="s">
        <v>1257</v>
      </c>
      <c r="K231" s="1">
        <v>4100</v>
      </c>
      <c r="L231" s="1" t="s">
        <v>303</v>
      </c>
      <c r="M231" s="1" t="s">
        <v>1904</v>
      </c>
      <c r="P231" s="1" t="s">
        <v>348</v>
      </c>
    </row>
    <row r="232" spans="1:16" x14ac:dyDescent="0.2">
      <c r="A232" s="1" t="s">
        <v>12</v>
      </c>
      <c r="B232" s="4">
        <v>40338</v>
      </c>
      <c r="C232" s="8" t="s">
        <v>1258</v>
      </c>
      <c r="D232" s="1" t="s">
        <v>1259</v>
      </c>
      <c r="E232" s="1" t="s">
        <v>1260</v>
      </c>
      <c r="F232" s="1" t="s">
        <v>1012</v>
      </c>
      <c r="G232" s="1" t="s">
        <v>1261</v>
      </c>
      <c r="H232" s="1">
        <v>3793.1</v>
      </c>
      <c r="I232" s="2">
        <f>+H232*0.16</f>
        <v>606.89599999999996</v>
      </c>
      <c r="J232" s="2"/>
      <c r="K232" s="2">
        <f>H232+I232</f>
        <v>4399.9960000000001</v>
      </c>
      <c r="P232" s="1" t="s">
        <v>348</v>
      </c>
    </row>
    <row r="233" spans="1:16" x14ac:dyDescent="0.2">
      <c r="A233" s="1" t="s">
        <v>12</v>
      </c>
      <c r="B233" s="4">
        <v>40313</v>
      </c>
      <c r="C233" s="8" t="s">
        <v>951</v>
      </c>
      <c r="D233" s="1" t="s">
        <v>1262</v>
      </c>
      <c r="E233" s="1" t="s">
        <v>1263</v>
      </c>
      <c r="F233" s="1" t="s">
        <v>70</v>
      </c>
      <c r="G233" s="1" t="s">
        <v>1264</v>
      </c>
      <c r="K233" s="1">
        <v>3600</v>
      </c>
      <c r="L233" s="1" t="s">
        <v>303</v>
      </c>
      <c r="P233" s="1" t="s">
        <v>348</v>
      </c>
    </row>
    <row r="234" spans="1:16" x14ac:dyDescent="0.2">
      <c r="A234" s="1" t="s">
        <v>12</v>
      </c>
      <c r="B234" s="4">
        <v>40310</v>
      </c>
      <c r="C234" s="8" t="s">
        <v>1265</v>
      </c>
      <c r="D234" s="1" t="s">
        <v>25</v>
      </c>
      <c r="E234" s="1" t="s">
        <v>26</v>
      </c>
      <c r="F234" s="1" t="s">
        <v>1167</v>
      </c>
      <c r="G234" s="1" t="s">
        <v>1266</v>
      </c>
      <c r="H234" s="1">
        <v>3103.45</v>
      </c>
      <c r="I234" s="2">
        <f t="shared" ref="I234:I241" si="21">+H234*0.16</f>
        <v>496.55199999999996</v>
      </c>
      <c r="J234" s="2"/>
      <c r="K234" s="2">
        <f t="shared" ref="K234:K244" si="22">H234+I234</f>
        <v>3600.002</v>
      </c>
      <c r="P234" s="1" t="s">
        <v>348</v>
      </c>
    </row>
    <row r="235" spans="1:16" x14ac:dyDescent="0.2">
      <c r="A235" s="1" t="s">
        <v>408</v>
      </c>
      <c r="B235" s="4">
        <v>40325</v>
      </c>
      <c r="C235" s="8">
        <v>275</v>
      </c>
      <c r="D235" s="1" t="s">
        <v>1267</v>
      </c>
      <c r="E235" s="1" t="s">
        <v>1268</v>
      </c>
      <c r="F235" s="1" t="s">
        <v>978</v>
      </c>
      <c r="G235" s="1" t="s">
        <v>1024</v>
      </c>
      <c r="H235" s="2">
        <f>12000/1.16</f>
        <v>10344.827586206897</v>
      </c>
      <c r="I235" s="2">
        <f t="shared" si="21"/>
        <v>1655.1724137931035</v>
      </c>
      <c r="J235" s="2"/>
      <c r="K235" s="2">
        <f t="shared" si="22"/>
        <v>12000</v>
      </c>
      <c r="P235" s="1" t="s">
        <v>348</v>
      </c>
    </row>
    <row r="236" spans="1:16" x14ac:dyDescent="0.2">
      <c r="A236" s="1" t="s">
        <v>408</v>
      </c>
      <c r="B236" s="4">
        <v>40359</v>
      </c>
      <c r="C236" s="8" t="s">
        <v>947</v>
      </c>
      <c r="D236" s="1" t="s">
        <v>1269</v>
      </c>
      <c r="E236" s="1" t="s">
        <v>1270</v>
      </c>
      <c r="F236" s="1" t="s">
        <v>1271</v>
      </c>
      <c r="G236" s="1" t="s">
        <v>1020</v>
      </c>
      <c r="H236" s="2">
        <f>3200/1.16</f>
        <v>2758.6206896551726</v>
      </c>
      <c r="I236" s="2">
        <f t="shared" si="21"/>
        <v>441.37931034482762</v>
      </c>
      <c r="J236" s="2"/>
      <c r="K236" s="2">
        <f t="shared" si="22"/>
        <v>3200</v>
      </c>
      <c r="P236" s="1" t="s">
        <v>348</v>
      </c>
    </row>
    <row r="237" spans="1:16" x14ac:dyDescent="0.2">
      <c r="A237" s="1" t="s">
        <v>408</v>
      </c>
      <c r="B237" s="4">
        <v>40359</v>
      </c>
      <c r="C237" s="8" t="s">
        <v>1397</v>
      </c>
      <c r="D237" s="1" t="s">
        <v>1269</v>
      </c>
      <c r="E237" s="1" t="s">
        <v>1270</v>
      </c>
      <c r="F237" s="1" t="s">
        <v>1272</v>
      </c>
      <c r="G237" s="1" t="s">
        <v>1273</v>
      </c>
      <c r="H237" s="2">
        <f>3200/1.16</f>
        <v>2758.6206896551726</v>
      </c>
      <c r="I237" s="2">
        <f t="shared" si="21"/>
        <v>441.37931034482762</v>
      </c>
      <c r="J237" s="2"/>
      <c r="K237" s="2">
        <f t="shared" si="22"/>
        <v>3200</v>
      </c>
      <c r="P237" s="1" t="s">
        <v>348</v>
      </c>
    </row>
    <row r="238" spans="1:16" x14ac:dyDescent="0.2">
      <c r="A238" s="1" t="s">
        <v>408</v>
      </c>
      <c r="B238" s="4">
        <v>40358</v>
      </c>
      <c r="C238" s="8">
        <v>296</v>
      </c>
      <c r="D238" s="1" t="s">
        <v>1274</v>
      </c>
      <c r="E238" s="1" t="s">
        <v>1275</v>
      </c>
      <c r="F238" s="1" t="s">
        <v>1276</v>
      </c>
      <c r="G238" s="1" t="s">
        <v>1011</v>
      </c>
      <c r="H238" s="2">
        <f>5500/1.16</f>
        <v>4741.3793103448279</v>
      </c>
      <c r="I238" s="2">
        <f t="shared" si="21"/>
        <v>758.62068965517244</v>
      </c>
      <c r="J238" s="2"/>
      <c r="K238" s="2">
        <f t="shared" si="22"/>
        <v>5500</v>
      </c>
      <c r="P238" s="1" t="s">
        <v>348</v>
      </c>
    </row>
    <row r="239" spans="1:16" x14ac:dyDescent="0.2">
      <c r="A239" s="1" t="s">
        <v>408</v>
      </c>
      <c r="B239" s="4">
        <v>40358</v>
      </c>
      <c r="C239" s="8">
        <v>297</v>
      </c>
      <c r="D239" s="1" t="s">
        <v>1277</v>
      </c>
      <c r="E239" s="1" t="s">
        <v>1278</v>
      </c>
      <c r="F239" s="1" t="s">
        <v>1012</v>
      </c>
      <c r="G239" s="1" t="s">
        <v>1230</v>
      </c>
      <c r="H239" s="2">
        <f>4900/1.16</f>
        <v>4224.1379310344828</v>
      </c>
      <c r="I239" s="2">
        <f t="shared" si="21"/>
        <v>675.86206896551721</v>
      </c>
      <c r="J239" s="2"/>
      <c r="K239" s="2">
        <f t="shared" si="22"/>
        <v>4900</v>
      </c>
      <c r="P239" s="1" t="s">
        <v>348</v>
      </c>
    </row>
    <row r="240" spans="1:16" x14ac:dyDescent="0.2">
      <c r="A240" s="1" t="s">
        <v>408</v>
      </c>
      <c r="B240" s="4">
        <v>40358</v>
      </c>
      <c r="C240" s="8">
        <v>298</v>
      </c>
      <c r="D240" s="1" t="s">
        <v>1279</v>
      </c>
      <c r="E240" s="1" t="s">
        <v>1280</v>
      </c>
      <c r="F240" s="1" t="s">
        <v>63</v>
      </c>
      <c r="G240" s="64" t="s">
        <v>1287</v>
      </c>
      <c r="H240" s="2">
        <f>4900/1.16</f>
        <v>4224.1379310344828</v>
      </c>
      <c r="I240" s="2">
        <f t="shared" si="21"/>
        <v>675.86206896551721</v>
      </c>
      <c r="J240" s="2"/>
      <c r="K240" s="2">
        <f t="shared" si="22"/>
        <v>4900</v>
      </c>
      <c r="P240" s="1" t="s">
        <v>348</v>
      </c>
    </row>
    <row r="241" spans="1:17" x14ac:dyDescent="0.2">
      <c r="A241" s="64" t="s">
        <v>408</v>
      </c>
      <c r="B241" s="81">
        <v>40358</v>
      </c>
      <c r="C241" s="82">
        <v>300</v>
      </c>
      <c r="D241" s="64" t="s">
        <v>1281</v>
      </c>
      <c r="E241" s="64" t="s">
        <v>1282</v>
      </c>
      <c r="F241" s="64" t="s">
        <v>1045</v>
      </c>
      <c r="G241" s="64" t="s">
        <v>1283</v>
      </c>
      <c r="H241" s="80">
        <f>6551.72/2</f>
        <v>3275.86</v>
      </c>
      <c r="I241" s="80">
        <f t="shared" si="21"/>
        <v>524.13760000000002</v>
      </c>
      <c r="J241" s="80"/>
      <c r="K241" s="80">
        <f t="shared" si="22"/>
        <v>3799.9976000000001</v>
      </c>
      <c r="P241" s="1" t="s">
        <v>348</v>
      </c>
    </row>
    <row r="242" spans="1:17" x14ac:dyDescent="0.2">
      <c r="A242" s="1" t="s">
        <v>12</v>
      </c>
      <c r="B242" s="4">
        <v>40378</v>
      </c>
      <c r="C242" s="8">
        <v>10000130545</v>
      </c>
      <c r="D242" s="1" t="s">
        <v>985</v>
      </c>
      <c r="E242" s="1" t="s">
        <v>115</v>
      </c>
      <c r="F242" s="1" t="s">
        <v>78</v>
      </c>
      <c r="G242" s="1" t="s">
        <v>1288</v>
      </c>
      <c r="H242" s="1">
        <v>1525.42</v>
      </c>
      <c r="I242" s="2">
        <f>+H242*0.18</f>
        <v>274.57560000000001</v>
      </c>
      <c r="J242" s="2"/>
      <c r="K242" s="2">
        <f t="shared" si="22"/>
        <v>1799.9956000000002</v>
      </c>
      <c r="P242" s="1" t="s">
        <v>429</v>
      </c>
      <c r="Q242" s="4">
        <v>40419</v>
      </c>
    </row>
    <row r="243" spans="1:17" x14ac:dyDescent="0.2">
      <c r="A243" s="1" t="s">
        <v>12</v>
      </c>
      <c r="B243" s="4">
        <v>40378</v>
      </c>
      <c r="C243" s="8">
        <v>10000130495</v>
      </c>
      <c r="D243" s="1" t="s">
        <v>985</v>
      </c>
      <c r="E243" s="1" t="s">
        <v>115</v>
      </c>
      <c r="F243" s="1" t="s">
        <v>65</v>
      </c>
      <c r="G243" s="1" t="s">
        <v>1290</v>
      </c>
      <c r="H243" s="1">
        <v>3050.85</v>
      </c>
      <c r="I243" s="2">
        <f>+H243*0.18</f>
        <v>549.15300000000002</v>
      </c>
      <c r="J243" s="2"/>
      <c r="K243" s="2">
        <f t="shared" si="22"/>
        <v>3600.0029999999997</v>
      </c>
      <c r="L243" s="1" t="s">
        <v>1904</v>
      </c>
      <c r="P243" s="1" t="s">
        <v>429</v>
      </c>
      <c r="Q243" s="4">
        <v>40419</v>
      </c>
    </row>
    <row r="244" spans="1:17" x14ac:dyDescent="0.2">
      <c r="A244" s="1" t="s">
        <v>12</v>
      </c>
      <c r="B244" s="4">
        <v>40366</v>
      </c>
      <c r="C244" s="8">
        <v>2010101159</v>
      </c>
      <c r="D244" s="1" t="s">
        <v>14</v>
      </c>
      <c r="E244" s="1" t="s">
        <v>13</v>
      </c>
      <c r="F244" s="1" t="s">
        <v>65</v>
      </c>
      <c r="G244" s="1" t="s">
        <v>1291</v>
      </c>
      <c r="H244" s="1">
        <v>2056.7800000000002</v>
      </c>
      <c r="I244" s="2">
        <f>+H244*0.18</f>
        <v>370.22040000000004</v>
      </c>
      <c r="J244" s="2"/>
      <c r="K244" s="2">
        <f t="shared" si="22"/>
        <v>2427.0004000000004</v>
      </c>
      <c r="P244" s="1" t="s">
        <v>429</v>
      </c>
      <c r="Q244" s="4">
        <v>40419</v>
      </c>
    </row>
    <row r="245" spans="1:17" x14ac:dyDescent="0.2">
      <c r="A245" s="1" t="s">
        <v>12</v>
      </c>
      <c r="B245" s="4">
        <v>40366</v>
      </c>
      <c r="C245" s="8">
        <v>2010101160</v>
      </c>
      <c r="D245" s="1" t="s">
        <v>14</v>
      </c>
      <c r="E245" s="1" t="s">
        <v>13</v>
      </c>
      <c r="F245" s="1" t="s">
        <v>1292</v>
      </c>
      <c r="G245" s="1" t="s">
        <v>1293</v>
      </c>
      <c r="H245" s="1">
        <v>1847.46</v>
      </c>
      <c r="I245" s="2">
        <f t="shared" ref="I245:I260" si="23">+H245*0.18</f>
        <v>332.5428</v>
      </c>
      <c r="J245" s="2"/>
      <c r="K245" s="2">
        <f t="shared" ref="K245:K260" si="24">H245+I245</f>
        <v>2180.0028000000002</v>
      </c>
      <c r="P245" s="1" t="s">
        <v>429</v>
      </c>
      <c r="Q245" s="4">
        <v>40419</v>
      </c>
    </row>
    <row r="246" spans="1:17" x14ac:dyDescent="0.2">
      <c r="A246" s="1" t="s">
        <v>12</v>
      </c>
      <c r="B246" s="4">
        <v>40365</v>
      </c>
      <c r="C246" s="8">
        <v>2010101149</v>
      </c>
      <c r="D246" s="1" t="s">
        <v>14</v>
      </c>
      <c r="E246" s="1" t="s">
        <v>13</v>
      </c>
      <c r="F246" s="1" t="s">
        <v>65</v>
      </c>
      <c r="G246" s="1" t="s">
        <v>1294</v>
      </c>
      <c r="H246" s="1">
        <v>2711.87</v>
      </c>
      <c r="I246" s="2">
        <f t="shared" si="23"/>
        <v>488.13659999999999</v>
      </c>
      <c r="J246" s="2"/>
      <c r="K246" s="2">
        <f t="shared" si="24"/>
        <v>3200.0065999999997</v>
      </c>
      <c r="P246" s="1" t="s">
        <v>429</v>
      </c>
      <c r="Q246" s="4">
        <v>40419</v>
      </c>
    </row>
    <row r="247" spans="1:17" x14ac:dyDescent="0.2">
      <c r="A247" s="1" t="s">
        <v>12</v>
      </c>
      <c r="B247" s="4">
        <v>40365</v>
      </c>
      <c r="C247" s="8">
        <v>2010101148</v>
      </c>
      <c r="D247" s="1" t="s">
        <v>14</v>
      </c>
      <c r="E247" s="1" t="s">
        <v>13</v>
      </c>
      <c r="F247" s="1" t="s">
        <v>239</v>
      </c>
      <c r="G247" s="1" t="s">
        <v>1295</v>
      </c>
      <c r="H247" s="1">
        <v>2947.8</v>
      </c>
      <c r="I247" s="2">
        <f t="shared" si="23"/>
        <v>530.60400000000004</v>
      </c>
      <c r="J247" s="2"/>
      <c r="K247" s="2">
        <f t="shared" si="24"/>
        <v>3478.4040000000005</v>
      </c>
      <c r="P247" s="1" t="s">
        <v>429</v>
      </c>
      <c r="Q247" s="4">
        <v>40419</v>
      </c>
    </row>
    <row r="248" spans="1:17" x14ac:dyDescent="0.2">
      <c r="A248" s="1" t="s">
        <v>12</v>
      </c>
      <c r="B248" s="4">
        <v>40386</v>
      </c>
      <c r="C248" s="8">
        <v>2010101264</v>
      </c>
      <c r="D248" s="1" t="s">
        <v>14</v>
      </c>
      <c r="E248" s="1" t="s">
        <v>13</v>
      </c>
      <c r="F248" s="1" t="s">
        <v>239</v>
      </c>
      <c r="G248" s="1" t="s">
        <v>1296</v>
      </c>
      <c r="H248" s="1">
        <v>3704.71</v>
      </c>
      <c r="I248" s="2">
        <f t="shared" si="23"/>
        <v>666.84780000000001</v>
      </c>
      <c r="J248" s="2"/>
      <c r="K248" s="2">
        <f t="shared" si="24"/>
        <v>4371.5578000000005</v>
      </c>
      <c r="P248" s="1" t="s">
        <v>429</v>
      </c>
      <c r="Q248" s="4">
        <v>40419</v>
      </c>
    </row>
    <row r="249" spans="1:17" x14ac:dyDescent="0.2">
      <c r="A249" s="1" t="s">
        <v>12</v>
      </c>
      <c r="B249" s="4">
        <v>40379</v>
      </c>
      <c r="C249" s="8">
        <v>2010101228</v>
      </c>
      <c r="D249" s="1" t="s">
        <v>14</v>
      </c>
      <c r="E249" s="1" t="s">
        <v>13</v>
      </c>
      <c r="F249" s="1" t="s">
        <v>1297</v>
      </c>
      <c r="G249" s="1" t="s">
        <v>1298</v>
      </c>
      <c r="H249" s="1">
        <v>4105.09</v>
      </c>
      <c r="I249" s="2">
        <f t="shared" si="23"/>
        <v>738.9162</v>
      </c>
      <c r="J249" s="2"/>
      <c r="K249" s="2">
        <f t="shared" si="24"/>
        <v>4844.0061999999998</v>
      </c>
      <c r="P249" s="1" t="s">
        <v>429</v>
      </c>
      <c r="Q249" s="4">
        <v>40419</v>
      </c>
    </row>
    <row r="250" spans="1:17" x14ac:dyDescent="0.2">
      <c r="A250" s="1" t="s">
        <v>12</v>
      </c>
      <c r="B250" s="4">
        <v>40379</v>
      </c>
      <c r="C250" s="8">
        <v>2010101227</v>
      </c>
      <c r="D250" s="1" t="s">
        <v>14</v>
      </c>
      <c r="E250" s="1" t="s">
        <v>13</v>
      </c>
      <c r="F250" s="1" t="s">
        <v>59</v>
      </c>
      <c r="G250" s="1" t="s">
        <v>1299</v>
      </c>
      <c r="H250" s="1">
        <v>1444.07</v>
      </c>
      <c r="I250" s="2">
        <f t="shared" si="23"/>
        <v>259.93259999999998</v>
      </c>
      <c r="J250" s="2"/>
      <c r="K250" s="2">
        <f t="shared" si="24"/>
        <v>1704.0025999999998</v>
      </c>
      <c r="P250" s="1" t="s">
        <v>429</v>
      </c>
      <c r="Q250" s="4">
        <v>40419</v>
      </c>
    </row>
    <row r="251" spans="1:17" x14ac:dyDescent="0.2">
      <c r="A251" s="1" t="s">
        <v>12</v>
      </c>
      <c r="B251" s="4">
        <v>40379</v>
      </c>
      <c r="C251" s="8">
        <v>2010101226</v>
      </c>
      <c r="D251" s="1" t="s">
        <v>14</v>
      </c>
      <c r="E251" s="1" t="s">
        <v>13</v>
      </c>
      <c r="F251" s="1" t="s">
        <v>239</v>
      </c>
      <c r="G251" s="1" t="s">
        <v>1300</v>
      </c>
      <c r="H251" s="1">
        <v>2679.66</v>
      </c>
      <c r="I251" s="2">
        <f t="shared" si="23"/>
        <v>482.33879999999994</v>
      </c>
      <c r="J251" s="2"/>
      <c r="K251" s="2">
        <f t="shared" si="24"/>
        <v>3161.9987999999998</v>
      </c>
      <c r="P251" s="1" t="s">
        <v>429</v>
      </c>
      <c r="Q251" s="4">
        <v>40419</v>
      </c>
    </row>
    <row r="252" spans="1:17" x14ac:dyDescent="0.2">
      <c r="A252" s="1" t="s">
        <v>12</v>
      </c>
      <c r="B252" s="4">
        <v>40367</v>
      </c>
      <c r="C252" s="8">
        <v>2010101170</v>
      </c>
      <c r="D252" s="1" t="s">
        <v>14</v>
      </c>
      <c r="E252" s="1" t="s">
        <v>13</v>
      </c>
      <c r="F252" s="1" t="s">
        <v>61</v>
      </c>
      <c r="G252" s="1" t="s">
        <v>1301</v>
      </c>
      <c r="H252" s="1">
        <v>3289.83</v>
      </c>
      <c r="I252" s="2">
        <f t="shared" si="23"/>
        <v>592.1694</v>
      </c>
      <c r="J252" s="2"/>
      <c r="K252" s="2">
        <f t="shared" si="24"/>
        <v>3881.9993999999997</v>
      </c>
      <c r="P252" s="1" t="s">
        <v>429</v>
      </c>
      <c r="Q252" s="4">
        <v>40419</v>
      </c>
    </row>
    <row r="253" spans="1:17" x14ac:dyDescent="0.2">
      <c r="A253" s="1" t="s">
        <v>12</v>
      </c>
      <c r="B253" s="4">
        <v>40388</v>
      </c>
      <c r="C253" s="8">
        <v>2010101290</v>
      </c>
      <c r="D253" s="1" t="s">
        <v>14</v>
      </c>
      <c r="E253" s="1" t="s">
        <v>13</v>
      </c>
      <c r="F253" s="1" t="s">
        <v>239</v>
      </c>
      <c r="G253" s="1" t="s">
        <v>1302</v>
      </c>
      <c r="H253" s="1">
        <v>3015.62</v>
      </c>
      <c r="I253" s="2">
        <f t="shared" si="23"/>
        <v>542.8116</v>
      </c>
      <c r="J253" s="2"/>
      <c r="K253" s="2">
        <f t="shared" si="24"/>
        <v>3558.4315999999999</v>
      </c>
      <c r="P253" s="1" t="s">
        <v>429</v>
      </c>
      <c r="Q253" s="4">
        <v>40419</v>
      </c>
    </row>
    <row r="254" spans="1:17" x14ac:dyDescent="0.2">
      <c r="A254" s="1" t="s">
        <v>12</v>
      </c>
      <c r="B254" s="4">
        <v>40388</v>
      </c>
      <c r="C254" s="8">
        <v>2010101291</v>
      </c>
      <c r="D254" s="1" t="s">
        <v>14</v>
      </c>
      <c r="E254" s="1" t="s">
        <v>13</v>
      </c>
      <c r="F254" s="1" t="s">
        <v>239</v>
      </c>
      <c r="G254" s="1" t="s">
        <v>1303</v>
      </c>
      <c r="H254" s="1">
        <v>2831.23</v>
      </c>
      <c r="I254" s="2">
        <f t="shared" si="23"/>
        <v>509.62139999999999</v>
      </c>
      <c r="J254" s="2"/>
      <c r="K254" s="2">
        <f t="shared" si="24"/>
        <v>3340.8514</v>
      </c>
      <c r="L254" s="1" t="s">
        <v>1904</v>
      </c>
      <c r="P254" s="1" t="s">
        <v>429</v>
      </c>
      <c r="Q254" s="4">
        <v>40419</v>
      </c>
    </row>
    <row r="255" spans="1:17" x14ac:dyDescent="0.2">
      <c r="A255" s="1" t="s">
        <v>12</v>
      </c>
      <c r="B255" s="4">
        <v>40388</v>
      </c>
      <c r="C255" s="8">
        <v>2010101292</v>
      </c>
      <c r="D255" s="1" t="s">
        <v>14</v>
      </c>
      <c r="E255" s="1" t="s">
        <v>13</v>
      </c>
      <c r="F255" s="1" t="s">
        <v>239</v>
      </c>
      <c r="G255" s="1" t="s">
        <v>1304</v>
      </c>
      <c r="H255" s="1">
        <v>2865.69</v>
      </c>
      <c r="I255" s="2">
        <f t="shared" si="23"/>
        <v>515.82420000000002</v>
      </c>
      <c r="J255" s="2"/>
      <c r="K255" s="2">
        <f t="shared" si="24"/>
        <v>3381.5142000000001</v>
      </c>
      <c r="L255" s="1" t="s">
        <v>1904</v>
      </c>
      <c r="P255" s="1" t="s">
        <v>429</v>
      </c>
      <c r="Q255" s="4">
        <v>40419</v>
      </c>
    </row>
    <row r="256" spans="1:17" x14ac:dyDescent="0.2">
      <c r="A256" s="1" t="s">
        <v>12</v>
      </c>
      <c r="B256" s="4">
        <v>40388</v>
      </c>
      <c r="C256" s="8">
        <v>2010101293</v>
      </c>
      <c r="D256" s="1" t="s">
        <v>14</v>
      </c>
      <c r="E256" s="1" t="s">
        <v>13</v>
      </c>
      <c r="F256" s="1" t="s">
        <v>1071</v>
      </c>
      <c r="G256" s="1" t="s">
        <v>1305</v>
      </c>
      <c r="H256" s="1">
        <v>3405.61</v>
      </c>
      <c r="I256" s="2">
        <f t="shared" si="23"/>
        <v>613.00980000000004</v>
      </c>
      <c r="J256" s="2"/>
      <c r="K256" s="2">
        <f t="shared" si="24"/>
        <v>4018.6198000000004</v>
      </c>
      <c r="P256" s="1" t="s">
        <v>429</v>
      </c>
      <c r="Q256" s="4">
        <v>40419</v>
      </c>
    </row>
    <row r="257" spans="1:17" x14ac:dyDescent="0.2">
      <c r="A257" s="1" t="s">
        <v>12</v>
      </c>
      <c r="B257" s="4">
        <v>40400</v>
      </c>
      <c r="C257" s="8">
        <v>2010101364</v>
      </c>
      <c r="D257" s="1" t="s">
        <v>14</v>
      </c>
      <c r="E257" s="1" t="s">
        <v>13</v>
      </c>
      <c r="F257" s="1" t="s">
        <v>239</v>
      </c>
      <c r="G257" s="1" t="s">
        <v>1306</v>
      </c>
      <c r="H257" s="1">
        <v>1676.38</v>
      </c>
      <c r="I257" s="2">
        <f t="shared" si="23"/>
        <v>301.7484</v>
      </c>
      <c r="J257" s="2"/>
      <c r="K257" s="2">
        <f t="shared" si="24"/>
        <v>1978.1284000000001</v>
      </c>
      <c r="L257" s="1" t="s">
        <v>2507</v>
      </c>
      <c r="P257" s="1" t="s">
        <v>429</v>
      </c>
      <c r="Q257" s="4">
        <v>40419</v>
      </c>
    </row>
    <row r="258" spans="1:17" x14ac:dyDescent="0.2">
      <c r="A258" s="1" t="s">
        <v>12</v>
      </c>
      <c r="B258" s="4">
        <v>40400</v>
      </c>
      <c r="C258" s="8">
        <v>2010101365</v>
      </c>
      <c r="D258" s="1" t="s">
        <v>14</v>
      </c>
      <c r="E258" s="1" t="s">
        <v>13</v>
      </c>
      <c r="F258" s="1" t="s">
        <v>239</v>
      </c>
      <c r="G258" s="1" t="s">
        <v>1307</v>
      </c>
      <c r="H258" s="1">
        <v>1659.89</v>
      </c>
      <c r="I258" s="2">
        <f t="shared" si="23"/>
        <v>298.78019999999998</v>
      </c>
      <c r="J258" s="2"/>
      <c r="K258" s="2">
        <f t="shared" si="24"/>
        <v>1958.6702</v>
      </c>
      <c r="L258" s="1" t="s">
        <v>1904</v>
      </c>
      <c r="P258" s="1" t="s">
        <v>429</v>
      </c>
      <c r="Q258" s="4">
        <v>40419</v>
      </c>
    </row>
    <row r="259" spans="1:17" x14ac:dyDescent="0.2">
      <c r="A259" s="1" t="s">
        <v>12</v>
      </c>
      <c r="B259" s="4">
        <v>40400</v>
      </c>
      <c r="C259" s="8">
        <v>2010101366</v>
      </c>
      <c r="D259" s="1" t="s">
        <v>14</v>
      </c>
      <c r="E259" s="1" t="s">
        <v>13</v>
      </c>
      <c r="F259" s="1" t="s">
        <v>1308</v>
      </c>
      <c r="G259" s="1" t="s">
        <v>1309</v>
      </c>
      <c r="H259" s="1">
        <v>4661.0200000000004</v>
      </c>
      <c r="I259" s="2">
        <f t="shared" si="23"/>
        <v>838.98360000000002</v>
      </c>
      <c r="J259" s="2"/>
      <c r="K259" s="2">
        <f t="shared" si="24"/>
        <v>5500.0036</v>
      </c>
      <c r="P259" s="1" t="s">
        <v>429</v>
      </c>
      <c r="Q259" s="4">
        <v>40419</v>
      </c>
    </row>
    <row r="260" spans="1:17" x14ac:dyDescent="0.2">
      <c r="A260" s="1" t="s">
        <v>12</v>
      </c>
      <c r="B260" s="4">
        <v>40400</v>
      </c>
      <c r="C260" s="8">
        <v>2010101367</v>
      </c>
      <c r="D260" s="1" t="s">
        <v>14</v>
      </c>
      <c r="E260" s="1" t="s">
        <v>13</v>
      </c>
      <c r="F260" s="1" t="s">
        <v>1012</v>
      </c>
      <c r="G260" s="1" t="s">
        <v>1310</v>
      </c>
      <c r="H260" s="1">
        <v>5084.75</v>
      </c>
      <c r="I260" s="2">
        <f t="shared" si="23"/>
        <v>915.255</v>
      </c>
      <c r="J260" s="2"/>
      <c r="K260" s="2">
        <f t="shared" si="24"/>
        <v>6000.0050000000001</v>
      </c>
      <c r="P260" s="1" t="s">
        <v>429</v>
      </c>
      <c r="Q260" s="4">
        <v>40419</v>
      </c>
    </row>
    <row r="261" spans="1:17" x14ac:dyDescent="0.2">
      <c r="A261" s="1" t="s">
        <v>408</v>
      </c>
      <c r="B261" s="4">
        <v>40399</v>
      </c>
      <c r="C261" s="8">
        <v>982010</v>
      </c>
      <c r="D261" s="1" t="s">
        <v>1311</v>
      </c>
      <c r="E261" s="1" t="s">
        <v>1312</v>
      </c>
      <c r="F261" s="1" t="s">
        <v>70</v>
      </c>
      <c r="G261" s="1" t="s">
        <v>1234</v>
      </c>
      <c r="H261" s="2">
        <f>4000/1.18</f>
        <v>3389.8305084745766</v>
      </c>
      <c r="I261" s="2">
        <f t="shared" ref="I261:I266" si="25">+H261*0.18</f>
        <v>610.16949152542372</v>
      </c>
      <c r="J261" s="2"/>
      <c r="K261" s="2">
        <f t="shared" ref="K261:K266" si="26">H261+I261</f>
        <v>4000.0000000000005</v>
      </c>
      <c r="P261" s="1" t="s">
        <v>429</v>
      </c>
      <c r="Q261" s="4">
        <v>40419</v>
      </c>
    </row>
    <row r="262" spans="1:17" x14ac:dyDescent="0.2">
      <c r="A262" s="1" t="s">
        <v>408</v>
      </c>
      <c r="B262" s="4">
        <v>40366</v>
      </c>
      <c r="C262" s="8">
        <v>772010</v>
      </c>
      <c r="D262" s="1" t="s">
        <v>1313</v>
      </c>
      <c r="E262" s="107" t="s">
        <v>1326</v>
      </c>
      <c r="F262" s="1" t="s">
        <v>309</v>
      </c>
      <c r="G262" s="1" t="s">
        <v>1242</v>
      </c>
      <c r="H262" s="2">
        <f>2000/1.18</f>
        <v>1694.9152542372883</v>
      </c>
      <c r="I262" s="2">
        <f t="shared" si="25"/>
        <v>305.08474576271186</v>
      </c>
      <c r="J262" s="2"/>
      <c r="K262" s="2">
        <f t="shared" si="26"/>
        <v>2000.0000000000002</v>
      </c>
      <c r="P262" s="1" t="s">
        <v>429</v>
      </c>
      <c r="Q262" s="4">
        <v>40419</v>
      </c>
    </row>
    <row r="263" spans="1:17" x14ac:dyDescent="0.2">
      <c r="A263" s="1" t="s">
        <v>408</v>
      </c>
      <c r="B263" s="4">
        <v>40378</v>
      </c>
      <c r="C263" s="8">
        <v>1972010</v>
      </c>
      <c r="D263" s="1" t="s">
        <v>1314</v>
      </c>
      <c r="E263" s="1" t="s">
        <v>1315</v>
      </c>
      <c r="F263" s="1" t="s">
        <v>44</v>
      </c>
      <c r="G263" s="1" t="s">
        <v>1018</v>
      </c>
      <c r="H263" s="1">
        <v>2542.37</v>
      </c>
      <c r="I263" s="2">
        <f t="shared" si="25"/>
        <v>457.62659999999994</v>
      </c>
      <c r="J263" s="2"/>
      <c r="K263" s="2">
        <f t="shared" si="26"/>
        <v>2999.9965999999999</v>
      </c>
      <c r="P263" s="1" t="s">
        <v>429</v>
      </c>
      <c r="Q263" s="4">
        <v>40419</v>
      </c>
    </row>
    <row r="264" spans="1:17" x14ac:dyDescent="0.2">
      <c r="A264" s="1" t="s">
        <v>408</v>
      </c>
      <c r="B264" s="4">
        <v>40394</v>
      </c>
      <c r="C264" s="8">
        <v>482010</v>
      </c>
      <c r="D264" s="1" t="s">
        <v>1316</v>
      </c>
      <c r="E264" s="1" t="s">
        <v>1317</v>
      </c>
      <c r="F264" s="1" t="s">
        <v>1292</v>
      </c>
      <c r="G264" s="1" t="s">
        <v>1293</v>
      </c>
      <c r="H264" s="1">
        <v>1000</v>
      </c>
      <c r="I264" s="2">
        <f t="shared" si="25"/>
        <v>180</v>
      </c>
      <c r="J264" s="2"/>
      <c r="K264" s="2">
        <f t="shared" si="26"/>
        <v>1180</v>
      </c>
      <c r="P264" s="1" t="s">
        <v>429</v>
      </c>
      <c r="Q264" s="4">
        <v>40419</v>
      </c>
    </row>
    <row r="265" spans="1:17" x14ac:dyDescent="0.2">
      <c r="A265" s="1" t="s">
        <v>408</v>
      </c>
      <c r="B265" s="4">
        <v>40392</v>
      </c>
      <c r="C265" s="8">
        <v>282010</v>
      </c>
      <c r="D265" s="1" t="s">
        <v>1318</v>
      </c>
      <c r="E265" s="1" t="s">
        <v>1319</v>
      </c>
      <c r="F265" s="1" t="s">
        <v>1321</v>
      </c>
      <c r="G265" s="1" t="s">
        <v>1320</v>
      </c>
      <c r="H265" s="2">
        <f>3800/1.18</f>
        <v>3220.3389830508477</v>
      </c>
      <c r="I265" s="2">
        <f t="shared" si="25"/>
        <v>579.66101694915255</v>
      </c>
      <c r="J265" s="2"/>
      <c r="K265" s="2">
        <f t="shared" si="26"/>
        <v>3800</v>
      </c>
      <c r="P265" s="1" t="s">
        <v>429</v>
      </c>
      <c r="Q265" s="4">
        <v>40419</v>
      </c>
    </row>
    <row r="266" spans="1:17" x14ac:dyDescent="0.2">
      <c r="A266" s="1" t="s">
        <v>408</v>
      </c>
      <c r="B266" s="4">
        <v>40396</v>
      </c>
      <c r="C266" s="8">
        <v>682010</v>
      </c>
      <c r="D266" s="1" t="s">
        <v>1323</v>
      </c>
      <c r="E266" s="1" t="s">
        <v>1322</v>
      </c>
      <c r="F266" s="1" t="s">
        <v>239</v>
      </c>
      <c r="G266" s="1" t="s">
        <v>1302</v>
      </c>
      <c r="H266" s="2">
        <f>2000/1.18</f>
        <v>1694.9152542372883</v>
      </c>
      <c r="I266" s="2">
        <f t="shared" si="25"/>
        <v>305.08474576271186</v>
      </c>
      <c r="J266" s="2"/>
      <c r="K266" s="2">
        <f t="shared" si="26"/>
        <v>2000.0000000000002</v>
      </c>
      <c r="L266" s="1" t="s">
        <v>2592</v>
      </c>
      <c r="P266" s="1" t="s">
        <v>429</v>
      </c>
      <c r="Q266" s="4">
        <v>40419</v>
      </c>
    </row>
    <row r="267" spans="1:17" x14ac:dyDescent="0.2">
      <c r="A267" s="1" t="s">
        <v>12</v>
      </c>
      <c r="B267" s="4">
        <v>40353</v>
      </c>
      <c r="C267" s="8" t="s">
        <v>951</v>
      </c>
      <c r="D267" s="1" t="s">
        <v>1327</v>
      </c>
      <c r="E267" s="1" t="s">
        <v>1328</v>
      </c>
      <c r="F267" s="1" t="s">
        <v>1207</v>
      </c>
      <c r="G267" s="1" t="s">
        <v>1208</v>
      </c>
      <c r="K267" s="1">
        <v>3000</v>
      </c>
      <c r="L267" s="1" t="s">
        <v>303</v>
      </c>
      <c r="P267" s="1" t="s">
        <v>429</v>
      </c>
      <c r="Q267" s="4">
        <v>40456</v>
      </c>
    </row>
    <row r="268" spans="1:17" x14ac:dyDescent="0.2">
      <c r="A268" s="1" t="s">
        <v>12</v>
      </c>
      <c r="B268" s="4">
        <v>40263</v>
      </c>
      <c r="C268" s="8" t="s">
        <v>951</v>
      </c>
      <c r="D268" s="1" t="s">
        <v>1329</v>
      </c>
      <c r="E268" s="1" t="s">
        <v>1330</v>
      </c>
      <c r="F268" s="1" t="s">
        <v>1331</v>
      </c>
      <c r="G268" s="1" t="s">
        <v>1050</v>
      </c>
      <c r="H268" s="1">
        <v>3500</v>
      </c>
      <c r="K268" s="1">
        <v>3500</v>
      </c>
      <c r="L268" s="1" t="s">
        <v>303</v>
      </c>
      <c r="P268" s="1" t="s">
        <v>429</v>
      </c>
      <c r="Q268" s="4">
        <v>40456</v>
      </c>
    </row>
    <row r="269" spans="1:17" x14ac:dyDescent="0.2">
      <c r="A269" s="1" t="s">
        <v>12</v>
      </c>
      <c r="B269" s="4">
        <v>40299</v>
      </c>
      <c r="C269" s="8" t="s">
        <v>951</v>
      </c>
      <c r="D269" s="1" t="s">
        <v>1332</v>
      </c>
      <c r="E269" s="1" t="s">
        <v>1333</v>
      </c>
      <c r="F269" s="1" t="s">
        <v>1145</v>
      </c>
      <c r="G269" s="1" t="s">
        <v>1146</v>
      </c>
      <c r="H269" s="1">
        <v>3500</v>
      </c>
      <c r="K269" s="1">
        <v>3500</v>
      </c>
      <c r="L269" s="1" t="s">
        <v>303</v>
      </c>
      <c r="P269" s="1" t="s">
        <v>429</v>
      </c>
      <c r="Q269" s="4">
        <v>40456</v>
      </c>
    </row>
    <row r="270" spans="1:17" x14ac:dyDescent="0.2">
      <c r="A270" s="1" t="s">
        <v>12</v>
      </c>
      <c r="B270" s="4">
        <v>40283</v>
      </c>
      <c r="C270" s="8" t="s">
        <v>951</v>
      </c>
      <c r="D270" s="1" t="s">
        <v>1334</v>
      </c>
      <c r="E270" s="1" t="s">
        <v>1335</v>
      </c>
      <c r="F270" s="1" t="s">
        <v>1248</v>
      </c>
      <c r="G270" s="1" t="s">
        <v>1176</v>
      </c>
      <c r="K270" s="1">
        <v>2500</v>
      </c>
      <c r="L270" s="1" t="s">
        <v>303</v>
      </c>
      <c r="P270" s="1" t="s">
        <v>429</v>
      </c>
      <c r="Q270" s="4">
        <v>40456</v>
      </c>
    </row>
    <row r="271" spans="1:17" x14ac:dyDescent="0.2">
      <c r="A271" s="1" t="s">
        <v>12</v>
      </c>
      <c r="B271" s="4">
        <v>40203</v>
      </c>
      <c r="C271" s="8">
        <v>16</v>
      </c>
      <c r="D271" s="1" t="s">
        <v>185</v>
      </c>
      <c r="E271" s="1" t="s">
        <v>186</v>
      </c>
      <c r="F271" s="1" t="s">
        <v>266</v>
      </c>
      <c r="G271" s="1" t="s">
        <v>1561</v>
      </c>
      <c r="H271" s="1">
        <v>172.41</v>
      </c>
      <c r="I271" s="2">
        <f>+H271*0.16</f>
        <v>27.585599999999999</v>
      </c>
      <c r="J271" s="2"/>
      <c r="K271" s="2">
        <f>H271+I271</f>
        <v>199.9956</v>
      </c>
      <c r="L271" s="1" t="s">
        <v>1336</v>
      </c>
      <c r="P271" s="1" t="s">
        <v>429</v>
      </c>
      <c r="Q271" s="4">
        <v>40456</v>
      </c>
    </row>
    <row r="272" spans="1:17" x14ac:dyDescent="0.2">
      <c r="A272" s="1" t="s">
        <v>12</v>
      </c>
      <c r="B272" s="4">
        <v>40409</v>
      </c>
      <c r="C272" s="8">
        <v>2010101409</v>
      </c>
      <c r="D272" s="1" t="s">
        <v>14</v>
      </c>
      <c r="E272" s="1" t="s">
        <v>13</v>
      </c>
      <c r="F272" s="1" t="s">
        <v>44</v>
      </c>
      <c r="G272" s="1" t="s">
        <v>1337</v>
      </c>
      <c r="H272" s="1">
        <v>2687.58</v>
      </c>
      <c r="I272" s="2">
        <f>+H272*0.18</f>
        <v>483.76439999999997</v>
      </c>
      <c r="J272" s="2"/>
      <c r="K272" s="2">
        <f>H272+I272</f>
        <v>3171.3444</v>
      </c>
      <c r="L272" s="2"/>
      <c r="P272" s="1" t="s">
        <v>429</v>
      </c>
      <c r="Q272" s="4">
        <v>40456</v>
      </c>
    </row>
    <row r="273" spans="1:17" x14ac:dyDescent="0.2">
      <c r="A273" s="1" t="s">
        <v>12</v>
      </c>
      <c r="B273" s="4">
        <v>40409</v>
      </c>
      <c r="C273" s="8">
        <v>2010101410</v>
      </c>
      <c r="D273" s="1" t="s">
        <v>14</v>
      </c>
      <c r="E273" s="1" t="s">
        <v>13</v>
      </c>
      <c r="F273" s="1" t="s">
        <v>53</v>
      </c>
      <c r="G273" s="1" t="s">
        <v>1338</v>
      </c>
      <c r="H273" s="1">
        <v>2303.7600000000002</v>
      </c>
      <c r="I273" s="2">
        <f>+H273*0.18</f>
        <v>414.67680000000001</v>
      </c>
      <c r="J273" s="2"/>
      <c r="K273" s="2">
        <f t="shared" ref="K273:K280" si="27">H273+I273</f>
        <v>2718.4368000000004</v>
      </c>
      <c r="P273" s="1" t="s">
        <v>429</v>
      </c>
      <c r="Q273" s="4">
        <v>40456</v>
      </c>
    </row>
    <row r="274" spans="1:17" x14ac:dyDescent="0.2">
      <c r="A274" s="1" t="s">
        <v>12</v>
      </c>
      <c r="B274" s="4">
        <v>40401</v>
      </c>
      <c r="C274" s="8" t="s">
        <v>1339</v>
      </c>
      <c r="D274" s="1" t="s">
        <v>25</v>
      </c>
      <c r="E274" s="1" t="s">
        <v>26</v>
      </c>
      <c r="F274" s="1" t="s">
        <v>269</v>
      </c>
      <c r="G274" s="1" t="s">
        <v>1340</v>
      </c>
      <c r="H274" s="1">
        <v>3050.85</v>
      </c>
      <c r="I274" s="2">
        <f>+H274*0.18</f>
        <v>549.15300000000002</v>
      </c>
      <c r="J274" s="2"/>
      <c r="K274" s="2">
        <f t="shared" si="27"/>
        <v>3600.0029999999997</v>
      </c>
      <c r="P274" s="1" t="s">
        <v>429</v>
      </c>
      <c r="Q274" s="4">
        <v>40456</v>
      </c>
    </row>
    <row r="275" spans="1:17" x14ac:dyDescent="0.2">
      <c r="A275" s="1" t="s">
        <v>12</v>
      </c>
      <c r="B275" s="4">
        <v>40401</v>
      </c>
      <c r="C275" s="8" t="s">
        <v>1341</v>
      </c>
      <c r="D275" s="1" t="s">
        <v>25</v>
      </c>
      <c r="E275" s="1" t="s">
        <v>26</v>
      </c>
      <c r="F275" s="1" t="s">
        <v>1342</v>
      </c>
      <c r="G275" s="1" t="s">
        <v>1343</v>
      </c>
      <c r="H275" s="1">
        <v>3813.56</v>
      </c>
      <c r="I275" s="2">
        <f>+H275*0.18</f>
        <v>686.44079999999997</v>
      </c>
      <c r="J275" s="2"/>
      <c r="K275" s="2">
        <f t="shared" si="27"/>
        <v>4500.0007999999998</v>
      </c>
      <c r="P275" s="1" t="s">
        <v>429</v>
      </c>
      <c r="Q275" s="4">
        <v>40456</v>
      </c>
    </row>
    <row r="276" spans="1:17" x14ac:dyDescent="0.2">
      <c r="A276" s="1" t="s">
        <v>408</v>
      </c>
      <c r="B276" s="4">
        <v>40411</v>
      </c>
      <c r="C276" s="8">
        <v>2182010</v>
      </c>
      <c r="D276" s="1" t="s">
        <v>1344</v>
      </c>
      <c r="E276" s="1" t="s">
        <v>525</v>
      </c>
      <c r="F276" s="1" t="s">
        <v>1030</v>
      </c>
      <c r="G276" s="1" t="s">
        <v>1031</v>
      </c>
      <c r="H276" s="1">
        <v>4000</v>
      </c>
      <c r="I276" s="2">
        <f t="shared" ref="I276:I292" si="28">+H276*0.18</f>
        <v>720</v>
      </c>
      <c r="J276" s="2"/>
      <c r="K276" s="2">
        <f t="shared" si="27"/>
        <v>4720</v>
      </c>
      <c r="P276" s="1" t="s">
        <v>429</v>
      </c>
      <c r="Q276" s="4">
        <v>40456</v>
      </c>
    </row>
    <row r="277" spans="1:17" x14ac:dyDescent="0.2">
      <c r="A277" s="1" t="s">
        <v>408</v>
      </c>
      <c r="B277" s="4">
        <v>40411</v>
      </c>
      <c r="C277" s="8" t="s">
        <v>1345</v>
      </c>
      <c r="D277" s="1" t="s">
        <v>1346</v>
      </c>
      <c r="E277" s="1" t="s">
        <v>1347</v>
      </c>
      <c r="F277" s="1" t="s">
        <v>239</v>
      </c>
      <c r="G277" s="1" t="s">
        <v>1300</v>
      </c>
      <c r="H277" s="1">
        <v>2000</v>
      </c>
      <c r="I277" s="2">
        <f t="shared" si="28"/>
        <v>360</v>
      </c>
      <c r="J277" s="2"/>
      <c r="K277" s="2">
        <f t="shared" si="27"/>
        <v>2360</v>
      </c>
      <c r="P277" s="1" t="s">
        <v>429</v>
      </c>
      <c r="Q277" s="4">
        <v>40456</v>
      </c>
    </row>
    <row r="278" spans="1:17" x14ac:dyDescent="0.2">
      <c r="A278" s="1" t="s">
        <v>408</v>
      </c>
      <c r="B278" s="4">
        <v>40416</v>
      </c>
      <c r="C278" s="8">
        <v>2682010</v>
      </c>
      <c r="D278" s="1" t="s">
        <v>1348</v>
      </c>
      <c r="E278" s="1" t="s">
        <v>1349</v>
      </c>
      <c r="F278" s="1" t="s">
        <v>1350</v>
      </c>
      <c r="G278" s="1" t="s">
        <v>1236</v>
      </c>
      <c r="H278" s="1">
        <v>4500</v>
      </c>
      <c r="I278" s="2">
        <f t="shared" si="28"/>
        <v>810</v>
      </c>
      <c r="J278" s="2"/>
      <c r="K278" s="2">
        <f t="shared" si="27"/>
        <v>5310</v>
      </c>
      <c r="P278" s="1" t="s">
        <v>429</v>
      </c>
      <c r="Q278" s="4">
        <v>40456</v>
      </c>
    </row>
    <row r="279" spans="1:17" x14ac:dyDescent="0.2">
      <c r="A279" s="1" t="s">
        <v>408</v>
      </c>
      <c r="B279" s="4">
        <v>40401</v>
      </c>
      <c r="C279" s="8">
        <v>1182010</v>
      </c>
      <c r="D279" s="1" t="s">
        <v>1351</v>
      </c>
      <c r="E279" s="1" t="s">
        <v>1352</v>
      </c>
      <c r="F279" s="1" t="s">
        <v>968</v>
      </c>
      <c r="G279" s="1" t="s">
        <v>969</v>
      </c>
      <c r="H279" s="1">
        <v>3389.83</v>
      </c>
      <c r="I279" s="2">
        <f t="shared" si="28"/>
        <v>610.1694</v>
      </c>
      <c r="J279" s="2"/>
      <c r="K279" s="2">
        <f t="shared" si="27"/>
        <v>3999.9993999999997</v>
      </c>
      <c r="P279" s="1" t="s">
        <v>429</v>
      </c>
      <c r="Q279" s="4">
        <v>40456</v>
      </c>
    </row>
    <row r="280" spans="1:17" x14ac:dyDescent="0.2">
      <c r="A280" s="1" t="s">
        <v>408</v>
      </c>
      <c r="B280" s="4">
        <v>40423</v>
      </c>
      <c r="C280" s="8">
        <v>29210</v>
      </c>
      <c r="D280" s="1" t="s">
        <v>1353</v>
      </c>
      <c r="E280" s="1" t="s">
        <v>1354</v>
      </c>
      <c r="F280" s="1" t="s">
        <v>1297</v>
      </c>
      <c r="G280" s="1" t="s">
        <v>1298</v>
      </c>
      <c r="H280" s="1">
        <v>5254.24</v>
      </c>
      <c r="I280" s="2">
        <f t="shared" si="28"/>
        <v>945.76319999999987</v>
      </c>
      <c r="J280" s="2"/>
      <c r="K280" s="2">
        <f t="shared" si="27"/>
        <v>6200.0031999999992</v>
      </c>
      <c r="P280" s="1" t="s">
        <v>429</v>
      </c>
      <c r="Q280" s="4">
        <v>40456</v>
      </c>
    </row>
    <row r="281" spans="1:17" x14ac:dyDescent="0.2">
      <c r="A281" s="1" t="s">
        <v>12</v>
      </c>
      <c r="B281" s="4">
        <v>40429</v>
      </c>
      <c r="C281" s="8">
        <v>2010101487</v>
      </c>
      <c r="D281" s="1" t="s">
        <v>14</v>
      </c>
      <c r="E281" s="1" t="s">
        <v>13</v>
      </c>
      <c r="F281" s="1" t="s">
        <v>1292</v>
      </c>
      <c r="G281" s="1" t="s">
        <v>1355</v>
      </c>
      <c r="H281" s="1">
        <v>1097.2</v>
      </c>
      <c r="I281" s="2">
        <f t="shared" si="28"/>
        <v>197.49600000000001</v>
      </c>
      <c r="J281" s="2"/>
      <c r="K281" s="2">
        <f t="shared" ref="K281:K304" si="29">H281+I281</f>
        <v>1294.6960000000001</v>
      </c>
      <c r="L281" s="1" t="s">
        <v>3555</v>
      </c>
      <c r="P281" s="1" t="s">
        <v>429</v>
      </c>
      <c r="Q281" s="4">
        <v>40456</v>
      </c>
    </row>
    <row r="282" spans="1:17" x14ac:dyDescent="0.2">
      <c r="A282" s="1" t="s">
        <v>12</v>
      </c>
      <c r="B282" s="4">
        <v>40430</v>
      </c>
      <c r="C282" s="8">
        <v>2010101507</v>
      </c>
      <c r="D282" s="1" t="s">
        <v>14</v>
      </c>
      <c r="E282" s="1" t="s">
        <v>13</v>
      </c>
      <c r="F282" s="1" t="s">
        <v>309</v>
      </c>
      <c r="G282" s="1" t="s">
        <v>1356</v>
      </c>
      <c r="H282" s="1">
        <v>1650.11</v>
      </c>
      <c r="I282" s="2">
        <f t="shared" si="28"/>
        <v>297.01979999999998</v>
      </c>
      <c r="J282" s="2"/>
      <c r="K282" s="2">
        <f t="shared" si="29"/>
        <v>1947.1297999999999</v>
      </c>
      <c r="P282" s="1" t="s">
        <v>429</v>
      </c>
      <c r="Q282" s="4">
        <v>40456</v>
      </c>
    </row>
    <row r="283" spans="1:17" x14ac:dyDescent="0.2">
      <c r="A283" s="1" t="s">
        <v>12</v>
      </c>
      <c r="B283" s="4">
        <v>40430</v>
      </c>
      <c r="C283" s="8">
        <v>2010101506</v>
      </c>
      <c r="D283" s="1" t="s">
        <v>14</v>
      </c>
      <c r="E283" s="1" t="s">
        <v>13</v>
      </c>
      <c r="F283" s="1" t="s">
        <v>1357</v>
      </c>
      <c r="G283" s="1" t="s">
        <v>1359</v>
      </c>
      <c r="H283" s="1">
        <v>11567.03</v>
      </c>
      <c r="I283" s="2">
        <f t="shared" si="28"/>
        <v>2082.0654</v>
      </c>
      <c r="J283" s="2"/>
      <c r="K283" s="2">
        <f t="shared" si="29"/>
        <v>13649.0954</v>
      </c>
      <c r="P283" s="1" t="s">
        <v>429</v>
      </c>
      <c r="Q283" s="4">
        <v>40456</v>
      </c>
    </row>
    <row r="284" spans="1:17" x14ac:dyDescent="0.2">
      <c r="A284" s="1" t="s">
        <v>12</v>
      </c>
      <c r="B284" s="4">
        <v>40437</v>
      </c>
      <c r="C284" s="8">
        <v>2010101537</v>
      </c>
      <c r="D284" s="1" t="s">
        <v>14</v>
      </c>
      <c r="E284" s="1" t="s">
        <v>13</v>
      </c>
      <c r="F284" s="1" t="s">
        <v>1358</v>
      </c>
      <c r="G284" s="1" t="s">
        <v>1360</v>
      </c>
      <c r="H284" s="1">
        <v>2796.61</v>
      </c>
      <c r="I284" s="2">
        <f t="shared" si="28"/>
        <v>503.38979999999998</v>
      </c>
      <c r="J284" s="2"/>
      <c r="K284" s="2">
        <f t="shared" si="29"/>
        <v>3299.9998000000001</v>
      </c>
      <c r="L284" s="1" t="s">
        <v>1904</v>
      </c>
      <c r="P284" s="1" t="s">
        <v>429</v>
      </c>
      <c r="Q284" s="4">
        <v>40456</v>
      </c>
    </row>
    <row r="285" spans="1:17" x14ac:dyDescent="0.2">
      <c r="A285" s="1" t="s">
        <v>12</v>
      </c>
      <c r="B285" s="4">
        <v>40437</v>
      </c>
      <c r="C285" s="8">
        <v>2010101538</v>
      </c>
      <c r="D285" s="1" t="s">
        <v>14</v>
      </c>
      <c r="E285" s="1" t="s">
        <v>13</v>
      </c>
      <c r="F285" s="1" t="s">
        <v>1358</v>
      </c>
      <c r="G285" s="1" t="s">
        <v>1361</v>
      </c>
      <c r="H285" s="1">
        <v>2542.37</v>
      </c>
      <c r="I285" s="2">
        <f t="shared" si="28"/>
        <v>457.62659999999994</v>
      </c>
      <c r="J285" s="2"/>
      <c r="K285" s="2">
        <f t="shared" si="29"/>
        <v>2999.9965999999999</v>
      </c>
      <c r="P285" s="1" t="s">
        <v>429</v>
      </c>
      <c r="Q285" s="4">
        <v>40456</v>
      </c>
    </row>
    <row r="286" spans="1:17" x14ac:dyDescent="0.2">
      <c r="A286" s="1" t="s">
        <v>12</v>
      </c>
      <c r="B286" s="4">
        <v>40437</v>
      </c>
      <c r="C286" s="8">
        <v>2010101539</v>
      </c>
      <c r="D286" s="1" t="s">
        <v>14</v>
      </c>
      <c r="E286" s="1" t="s">
        <v>13</v>
      </c>
      <c r="F286" s="1" t="s">
        <v>1358</v>
      </c>
      <c r="G286" s="1" t="s">
        <v>1362</v>
      </c>
      <c r="H286" s="1">
        <v>3389.83</v>
      </c>
      <c r="I286" s="2">
        <f t="shared" si="28"/>
        <v>610.1694</v>
      </c>
      <c r="J286" s="2"/>
      <c r="K286" s="2">
        <f t="shared" si="29"/>
        <v>3999.9993999999997</v>
      </c>
      <c r="P286" s="1" t="s">
        <v>429</v>
      </c>
      <c r="Q286" s="4">
        <v>40456</v>
      </c>
    </row>
    <row r="287" spans="1:17" x14ac:dyDescent="0.2">
      <c r="A287" s="1" t="s">
        <v>12</v>
      </c>
      <c r="B287" s="4">
        <v>40437</v>
      </c>
      <c r="C287" s="8">
        <v>2010101540</v>
      </c>
      <c r="D287" s="1" t="s">
        <v>14</v>
      </c>
      <c r="E287" s="1" t="s">
        <v>13</v>
      </c>
      <c r="F287" s="1" t="s">
        <v>1358</v>
      </c>
      <c r="G287" s="1" t="s">
        <v>1363</v>
      </c>
      <c r="H287" s="1">
        <v>3389.83</v>
      </c>
      <c r="I287" s="2">
        <f t="shared" si="28"/>
        <v>610.1694</v>
      </c>
      <c r="J287" s="2"/>
      <c r="K287" s="2">
        <f t="shared" si="29"/>
        <v>3999.9993999999997</v>
      </c>
      <c r="L287" s="1" t="s">
        <v>1904</v>
      </c>
      <c r="P287" s="1" t="s">
        <v>429</v>
      </c>
      <c r="Q287" s="4">
        <v>40456</v>
      </c>
    </row>
    <row r="288" spans="1:17" x14ac:dyDescent="0.2">
      <c r="A288" s="1" t="s">
        <v>12</v>
      </c>
      <c r="B288" s="4">
        <v>40437</v>
      </c>
      <c r="C288" s="8">
        <v>2010101541</v>
      </c>
      <c r="D288" s="1" t="s">
        <v>14</v>
      </c>
      <c r="E288" s="1" t="s">
        <v>13</v>
      </c>
      <c r="F288" s="1" t="s">
        <v>1358</v>
      </c>
      <c r="G288" s="1" t="s">
        <v>1364</v>
      </c>
      <c r="H288" s="1">
        <v>2954.95</v>
      </c>
      <c r="I288" s="2">
        <f t="shared" si="28"/>
        <v>531.89099999999996</v>
      </c>
      <c r="J288" s="2"/>
      <c r="K288" s="2">
        <f t="shared" si="29"/>
        <v>3486.8409999999999</v>
      </c>
      <c r="L288" s="1" t="s">
        <v>2507</v>
      </c>
      <c r="P288" s="1" t="s">
        <v>429</v>
      </c>
      <c r="Q288" s="4">
        <v>40456</v>
      </c>
    </row>
    <row r="289" spans="1:17" x14ac:dyDescent="0.2">
      <c r="A289" s="1" t="s">
        <v>12</v>
      </c>
      <c r="B289" s="4">
        <v>40437</v>
      </c>
      <c r="C289" s="8">
        <v>2010101542</v>
      </c>
      <c r="D289" s="1" t="s">
        <v>14</v>
      </c>
      <c r="E289" s="1" t="s">
        <v>13</v>
      </c>
      <c r="F289" s="1" t="s">
        <v>1358</v>
      </c>
      <c r="G289" s="1" t="s">
        <v>1365</v>
      </c>
      <c r="H289" s="1">
        <v>2772.67</v>
      </c>
      <c r="I289" s="2">
        <f t="shared" si="28"/>
        <v>499.0806</v>
      </c>
      <c r="J289" s="2"/>
      <c r="K289" s="2">
        <f t="shared" si="29"/>
        <v>3271.7506000000003</v>
      </c>
      <c r="P289" s="1" t="s">
        <v>429</v>
      </c>
      <c r="Q289" s="4">
        <v>40456</v>
      </c>
    </row>
    <row r="290" spans="1:17" x14ac:dyDescent="0.2">
      <c r="A290" s="1" t="s">
        <v>12</v>
      </c>
      <c r="B290" s="4">
        <v>40437</v>
      </c>
      <c r="C290" s="8">
        <v>2010101543</v>
      </c>
      <c r="D290" s="1" t="s">
        <v>14</v>
      </c>
      <c r="E290" s="1" t="s">
        <v>13</v>
      </c>
      <c r="F290" s="1" t="s">
        <v>1358</v>
      </c>
      <c r="G290" s="1" t="s">
        <v>1366</v>
      </c>
      <c r="H290" s="1">
        <v>2550.2800000000002</v>
      </c>
      <c r="I290" s="2">
        <f t="shared" si="28"/>
        <v>459.05040000000002</v>
      </c>
      <c r="J290" s="2"/>
      <c r="K290" s="2">
        <f t="shared" si="29"/>
        <v>3009.3304000000003</v>
      </c>
      <c r="P290" s="1" t="s">
        <v>429</v>
      </c>
      <c r="Q290" s="4">
        <v>40456</v>
      </c>
    </row>
    <row r="291" spans="1:17" x14ac:dyDescent="0.2">
      <c r="A291" s="1" t="s">
        <v>12</v>
      </c>
      <c r="B291" s="4">
        <v>40434</v>
      </c>
      <c r="C291" s="8">
        <v>2010101516</v>
      </c>
      <c r="D291" s="1" t="s">
        <v>14</v>
      </c>
      <c r="E291" s="1" t="s">
        <v>13</v>
      </c>
      <c r="F291" s="1" t="s">
        <v>44</v>
      </c>
      <c r="G291" s="1" t="s">
        <v>1367</v>
      </c>
      <c r="H291" s="1">
        <v>4204.28</v>
      </c>
      <c r="I291" s="2">
        <f t="shared" si="28"/>
        <v>756.77039999999988</v>
      </c>
      <c r="J291" s="2"/>
      <c r="K291" s="2">
        <f t="shared" si="29"/>
        <v>4961.0504000000001</v>
      </c>
      <c r="P291" s="1" t="s">
        <v>429</v>
      </c>
      <c r="Q291" s="4">
        <v>40456</v>
      </c>
    </row>
    <row r="292" spans="1:17" x14ac:dyDescent="0.2">
      <c r="A292" s="1" t="s">
        <v>12</v>
      </c>
      <c r="B292" s="4">
        <v>40434</v>
      </c>
      <c r="C292" s="8">
        <v>2010101515</v>
      </c>
      <c r="D292" s="1" t="s">
        <v>14</v>
      </c>
      <c r="E292" s="1" t="s">
        <v>13</v>
      </c>
      <c r="F292" s="1" t="s">
        <v>39</v>
      </c>
      <c r="G292" s="1" t="s">
        <v>1368</v>
      </c>
      <c r="H292" s="1">
        <v>2779.43</v>
      </c>
      <c r="I292" s="2">
        <f t="shared" si="28"/>
        <v>500.29739999999993</v>
      </c>
      <c r="J292" s="2"/>
      <c r="K292" s="2">
        <f t="shared" si="29"/>
        <v>3279.7273999999998</v>
      </c>
      <c r="L292" s="1" t="s">
        <v>1904</v>
      </c>
      <c r="P292" s="1" t="s">
        <v>429</v>
      </c>
      <c r="Q292" s="4">
        <v>40456</v>
      </c>
    </row>
    <row r="293" spans="1:17" x14ac:dyDescent="0.2">
      <c r="A293" s="1" t="s">
        <v>12</v>
      </c>
      <c r="B293" s="4">
        <v>40445</v>
      </c>
      <c r="C293" s="8">
        <v>10000166708</v>
      </c>
      <c r="D293" s="1" t="s">
        <v>985</v>
      </c>
      <c r="E293" s="1" t="s">
        <v>115</v>
      </c>
      <c r="F293" s="1" t="s">
        <v>1357</v>
      </c>
      <c r="G293" s="1" t="s">
        <v>1369</v>
      </c>
      <c r="H293" s="1">
        <v>9067.7999999999993</v>
      </c>
      <c r="I293" s="2">
        <f>+H293*0.18</f>
        <v>1632.2039999999997</v>
      </c>
      <c r="J293" s="2"/>
      <c r="K293" s="2">
        <f t="shared" si="29"/>
        <v>10700.003999999999</v>
      </c>
      <c r="P293" s="1" t="s">
        <v>429</v>
      </c>
      <c r="Q293" s="4">
        <v>40456</v>
      </c>
    </row>
    <row r="294" spans="1:17" x14ac:dyDescent="0.2">
      <c r="A294" s="1" t="s">
        <v>408</v>
      </c>
      <c r="B294" s="4">
        <v>40429</v>
      </c>
      <c r="C294" s="8" t="s">
        <v>1370</v>
      </c>
      <c r="D294" s="1" t="s">
        <v>1381</v>
      </c>
      <c r="E294" s="1" t="s">
        <v>1382</v>
      </c>
      <c r="F294" s="1" t="s">
        <v>39</v>
      </c>
      <c r="G294" s="1" t="s">
        <v>1232</v>
      </c>
      <c r="H294" s="1">
        <v>2796.61</v>
      </c>
      <c r="I294" s="2">
        <f t="shared" ref="I294:I304" si="30">+H294*0.18</f>
        <v>503.38979999999998</v>
      </c>
      <c r="J294" s="2"/>
      <c r="K294" s="2">
        <f t="shared" si="29"/>
        <v>3299.9998000000001</v>
      </c>
      <c r="P294" s="1" t="s">
        <v>429</v>
      </c>
      <c r="Q294" s="4">
        <v>40456</v>
      </c>
    </row>
    <row r="295" spans="1:17" x14ac:dyDescent="0.2">
      <c r="A295" s="1" t="s">
        <v>408</v>
      </c>
      <c r="B295" s="4">
        <v>40435</v>
      </c>
      <c r="C295" s="8" t="s">
        <v>1371</v>
      </c>
      <c r="D295" s="1" t="s">
        <v>1383</v>
      </c>
      <c r="E295" s="1" t="s">
        <v>1384</v>
      </c>
      <c r="F295" s="1" t="s">
        <v>1010</v>
      </c>
      <c r="G295" s="1" t="s">
        <v>1385</v>
      </c>
      <c r="H295" s="1">
        <v>4745.76</v>
      </c>
      <c r="I295" s="2">
        <f t="shared" si="30"/>
        <v>854.23680000000002</v>
      </c>
      <c r="J295" s="2"/>
      <c r="K295" s="2">
        <f t="shared" si="29"/>
        <v>5599.9967999999999</v>
      </c>
      <c r="L295" s="1" t="s">
        <v>2542</v>
      </c>
      <c r="P295" s="1" t="s">
        <v>429</v>
      </c>
      <c r="Q295" s="4">
        <v>40456</v>
      </c>
    </row>
    <row r="296" spans="1:17" x14ac:dyDescent="0.2">
      <c r="A296" s="1" t="s">
        <v>408</v>
      </c>
      <c r="C296" s="8" t="s">
        <v>1372</v>
      </c>
      <c r="I296" s="2">
        <f t="shared" si="30"/>
        <v>0</v>
      </c>
      <c r="J296" s="2"/>
      <c r="K296" s="2">
        <f t="shared" si="29"/>
        <v>0</v>
      </c>
      <c r="P296" s="1" t="s">
        <v>429</v>
      </c>
      <c r="Q296" s="4">
        <v>40456</v>
      </c>
    </row>
    <row r="297" spans="1:17" x14ac:dyDescent="0.2">
      <c r="A297" s="1" t="s">
        <v>408</v>
      </c>
      <c r="C297" s="8" t="s">
        <v>1373</v>
      </c>
      <c r="I297" s="2">
        <f t="shared" si="30"/>
        <v>0</v>
      </c>
      <c r="J297" s="2"/>
      <c r="K297" s="2">
        <f t="shared" si="29"/>
        <v>0</v>
      </c>
      <c r="P297" s="1" t="s">
        <v>429</v>
      </c>
      <c r="Q297" s="4">
        <v>40456</v>
      </c>
    </row>
    <row r="298" spans="1:17" x14ac:dyDescent="0.2">
      <c r="A298" s="1" t="s">
        <v>408</v>
      </c>
      <c r="B298" s="4">
        <v>40438</v>
      </c>
      <c r="C298" s="8" t="s">
        <v>1374</v>
      </c>
      <c r="D298" s="1" t="s">
        <v>232</v>
      </c>
      <c r="E298" s="25" t="s">
        <v>233</v>
      </c>
      <c r="F298" s="1" t="s">
        <v>47</v>
      </c>
      <c r="G298" s="1" t="s">
        <v>74</v>
      </c>
      <c r="H298" s="1">
        <v>2796.61</v>
      </c>
      <c r="I298" s="2">
        <f t="shared" si="30"/>
        <v>503.38979999999998</v>
      </c>
      <c r="J298" s="2"/>
      <c r="K298" s="2">
        <f t="shared" si="29"/>
        <v>3299.9998000000001</v>
      </c>
      <c r="P298" s="1" t="s">
        <v>429</v>
      </c>
      <c r="Q298" s="4">
        <v>40456</v>
      </c>
    </row>
    <row r="299" spans="1:17" x14ac:dyDescent="0.2">
      <c r="A299" s="1" t="s">
        <v>408</v>
      </c>
      <c r="B299" s="4">
        <v>40438</v>
      </c>
      <c r="C299" s="8" t="s">
        <v>1375</v>
      </c>
      <c r="D299" s="1" t="s">
        <v>232</v>
      </c>
      <c r="E299" s="25" t="s">
        <v>233</v>
      </c>
      <c r="F299" s="1" t="s">
        <v>44</v>
      </c>
      <c r="G299" s="1" t="s">
        <v>1337</v>
      </c>
      <c r="H299" s="1">
        <v>3559.32</v>
      </c>
      <c r="I299" s="2">
        <f t="shared" si="30"/>
        <v>640.67759999999998</v>
      </c>
      <c r="J299" s="2"/>
      <c r="K299" s="2">
        <f t="shared" si="29"/>
        <v>4199.9976000000006</v>
      </c>
      <c r="P299" s="1" t="s">
        <v>429</v>
      </c>
      <c r="Q299" s="4">
        <v>40456</v>
      </c>
    </row>
    <row r="300" spans="1:17" x14ac:dyDescent="0.2">
      <c r="A300" s="1" t="s">
        <v>408</v>
      </c>
      <c r="B300" s="4">
        <v>40436</v>
      </c>
      <c r="C300" s="8" t="s">
        <v>1376</v>
      </c>
      <c r="D300" s="1" t="s">
        <v>1386</v>
      </c>
      <c r="E300" s="1" t="s">
        <v>1387</v>
      </c>
      <c r="F300" s="1" t="s">
        <v>1012</v>
      </c>
      <c r="G300" s="1" t="s">
        <v>1310</v>
      </c>
      <c r="H300" s="1">
        <v>5762.71</v>
      </c>
      <c r="I300" s="2">
        <f t="shared" si="30"/>
        <v>1037.2878000000001</v>
      </c>
      <c r="J300" s="2"/>
      <c r="K300" s="2">
        <f t="shared" si="29"/>
        <v>6799.9978000000001</v>
      </c>
      <c r="P300" s="1" t="s">
        <v>429</v>
      </c>
      <c r="Q300" s="4">
        <v>40456</v>
      </c>
    </row>
    <row r="301" spans="1:17" x14ac:dyDescent="0.2">
      <c r="A301" s="1" t="s">
        <v>408</v>
      </c>
      <c r="B301" s="4">
        <v>40439</v>
      </c>
      <c r="C301" s="8" t="s">
        <v>1377</v>
      </c>
      <c r="D301" s="1" t="s">
        <v>1388</v>
      </c>
      <c r="E301" s="1" t="s">
        <v>1389</v>
      </c>
      <c r="F301" s="1" t="s">
        <v>1012</v>
      </c>
      <c r="G301" s="1" t="s">
        <v>1261</v>
      </c>
      <c r="H301" s="2">
        <f>5200/1.18</f>
        <v>4406.7796610169498</v>
      </c>
      <c r="I301" s="2">
        <f t="shared" si="30"/>
        <v>793.22033898305096</v>
      </c>
      <c r="J301" s="2"/>
      <c r="K301" s="2">
        <f t="shared" si="29"/>
        <v>5200.0000000000009</v>
      </c>
      <c r="P301" s="1" t="s">
        <v>429</v>
      </c>
      <c r="Q301" s="4">
        <v>40456</v>
      </c>
    </row>
    <row r="302" spans="1:17" x14ac:dyDescent="0.2">
      <c r="A302" s="1" t="s">
        <v>408</v>
      </c>
      <c r="B302" s="4">
        <v>40443</v>
      </c>
      <c r="C302" s="8" t="s">
        <v>1378</v>
      </c>
      <c r="D302" s="1" t="s">
        <v>1390</v>
      </c>
      <c r="E302" s="1" t="s">
        <v>1391</v>
      </c>
      <c r="F302" s="1" t="s">
        <v>1358</v>
      </c>
      <c r="G302" s="1" t="s">
        <v>1392</v>
      </c>
      <c r="I302" s="2">
        <f t="shared" si="30"/>
        <v>0</v>
      </c>
      <c r="J302" s="2"/>
      <c r="K302" s="2">
        <v>5000</v>
      </c>
      <c r="L302" s="1" t="s">
        <v>303</v>
      </c>
      <c r="P302" s="1" t="s">
        <v>429</v>
      </c>
      <c r="Q302" s="4">
        <v>40456</v>
      </c>
    </row>
    <row r="303" spans="1:17" x14ac:dyDescent="0.2">
      <c r="A303" s="1" t="s">
        <v>408</v>
      </c>
      <c r="B303" s="4">
        <v>40441</v>
      </c>
      <c r="C303" s="8" t="s">
        <v>1379</v>
      </c>
      <c r="D303" s="1" t="s">
        <v>1393</v>
      </c>
      <c r="E303" s="1" t="s">
        <v>1394</v>
      </c>
      <c r="F303" s="1" t="s">
        <v>1012</v>
      </c>
      <c r="G303" s="1" t="s">
        <v>1013</v>
      </c>
      <c r="H303" s="1">
        <v>4000</v>
      </c>
      <c r="I303" s="2">
        <f t="shared" si="30"/>
        <v>720</v>
      </c>
      <c r="J303" s="2"/>
      <c r="K303" s="2">
        <f t="shared" si="29"/>
        <v>4720</v>
      </c>
      <c r="P303" s="1" t="s">
        <v>429</v>
      </c>
      <c r="Q303" s="4">
        <v>40456</v>
      </c>
    </row>
    <row r="304" spans="1:17" x14ac:dyDescent="0.2">
      <c r="A304" s="1" t="s">
        <v>408</v>
      </c>
      <c r="B304" s="4">
        <v>40443</v>
      </c>
      <c r="C304" s="8" t="s">
        <v>1380</v>
      </c>
      <c r="D304" s="1" t="s">
        <v>1395</v>
      </c>
      <c r="E304" s="1" t="s">
        <v>1396</v>
      </c>
      <c r="F304" s="1" t="s">
        <v>1358</v>
      </c>
      <c r="G304" s="1" t="s">
        <v>1016</v>
      </c>
      <c r="H304" s="1">
        <v>1500</v>
      </c>
      <c r="I304" s="2">
        <f t="shared" si="30"/>
        <v>270</v>
      </c>
      <c r="J304" s="2"/>
      <c r="K304" s="2">
        <f t="shared" si="29"/>
        <v>1770</v>
      </c>
      <c r="P304" s="1" t="s">
        <v>429</v>
      </c>
      <c r="Q304" s="4">
        <v>40456</v>
      </c>
    </row>
    <row r="305" spans="1:17" x14ac:dyDescent="0.2">
      <c r="A305" s="1" t="s">
        <v>408</v>
      </c>
      <c r="B305" s="65">
        <v>40359</v>
      </c>
      <c r="C305" s="8" t="s">
        <v>1398</v>
      </c>
      <c r="D305" s="66" t="s">
        <v>1413</v>
      </c>
      <c r="E305" s="67" t="s">
        <v>1270</v>
      </c>
      <c r="F305" s="3" t="s">
        <v>1414</v>
      </c>
      <c r="G305" s="3" t="s">
        <v>1415</v>
      </c>
      <c r="H305" s="2"/>
      <c r="I305" s="2">
        <f>+H305*0.16</f>
        <v>0</v>
      </c>
      <c r="J305" s="2"/>
      <c r="K305" s="2">
        <v>1000</v>
      </c>
      <c r="L305" s="1" t="s">
        <v>303</v>
      </c>
      <c r="P305" s="1" t="s">
        <v>429</v>
      </c>
      <c r="Q305" s="4">
        <v>40456</v>
      </c>
    </row>
    <row r="306" spans="1:17" x14ac:dyDescent="0.2">
      <c r="A306" s="1" t="s">
        <v>408</v>
      </c>
      <c r="B306" s="65">
        <v>40384</v>
      </c>
      <c r="C306" s="8" t="s">
        <v>1399</v>
      </c>
      <c r="D306" s="66" t="s">
        <v>254</v>
      </c>
      <c r="E306" s="67" t="s">
        <v>1416</v>
      </c>
      <c r="F306" s="3" t="s">
        <v>256</v>
      </c>
      <c r="G306" s="3" t="s">
        <v>1417</v>
      </c>
      <c r="H306" s="2">
        <v>3813.56</v>
      </c>
      <c r="I306" s="2">
        <f>+H306*0.18</f>
        <v>686.44079999999997</v>
      </c>
      <c r="J306" s="2"/>
      <c r="K306" s="2">
        <f t="shared" ref="K306:K314" si="31">H306+I306</f>
        <v>4500.0007999999998</v>
      </c>
      <c r="P306" s="1" t="s">
        <v>429</v>
      </c>
      <c r="Q306" s="4">
        <v>40456</v>
      </c>
    </row>
    <row r="307" spans="1:17" x14ac:dyDescent="0.2">
      <c r="A307" s="1" t="s">
        <v>408</v>
      </c>
      <c r="B307" s="65">
        <v>40388</v>
      </c>
      <c r="C307" s="8" t="s">
        <v>1400</v>
      </c>
      <c r="D307" s="66" t="s">
        <v>1418</v>
      </c>
      <c r="E307" s="67" t="s">
        <v>1419</v>
      </c>
      <c r="F307" s="3" t="s">
        <v>1420</v>
      </c>
      <c r="G307" s="3" t="s">
        <v>1421</v>
      </c>
      <c r="H307" s="2"/>
      <c r="I307" s="2">
        <f t="shared" ref="I307:I319" si="32">+H307*0.18</f>
        <v>0</v>
      </c>
      <c r="J307" s="2"/>
      <c r="K307" s="2">
        <v>1000</v>
      </c>
      <c r="L307" s="1" t="s">
        <v>303</v>
      </c>
      <c r="P307" s="1" t="s">
        <v>429</v>
      </c>
      <c r="Q307" s="4">
        <v>40456</v>
      </c>
    </row>
    <row r="308" spans="1:17" x14ac:dyDescent="0.2">
      <c r="A308" s="1" t="s">
        <v>408</v>
      </c>
      <c r="B308" s="65">
        <v>40388</v>
      </c>
      <c r="C308" s="8" t="s">
        <v>1401</v>
      </c>
      <c r="D308" s="66" t="s">
        <v>1422</v>
      </c>
      <c r="E308" s="67" t="s">
        <v>1423</v>
      </c>
      <c r="F308" s="3" t="s">
        <v>1424</v>
      </c>
      <c r="G308" s="3" t="s">
        <v>1425</v>
      </c>
      <c r="H308" s="2">
        <v>3559.32</v>
      </c>
      <c r="I308" s="2">
        <f t="shared" si="32"/>
        <v>640.67759999999998</v>
      </c>
      <c r="J308" s="2"/>
      <c r="K308" s="2">
        <f t="shared" si="31"/>
        <v>4199.9976000000006</v>
      </c>
      <c r="P308" s="1" t="s">
        <v>429</v>
      </c>
      <c r="Q308" s="4">
        <v>40456</v>
      </c>
    </row>
    <row r="309" spans="1:17" x14ac:dyDescent="0.2">
      <c r="A309" s="1" t="s">
        <v>408</v>
      </c>
      <c r="B309" s="65">
        <v>40393</v>
      </c>
      <c r="C309" s="8" t="s">
        <v>1402</v>
      </c>
      <c r="D309" s="66" t="s">
        <v>1413</v>
      </c>
      <c r="E309" s="67" t="s">
        <v>1270</v>
      </c>
      <c r="F309" s="3" t="s">
        <v>1414</v>
      </c>
      <c r="G309" s="3" t="s">
        <v>247</v>
      </c>
      <c r="H309" s="2">
        <v>0</v>
      </c>
      <c r="I309" s="2">
        <f t="shared" si="32"/>
        <v>0</v>
      </c>
      <c r="J309" s="2"/>
      <c r="K309" s="2">
        <v>3400</v>
      </c>
      <c r="L309" s="1" t="s">
        <v>21</v>
      </c>
      <c r="P309" s="1" t="s">
        <v>429</v>
      </c>
      <c r="Q309" s="4">
        <v>40456</v>
      </c>
    </row>
    <row r="310" spans="1:17" x14ac:dyDescent="0.2">
      <c r="A310" s="1" t="s">
        <v>408</v>
      </c>
      <c r="B310" s="65">
        <v>40393</v>
      </c>
      <c r="C310" s="8" t="s">
        <v>1403</v>
      </c>
      <c r="D310" s="66" t="s">
        <v>1413</v>
      </c>
      <c r="E310" s="67" t="s">
        <v>1270</v>
      </c>
      <c r="F310" s="3" t="s">
        <v>325</v>
      </c>
      <c r="G310" s="3" t="s">
        <v>1426</v>
      </c>
      <c r="H310" s="2">
        <v>2966.1</v>
      </c>
      <c r="I310" s="2">
        <f t="shared" si="32"/>
        <v>533.89799999999991</v>
      </c>
      <c r="J310" s="2"/>
      <c r="K310" s="2">
        <f t="shared" si="31"/>
        <v>3499.9979999999996</v>
      </c>
      <c r="P310" s="1" t="s">
        <v>429</v>
      </c>
      <c r="Q310" s="4">
        <v>40456</v>
      </c>
    </row>
    <row r="311" spans="1:17" x14ac:dyDescent="0.2">
      <c r="A311" s="1" t="s">
        <v>408</v>
      </c>
      <c r="B311" s="65">
        <v>40393</v>
      </c>
      <c r="C311" s="8" t="s">
        <v>1404</v>
      </c>
      <c r="D311" s="66" t="s">
        <v>1427</v>
      </c>
      <c r="E311" s="67" t="s">
        <v>1428</v>
      </c>
      <c r="F311" s="3" t="s">
        <v>239</v>
      </c>
      <c r="G311" s="3" t="s">
        <v>1006</v>
      </c>
      <c r="H311" s="2">
        <v>2033.9</v>
      </c>
      <c r="I311" s="2">
        <f t="shared" si="32"/>
        <v>366.10199999999998</v>
      </c>
      <c r="J311" s="2"/>
      <c r="K311" s="2">
        <f t="shared" si="31"/>
        <v>2400.002</v>
      </c>
      <c r="P311" s="1" t="s">
        <v>429</v>
      </c>
      <c r="Q311" s="4">
        <v>40456</v>
      </c>
    </row>
    <row r="312" spans="1:17" x14ac:dyDescent="0.2">
      <c r="A312" s="1" t="s">
        <v>408</v>
      </c>
      <c r="B312" s="65">
        <v>40423</v>
      </c>
      <c r="C312" s="8" t="s">
        <v>1405</v>
      </c>
      <c r="D312" s="66" t="s">
        <v>1429</v>
      </c>
      <c r="E312" s="67" t="s">
        <v>1430</v>
      </c>
      <c r="F312" s="3" t="s">
        <v>1431</v>
      </c>
      <c r="G312" s="3" t="s">
        <v>1432</v>
      </c>
      <c r="H312" s="2">
        <v>5593.22</v>
      </c>
      <c r="I312" s="2">
        <f t="shared" si="32"/>
        <v>1006.7796</v>
      </c>
      <c r="J312" s="2"/>
      <c r="K312" s="2">
        <f t="shared" si="31"/>
        <v>6599.9996000000001</v>
      </c>
      <c r="P312" s="1" t="s">
        <v>429</v>
      </c>
      <c r="Q312" s="4">
        <v>40456</v>
      </c>
    </row>
    <row r="313" spans="1:17" x14ac:dyDescent="0.2">
      <c r="A313" s="1" t="s">
        <v>408</v>
      </c>
      <c r="B313" s="65">
        <v>40423</v>
      </c>
      <c r="C313" s="8" t="s">
        <v>1406</v>
      </c>
      <c r="D313" s="66" t="s">
        <v>1433</v>
      </c>
      <c r="E313" s="67" t="s">
        <v>1434</v>
      </c>
      <c r="F313" s="3" t="s">
        <v>1431</v>
      </c>
      <c r="G313" s="3" t="s">
        <v>1435</v>
      </c>
      <c r="H313" s="1">
        <v>12711.865</v>
      </c>
      <c r="I313" s="2">
        <f t="shared" si="32"/>
        <v>2288.1356999999998</v>
      </c>
      <c r="J313" s="2"/>
      <c r="K313" s="2">
        <f t="shared" si="31"/>
        <v>15000.000700000001</v>
      </c>
      <c r="P313" s="1" t="s">
        <v>429</v>
      </c>
      <c r="Q313" s="4">
        <v>40456</v>
      </c>
    </row>
    <row r="314" spans="1:17" x14ac:dyDescent="0.2">
      <c r="A314" s="1" t="s">
        <v>408</v>
      </c>
      <c r="B314" s="65">
        <v>40430</v>
      </c>
      <c r="C314" s="8" t="s">
        <v>1407</v>
      </c>
      <c r="D314" s="66" t="s">
        <v>1436</v>
      </c>
      <c r="E314" s="67" t="s">
        <v>1437</v>
      </c>
      <c r="F314" s="3" t="s">
        <v>1438</v>
      </c>
      <c r="G314" s="3" t="s">
        <v>1439</v>
      </c>
      <c r="H314" s="1">
        <v>4745.76</v>
      </c>
      <c r="I314" s="2">
        <f t="shared" si="32"/>
        <v>854.23680000000002</v>
      </c>
      <c r="J314" s="2"/>
      <c r="K314" s="2">
        <f t="shared" si="31"/>
        <v>5599.9967999999999</v>
      </c>
      <c r="P314" s="1" t="s">
        <v>429</v>
      </c>
      <c r="Q314" s="4">
        <v>40456</v>
      </c>
    </row>
    <row r="315" spans="1:17" x14ac:dyDescent="0.2">
      <c r="A315" s="1" t="s">
        <v>408</v>
      </c>
      <c r="B315" s="65">
        <v>40435</v>
      </c>
      <c r="C315" s="8" t="s">
        <v>1408</v>
      </c>
      <c r="D315" s="66" t="s">
        <v>1440</v>
      </c>
      <c r="E315" s="67" t="s">
        <v>1441</v>
      </c>
      <c r="F315" s="3" t="s">
        <v>325</v>
      </c>
      <c r="G315" s="3" t="s">
        <v>326</v>
      </c>
      <c r="H315" s="1">
        <v>3220.34</v>
      </c>
      <c r="I315" s="2">
        <f t="shared" si="32"/>
        <v>579.66120000000001</v>
      </c>
      <c r="J315" s="2"/>
      <c r="K315" s="2">
        <f>H315+I315</f>
        <v>3800.0012000000002</v>
      </c>
      <c r="P315" s="1" t="s">
        <v>429</v>
      </c>
      <c r="Q315" s="4">
        <v>40456</v>
      </c>
    </row>
    <row r="316" spans="1:17" x14ac:dyDescent="0.2">
      <c r="A316" s="1" t="s">
        <v>408</v>
      </c>
      <c r="B316" s="65">
        <v>40435</v>
      </c>
      <c r="C316" s="8" t="s">
        <v>1409</v>
      </c>
      <c r="D316" s="66" t="s">
        <v>1442</v>
      </c>
      <c r="E316" s="67" t="s">
        <v>1443</v>
      </c>
      <c r="F316" s="3" t="s">
        <v>269</v>
      </c>
      <c r="G316" s="3" t="s">
        <v>1444</v>
      </c>
      <c r="H316" s="1">
        <v>3220.34</v>
      </c>
      <c r="I316" s="2">
        <f t="shared" si="32"/>
        <v>579.66120000000001</v>
      </c>
      <c r="J316" s="2"/>
      <c r="K316" s="2">
        <f>H316+I316</f>
        <v>3800.0012000000002</v>
      </c>
      <c r="P316" s="1" t="s">
        <v>429</v>
      </c>
      <c r="Q316" s="4">
        <v>40456</v>
      </c>
    </row>
    <row r="317" spans="1:17" x14ac:dyDescent="0.2">
      <c r="A317" s="1" t="s">
        <v>408</v>
      </c>
      <c r="B317" s="65">
        <v>40435</v>
      </c>
      <c r="C317" s="8" t="s">
        <v>1410</v>
      </c>
      <c r="D317" s="66" t="s">
        <v>1445</v>
      </c>
      <c r="E317" s="67" t="s">
        <v>1446</v>
      </c>
      <c r="F317" s="3" t="s">
        <v>276</v>
      </c>
      <c r="G317" s="3" t="s">
        <v>1447</v>
      </c>
      <c r="I317" s="2">
        <f t="shared" si="32"/>
        <v>0</v>
      </c>
      <c r="J317" s="2"/>
      <c r="K317" s="2">
        <v>4000</v>
      </c>
      <c r="L317" s="1" t="s">
        <v>21</v>
      </c>
      <c r="P317" s="1" t="s">
        <v>429</v>
      </c>
      <c r="Q317" s="4">
        <v>40456</v>
      </c>
    </row>
    <row r="318" spans="1:17" x14ac:dyDescent="0.2">
      <c r="A318" s="1" t="s">
        <v>408</v>
      </c>
      <c r="B318" s="65">
        <v>40442</v>
      </c>
      <c r="C318" s="8" t="s">
        <v>1411</v>
      </c>
      <c r="D318" s="66" t="s">
        <v>232</v>
      </c>
      <c r="E318" s="67" t="s">
        <v>233</v>
      </c>
      <c r="F318" s="3" t="s">
        <v>325</v>
      </c>
      <c r="G318" s="3" t="s">
        <v>1448</v>
      </c>
      <c r="H318" s="1">
        <v>2542.37</v>
      </c>
      <c r="I318" s="2">
        <f t="shared" si="32"/>
        <v>457.62659999999994</v>
      </c>
      <c r="J318" s="2"/>
      <c r="K318" s="2">
        <f>H318+I318</f>
        <v>2999.9965999999999</v>
      </c>
      <c r="P318" s="1" t="s">
        <v>429</v>
      </c>
      <c r="Q318" s="4">
        <v>40456</v>
      </c>
    </row>
    <row r="319" spans="1:17" x14ac:dyDescent="0.2">
      <c r="A319" s="1" t="s">
        <v>1449</v>
      </c>
      <c r="B319" s="4">
        <v>40442</v>
      </c>
      <c r="C319" s="8" t="s">
        <v>1412</v>
      </c>
      <c r="D319" s="66" t="s">
        <v>1450</v>
      </c>
      <c r="E319" s="67" t="s">
        <v>115</v>
      </c>
      <c r="F319" s="3" t="s">
        <v>1451</v>
      </c>
      <c r="H319" s="1">
        <v>423.73</v>
      </c>
      <c r="I319" s="2">
        <f t="shared" si="32"/>
        <v>76.2714</v>
      </c>
      <c r="J319" s="2"/>
      <c r="K319" s="2">
        <f>H319+I319</f>
        <v>500.00139999999999</v>
      </c>
      <c r="P319" s="1" t="s">
        <v>429</v>
      </c>
      <c r="Q319" s="4">
        <v>40456</v>
      </c>
    </row>
    <row r="320" spans="1:17" x14ac:dyDescent="0.2">
      <c r="A320" s="1" t="s">
        <v>12</v>
      </c>
      <c r="B320" s="4">
        <v>40379</v>
      </c>
      <c r="C320" s="8">
        <v>259</v>
      </c>
      <c r="D320" s="1" t="s">
        <v>1452</v>
      </c>
      <c r="E320" s="1" t="s">
        <v>1453</v>
      </c>
      <c r="F320" s="3" t="s">
        <v>1420</v>
      </c>
      <c r="G320" s="3" t="s">
        <v>1421</v>
      </c>
      <c r="K320" s="1">
        <v>900</v>
      </c>
      <c r="L320" s="1" t="s">
        <v>21</v>
      </c>
      <c r="M320" s="1" t="s">
        <v>31</v>
      </c>
      <c r="P320" s="1" t="s">
        <v>429</v>
      </c>
      <c r="Q320" s="4">
        <v>40456</v>
      </c>
    </row>
    <row r="321" spans="1:17" x14ac:dyDescent="0.2">
      <c r="A321" s="1" t="s">
        <v>12</v>
      </c>
      <c r="B321" s="4">
        <v>40448</v>
      </c>
      <c r="C321" s="8">
        <v>10000166778</v>
      </c>
      <c r="D321" s="1" t="s">
        <v>985</v>
      </c>
      <c r="E321" s="1" t="s">
        <v>115</v>
      </c>
      <c r="G321" s="1" t="s">
        <v>1454</v>
      </c>
      <c r="H321" s="1">
        <v>2542.37</v>
      </c>
      <c r="I321" s="2">
        <f>+H321*0.18</f>
        <v>457.62659999999994</v>
      </c>
      <c r="J321" s="2"/>
      <c r="K321" s="2">
        <f>H321+I321</f>
        <v>2999.9965999999999</v>
      </c>
      <c r="P321" s="1" t="s">
        <v>663</v>
      </c>
      <c r="Q321" s="4">
        <v>40483</v>
      </c>
    </row>
    <row r="322" spans="1:17" x14ac:dyDescent="0.2">
      <c r="A322" s="1" t="s">
        <v>12</v>
      </c>
      <c r="B322" s="4">
        <v>40462</v>
      </c>
      <c r="C322" s="8">
        <v>10000181982</v>
      </c>
      <c r="D322" s="1" t="s">
        <v>985</v>
      </c>
      <c r="E322" s="1" t="s">
        <v>115</v>
      </c>
      <c r="G322" s="1" t="s">
        <v>1455</v>
      </c>
      <c r="H322" s="1">
        <v>2542.37</v>
      </c>
      <c r="I322" s="2">
        <f>+H322*0.18</f>
        <v>457.62659999999994</v>
      </c>
      <c r="K322" s="2">
        <f>H322+I322</f>
        <v>2999.9965999999999</v>
      </c>
      <c r="P322" s="1" t="s">
        <v>663</v>
      </c>
      <c r="Q322" s="4">
        <v>40483</v>
      </c>
    </row>
    <row r="323" spans="1:17" x14ac:dyDescent="0.2">
      <c r="A323" s="1" t="s">
        <v>12</v>
      </c>
      <c r="B323" s="4">
        <v>40479</v>
      </c>
      <c r="C323" s="8" t="s">
        <v>1456</v>
      </c>
      <c r="D323" s="66" t="s">
        <v>232</v>
      </c>
      <c r="E323" s="67" t="s">
        <v>233</v>
      </c>
      <c r="F323" s="26" t="s">
        <v>234</v>
      </c>
      <c r="G323" s="1" t="s">
        <v>235</v>
      </c>
      <c r="H323" s="1">
        <v>2500</v>
      </c>
      <c r="I323" s="2">
        <f>+H323*0.18</f>
        <v>450</v>
      </c>
      <c r="J323" s="2"/>
      <c r="K323" s="2">
        <f>H323+I323</f>
        <v>2950</v>
      </c>
      <c r="L323" s="1" t="s">
        <v>1904</v>
      </c>
      <c r="P323" s="1" t="s">
        <v>663</v>
      </c>
      <c r="Q323" s="4">
        <v>40483</v>
      </c>
    </row>
    <row r="324" spans="1:17" x14ac:dyDescent="0.2">
      <c r="A324" s="1" t="s">
        <v>12</v>
      </c>
      <c r="B324" s="4">
        <v>40479</v>
      </c>
      <c r="C324" s="8" t="s">
        <v>1456</v>
      </c>
      <c r="D324" s="66" t="s">
        <v>232</v>
      </c>
      <c r="E324" s="67" t="s">
        <v>233</v>
      </c>
      <c r="F324" s="3" t="s">
        <v>201</v>
      </c>
      <c r="G324" s="1" t="s">
        <v>1111</v>
      </c>
      <c r="H324" s="1">
        <v>2500</v>
      </c>
      <c r="I324" s="2">
        <f>+H324*0.18</f>
        <v>450</v>
      </c>
      <c r="J324" s="2"/>
      <c r="K324" s="2">
        <f>H324+I324</f>
        <v>2950</v>
      </c>
      <c r="P324" s="1" t="s">
        <v>663</v>
      </c>
      <c r="Q324" s="4">
        <v>40483</v>
      </c>
    </row>
    <row r="325" spans="1:17" x14ac:dyDescent="0.2">
      <c r="A325" s="1" t="s">
        <v>12</v>
      </c>
      <c r="B325" s="4">
        <v>40476</v>
      </c>
      <c r="C325" s="8" t="s">
        <v>951</v>
      </c>
      <c r="D325" s="1" t="s">
        <v>1457</v>
      </c>
      <c r="E325" s="107" t="s">
        <v>1458</v>
      </c>
      <c r="F325" s="1" t="s">
        <v>1459</v>
      </c>
      <c r="G325" s="1" t="s">
        <v>1460</v>
      </c>
      <c r="K325" s="1">
        <v>2500</v>
      </c>
      <c r="P325" s="1" t="s">
        <v>663</v>
      </c>
      <c r="Q325" s="4">
        <v>40483</v>
      </c>
    </row>
    <row r="326" spans="1:17" x14ac:dyDescent="0.2">
      <c r="A326" s="1" t="s">
        <v>12</v>
      </c>
      <c r="B326" s="4">
        <v>40417</v>
      </c>
      <c r="C326" s="8" t="s">
        <v>951</v>
      </c>
      <c r="D326" s="1" t="s">
        <v>1461</v>
      </c>
      <c r="E326" s="1" t="s">
        <v>1462</v>
      </c>
      <c r="F326" s="1" t="s">
        <v>1463</v>
      </c>
      <c r="G326" s="1" t="s">
        <v>1392</v>
      </c>
      <c r="K326" s="1">
        <v>4000</v>
      </c>
      <c r="P326" s="1" t="s">
        <v>663</v>
      </c>
      <c r="Q326" s="4">
        <v>40483</v>
      </c>
    </row>
    <row r="327" spans="1:17" x14ac:dyDescent="0.2">
      <c r="A327" s="1" t="s">
        <v>12</v>
      </c>
      <c r="B327" s="4">
        <v>40452</v>
      </c>
      <c r="C327" s="8">
        <v>2010101615</v>
      </c>
      <c r="D327" s="1" t="s">
        <v>14</v>
      </c>
      <c r="E327" s="1" t="s">
        <v>13</v>
      </c>
      <c r="F327" s="1" t="s">
        <v>44</v>
      </c>
      <c r="G327" s="1" t="s">
        <v>1464</v>
      </c>
      <c r="H327" s="1">
        <v>1604.37</v>
      </c>
      <c r="I327" s="2">
        <f t="shared" ref="I327:I348" si="33">+H327*0.18</f>
        <v>288.78659999999996</v>
      </c>
      <c r="J327" s="2"/>
      <c r="K327" s="2">
        <f t="shared" ref="K327:K348" si="34">H327+I327</f>
        <v>1893.1565999999998</v>
      </c>
      <c r="P327" s="1" t="s">
        <v>663</v>
      </c>
      <c r="Q327" s="4">
        <v>40483</v>
      </c>
    </row>
    <row r="328" spans="1:17" x14ac:dyDescent="0.2">
      <c r="A328" s="1" t="s">
        <v>12</v>
      </c>
      <c r="B328" s="4">
        <v>40464</v>
      </c>
      <c r="C328" s="8">
        <v>2010101677</v>
      </c>
      <c r="D328" s="1" t="s">
        <v>14</v>
      </c>
      <c r="E328" s="1" t="s">
        <v>13</v>
      </c>
      <c r="F328" s="1" t="s">
        <v>1465</v>
      </c>
      <c r="G328" s="1" t="s">
        <v>1466</v>
      </c>
      <c r="H328" s="1">
        <v>13386.55</v>
      </c>
      <c r="I328" s="2">
        <f t="shared" si="33"/>
        <v>2409.5789999999997</v>
      </c>
      <c r="J328" s="2"/>
      <c r="K328" s="2">
        <f t="shared" si="34"/>
        <v>15796.128999999999</v>
      </c>
      <c r="P328" s="1" t="s">
        <v>663</v>
      </c>
      <c r="Q328" s="4">
        <v>40483</v>
      </c>
    </row>
    <row r="329" spans="1:17" x14ac:dyDescent="0.2">
      <c r="A329" s="1" t="s">
        <v>12</v>
      </c>
      <c r="B329" s="4">
        <v>40455</v>
      </c>
      <c r="C329" s="8">
        <v>2010101634</v>
      </c>
      <c r="D329" s="1" t="s">
        <v>14</v>
      </c>
      <c r="E329" s="1" t="s">
        <v>13</v>
      </c>
      <c r="F329" s="1" t="s">
        <v>37</v>
      </c>
      <c r="G329" s="1" t="s">
        <v>1467</v>
      </c>
      <c r="H329" s="1">
        <v>3135.59</v>
      </c>
      <c r="I329" s="2">
        <f t="shared" si="33"/>
        <v>564.40620000000001</v>
      </c>
      <c r="J329" s="2"/>
      <c r="K329" s="2">
        <f t="shared" si="34"/>
        <v>3699.9962</v>
      </c>
      <c r="P329" s="1" t="s">
        <v>663</v>
      </c>
      <c r="Q329" s="4">
        <v>40483</v>
      </c>
    </row>
    <row r="330" spans="1:17" x14ac:dyDescent="0.2">
      <c r="A330" s="1" t="s">
        <v>12</v>
      </c>
      <c r="B330" s="4">
        <v>40455</v>
      </c>
      <c r="C330" s="8">
        <v>2010101635</v>
      </c>
      <c r="D330" s="1" t="s">
        <v>14</v>
      </c>
      <c r="E330" s="1" t="s">
        <v>13</v>
      </c>
      <c r="F330" s="1" t="s">
        <v>37</v>
      </c>
      <c r="G330" s="1" t="s">
        <v>1468</v>
      </c>
      <c r="H330" s="1">
        <v>2627.12</v>
      </c>
      <c r="I330" s="2">
        <f t="shared" si="33"/>
        <v>472.88159999999993</v>
      </c>
      <c r="J330" s="2"/>
      <c r="K330" s="2">
        <f t="shared" si="34"/>
        <v>3100.0015999999996</v>
      </c>
      <c r="P330" s="1" t="s">
        <v>663</v>
      </c>
      <c r="Q330" s="4">
        <v>40483</v>
      </c>
    </row>
    <row r="331" spans="1:17" x14ac:dyDescent="0.2">
      <c r="A331" s="1" t="s">
        <v>12</v>
      </c>
      <c r="B331" s="4">
        <v>40457</v>
      </c>
      <c r="C331" s="8">
        <v>2010101650</v>
      </c>
      <c r="D331" s="1" t="s">
        <v>14</v>
      </c>
      <c r="E331" s="1" t="s">
        <v>13</v>
      </c>
      <c r="F331" s="1" t="s">
        <v>37</v>
      </c>
      <c r="G331" s="1" t="s">
        <v>1469</v>
      </c>
      <c r="H331" s="1">
        <v>2627.12</v>
      </c>
      <c r="I331" s="2">
        <f t="shared" si="33"/>
        <v>472.88159999999993</v>
      </c>
      <c r="J331" s="2"/>
      <c r="K331" s="2">
        <f t="shared" si="34"/>
        <v>3100.0015999999996</v>
      </c>
      <c r="P331" s="1" t="s">
        <v>663</v>
      </c>
      <c r="Q331" s="4">
        <v>40483</v>
      </c>
    </row>
    <row r="332" spans="1:17" x14ac:dyDescent="0.2">
      <c r="A332" s="1" t="s">
        <v>12</v>
      </c>
      <c r="B332" s="4">
        <v>40472</v>
      </c>
      <c r="C332" s="8">
        <v>2010101725</v>
      </c>
      <c r="D332" s="1" t="s">
        <v>14</v>
      </c>
      <c r="E332" s="1" t="s">
        <v>13</v>
      </c>
      <c r="F332" s="1" t="s">
        <v>1470</v>
      </c>
      <c r="G332" s="1" t="s">
        <v>1471</v>
      </c>
      <c r="H332" s="1">
        <v>11216.2</v>
      </c>
      <c r="I332" s="2">
        <f t="shared" si="33"/>
        <v>2018.9160000000002</v>
      </c>
      <c r="J332" s="2"/>
      <c r="K332" s="2">
        <f t="shared" si="34"/>
        <v>13235.116000000002</v>
      </c>
      <c r="L332" s="1" t="s">
        <v>1904</v>
      </c>
      <c r="P332" s="1" t="s">
        <v>663</v>
      </c>
      <c r="Q332" s="4">
        <v>40483</v>
      </c>
    </row>
    <row r="333" spans="1:17" x14ac:dyDescent="0.2">
      <c r="A333" s="1" t="s">
        <v>12</v>
      </c>
      <c r="B333" s="4">
        <v>40472</v>
      </c>
      <c r="C333" s="8">
        <v>2010101724</v>
      </c>
      <c r="D333" s="1" t="s">
        <v>14</v>
      </c>
      <c r="E333" s="1" t="s">
        <v>13</v>
      </c>
      <c r="F333" s="1" t="s">
        <v>70</v>
      </c>
      <c r="G333" s="1" t="s">
        <v>1472</v>
      </c>
      <c r="H333" s="1">
        <v>4375.75</v>
      </c>
      <c r="I333" s="2">
        <f t="shared" si="33"/>
        <v>787.63499999999999</v>
      </c>
      <c r="J333" s="2"/>
      <c r="K333" s="2">
        <f t="shared" si="34"/>
        <v>5163.3850000000002</v>
      </c>
      <c r="P333" s="1" t="s">
        <v>663</v>
      </c>
      <c r="Q333" s="4">
        <v>40483</v>
      </c>
    </row>
    <row r="334" spans="1:17" x14ac:dyDescent="0.2">
      <c r="A334" s="1" t="s">
        <v>12</v>
      </c>
      <c r="B334" s="4">
        <v>40472</v>
      </c>
      <c r="C334" s="8">
        <v>2010101723</v>
      </c>
      <c r="D334" s="1" t="s">
        <v>14</v>
      </c>
      <c r="E334" s="1" t="s">
        <v>13</v>
      </c>
      <c r="F334" s="1" t="s">
        <v>1010</v>
      </c>
      <c r="G334" s="1" t="s">
        <v>1473</v>
      </c>
      <c r="H334" s="1">
        <v>3983.05</v>
      </c>
      <c r="I334" s="2">
        <f t="shared" si="33"/>
        <v>716.94899999999996</v>
      </c>
      <c r="J334" s="2"/>
      <c r="K334" s="2">
        <f t="shared" si="34"/>
        <v>4699.9989999999998</v>
      </c>
      <c r="L334" s="1" t="s">
        <v>1904</v>
      </c>
      <c r="P334" s="1" t="s">
        <v>663</v>
      </c>
      <c r="Q334" s="4">
        <v>40483</v>
      </c>
    </row>
    <row r="335" spans="1:17" x14ac:dyDescent="0.2">
      <c r="A335" s="1" t="s">
        <v>12</v>
      </c>
      <c r="B335" s="4">
        <v>40472</v>
      </c>
      <c r="C335" s="8">
        <v>2010101722</v>
      </c>
      <c r="D335" s="1" t="s">
        <v>14</v>
      </c>
      <c r="E335" s="1" t="s">
        <v>13</v>
      </c>
      <c r="F335" s="1" t="s">
        <v>47</v>
      </c>
      <c r="G335" s="1" t="s">
        <v>1474</v>
      </c>
      <c r="H335" s="1">
        <v>1659.59</v>
      </c>
      <c r="I335" s="2">
        <f t="shared" si="33"/>
        <v>298.72619999999995</v>
      </c>
      <c r="J335" s="2"/>
      <c r="K335" s="2">
        <f t="shared" si="34"/>
        <v>1958.3161999999998</v>
      </c>
      <c r="P335" s="1" t="s">
        <v>663</v>
      </c>
      <c r="Q335" s="4">
        <v>40483</v>
      </c>
    </row>
    <row r="336" spans="1:17" x14ac:dyDescent="0.2">
      <c r="A336" s="1" t="s">
        <v>12</v>
      </c>
      <c r="B336" s="4">
        <v>40470</v>
      </c>
      <c r="C336" s="8">
        <v>2010101712</v>
      </c>
      <c r="D336" s="1" t="s">
        <v>14</v>
      </c>
      <c r="E336" s="1" t="s">
        <v>13</v>
      </c>
      <c r="F336" s="1" t="s">
        <v>39</v>
      </c>
      <c r="G336" s="1" t="s">
        <v>1475</v>
      </c>
      <c r="H336" s="1">
        <v>3071.03</v>
      </c>
      <c r="I336" s="2">
        <f t="shared" si="33"/>
        <v>552.78539999999998</v>
      </c>
      <c r="J336" s="2"/>
      <c r="K336" s="2">
        <f t="shared" si="34"/>
        <v>3623.8154000000004</v>
      </c>
      <c r="L336" s="1" t="s">
        <v>2709</v>
      </c>
      <c r="P336" s="1" t="s">
        <v>663</v>
      </c>
      <c r="Q336" s="4">
        <v>40483</v>
      </c>
    </row>
    <row r="337" spans="1:17" x14ac:dyDescent="0.2">
      <c r="A337" s="1" t="s">
        <v>12</v>
      </c>
      <c r="B337" s="4">
        <v>40422</v>
      </c>
      <c r="C337" s="8" t="s">
        <v>1476</v>
      </c>
      <c r="D337" s="1" t="s">
        <v>25</v>
      </c>
      <c r="E337" s="1" t="s">
        <v>26</v>
      </c>
      <c r="F337" s="1" t="s">
        <v>1459</v>
      </c>
      <c r="G337" s="1" t="s">
        <v>1478</v>
      </c>
      <c r="H337" s="1">
        <v>2966.1</v>
      </c>
      <c r="I337" s="2">
        <f t="shared" si="33"/>
        <v>533.89799999999991</v>
      </c>
      <c r="J337" s="2"/>
      <c r="K337" s="2">
        <f t="shared" si="34"/>
        <v>3499.9979999999996</v>
      </c>
      <c r="L337" s="1" t="s">
        <v>1477</v>
      </c>
      <c r="P337" s="1" t="s">
        <v>663</v>
      </c>
      <c r="Q337" s="4">
        <v>40483</v>
      </c>
    </row>
    <row r="338" spans="1:17" x14ac:dyDescent="0.2">
      <c r="A338" s="1" t="s">
        <v>12</v>
      </c>
      <c r="B338" s="4">
        <v>40422</v>
      </c>
      <c r="C338" s="8" t="s">
        <v>1476</v>
      </c>
      <c r="D338" s="1" t="s">
        <v>25</v>
      </c>
      <c r="E338" s="1" t="s">
        <v>26</v>
      </c>
      <c r="F338" s="1" t="s">
        <v>1342</v>
      </c>
      <c r="G338" s="1" t="s">
        <v>1479</v>
      </c>
      <c r="H338" s="1">
        <v>3220.34</v>
      </c>
      <c r="I338" s="2">
        <f t="shared" si="33"/>
        <v>579.66120000000001</v>
      </c>
      <c r="J338" s="2"/>
      <c r="K338" s="2">
        <f t="shared" si="34"/>
        <v>3800.0012000000002</v>
      </c>
      <c r="L338" s="1" t="s">
        <v>1477</v>
      </c>
      <c r="P338" s="1" t="s">
        <v>663</v>
      </c>
      <c r="Q338" s="4">
        <v>40483</v>
      </c>
    </row>
    <row r="339" spans="1:17" x14ac:dyDescent="0.2">
      <c r="A339" s="1" t="s">
        <v>12</v>
      </c>
      <c r="B339" s="4">
        <v>40361</v>
      </c>
      <c r="C339" s="8" t="s">
        <v>1480</v>
      </c>
      <c r="D339" s="1" t="s">
        <v>25</v>
      </c>
      <c r="E339" s="1" t="s">
        <v>26</v>
      </c>
      <c r="F339" s="1" t="s">
        <v>1010</v>
      </c>
      <c r="G339" s="1" t="s">
        <v>1385</v>
      </c>
      <c r="H339" s="1">
        <v>4576.2700000000004</v>
      </c>
      <c r="I339" s="2">
        <f t="shared" si="33"/>
        <v>823.72860000000003</v>
      </c>
      <c r="J339" s="2"/>
      <c r="K339" s="2">
        <f t="shared" si="34"/>
        <v>5399.9986000000008</v>
      </c>
      <c r="P339" s="1" t="s">
        <v>663</v>
      </c>
      <c r="Q339" s="4">
        <v>40483</v>
      </c>
    </row>
    <row r="340" spans="1:17" x14ac:dyDescent="0.2">
      <c r="A340" s="1" t="s">
        <v>12</v>
      </c>
      <c r="B340" s="4">
        <v>40430</v>
      </c>
      <c r="C340" s="8" t="s">
        <v>1481</v>
      </c>
      <c r="D340" s="1" t="s">
        <v>25</v>
      </c>
      <c r="E340" s="1" t="s">
        <v>26</v>
      </c>
      <c r="F340" s="1" t="s">
        <v>1482</v>
      </c>
      <c r="G340" s="1" t="s">
        <v>1483</v>
      </c>
      <c r="H340" s="1">
        <v>11525.42</v>
      </c>
      <c r="I340" s="2">
        <f t="shared" si="33"/>
        <v>2074.5756000000001</v>
      </c>
      <c r="J340" s="2"/>
      <c r="K340" s="2">
        <f t="shared" si="34"/>
        <v>13599.9956</v>
      </c>
      <c r="L340" s="1" t="s">
        <v>1904</v>
      </c>
      <c r="P340" s="1" t="s">
        <v>663</v>
      </c>
      <c r="Q340" s="4">
        <v>40483</v>
      </c>
    </row>
    <row r="341" spans="1:17" x14ac:dyDescent="0.2">
      <c r="A341" s="1" t="s">
        <v>12</v>
      </c>
      <c r="B341" s="4">
        <v>40452</v>
      </c>
      <c r="C341" s="8" t="s">
        <v>1484</v>
      </c>
      <c r="D341" s="1" t="s">
        <v>25</v>
      </c>
      <c r="E341" s="1" t="s">
        <v>26</v>
      </c>
      <c r="F341" s="1" t="s">
        <v>1485</v>
      </c>
      <c r="G341" s="1" t="s">
        <v>1486</v>
      </c>
      <c r="H341" s="1">
        <v>3389.83</v>
      </c>
      <c r="I341" s="2">
        <f t="shared" si="33"/>
        <v>610.1694</v>
      </c>
      <c r="J341" s="2"/>
      <c r="K341" s="2">
        <f t="shared" si="34"/>
        <v>3999.9993999999997</v>
      </c>
      <c r="P341" s="1" t="s">
        <v>663</v>
      </c>
      <c r="Q341" s="4">
        <v>40483</v>
      </c>
    </row>
    <row r="342" spans="1:17" x14ac:dyDescent="0.2">
      <c r="A342" s="1" t="s">
        <v>408</v>
      </c>
      <c r="B342" s="4">
        <v>40442</v>
      </c>
      <c r="C342" s="8" t="s">
        <v>1487</v>
      </c>
      <c r="D342" s="1" t="s">
        <v>1450</v>
      </c>
      <c r="E342" s="1" t="s">
        <v>115</v>
      </c>
      <c r="F342" s="1" t="s">
        <v>1493</v>
      </c>
      <c r="G342" s="1" t="s">
        <v>1493</v>
      </c>
      <c r="H342" s="1">
        <v>423.73</v>
      </c>
      <c r="I342" s="2">
        <f t="shared" si="33"/>
        <v>76.2714</v>
      </c>
      <c r="K342" s="2">
        <f t="shared" si="34"/>
        <v>500.00139999999999</v>
      </c>
      <c r="P342" s="1" t="s">
        <v>663</v>
      </c>
      <c r="Q342" s="4">
        <v>40483</v>
      </c>
    </row>
    <row r="343" spans="1:17" x14ac:dyDescent="0.2">
      <c r="A343" s="1" t="s">
        <v>408</v>
      </c>
      <c r="B343" s="4">
        <v>40471</v>
      </c>
      <c r="C343" s="8" t="s">
        <v>1488</v>
      </c>
      <c r="D343" s="1" t="s">
        <v>1344</v>
      </c>
      <c r="E343" s="1" t="s">
        <v>1494</v>
      </c>
      <c r="F343" s="1" t="s">
        <v>1342</v>
      </c>
      <c r="G343" s="1" t="s">
        <v>1479</v>
      </c>
      <c r="H343" s="1">
        <v>3220.34</v>
      </c>
      <c r="I343" s="2">
        <f t="shared" si="33"/>
        <v>579.66120000000001</v>
      </c>
      <c r="K343" s="2">
        <f t="shared" si="34"/>
        <v>3800.0012000000002</v>
      </c>
      <c r="P343" s="1" t="s">
        <v>663</v>
      </c>
      <c r="Q343" s="4">
        <v>40483</v>
      </c>
    </row>
    <row r="344" spans="1:17" x14ac:dyDescent="0.2">
      <c r="A344" s="1" t="s">
        <v>408</v>
      </c>
      <c r="B344" s="4">
        <v>40471</v>
      </c>
      <c r="C344" s="8" t="s">
        <v>1489</v>
      </c>
      <c r="D344" s="1" t="s">
        <v>1344</v>
      </c>
      <c r="E344" s="1" t="s">
        <v>1494</v>
      </c>
      <c r="F344" s="1" t="s">
        <v>1035</v>
      </c>
      <c r="G344" s="1" t="s">
        <v>1239</v>
      </c>
      <c r="H344" s="1">
        <v>5084.75</v>
      </c>
      <c r="I344" s="2">
        <f t="shared" si="33"/>
        <v>915.255</v>
      </c>
      <c r="K344" s="2">
        <f t="shared" si="34"/>
        <v>6000.0050000000001</v>
      </c>
      <c r="P344" s="1" t="s">
        <v>663</v>
      </c>
      <c r="Q344" s="4">
        <v>40483</v>
      </c>
    </row>
    <row r="345" spans="1:17" x14ac:dyDescent="0.2">
      <c r="A345" s="1" t="s">
        <v>408</v>
      </c>
      <c r="B345" s="4">
        <v>40471</v>
      </c>
      <c r="C345" s="8" t="s">
        <v>1490</v>
      </c>
      <c r="D345" s="1" t="s">
        <v>1344</v>
      </c>
      <c r="E345" s="1" t="s">
        <v>1494</v>
      </c>
      <c r="F345" s="1" t="s">
        <v>32</v>
      </c>
      <c r="G345" s="1" t="s">
        <v>1495</v>
      </c>
      <c r="H345" s="1">
        <v>2966.1</v>
      </c>
      <c r="I345" s="2">
        <f t="shared" si="33"/>
        <v>533.89799999999991</v>
      </c>
      <c r="K345" s="2">
        <f t="shared" si="34"/>
        <v>3499.9979999999996</v>
      </c>
      <c r="P345" s="1" t="s">
        <v>663</v>
      </c>
      <c r="Q345" s="4">
        <v>40483</v>
      </c>
    </row>
    <row r="346" spans="1:17" x14ac:dyDescent="0.2">
      <c r="A346" s="1" t="s">
        <v>408</v>
      </c>
      <c r="B346" s="4">
        <v>40476</v>
      </c>
      <c r="C346" s="8" t="s">
        <v>1491</v>
      </c>
      <c r="D346" s="1" t="s">
        <v>1199</v>
      </c>
      <c r="E346" s="1" t="s">
        <v>1200</v>
      </c>
      <c r="F346" s="1" t="s">
        <v>47</v>
      </c>
      <c r="G346" s="1" t="s">
        <v>1033</v>
      </c>
      <c r="H346" s="1">
        <v>2669.49</v>
      </c>
      <c r="I346" s="2">
        <f t="shared" si="33"/>
        <v>480.50819999999993</v>
      </c>
      <c r="K346" s="2">
        <f t="shared" si="34"/>
        <v>3149.9981999999995</v>
      </c>
      <c r="P346" s="1" t="s">
        <v>663</v>
      </c>
      <c r="Q346" s="4">
        <v>40483</v>
      </c>
    </row>
    <row r="347" spans="1:17" x14ac:dyDescent="0.2">
      <c r="A347" s="1" t="s">
        <v>408</v>
      </c>
      <c r="B347" s="4">
        <v>40476</v>
      </c>
      <c r="C347" s="8" t="s">
        <v>1492</v>
      </c>
      <c r="D347" s="1" t="s">
        <v>1199</v>
      </c>
      <c r="E347" s="1" t="s">
        <v>1200</v>
      </c>
      <c r="F347" s="1" t="s">
        <v>44</v>
      </c>
      <c r="G347" s="1" t="s">
        <v>1464</v>
      </c>
      <c r="H347" s="1">
        <v>2838.98</v>
      </c>
      <c r="I347" s="2">
        <f t="shared" si="33"/>
        <v>511.01639999999998</v>
      </c>
      <c r="K347" s="2">
        <f t="shared" si="34"/>
        <v>3349.9964</v>
      </c>
      <c r="P347" s="1" t="s">
        <v>663</v>
      </c>
      <c r="Q347" s="4">
        <v>40483</v>
      </c>
    </row>
    <row r="348" spans="1:17" x14ac:dyDescent="0.2">
      <c r="A348" s="1" t="s">
        <v>408</v>
      </c>
      <c r="B348" s="4">
        <v>40444</v>
      </c>
      <c r="C348" s="8" t="s">
        <v>1496</v>
      </c>
      <c r="D348" s="1" t="s">
        <v>1505</v>
      </c>
      <c r="E348" s="1" t="s">
        <v>1506</v>
      </c>
      <c r="F348" s="1" t="s">
        <v>51</v>
      </c>
      <c r="G348" s="1" t="s">
        <v>1238</v>
      </c>
      <c r="H348" s="2">
        <f>11500/1.18</f>
        <v>9745.7627118644068</v>
      </c>
      <c r="I348" s="2">
        <f t="shared" si="33"/>
        <v>1754.2372881355932</v>
      </c>
      <c r="J348" s="2"/>
      <c r="K348" s="2">
        <f t="shared" si="34"/>
        <v>11500</v>
      </c>
      <c r="P348" s="1" t="s">
        <v>663</v>
      </c>
      <c r="Q348" s="4">
        <v>40483</v>
      </c>
    </row>
    <row r="349" spans="1:17" x14ac:dyDescent="0.2">
      <c r="A349" s="1" t="s">
        <v>408</v>
      </c>
      <c r="B349" s="4">
        <v>40436</v>
      </c>
      <c r="C349" s="8" t="s">
        <v>1497</v>
      </c>
      <c r="D349" s="1" t="s">
        <v>1507</v>
      </c>
      <c r="E349" s="107" t="s">
        <v>1508</v>
      </c>
      <c r="F349" s="1" t="s">
        <v>65</v>
      </c>
      <c r="G349" s="1" t="s">
        <v>1291</v>
      </c>
      <c r="H349" s="2">
        <f>2900/1.18</f>
        <v>2457.6271186440681</v>
      </c>
      <c r="I349" s="2">
        <f t="shared" ref="I349:I355" si="35">+H349*0.18</f>
        <v>442.37288135593224</v>
      </c>
      <c r="J349" s="2"/>
      <c r="K349" s="2">
        <f t="shared" ref="K349:K355" si="36">H349+I349</f>
        <v>2900.0000000000005</v>
      </c>
      <c r="P349" s="1" t="s">
        <v>663</v>
      </c>
      <c r="Q349" s="4">
        <v>40483</v>
      </c>
    </row>
    <row r="350" spans="1:17" x14ac:dyDescent="0.2">
      <c r="A350" s="1" t="s">
        <v>408</v>
      </c>
      <c r="B350" s="4">
        <v>40455</v>
      </c>
      <c r="C350" s="8" t="s">
        <v>1498</v>
      </c>
      <c r="D350" s="1" t="s">
        <v>1509</v>
      </c>
      <c r="E350" s="1" t="s">
        <v>1510</v>
      </c>
      <c r="F350" s="1" t="s">
        <v>53</v>
      </c>
      <c r="G350" s="1" t="s">
        <v>1338</v>
      </c>
      <c r="H350" s="2">
        <f>2700/1.18</f>
        <v>2288.1355932203392</v>
      </c>
      <c r="I350" s="2">
        <f t="shared" si="35"/>
        <v>411.86440677966101</v>
      </c>
      <c r="J350" s="2"/>
      <c r="K350" s="2">
        <f t="shared" si="36"/>
        <v>2700</v>
      </c>
      <c r="P350" s="1" t="s">
        <v>663</v>
      </c>
      <c r="Q350" s="4">
        <v>40483</v>
      </c>
    </row>
    <row r="351" spans="1:17" x14ac:dyDescent="0.2">
      <c r="A351" s="1" t="s">
        <v>408</v>
      </c>
      <c r="B351" s="4">
        <v>40459</v>
      </c>
      <c r="C351" s="8" t="s">
        <v>1499</v>
      </c>
      <c r="D351" s="1" t="s">
        <v>1511</v>
      </c>
      <c r="E351" s="1" t="s">
        <v>1512</v>
      </c>
      <c r="F351" s="1" t="s">
        <v>1513</v>
      </c>
      <c r="G351" s="1" t="s">
        <v>1026</v>
      </c>
      <c r="H351" s="2">
        <f>3200/1.18</f>
        <v>2711.8644067796613</v>
      </c>
      <c r="I351" s="2">
        <f t="shared" si="35"/>
        <v>488.13559322033899</v>
      </c>
      <c r="J351" s="2"/>
      <c r="K351" s="2">
        <f t="shared" si="36"/>
        <v>3200.0000000000005</v>
      </c>
      <c r="P351" s="1" t="s">
        <v>663</v>
      </c>
      <c r="Q351" s="4">
        <v>40483</v>
      </c>
    </row>
    <row r="352" spans="1:17" x14ac:dyDescent="0.2">
      <c r="A352" s="1" t="s">
        <v>408</v>
      </c>
      <c r="B352" s="4">
        <v>40451</v>
      </c>
      <c r="C352" s="8" t="s">
        <v>1500</v>
      </c>
      <c r="D352" s="1" t="s">
        <v>1514</v>
      </c>
      <c r="E352" s="1" t="s">
        <v>1515</v>
      </c>
      <c r="F352" s="1" t="s">
        <v>44</v>
      </c>
      <c r="G352" s="1" t="s">
        <v>1367</v>
      </c>
      <c r="H352" s="2">
        <f>5850/1.18</f>
        <v>4957.6271186440681</v>
      </c>
      <c r="I352" s="2">
        <f t="shared" si="35"/>
        <v>892.37288135593224</v>
      </c>
      <c r="J352" s="2"/>
      <c r="K352" s="2">
        <f t="shared" si="36"/>
        <v>5850</v>
      </c>
      <c r="P352" s="1" t="s">
        <v>663</v>
      </c>
      <c r="Q352" s="4">
        <v>40483</v>
      </c>
    </row>
    <row r="353" spans="1:17" x14ac:dyDescent="0.2">
      <c r="A353" s="1" t="s">
        <v>408</v>
      </c>
      <c r="B353" s="4">
        <v>40455</v>
      </c>
      <c r="C353" s="8" t="s">
        <v>1501</v>
      </c>
      <c r="D353" s="1" t="s">
        <v>1516</v>
      </c>
      <c r="E353" s="1" t="s">
        <v>1517</v>
      </c>
      <c r="F353" s="1" t="s">
        <v>47</v>
      </c>
      <c r="G353" s="1" t="s">
        <v>1022</v>
      </c>
      <c r="H353" s="2">
        <f>3500/1.18</f>
        <v>2966.1016949152545</v>
      </c>
      <c r="I353" s="2">
        <f t="shared" si="35"/>
        <v>533.89830508474574</v>
      </c>
      <c r="J353" s="2"/>
      <c r="K353" s="2">
        <f t="shared" si="36"/>
        <v>3500</v>
      </c>
      <c r="P353" s="1" t="s">
        <v>663</v>
      </c>
      <c r="Q353" s="4">
        <v>40483</v>
      </c>
    </row>
    <row r="354" spans="1:17" x14ac:dyDescent="0.2">
      <c r="A354" s="1" t="s">
        <v>408</v>
      </c>
      <c r="B354" s="4">
        <v>40458</v>
      </c>
      <c r="C354" s="8" t="s">
        <v>1502</v>
      </c>
      <c r="D354" s="1" t="s">
        <v>1518</v>
      </c>
      <c r="E354" s="1" t="s">
        <v>1519</v>
      </c>
      <c r="F354" s="1" t="s">
        <v>1358</v>
      </c>
      <c r="G354" s="1" t="s">
        <v>1366</v>
      </c>
      <c r="H354" s="2">
        <f>3000/1.18</f>
        <v>2542.3728813559323</v>
      </c>
      <c r="I354" s="2">
        <f t="shared" si="35"/>
        <v>457.62711864406782</v>
      </c>
      <c r="J354" s="2"/>
      <c r="K354" s="2">
        <f t="shared" si="36"/>
        <v>3000</v>
      </c>
      <c r="P354" s="1" t="s">
        <v>663</v>
      </c>
      <c r="Q354" s="4">
        <v>40483</v>
      </c>
    </row>
    <row r="355" spans="1:17" x14ac:dyDescent="0.2">
      <c r="A355" s="1" t="s">
        <v>408</v>
      </c>
      <c r="C355" s="8" t="s">
        <v>1503</v>
      </c>
      <c r="D355" s="1" t="s">
        <v>537</v>
      </c>
      <c r="H355" s="2">
        <f>2700/1.18</f>
        <v>2288.1355932203392</v>
      </c>
      <c r="I355" s="2">
        <f t="shared" si="35"/>
        <v>411.86440677966101</v>
      </c>
      <c r="J355" s="2"/>
      <c r="K355" s="2">
        <f t="shared" si="36"/>
        <v>2700</v>
      </c>
      <c r="P355" s="1" t="s">
        <v>663</v>
      </c>
      <c r="Q355" s="4">
        <v>40483</v>
      </c>
    </row>
    <row r="356" spans="1:17" x14ac:dyDescent="0.2">
      <c r="A356" s="1" t="s">
        <v>408</v>
      </c>
      <c r="B356" s="4">
        <v>40478</v>
      </c>
      <c r="C356" s="8" t="s">
        <v>1504</v>
      </c>
      <c r="D356" s="1" t="s">
        <v>1520</v>
      </c>
      <c r="E356" s="1" t="s">
        <v>1521</v>
      </c>
      <c r="F356" s="1" t="s">
        <v>53</v>
      </c>
      <c r="G356" s="1" t="s">
        <v>1229</v>
      </c>
      <c r="H356" s="2">
        <f>5500/1.18</f>
        <v>4661.016949152543</v>
      </c>
      <c r="I356" s="2">
        <f>+H356*0.18</f>
        <v>838.98305084745766</v>
      </c>
      <c r="J356" s="2"/>
      <c r="K356" s="2">
        <f>H356+I356</f>
        <v>5500.0000000000009</v>
      </c>
      <c r="P356" s="1" t="s">
        <v>663</v>
      </c>
      <c r="Q356" s="4">
        <v>40483</v>
      </c>
    </row>
    <row r="357" spans="1:17" x14ac:dyDescent="0.2">
      <c r="A357" s="108" t="s">
        <v>12</v>
      </c>
      <c r="B357" s="109">
        <v>40297</v>
      </c>
      <c r="C357" s="110">
        <v>12019914</v>
      </c>
      <c r="D357" s="108" t="s">
        <v>19</v>
      </c>
      <c r="E357" s="108" t="s">
        <v>20</v>
      </c>
      <c r="F357" s="108" t="s">
        <v>1522</v>
      </c>
      <c r="G357" s="108" t="s">
        <v>1283</v>
      </c>
      <c r="H357" s="108">
        <v>6379.31</v>
      </c>
      <c r="I357" s="111">
        <f>+H357*0.16</f>
        <v>1020.6896</v>
      </c>
      <c r="J357" s="108"/>
      <c r="K357" s="111">
        <f>+H357+I357</f>
        <v>7399.9996000000001</v>
      </c>
      <c r="L357" s="1" t="s">
        <v>1523</v>
      </c>
      <c r="P357" s="1" t="s">
        <v>663</v>
      </c>
      <c r="Q357" s="4">
        <v>40483</v>
      </c>
    </row>
    <row r="358" spans="1:17" x14ac:dyDescent="0.2">
      <c r="A358" s="1" t="s">
        <v>12</v>
      </c>
      <c r="B358" s="4">
        <v>40500</v>
      </c>
      <c r="C358" s="8">
        <v>2010101891</v>
      </c>
      <c r="D358" s="1" t="s">
        <v>14</v>
      </c>
      <c r="E358" s="1" t="s">
        <v>13</v>
      </c>
      <c r="F358" s="1" t="s">
        <v>61</v>
      </c>
      <c r="G358" s="1" t="s">
        <v>1524</v>
      </c>
      <c r="H358" s="1">
        <v>4798.82</v>
      </c>
      <c r="I358" s="2">
        <f t="shared" ref="I358:I379" si="37">+H358*0.18</f>
        <v>863.78759999999988</v>
      </c>
      <c r="K358" s="2">
        <f t="shared" ref="K358:K379" si="38">H358+I358</f>
        <v>5662.6075999999994</v>
      </c>
      <c r="L358" s="1" t="s">
        <v>1904</v>
      </c>
      <c r="P358" s="1" t="s">
        <v>663</v>
      </c>
      <c r="Q358" s="4">
        <v>40520</v>
      </c>
    </row>
    <row r="359" spans="1:17" x14ac:dyDescent="0.2">
      <c r="A359" s="1" t="s">
        <v>12</v>
      </c>
      <c r="B359" s="4">
        <v>40500</v>
      </c>
      <c r="C359" s="8">
        <v>2010101890</v>
      </c>
      <c r="D359" s="1" t="s">
        <v>14</v>
      </c>
      <c r="E359" s="1" t="s">
        <v>13</v>
      </c>
      <c r="F359" s="1" t="s">
        <v>61</v>
      </c>
      <c r="G359" s="1" t="s">
        <v>1525</v>
      </c>
      <c r="H359" s="1">
        <v>4375.03</v>
      </c>
      <c r="I359" s="2">
        <f t="shared" si="37"/>
        <v>787.5053999999999</v>
      </c>
      <c r="K359" s="2">
        <f t="shared" si="38"/>
        <v>5162.5353999999998</v>
      </c>
      <c r="L359" s="1" t="s">
        <v>1904</v>
      </c>
      <c r="P359" s="1" t="s">
        <v>663</v>
      </c>
      <c r="Q359" s="4">
        <v>40520</v>
      </c>
    </row>
    <row r="360" spans="1:17" x14ac:dyDescent="0.2">
      <c r="A360" s="1" t="s">
        <v>12</v>
      </c>
      <c r="B360" s="4">
        <v>40490</v>
      </c>
      <c r="C360" s="8">
        <v>2010101838</v>
      </c>
      <c r="D360" s="1" t="s">
        <v>14</v>
      </c>
      <c r="E360" s="1" t="s">
        <v>13</v>
      </c>
      <c r="F360" s="1" t="s">
        <v>1526</v>
      </c>
      <c r="G360" s="1" t="s">
        <v>1527</v>
      </c>
      <c r="H360" s="1">
        <v>16863.14</v>
      </c>
      <c r="I360" s="2">
        <f t="shared" si="37"/>
        <v>3035.3651999999997</v>
      </c>
      <c r="K360" s="2">
        <f t="shared" si="38"/>
        <v>19898.5052</v>
      </c>
      <c r="L360" s="1" t="s">
        <v>1904</v>
      </c>
      <c r="P360" s="1" t="s">
        <v>663</v>
      </c>
      <c r="Q360" s="4">
        <v>40520</v>
      </c>
    </row>
    <row r="361" spans="1:17" x14ac:dyDescent="0.2">
      <c r="A361" s="1" t="s">
        <v>12</v>
      </c>
      <c r="B361" s="4">
        <v>40484</v>
      </c>
      <c r="C361" s="8">
        <v>2010101789</v>
      </c>
      <c r="D361" s="1" t="s">
        <v>14</v>
      </c>
      <c r="E361" s="1" t="s">
        <v>13</v>
      </c>
      <c r="F361" s="1" t="s">
        <v>239</v>
      </c>
      <c r="G361" s="1" t="s">
        <v>1528</v>
      </c>
      <c r="H361" s="1">
        <v>1806.01</v>
      </c>
      <c r="I361" s="2">
        <f t="shared" si="37"/>
        <v>325.08179999999999</v>
      </c>
      <c r="K361" s="2">
        <f t="shared" si="38"/>
        <v>2131.0918000000001</v>
      </c>
      <c r="L361" s="1" t="s">
        <v>1904</v>
      </c>
      <c r="P361" s="1" t="s">
        <v>663</v>
      </c>
      <c r="Q361" s="4">
        <v>40520</v>
      </c>
    </row>
    <row r="362" spans="1:17" x14ac:dyDescent="0.2">
      <c r="A362" s="1" t="s">
        <v>12</v>
      </c>
      <c r="B362" s="4">
        <v>40484</v>
      </c>
      <c r="C362" s="8">
        <v>2010101790</v>
      </c>
      <c r="D362" s="1" t="s">
        <v>14</v>
      </c>
      <c r="E362" s="1" t="s">
        <v>13</v>
      </c>
      <c r="F362" s="1" t="s">
        <v>39</v>
      </c>
      <c r="G362" s="1" t="s">
        <v>1529</v>
      </c>
      <c r="H362" s="1">
        <v>3176.38</v>
      </c>
      <c r="I362" s="2">
        <f t="shared" si="37"/>
        <v>571.74839999999995</v>
      </c>
      <c r="K362" s="2">
        <f t="shared" si="38"/>
        <v>3748.1284000000001</v>
      </c>
      <c r="L362" s="1" t="s">
        <v>1904</v>
      </c>
      <c r="P362" s="1" t="s">
        <v>663</v>
      </c>
      <c r="Q362" s="4">
        <v>40520</v>
      </c>
    </row>
    <row r="363" spans="1:17" x14ac:dyDescent="0.2">
      <c r="A363" s="1" t="s">
        <v>12</v>
      </c>
      <c r="B363" s="4">
        <v>40484</v>
      </c>
      <c r="C363" s="8">
        <v>2010101791</v>
      </c>
      <c r="D363" s="1" t="s">
        <v>14</v>
      </c>
      <c r="E363" s="1" t="s">
        <v>13</v>
      </c>
      <c r="F363" s="1" t="s">
        <v>1530</v>
      </c>
      <c r="G363" s="1" t="s">
        <v>1531</v>
      </c>
      <c r="H363" s="1">
        <v>2536.14</v>
      </c>
      <c r="I363" s="2">
        <f t="shared" si="37"/>
        <v>456.50519999999995</v>
      </c>
      <c r="K363" s="2">
        <f t="shared" si="38"/>
        <v>2992.6451999999999</v>
      </c>
      <c r="P363" s="1" t="s">
        <v>663</v>
      </c>
      <c r="Q363" s="4">
        <v>40520</v>
      </c>
    </row>
    <row r="364" spans="1:17" x14ac:dyDescent="0.2">
      <c r="A364" s="1" t="s">
        <v>12</v>
      </c>
      <c r="B364" s="4">
        <v>40484</v>
      </c>
      <c r="C364" s="8">
        <v>2010101792</v>
      </c>
      <c r="D364" s="1" t="s">
        <v>14</v>
      </c>
      <c r="E364" s="1" t="s">
        <v>13</v>
      </c>
      <c r="F364" s="1" t="s">
        <v>1532</v>
      </c>
      <c r="G364" s="1" t="s">
        <v>1533</v>
      </c>
      <c r="H364" s="1">
        <v>4031.38</v>
      </c>
      <c r="I364" s="2">
        <f t="shared" si="37"/>
        <v>725.64840000000004</v>
      </c>
      <c r="K364" s="2">
        <f t="shared" si="38"/>
        <v>4757.0284000000001</v>
      </c>
      <c r="P364" s="1" t="s">
        <v>663</v>
      </c>
      <c r="Q364" s="4">
        <v>40520</v>
      </c>
    </row>
    <row r="365" spans="1:17" x14ac:dyDescent="0.2">
      <c r="A365" s="1" t="s">
        <v>12</v>
      </c>
      <c r="B365" s="4">
        <v>40484</v>
      </c>
      <c r="C365" s="8">
        <v>2010101793</v>
      </c>
      <c r="D365" s="1" t="s">
        <v>14</v>
      </c>
      <c r="E365" s="1" t="s">
        <v>13</v>
      </c>
      <c r="F365" s="1" t="s">
        <v>1534</v>
      </c>
      <c r="G365" s="1" t="s">
        <v>1535</v>
      </c>
      <c r="H365" s="1">
        <v>3400.55</v>
      </c>
      <c r="I365" s="2">
        <f t="shared" si="37"/>
        <v>612.09900000000005</v>
      </c>
      <c r="K365" s="2">
        <f t="shared" si="38"/>
        <v>4012.6490000000003</v>
      </c>
      <c r="P365" s="1" t="s">
        <v>663</v>
      </c>
      <c r="Q365" s="4">
        <v>40520</v>
      </c>
    </row>
    <row r="366" spans="1:17" x14ac:dyDescent="0.2">
      <c r="A366" s="1" t="s">
        <v>12</v>
      </c>
      <c r="B366" s="4">
        <v>40484</v>
      </c>
      <c r="C366" s="8">
        <v>2010101794</v>
      </c>
      <c r="D366" s="1" t="s">
        <v>14</v>
      </c>
      <c r="E366" s="1" t="s">
        <v>13</v>
      </c>
      <c r="F366" s="1" t="s">
        <v>1536</v>
      </c>
      <c r="G366" s="1" t="s">
        <v>1537</v>
      </c>
      <c r="H366" s="1">
        <v>3594.11</v>
      </c>
      <c r="I366" s="2">
        <f t="shared" si="37"/>
        <v>646.93979999999999</v>
      </c>
      <c r="K366" s="2">
        <f t="shared" si="38"/>
        <v>4241.0497999999998</v>
      </c>
      <c r="P366" s="1" t="s">
        <v>663</v>
      </c>
      <c r="Q366" s="4">
        <v>40520</v>
      </c>
    </row>
    <row r="367" spans="1:17" x14ac:dyDescent="0.2">
      <c r="A367" s="1" t="s">
        <v>408</v>
      </c>
      <c r="B367" s="4">
        <v>40483</v>
      </c>
      <c r="C367" s="8" t="s">
        <v>1538</v>
      </c>
      <c r="D367" s="1" t="s">
        <v>1551</v>
      </c>
      <c r="E367" s="1" t="s">
        <v>1552</v>
      </c>
      <c r="F367" s="1" t="s">
        <v>284</v>
      </c>
      <c r="G367" s="1" t="s">
        <v>119</v>
      </c>
      <c r="H367" s="2">
        <f>4600/1.18</f>
        <v>3898.305084745763</v>
      </c>
      <c r="I367" s="2">
        <f t="shared" si="37"/>
        <v>701.69491525423734</v>
      </c>
      <c r="J367" s="2"/>
      <c r="K367" s="2">
        <f t="shared" si="38"/>
        <v>4600</v>
      </c>
      <c r="P367" s="1" t="s">
        <v>663</v>
      </c>
      <c r="Q367" s="4">
        <v>40520</v>
      </c>
    </row>
    <row r="368" spans="1:17" x14ac:dyDescent="0.2">
      <c r="A368" s="1" t="s">
        <v>408</v>
      </c>
      <c r="B368" s="4">
        <v>40484</v>
      </c>
      <c r="C368" s="8" t="s">
        <v>1539</v>
      </c>
      <c r="D368" s="1" t="s">
        <v>1199</v>
      </c>
      <c r="E368" s="1" t="s">
        <v>1200</v>
      </c>
      <c r="F368" s="1" t="s">
        <v>47</v>
      </c>
      <c r="G368" s="1" t="s">
        <v>1474</v>
      </c>
      <c r="H368" s="2">
        <f>3350/1.18</f>
        <v>2838.9830508474579</v>
      </c>
      <c r="I368" s="2">
        <f t="shared" si="37"/>
        <v>511.0169491525424</v>
      </c>
      <c r="J368" s="2"/>
      <c r="K368" s="2">
        <f t="shared" si="38"/>
        <v>3350.0000000000005</v>
      </c>
      <c r="P368" s="1" t="s">
        <v>663</v>
      </c>
      <c r="Q368" s="4">
        <v>40520</v>
      </c>
    </row>
    <row r="369" spans="1:17" x14ac:dyDescent="0.2">
      <c r="A369" s="1" t="s">
        <v>408</v>
      </c>
      <c r="B369" s="4"/>
      <c r="C369" s="8" t="s">
        <v>1540</v>
      </c>
      <c r="D369" s="1" t="s">
        <v>537</v>
      </c>
      <c r="H369" s="2"/>
      <c r="I369" s="2"/>
      <c r="J369" s="2"/>
      <c r="K369" s="2"/>
      <c r="P369" s="1" t="s">
        <v>663</v>
      </c>
      <c r="Q369" s="4">
        <v>40520</v>
      </c>
    </row>
    <row r="370" spans="1:17" x14ac:dyDescent="0.2">
      <c r="A370" s="1" t="s">
        <v>408</v>
      </c>
      <c r="B370" s="4">
        <v>40487</v>
      </c>
      <c r="C370" s="8" t="s">
        <v>1541</v>
      </c>
      <c r="D370" s="1" t="s">
        <v>1553</v>
      </c>
      <c r="E370" s="1" t="s">
        <v>1554</v>
      </c>
      <c r="F370" s="1" t="s">
        <v>1555</v>
      </c>
      <c r="G370" s="1" t="s">
        <v>1556</v>
      </c>
      <c r="H370" s="2"/>
      <c r="I370" s="2"/>
      <c r="J370" s="2" t="s">
        <v>21</v>
      </c>
      <c r="K370" s="2">
        <v>1000</v>
      </c>
      <c r="L370" s="1" t="s">
        <v>303</v>
      </c>
      <c r="P370" s="1" t="s">
        <v>663</v>
      </c>
      <c r="Q370" s="4">
        <v>40520</v>
      </c>
    </row>
    <row r="371" spans="1:17" x14ac:dyDescent="0.2">
      <c r="A371" s="1" t="s">
        <v>408</v>
      </c>
      <c r="B371" s="4">
        <v>40493</v>
      </c>
      <c r="C371" s="8" t="s">
        <v>1542</v>
      </c>
      <c r="D371" s="1" t="s">
        <v>1557</v>
      </c>
      <c r="E371" s="1" t="s">
        <v>1558</v>
      </c>
      <c r="F371" s="1" t="s">
        <v>1172</v>
      </c>
      <c r="G371" s="1" t="s">
        <v>1235</v>
      </c>
      <c r="H371" s="2">
        <f>5310/1.18</f>
        <v>4500</v>
      </c>
      <c r="I371" s="2">
        <f t="shared" si="37"/>
        <v>810</v>
      </c>
      <c r="J371" s="2"/>
      <c r="K371" s="2">
        <f t="shared" si="38"/>
        <v>5310</v>
      </c>
      <c r="P371" s="1" t="s">
        <v>663</v>
      </c>
      <c r="Q371" s="4">
        <v>40520</v>
      </c>
    </row>
    <row r="372" spans="1:17" x14ac:dyDescent="0.2">
      <c r="A372" s="1" t="s">
        <v>408</v>
      </c>
      <c r="B372" s="4">
        <v>40494</v>
      </c>
      <c r="C372" s="8" t="s">
        <v>1543</v>
      </c>
      <c r="D372" s="1" t="s">
        <v>1559</v>
      </c>
      <c r="E372" s="1" t="s">
        <v>1560</v>
      </c>
      <c r="F372" s="1" t="s">
        <v>978</v>
      </c>
      <c r="G372" s="1" t="s">
        <v>979</v>
      </c>
      <c r="H372" s="2">
        <f>5500/1.18</f>
        <v>4661.016949152543</v>
      </c>
      <c r="I372" s="2">
        <f t="shared" si="37"/>
        <v>838.98305084745766</v>
      </c>
      <c r="J372" s="2"/>
      <c r="K372" s="2">
        <f t="shared" si="38"/>
        <v>5500.0000000000009</v>
      </c>
      <c r="P372" s="1" t="s">
        <v>663</v>
      </c>
      <c r="Q372" s="4">
        <v>40520</v>
      </c>
    </row>
    <row r="373" spans="1:17" x14ac:dyDescent="0.2">
      <c r="A373" s="1" t="s">
        <v>408</v>
      </c>
      <c r="B373" s="4">
        <v>40497</v>
      </c>
      <c r="C373" s="8" t="s">
        <v>1544</v>
      </c>
      <c r="D373" s="1" t="s">
        <v>1563</v>
      </c>
      <c r="E373" s="1" t="s">
        <v>1564</v>
      </c>
      <c r="F373" s="1" t="s">
        <v>1358</v>
      </c>
      <c r="G373" s="1" t="s">
        <v>1015</v>
      </c>
      <c r="H373" s="2">
        <f>2000/1.18</f>
        <v>1694.9152542372883</v>
      </c>
      <c r="I373" s="2">
        <f t="shared" si="37"/>
        <v>305.08474576271186</v>
      </c>
      <c r="J373" s="2"/>
      <c r="K373" s="2">
        <f t="shared" si="38"/>
        <v>2000.0000000000002</v>
      </c>
      <c r="P373" s="1" t="s">
        <v>663</v>
      </c>
      <c r="Q373" s="4">
        <v>40520</v>
      </c>
    </row>
    <row r="374" spans="1:17" x14ac:dyDescent="0.2">
      <c r="A374" s="1" t="s">
        <v>408</v>
      </c>
      <c r="B374" s="4">
        <v>40509</v>
      </c>
      <c r="C374" s="8" t="s">
        <v>1545</v>
      </c>
      <c r="D374" s="1" t="s">
        <v>1565</v>
      </c>
      <c r="E374" s="1" t="s">
        <v>1566</v>
      </c>
      <c r="F374" s="1" t="s">
        <v>65</v>
      </c>
      <c r="G374" s="1" t="s">
        <v>1294</v>
      </c>
      <c r="H374" s="2">
        <f>4500/1.18</f>
        <v>3813.5593220338983</v>
      </c>
      <c r="I374" s="2">
        <f t="shared" si="37"/>
        <v>686.4406779661017</v>
      </c>
      <c r="J374" s="2"/>
      <c r="K374" s="2">
        <f t="shared" si="38"/>
        <v>4500</v>
      </c>
      <c r="P374" s="1" t="s">
        <v>663</v>
      </c>
      <c r="Q374" s="4">
        <v>40520</v>
      </c>
    </row>
    <row r="375" spans="1:17" x14ac:dyDescent="0.2">
      <c r="A375" s="1" t="s">
        <v>408</v>
      </c>
      <c r="B375" s="4">
        <v>40507</v>
      </c>
      <c r="C375" s="8" t="s">
        <v>1546</v>
      </c>
      <c r="D375" s="1" t="s">
        <v>1567</v>
      </c>
      <c r="E375" s="1" t="s">
        <v>1568</v>
      </c>
      <c r="F375" s="1" t="s">
        <v>1358</v>
      </c>
      <c r="G375" s="1" t="s">
        <v>1569</v>
      </c>
      <c r="H375" s="2">
        <f>4900/1.18</f>
        <v>4152.5423728813557</v>
      </c>
      <c r="I375" s="2">
        <f t="shared" si="37"/>
        <v>747.45762711864404</v>
      </c>
      <c r="J375" s="2"/>
      <c r="K375" s="2">
        <f t="shared" si="38"/>
        <v>4900</v>
      </c>
      <c r="P375" s="1" t="s">
        <v>663</v>
      </c>
      <c r="Q375" s="4">
        <v>40520</v>
      </c>
    </row>
    <row r="376" spans="1:17" x14ac:dyDescent="0.2">
      <c r="A376" s="1" t="s">
        <v>408</v>
      </c>
      <c r="B376" s="4">
        <v>40508</v>
      </c>
      <c r="C376" s="8" t="s">
        <v>1547</v>
      </c>
      <c r="D376" s="1" t="s">
        <v>1570</v>
      </c>
      <c r="E376" s="1" t="s">
        <v>1571</v>
      </c>
      <c r="F376" s="1" t="s">
        <v>1572</v>
      </c>
      <c r="G376" s="1" t="s">
        <v>1309</v>
      </c>
      <c r="H376" s="2">
        <f>6608/1.18</f>
        <v>5600</v>
      </c>
      <c r="I376" s="2">
        <f t="shared" si="37"/>
        <v>1008</v>
      </c>
      <c r="J376" s="2"/>
      <c r="K376" s="2">
        <f t="shared" si="38"/>
        <v>6608</v>
      </c>
      <c r="P376" s="1" t="s">
        <v>663</v>
      </c>
      <c r="Q376" s="4">
        <v>40520</v>
      </c>
    </row>
    <row r="377" spans="1:17" x14ac:dyDescent="0.2">
      <c r="A377" s="1" t="s">
        <v>408</v>
      </c>
      <c r="B377" s="4">
        <v>40509</v>
      </c>
      <c r="C377" s="8" t="s">
        <v>1548</v>
      </c>
      <c r="D377" s="1" t="s">
        <v>1573</v>
      </c>
      <c r="E377" s="1" t="s">
        <v>1574</v>
      </c>
      <c r="F377" s="1" t="s">
        <v>53</v>
      </c>
      <c r="G377" s="1" t="s">
        <v>1454</v>
      </c>
      <c r="H377" s="2">
        <f>3650/1.18</f>
        <v>3093.2203389830511</v>
      </c>
      <c r="I377" s="2">
        <f t="shared" si="37"/>
        <v>556.77966101694915</v>
      </c>
      <c r="J377" s="2"/>
      <c r="K377" s="2">
        <f t="shared" si="38"/>
        <v>3650</v>
      </c>
      <c r="L377" s="1" t="s">
        <v>2542</v>
      </c>
      <c r="P377" s="1" t="s">
        <v>663</v>
      </c>
      <c r="Q377" s="4">
        <v>40520</v>
      </c>
    </row>
    <row r="378" spans="1:17" x14ac:dyDescent="0.2">
      <c r="A378" s="1" t="s">
        <v>408</v>
      </c>
      <c r="B378" s="4">
        <v>40511</v>
      </c>
      <c r="C378" s="8" t="s">
        <v>1549</v>
      </c>
      <c r="D378" s="1" t="s">
        <v>1575</v>
      </c>
      <c r="E378" s="1" t="s">
        <v>1576</v>
      </c>
      <c r="F378" s="1" t="s">
        <v>1358</v>
      </c>
      <c r="G378" s="1" t="s">
        <v>1361</v>
      </c>
      <c r="H378" s="2">
        <f>3300/1.18</f>
        <v>2796.6101694915255</v>
      </c>
      <c r="I378" s="2">
        <f t="shared" si="37"/>
        <v>503.38983050847457</v>
      </c>
      <c r="J378" s="2"/>
      <c r="K378" s="2">
        <f t="shared" si="38"/>
        <v>3300</v>
      </c>
      <c r="P378" s="1" t="s">
        <v>663</v>
      </c>
      <c r="Q378" s="4">
        <v>40520</v>
      </c>
    </row>
    <row r="379" spans="1:17" x14ac:dyDescent="0.2">
      <c r="A379" s="1" t="s">
        <v>408</v>
      </c>
      <c r="B379" s="4">
        <v>40511</v>
      </c>
      <c r="C379" s="8" t="s">
        <v>1550</v>
      </c>
      <c r="D379" s="1" t="s">
        <v>1577</v>
      </c>
      <c r="E379" s="1" t="s">
        <v>1578</v>
      </c>
      <c r="F379" s="1" t="s">
        <v>1580</v>
      </c>
      <c r="G379" s="1" t="s">
        <v>1579</v>
      </c>
      <c r="H379" s="2">
        <f>3540/1.18</f>
        <v>3000</v>
      </c>
      <c r="I379" s="2">
        <f t="shared" si="37"/>
        <v>540</v>
      </c>
      <c r="J379" s="2"/>
      <c r="K379" s="2">
        <f t="shared" si="38"/>
        <v>3540</v>
      </c>
      <c r="P379" s="1" t="s">
        <v>663</v>
      </c>
      <c r="Q379" s="4">
        <v>40520</v>
      </c>
    </row>
    <row r="380" spans="1:17" x14ac:dyDescent="0.2">
      <c r="A380" s="112" t="s">
        <v>12</v>
      </c>
      <c r="B380" s="113">
        <v>40513</v>
      </c>
      <c r="C380" s="114" t="s">
        <v>951</v>
      </c>
      <c r="D380" s="112" t="s">
        <v>1567</v>
      </c>
      <c r="E380" s="112" t="s">
        <v>1568</v>
      </c>
      <c r="F380" s="112" t="s">
        <v>1358</v>
      </c>
      <c r="G380" s="112" t="s">
        <v>1581</v>
      </c>
      <c r="H380" s="115"/>
      <c r="I380" s="112"/>
      <c r="J380" s="112"/>
      <c r="K380" s="112">
        <v>2000</v>
      </c>
      <c r="P380" s="1" t="s">
        <v>663</v>
      </c>
      <c r="Q380" s="4">
        <v>40559</v>
      </c>
    </row>
    <row r="381" spans="1:17" x14ac:dyDescent="0.2">
      <c r="A381" s="1" t="s">
        <v>12</v>
      </c>
      <c r="B381" s="4">
        <v>40506</v>
      </c>
      <c r="C381" s="8">
        <v>2010101912</v>
      </c>
      <c r="D381" s="1" t="s">
        <v>14</v>
      </c>
      <c r="E381" s="1" t="s">
        <v>13</v>
      </c>
      <c r="F381" s="1" t="s">
        <v>1358</v>
      </c>
      <c r="G381" s="1" t="s">
        <v>1569</v>
      </c>
      <c r="H381" s="1">
        <v>4067.8</v>
      </c>
      <c r="I381" s="2">
        <f t="shared" ref="I381:I391" si="39">+H381*0.18</f>
        <v>732.20399999999995</v>
      </c>
      <c r="K381" s="2">
        <f t="shared" ref="K381:K392" si="40">H381+I381</f>
        <v>4800.0039999999999</v>
      </c>
      <c r="P381" s="1" t="s">
        <v>663</v>
      </c>
      <c r="Q381" s="4">
        <v>40559</v>
      </c>
    </row>
    <row r="382" spans="1:17" x14ac:dyDescent="0.2">
      <c r="A382" s="1" t="s">
        <v>12</v>
      </c>
      <c r="B382" s="4">
        <v>40515</v>
      </c>
      <c r="C382" s="8">
        <v>2010101968</v>
      </c>
      <c r="D382" s="1" t="s">
        <v>14</v>
      </c>
      <c r="E382" s="1" t="s">
        <v>13</v>
      </c>
      <c r="F382" s="1" t="s">
        <v>59</v>
      </c>
      <c r="G382" s="1" t="s">
        <v>1582</v>
      </c>
      <c r="H382" s="1">
        <v>1016.95</v>
      </c>
      <c r="I382" s="2">
        <f t="shared" si="39"/>
        <v>183.05099999999999</v>
      </c>
      <c r="K382" s="2">
        <f t="shared" si="40"/>
        <v>1200.001</v>
      </c>
      <c r="P382" s="1" t="s">
        <v>663</v>
      </c>
      <c r="Q382" s="4">
        <v>40559</v>
      </c>
    </row>
    <row r="383" spans="1:17" x14ac:dyDescent="0.2">
      <c r="A383" s="1" t="s">
        <v>12</v>
      </c>
      <c r="B383" s="4">
        <v>40515</v>
      </c>
      <c r="C383" s="8">
        <v>2010101969</v>
      </c>
      <c r="D383" s="1" t="s">
        <v>14</v>
      </c>
      <c r="E383" s="1" t="s">
        <v>13</v>
      </c>
      <c r="F383" s="1" t="s">
        <v>1188</v>
      </c>
      <c r="G383" s="1" t="s">
        <v>1583</v>
      </c>
      <c r="H383" s="1">
        <v>1772.4</v>
      </c>
      <c r="I383" s="2">
        <f t="shared" si="39"/>
        <v>319.03199999999998</v>
      </c>
      <c r="K383" s="2">
        <f t="shared" si="40"/>
        <v>2091.4320000000002</v>
      </c>
      <c r="L383" s="1" t="s">
        <v>1904</v>
      </c>
      <c r="P383" s="1" t="s">
        <v>663</v>
      </c>
      <c r="Q383" s="4">
        <v>40559</v>
      </c>
    </row>
    <row r="384" spans="1:17" x14ac:dyDescent="0.2">
      <c r="A384" s="1" t="s">
        <v>12</v>
      </c>
      <c r="B384" s="4">
        <v>40529</v>
      </c>
      <c r="C384" s="8">
        <v>2010102026</v>
      </c>
      <c r="D384" s="1" t="s">
        <v>14</v>
      </c>
      <c r="E384" s="1" t="s">
        <v>13</v>
      </c>
      <c r="F384" s="1" t="s">
        <v>1584</v>
      </c>
      <c r="G384" s="1" t="s">
        <v>1585</v>
      </c>
      <c r="H384" s="1">
        <v>2877.3</v>
      </c>
      <c r="I384" s="2">
        <f t="shared" si="39"/>
        <v>517.91399999999999</v>
      </c>
      <c r="K384" s="2">
        <f t="shared" si="40"/>
        <v>3395.2139999999999</v>
      </c>
      <c r="L384" s="1" t="s">
        <v>2709</v>
      </c>
      <c r="P384" s="1" t="s">
        <v>663</v>
      </c>
      <c r="Q384" s="4">
        <v>40559</v>
      </c>
    </row>
    <row r="385" spans="1:17" x14ac:dyDescent="0.2">
      <c r="A385" s="1" t="s">
        <v>12</v>
      </c>
      <c r="B385" s="4">
        <v>40529</v>
      </c>
      <c r="C385" s="8">
        <v>2010102027</v>
      </c>
      <c r="D385" s="1" t="s">
        <v>14</v>
      </c>
      <c r="E385" s="1" t="s">
        <v>13</v>
      </c>
      <c r="F385" s="1" t="s">
        <v>70</v>
      </c>
      <c r="G385" s="1" t="s">
        <v>1586</v>
      </c>
      <c r="H385" s="1">
        <v>4635.17</v>
      </c>
      <c r="I385" s="2">
        <f t="shared" si="39"/>
        <v>834.3306</v>
      </c>
      <c r="K385" s="2">
        <f t="shared" si="40"/>
        <v>5469.5006000000003</v>
      </c>
      <c r="P385" s="1" t="s">
        <v>663</v>
      </c>
      <c r="Q385" s="4">
        <v>40559</v>
      </c>
    </row>
    <row r="386" spans="1:17" x14ac:dyDescent="0.2">
      <c r="A386" s="1" t="s">
        <v>12</v>
      </c>
      <c r="B386" s="4">
        <v>40529</v>
      </c>
      <c r="C386" s="8">
        <v>2010102028</v>
      </c>
      <c r="D386" s="1" t="s">
        <v>14</v>
      </c>
      <c r="E386" s="1" t="s">
        <v>13</v>
      </c>
      <c r="F386" s="1" t="s">
        <v>1431</v>
      </c>
      <c r="G386" s="1" t="s">
        <v>1587</v>
      </c>
      <c r="H386" s="1">
        <v>3876.07</v>
      </c>
      <c r="I386" s="2">
        <f t="shared" si="39"/>
        <v>697.69259999999997</v>
      </c>
      <c r="K386" s="2">
        <f t="shared" si="40"/>
        <v>4573.7626</v>
      </c>
      <c r="P386" s="1" t="s">
        <v>663</v>
      </c>
      <c r="Q386" s="4">
        <v>40559</v>
      </c>
    </row>
    <row r="387" spans="1:17" x14ac:dyDescent="0.2">
      <c r="A387" s="1" t="s">
        <v>12</v>
      </c>
      <c r="B387" s="4">
        <v>40529</v>
      </c>
      <c r="C387" s="8">
        <v>2010102029</v>
      </c>
      <c r="D387" s="1" t="s">
        <v>14</v>
      </c>
      <c r="E387" s="1" t="s">
        <v>13</v>
      </c>
      <c r="F387" s="1" t="s">
        <v>1188</v>
      </c>
      <c r="G387" s="1" t="s">
        <v>1588</v>
      </c>
      <c r="H387" s="1">
        <v>1440.68</v>
      </c>
      <c r="I387" s="2">
        <f t="shared" si="39"/>
        <v>259.32240000000002</v>
      </c>
      <c r="K387" s="2">
        <f t="shared" si="40"/>
        <v>1700.0024000000001</v>
      </c>
      <c r="L387" s="1" t="s">
        <v>1904</v>
      </c>
      <c r="P387" s="1" t="s">
        <v>663</v>
      </c>
      <c r="Q387" s="4">
        <v>40559</v>
      </c>
    </row>
    <row r="388" spans="1:17" x14ac:dyDescent="0.2">
      <c r="A388" s="1" t="s">
        <v>12</v>
      </c>
      <c r="B388" s="4">
        <v>40529</v>
      </c>
      <c r="C388" s="8">
        <v>2010102030</v>
      </c>
      <c r="D388" s="1" t="s">
        <v>14</v>
      </c>
      <c r="E388" s="1" t="s">
        <v>13</v>
      </c>
      <c r="F388" s="1" t="s">
        <v>1308</v>
      </c>
      <c r="G388" s="1" t="s">
        <v>1589</v>
      </c>
      <c r="H388" s="1">
        <v>2913.15</v>
      </c>
      <c r="I388" s="2">
        <f t="shared" si="39"/>
        <v>524.36699999999996</v>
      </c>
      <c r="K388" s="2">
        <f t="shared" si="40"/>
        <v>3437.5169999999998</v>
      </c>
      <c r="L388" s="1" t="s">
        <v>1904</v>
      </c>
      <c r="P388" s="1" t="s">
        <v>663</v>
      </c>
      <c r="Q388" s="4">
        <v>40559</v>
      </c>
    </row>
    <row r="389" spans="1:17" x14ac:dyDescent="0.2">
      <c r="A389" s="1" t="s">
        <v>12</v>
      </c>
      <c r="B389" s="4">
        <v>40529</v>
      </c>
      <c r="C389" s="8">
        <v>2010102031</v>
      </c>
      <c r="D389" s="1" t="s">
        <v>14</v>
      </c>
      <c r="E389" s="1" t="s">
        <v>13</v>
      </c>
      <c r="F389" s="1" t="s">
        <v>1590</v>
      </c>
      <c r="G389" s="1" t="s">
        <v>1591</v>
      </c>
      <c r="H389" s="1">
        <v>3305</v>
      </c>
      <c r="I389" s="2">
        <f t="shared" si="39"/>
        <v>594.9</v>
      </c>
      <c r="K389" s="2">
        <f t="shared" si="40"/>
        <v>3899.9</v>
      </c>
      <c r="P389" s="1" t="s">
        <v>663</v>
      </c>
      <c r="Q389" s="4">
        <v>40559</v>
      </c>
    </row>
    <row r="390" spans="1:17" x14ac:dyDescent="0.2">
      <c r="A390" s="1" t="s">
        <v>12</v>
      </c>
      <c r="B390" s="4">
        <v>40529</v>
      </c>
      <c r="C390" s="8">
        <v>2010102032</v>
      </c>
      <c r="D390" s="1" t="s">
        <v>14</v>
      </c>
      <c r="E390" s="1" t="s">
        <v>13</v>
      </c>
      <c r="F390" s="1" t="s">
        <v>1012</v>
      </c>
      <c r="G390" s="1" t="s">
        <v>1592</v>
      </c>
      <c r="H390" s="1">
        <v>5084.75</v>
      </c>
      <c r="I390" s="2">
        <f t="shared" si="39"/>
        <v>915.255</v>
      </c>
      <c r="K390" s="2">
        <f t="shared" si="40"/>
        <v>6000.0050000000001</v>
      </c>
      <c r="P390" s="1" t="s">
        <v>663</v>
      </c>
      <c r="Q390" s="4">
        <v>40559</v>
      </c>
    </row>
    <row r="391" spans="1:17" x14ac:dyDescent="0.2">
      <c r="A391" s="1" t="s">
        <v>12</v>
      </c>
      <c r="B391" s="4">
        <v>40500</v>
      </c>
      <c r="C391" s="8" t="s">
        <v>1593</v>
      </c>
      <c r="D391" s="1" t="s">
        <v>25</v>
      </c>
      <c r="E391" s="1" t="s">
        <v>26</v>
      </c>
      <c r="F391" s="1" t="s">
        <v>1342</v>
      </c>
      <c r="G391" s="1" t="s">
        <v>1594</v>
      </c>
      <c r="H391" s="1">
        <v>4661.0200000000004</v>
      </c>
      <c r="I391" s="2">
        <f t="shared" si="39"/>
        <v>838.98360000000002</v>
      </c>
      <c r="K391" s="2">
        <f t="shared" si="40"/>
        <v>5500.0036</v>
      </c>
      <c r="P391" s="1" t="s">
        <v>663</v>
      </c>
      <c r="Q391" s="4">
        <v>40559</v>
      </c>
    </row>
    <row r="392" spans="1:17" x14ac:dyDescent="0.2">
      <c r="A392" s="1" t="s">
        <v>12</v>
      </c>
      <c r="B392" s="4">
        <v>40528</v>
      </c>
      <c r="C392" s="8">
        <v>10000219455</v>
      </c>
      <c r="D392" s="1" t="s">
        <v>985</v>
      </c>
      <c r="E392" s="1" t="s">
        <v>115</v>
      </c>
      <c r="F392" s="1" t="s">
        <v>1595</v>
      </c>
      <c r="G392" s="1" t="s">
        <v>1596</v>
      </c>
      <c r="H392" s="1">
        <v>19322.03</v>
      </c>
      <c r="I392" s="2">
        <f>+H392*0.18</f>
        <v>3477.9653999999996</v>
      </c>
      <c r="K392" s="2">
        <f t="shared" si="40"/>
        <v>22799.9954</v>
      </c>
      <c r="P392" s="1" t="s">
        <v>663</v>
      </c>
      <c r="Q392" s="4">
        <v>40559</v>
      </c>
    </row>
    <row r="393" spans="1:17" x14ac:dyDescent="0.2">
      <c r="A393" s="1" t="s">
        <v>408</v>
      </c>
      <c r="C393" s="8" t="s">
        <v>1597</v>
      </c>
      <c r="P393" s="1" t="s">
        <v>663</v>
      </c>
      <c r="Q393" s="4">
        <v>40559</v>
      </c>
    </row>
    <row r="394" spans="1:17" x14ac:dyDescent="0.2">
      <c r="A394" s="1" t="s">
        <v>408</v>
      </c>
      <c r="C394" s="8" t="s">
        <v>1598</v>
      </c>
      <c r="P394" s="1" t="s">
        <v>663</v>
      </c>
      <c r="Q394" s="4">
        <v>40559</v>
      </c>
    </row>
    <row r="395" spans="1:17" x14ac:dyDescent="0.2">
      <c r="A395" s="1" t="s">
        <v>408</v>
      </c>
      <c r="C395" s="8" t="s">
        <v>1599</v>
      </c>
      <c r="P395" s="1" t="s">
        <v>663</v>
      </c>
      <c r="Q395" s="4">
        <v>40559</v>
      </c>
    </row>
    <row r="396" spans="1:17" x14ac:dyDescent="0.2">
      <c r="A396" s="1" t="s">
        <v>408</v>
      </c>
      <c r="B396" s="4">
        <v>40529</v>
      </c>
      <c r="C396" s="8" t="s">
        <v>1600</v>
      </c>
      <c r="D396" s="1" t="s">
        <v>1603</v>
      </c>
      <c r="E396" s="1" t="s">
        <v>1604</v>
      </c>
      <c r="F396" s="1" t="s">
        <v>1358</v>
      </c>
      <c r="G396" s="1" t="s">
        <v>1581</v>
      </c>
      <c r="K396" s="1">
        <v>2500</v>
      </c>
      <c r="P396" s="1" t="s">
        <v>663</v>
      </c>
      <c r="Q396" s="4">
        <v>40559</v>
      </c>
    </row>
    <row r="397" spans="1:17" x14ac:dyDescent="0.2">
      <c r="A397" s="1" t="s">
        <v>408</v>
      </c>
      <c r="B397" s="4">
        <v>40513</v>
      </c>
      <c r="C397" s="8" t="s">
        <v>1601</v>
      </c>
      <c r="D397" s="1" t="s">
        <v>232</v>
      </c>
      <c r="E397" s="1" t="s">
        <v>233</v>
      </c>
      <c r="F397" s="1" t="s">
        <v>1358</v>
      </c>
      <c r="G397" s="1" t="s">
        <v>1362</v>
      </c>
      <c r="H397" s="2">
        <f>4200/1.18</f>
        <v>3559.3220338983051</v>
      </c>
      <c r="I397" s="2">
        <f>+H397*0.18</f>
        <v>640.67796610169489</v>
      </c>
      <c r="K397" s="2">
        <f>+H397+I397</f>
        <v>4200</v>
      </c>
      <c r="P397" s="1" t="s">
        <v>663</v>
      </c>
      <c r="Q397" s="4">
        <v>40559</v>
      </c>
    </row>
    <row r="398" spans="1:17" x14ac:dyDescent="0.2">
      <c r="A398" s="1" t="s">
        <v>408</v>
      </c>
      <c r="B398" s="4">
        <v>40539</v>
      </c>
      <c r="C398" s="8" t="s">
        <v>1602</v>
      </c>
      <c r="D398" s="1" t="s">
        <v>1605</v>
      </c>
      <c r="E398" s="1" t="s">
        <v>1606</v>
      </c>
      <c r="F398" s="1" t="s">
        <v>70</v>
      </c>
      <c r="G398" s="1" t="s">
        <v>1264</v>
      </c>
      <c r="K398" s="1">
        <v>4000</v>
      </c>
      <c r="P398" s="1" t="s">
        <v>663</v>
      </c>
      <c r="Q398" s="4">
        <v>40559</v>
      </c>
    </row>
    <row r="399" spans="1:17" x14ac:dyDescent="0.2">
      <c r="A399" s="1" t="s">
        <v>408</v>
      </c>
      <c r="B399" s="4"/>
      <c r="C399" s="8" t="s">
        <v>1607</v>
      </c>
      <c r="D399" s="1" t="s">
        <v>1613</v>
      </c>
      <c r="P399" s="1" t="s">
        <v>663</v>
      </c>
      <c r="Q399" s="4">
        <v>40559</v>
      </c>
    </row>
    <row r="400" spans="1:17" x14ac:dyDescent="0.2">
      <c r="A400" s="1" t="s">
        <v>408</v>
      </c>
      <c r="B400" s="4"/>
      <c r="C400" s="8" t="s">
        <v>1608</v>
      </c>
      <c r="D400" s="1" t="s">
        <v>1613</v>
      </c>
      <c r="I400" s="2"/>
      <c r="K400" s="2"/>
      <c r="P400" s="1" t="s">
        <v>663</v>
      </c>
      <c r="Q400" s="4">
        <v>40559</v>
      </c>
    </row>
    <row r="401" spans="1:17" x14ac:dyDescent="0.2">
      <c r="A401" s="1" t="s">
        <v>408</v>
      </c>
      <c r="C401" s="8" t="s">
        <v>1609</v>
      </c>
      <c r="D401" s="1" t="s">
        <v>1613</v>
      </c>
      <c r="I401" s="2"/>
      <c r="K401" s="2"/>
      <c r="P401" s="1" t="s">
        <v>663</v>
      </c>
      <c r="Q401" s="4">
        <v>40559</v>
      </c>
    </row>
    <row r="402" spans="1:17" x14ac:dyDescent="0.2">
      <c r="A402" s="1" t="s">
        <v>408</v>
      </c>
      <c r="B402" s="4">
        <v>40527</v>
      </c>
      <c r="C402" s="8" t="s">
        <v>1610</v>
      </c>
      <c r="D402" s="1" t="s">
        <v>1614</v>
      </c>
      <c r="E402" s="1" t="s">
        <v>1615</v>
      </c>
      <c r="F402" s="1" t="s">
        <v>1357</v>
      </c>
      <c r="G402" s="1" t="s">
        <v>1369</v>
      </c>
      <c r="H402" s="1">
        <v>11779.66</v>
      </c>
      <c r="I402" s="2">
        <f>+H402*0.18</f>
        <v>2120.3388</v>
      </c>
      <c r="K402" s="2">
        <f>+H402+I402</f>
        <v>13899.998799999999</v>
      </c>
      <c r="P402" s="1" t="s">
        <v>663</v>
      </c>
      <c r="Q402" s="4">
        <v>40559</v>
      </c>
    </row>
    <row r="403" spans="1:17" x14ac:dyDescent="0.2">
      <c r="A403" s="1" t="s">
        <v>408</v>
      </c>
      <c r="B403" s="4"/>
      <c r="C403" s="8" t="s">
        <v>1611</v>
      </c>
      <c r="D403" s="1" t="s">
        <v>1613</v>
      </c>
      <c r="P403" s="1" t="s">
        <v>663</v>
      </c>
      <c r="Q403" s="4">
        <v>40559</v>
      </c>
    </row>
    <row r="404" spans="1:17" x14ac:dyDescent="0.2">
      <c r="A404" s="1" t="s">
        <v>408</v>
      </c>
      <c r="B404" s="4">
        <v>40539</v>
      </c>
      <c r="C404" s="8" t="s">
        <v>1612</v>
      </c>
      <c r="D404" s="1" t="s">
        <v>1616</v>
      </c>
      <c r="E404" s="1" t="s">
        <v>1617</v>
      </c>
      <c r="F404" s="1" t="s">
        <v>1595</v>
      </c>
      <c r="G404" s="1" t="s">
        <v>1596</v>
      </c>
      <c r="H404" s="1">
        <v>21949.15</v>
      </c>
      <c r="I404" s="2">
        <f>+H404*0.18</f>
        <v>3950.8470000000002</v>
      </c>
      <c r="K404" s="2">
        <f>+H404+I404</f>
        <v>25899.997000000003</v>
      </c>
      <c r="P404" s="1" t="s">
        <v>663</v>
      </c>
      <c r="Q404" s="4">
        <v>40559</v>
      </c>
    </row>
    <row r="405" spans="1:17" x14ac:dyDescent="0.2">
      <c r="A405" s="116" t="s">
        <v>12</v>
      </c>
      <c r="B405" s="117">
        <v>40361</v>
      </c>
      <c r="C405" s="118" t="s">
        <v>1619</v>
      </c>
      <c r="D405" s="116" t="s">
        <v>25</v>
      </c>
      <c r="E405" s="116" t="s">
        <v>26</v>
      </c>
      <c r="F405" s="116" t="s">
        <v>1010</v>
      </c>
      <c r="G405" s="116" t="s">
        <v>1618</v>
      </c>
      <c r="H405" s="116">
        <v>4576.2700000000004</v>
      </c>
      <c r="I405" s="119">
        <f>+H405*0.18</f>
        <v>823.72860000000003</v>
      </c>
      <c r="J405" s="119"/>
      <c r="K405" s="119">
        <f>H405+I405</f>
        <v>5399.9986000000008</v>
      </c>
      <c r="L405" s="116"/>
      <c r="M405" s="116"/>
      <c r="N405" s="116"/>
      <c r="O405" s="116"/>
      <c r="P405" s="116" t="s">
        <v>663</v>
      </c>
      <c r="Q405" s="117">
        <v>40559</v>
      </c>
    </row>
    <row r="406" spans="1:17" x14ac:dyDescent="0.2">
      <c r="A406" s="1" t="s">
        <v>12</v>
      </c>
      <c r="B406" s="4">
        <v>40513</v>
      </c>
      <c r="C406" s="8" t="s">
        <v>1620</v>
      </c>
      <c r="D406" s="1" t="s">
        <v>25</v>
      </c>
      <c r="E406" s="1" t="s">
        <v>26</v>
      </c>
      <c r="F406" s="1" t="s">
        <v>1342</v>
      </c>
      <c r="G406" s="1" t="s">
        <v>1621</v>
      </c>
      <c r="H406" s="1">
        <v>4661.0200000000004</v>
      </c>
      <c r="I406" s="1">
        <v>838.98</v>
      </c>
      <c r="K406" s="1">
        <v>5500</v>
      </c>
      <c r="L406" s="1" t="s">
        <v>1904</v>
      </c>
    </row>
    <row r="407" spans="1:17" x14ac:dyDescent="0.2">
      <c r="A407" s="1" t="s">
        <v>12</v>
      </c>
      <c r="B407" s="4">
        <v>40539</v>
      </c>
      <c r="C407" s="8">
        <v>2010102065</v>
      </c>
      <c r="D407" s="1" t="s">
        <v>14</v>
      </c>
      <c r="E407" s="1" t="s">
        <v>13</v>
      </c>
      <c r="F407" s="1" t="s">
        <v>1465</v>
      </c>
      <c r="G407" s="1" t="s">
        <v>1622</v>
      </c>
      <c r="H407" s="1">
        <v>10526.05</v>
      </c>
      <c r="I407" s="2">
        <f>+H407*0.18</f>
        <v>1894.6889999999999</v>
      </c>
      <c r="K407" s="2">
        <f>+H407+I407</f>
        <v>12420.739</v>
      </c>
    </row>
    <row r="408" spans="1:17" x14ac:dyDescent="0.2">
      <c r="A408" s="1" t="s">
        <v>12</v>
      </c>
      <c r="B408" s="4">
        <v>40539</v>
      </c>
      <c r="C408" s="8">
        <v>2010102064</v>
      </c>
      <c r="D408" s="1" t="s">
        <v>14</v>
      </c>
      <c r="E408" s="1" t="s">
        <v>13</v>
      </c>
      <c r="F408" s="1" t="s">
        <v>1357</v>
      </c>
      <c r="G408" s="1" t="s">
        <v>1623</v>
      </c>
      <c r="H408" s="1">
        <v>9992.32</v>
      </c>
      <c r="I408" s="2">
        <f>+H408*0.18</f>
        <v>1798.6175999999998</v>
      </c>
      <c r="K408" s="2">
        <f>+H408+I408</f>
        <v>11790.937599999999</v>
      </c>
    </row>
    <row r="409" spans="1:17" x14ac:dyDescent="0.2">
      <c r="A409" s="1" t="s">
        <v>126</v>
      </c>
      <c r="B409" s="4">
        <v>40473</v>
      </c>
      <c r="C409" s="8" t="s">
        <v>1624</v>
      </c>
      <c r="D409" s="1" t="s">
        <v>1625</v>
      </c>
      <c r="E409" s="1" t="s">
        <v>1626</v>
      </c>
      <c r="F409" s="1" t="s">
        <v>1627</v>
      </c>
      <c r="G409" s="1" t="s">
        <v>1466</v>
      </c>
      <c r="H409" s="1">
        <v>10000</v>
      </c>
      <c r="I409" s="1">
        <f>+H409*0.18</f>
        <v>1800</v>
      </c>
      <c r="K409" s="2">
        <f>+H409+I409</f>
        <v>11800</v>
      </c>
    </row>
    <row r="410" spans="1:17" x14ac:dyDescent="0.2">
      <c r="A410" s="1" t="s">
        <v>1857</v>
      </c>
    </row>
  </sheetData>
  <autoFilter ref="A1:Q410" xr:uid="{00000000-0009-0000-0000-00000A000000}"/>
  <sortState xmlns:xlrd2="http://schemas.microsoft.com/office/spreadsheetml/2017/richdata2" ref="A2:Q107">
    <sortCondition ref="B2:B107"/>
  </sortState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0"/>
  <dimension ref="A1:Q276"/>
  <sheetViews>
    <sheetView topLeftCell="B1" workbookViewId="0">
      <selection activeCell="I245" sqref="I245"/>
    </sheetView>
  </sheetViews>
  <sheetFormatPr baseColWidth="10" defaultRowHeight="12.75" x14ac:dyDescent="0.2"/>
  <cols>
    <col min="1" max="1" width="8.5703125" style="1" customWidth="1"/>
    <col min="2" max="2" width="11.85546875" style="1" bestFit="1" customWidth="1"/>
    <col min="3" max="3" width="17.28515625" style="8" customWidth="1"/>
    <col min="4" max="4" width="29" style="1" customWidth="1"/>
    <col min="5" max="5" width="16.7109375" style="1" customWidth="1"/>
    <col min="6" max="6" width="21.7109375" style="1" customWidth="1"/>
    <col min="7" max="7" width="28.5703125" style="1" bestFit="1" customWidth="1"/>
    <col min="8" max="8" width="10.42578125" style="1" bestFit="1" customWidth="1"/>
    <col min="9" max="9" width="8.85546875" style="1" bestFit="1" customWidth="1"/>
    <col min="10" max="10" width="6.85546875" style="1" customWidth="1"/>
    <col min="11" max="11" width="11.28515625" style="1" customWidth="1"/>
    <col min="12" max="12" width="23.42578125" style="1" customWidth="1"/>
    <col min="13" max="13" width="15.85546875" style="1" customWidth="1"/>
    <col min="14" max="14" width="11.85546875" style="1" bestFit="1" customWidth="1"/>
    <col min="15" max="256" width="11.42578125" style="1"/>
    <col min="257" max="257" width="20.28515625" style="1" customWidth="1"/>
    <col min="258" max="258" width="11.85546875" style="1" bestFit="1" customWidth="1"/>
    <col min="259" max="259" width="25.5703125" style="1" bestFit="1" customWidth="1"/>
    <col min="260" max="260" width="29" style="1" customWidth="1"/>
    <col min="261" max="261" width="16.7109375" style="1" customWidth="1"/>
    <col min="262" max="262" width="21.7109375" style="1" customWidth="1"/>
    <col min="263" max="263" width="11.7109375" style="1" customWidth="1"/>
    <col min="264" max="264" width="10.42578125" style="1" bestFit="1" customWidth="1"/>
    <col min="265" max="265" width="8.85546875" style="1" bestFit="1" customWidth="1"/>
    <col min="266" max="266" width="6.85546875" style="1" customWidth="1"/>
    <col min="267" max="267" width="11.28515625" style="1" customWidth="1"/>
    <col min="268" max="268" width="23.42578125" style="1" customWidth="1"/>
    <col min="269" max="269" width="15.85546875" style="1" customWidth="1"/>
    <col min="270" max="270" width="11.85546875" style="1" bestFit="1" customWidth="1"/>
    <col min="271" max="512" width="11.42578125" style="1"/>
    <col min="513" max="513" width="20.28515625" style="1" customWidth="1"/>
    <col min="514" max="514" width="11.85546875" style="1" bestFit="1" customWidth="1"/>
    <col min="515" max="515" width="25.5703125" style="1" bestFit="1" customWidth="1"/>
    <col min="516" max="516" width="29" style="1" customWidth="1"/>
    <col min="517" max="517" width="16.7109375" style="1" customWidth="1"/>
    <col min="518" max="518" width="21.7109375" style="1" customWidth="1"/>
    <col min="519" max="519" width="11.7109375" style="1" customWidth="1"/>
    <col min="520" max="520" width="10.42578125" style="1" bestFit="1" customWidth="1"/>
    <col min="521" max="521" width="8.85546875" style="1" bestFit="1" customWidth="1"/>
    <col min="522" max="522" width="6.85546875" style="1" customWidth="1"/>
    <col min="523" max="523" width="11.28515625" style="1" customWidth="1"/>
    <col min="524" max="524" width="23.42578125" style="1" customWidth="1"/>
    <col min="525" max="525" width="15.85546875" style="1" customWidth="1"/>
    <col min="526" max="526" width="11.85546875" style="1" bestFit="1" customWidth="1"/>
    <col min="527" max="768" width="11.42578125" style="1"/>
    <col min="769" max="769" width="20.28515625" style="1" customWidth="1"/>
    <col min="770" max="770" width="11.85546875" style="1" bestFit="1" customWidth="1"/>
    <col min="771" max="771" width="25.5703125" style="1" bestFit="1" customWidth="1"/>
    <col min="772" max="772" width="29" style="1" customWidth="1"/>
    <col min="773" max="773" width="16.7109375" style="1" customWidth="1"/>
    <col min="774" max="774" width="21.7109375" style="1" customWidth="1"/>
    <col min="775" max="775" width="11.7109375" style="1" customWidth="1"/>
    <col min="776" max="776" width="10.42578125" style="1" bestFit="1" customWidth="1"/>
    <col min="777" max="777" width="8.85546875" style="1" bestFit="1" customWidth="1"/>
    <col min="778" max="778" width="6.85546875" style="1" customWidth="1"/>
    <col min="779" max="779" width="11.28515625" style="1" customWidth="1"/>
    <col min="780" max="780" width="23.42578125" style="1" customWidth="1"/>
    <col min="781" max="781" width="15.85546875" style="1" customWidth="1"/>
    <col min="782" max="782" width="11.85546875" style="1" bestFit="1" customWidth="1"/>
    <col min="783" max="1024" width="11.42578125" style="1"/>
    <col min="1025" max="1025" width="20.28515625" style="1" customWidth="1"/>
    <col min="1026" max="1026" width="11.85546875" style="1" bestFit="1" customWidth="1"/>
    <col min="1027" max="1027" width="25.5703125" style="1" bestFit="1" customWidth="1"/>
    <col min="1028" max="1028" width="29" style="1" customWidth="1"/>
    <col min="1029" max="1029" width="16.7109375" style="1" customWidth="1"/>
    <col min="1030" max="1030" width="21.7109375" style="1" customWidth="1"/>
    <col min="1031" max="1031" width="11.7109375" style="1" customWidth="1"/>
    <col min="1032" max="1032" width="10.42578125" style="1" bestFit="1" customWidth="1"/>
    <col min="1033" max="1033" width="8.85546875" style="1" bestFit="1" customWidth="1"/>
    <col min="1034" max="1034" width="6.85546875" style="1" customWidth="1"/>
    <col min="1035" max="1035" width="11.28515625" style="1" customWidth="1"/>
    <col min="1036" max="1036" width="23.42578125" style="1" customWidth="1"/>
    <col min="1037" max="1037" width="15.85546875" style="1" customWidth="1"/>
    <col min="1038" max="1038" width="11.85546875" style="1" bestFit="1" customWidth="1"/>
    <col min="1039" max="1280" width="11.42578125" style="1"/>
    <col min="1281" max="1281" width="20.28515625" style="1" customWidth="1"/>
    <col min="1282" max="1282" width="11.85546875" style="1" bestFit="1" customWidth="1"/>
    <col min="1283" max="1283" width="25.5703125" style="1" bestFit="1" customWidth="1"/>
    <col min="1284" max="1284" width="29" style="1" customWidth="1"/>
    <col min="1285" max="1285" width="16.7109375" style="1" customWidth="1"/>
    <col min="1286" max="1286" width="21.7109375" style="1" customWidth="1"/>
    <col min="1287" max="1287" width="11.7109375" style="1" customWidth="1"/>
    <col min="1288" max="1288" width="10.42578125" style="1" bestFit="1" customWidth="1"/>
    <col min="1289" max="1289" width="8.85546875" style="1" bestFit="1" customWidth="1"/>
    <col min="1290" max="1290" width="6.85546875" style="1" customWidth="1"/>
    <col min="1291" max="1291" width="11.28515625" style="1" customWidth="1"/>
    <col min="1292" max="1292" width="23.42578125" style="1" customWidth="1"/>
    <col min="1293" max="1293" width="15.85546875" style="1" customWidth="1"/>
    <col min="1294" max="1294" width="11.85546875" style="1" bestFit="1" customWidth="1"/>
    <col min="1295" max="1536" width="11.42578125" style="1"/>
    <col min="1537" max="1537" width="20.28515625" style="1" customWidth="1"/>
    <col min="1538" max="1538" width="11.85546875" style="1" bestFit="1" customWidth="1"/>
    <col min="1539" max="1539" width="25.5703125" style="1" bestFit="1" customWidth="1"/>
    <col min="1540" max="1540" width="29" style="1" customWidth="1"/>
    <col min="1541" max="1541" width="16.7109375" style="1" customWidth="1"/>
    <col min="1542" max="1542" width="21.7109375" style="1" customWidth="1"/>
    <col min="1543" max="1543" width="11.7109375" style="1" customWidth="1"/>
    <col min="1544" max="1544" width="10.42578125" style="1" bestFit="1" customWidth="1"/>
    <col min="1545" max="1545" width="8.85546875" style="1" bestFit="1" customWidth="1"/>
    <col min="1546" max="1546" width="6.85546875" style="1" customWidth="1"/>
    <col min="1547" max="1547" width="11.28515625" style="1" customWidth="1"/>
    <col min="1548" max="1548" width="23.42578125" style="1" customWidth="1"/>
    <col min="1549" max="1549" width="15.85546875" style="1" customWidth="1"/>
    <col min="1550" max="1550" width="11.85546875" style="1" bestFit="1" customWidth="1"/>
    <col min="1551" max="1792" width="11.42578125" style="1"/>
    <col min="1793" max="1793" width="20.28515625" style="1" customWidth="1"/>
    <col min="1794" max="1794" width="11.85546875" style="1" bestFit="1" customWidth="1"/>
    <col min="1795" max="1795" width="25.5703125" style="1" bestFit="1" customWidth="1"/>
    <col min="1796" max="1796" width="29" style="1" customWidth="1"/>
    <col min="1797" max="1797" width="16.7109375" style="1" customWidth="1"/>
    <col min="1798" max="1798" width="21.7109375" style="1" customWidth="1"/>
    <col min="1799" max="1799" width="11.7109375" style="1" customWidth="1"/>
    <col min="1800" max="1800" width="10.42578125" style="1" bestFit="1" customWidth="1"/>
    <col min="1801" max="1801" width="8.85546875" style="1" bestFit="1" customWidth="1"/>
    <col min="1802" max="1802" width="6.85546875" style="1" customWidth="1"/>
    <col min="1803" max="1803" width="11.28515625" style="1" customWidth="1"/>
    <col min="1804" max="1804" width="23.42578125" style="1" customWidth="1"/>
    <col min="1805" max="1805" width="15.85546875" style="1" customWidth="1"/>
    <col min="1806" max="1806" width="11.85546875" style="1" bestFit="1" customWidth="1"/>
    <col min="1807" max="2048" width="11.42578125" style="1"/>
    <col min="2049" max="2049" width="20.28515625" style="1" customWidth="1"/>
    <col min="2050" max="2050" width="11.85546875" style="1" bestFit="1" customWidth="1"/>
    <col min="2051" max="2051" width="25.5703125" style="1" bestFit="1" customWidth="1"/>
    <col min="2052" max="2052" width="29" style="1" customWidth="1"/>
    <col min="2053" max="2053" width="16.7109375" style="1" customWidth="1"/>
    <col min="2054" max="2054" width="21.7109375" style="1" customWidth="1"/>
    <col min="2055" max="2055" width="11.7109375" style="1" customWidth="1"/>
    <col min="2056" max="2056" width="10.42578125" style="1" bestFit="1" customWidth="1"/>
    <col min="2057" max="2057" width="8.85546875" style="1" bestFit="1" customWidth="1"/>
    <col min="2058" max="2058" width="6.85546875" style="1" customWidth="1"/>
    <col min="2059" max="2059" width="11.28515625" style="1" customWidth="1"/>
    <col min="2060" max="2060" width="23.42578125" style="1" customWidth="1"/>
    <col min="2061" max="2061" width="15.85546875" style="1" customWidth="1"/>
    <col min="2062" max="2062" width="11.85546875" style="1" bestFit="1" customWidth="1"/>
    <col min="2063" max="2304" width="11.42578125" style="1"/>
    <col min="2305" max="2305" width="20.28515625" style="1" customWidth="1"/>
    <col min="2306" max="2306" width="11.85546875" style="1" bestFit="1" customWidth="1"/>
    <col min="2307" max="2307" width="25.5703125" style="1" bestFit="1" customWidth="1"/>
    <col min="2308" max="2308" width="29" style="1" customWidth="1"/>
    <col min="2309" max="2309" width="16.7109375" style="1" customWidth="1"/>
    <col min="2310" max="2310" width="21.7109375" style="1" customWidth="1"/>
    <col min="2311" max="2311" width="11.7109375" style="1" customWidth="1"/>
    <col min="2312" max="2312" width="10.42578125" style="1" bestFit="1" customWidth="1"/>
    <col min="2313" max="2313" width="8.85546875" style="1" bestFit="1" customWidth="1"/>
    <col min="2314" max="2314" width="6.85546875" style="1" customWidth="1"/>
    <col min="2315" max="2315" width="11.28515625" style="1" customWidth="1"/>
    <col min="2316" max="2316" width="23.42578125" style="1" customWidth="1"/>
    <col min="2317" max="2317" width="15.85546875" style="1" customWidth="1"/>
    <col min="2318" max="2318" width="11.85546875" style="1" bestFit="1" customWidth="1"/>
    <col min="2319" max="2560" width="11.42578125" style="1"/>
    <col min="2561" max="2561" width="20.28515625" style="1" customWidth="1"/>
    <col min="2562" max="2562" width="11.85546875" style="1" bestFit="1" customWidth="1"/>
    <col min="2563" max="2563" width="25.5703125" style="1" bestFit="1" customWidth="1"/>
    <col min="2564" max="2564" width="29" style="1" customWidth="1"/>
    <col min="2565" max="2565" width="16.7109375" style="1" customWidth="1"/>
    <col min="2566" max="2566" width="21.7109375" style="1" customWidth="1"/>
    <col min="2567" max="2567" width="11.7109375" style="1" customWidth="1"/>
    <col min="2568" max="2568" width="10.42578125" style="1" bestFit="1" customWidth="1"/>
    <col min="2569" max="2569" width="8.85546875" style="1" bestFit="1" customWidth="1"/>
    <col min="2570" max="2570" width="6.85546875" style="1" customWidth="1"/>
    <col min="2571" max="2571" width="11.28515625" style="1" customWidth="1"/>
    <col min="2572" max="2572" width="23.42578125" style="1" customWidth="1"/>
    <col min="2573" max="2573" width="15.85546875" style="1" customWidth="1"/>
    <col min="2574" max="2574" width="11.85546875" style="1" bestFit="1" customWidth="1"/>
    <col min="2575" max="2816" width="11.42578125" style="1"/>
    <col min="2817" max="2817" width="20.28515625" style="1" customWidth="1"/>
    <col min="2818" max="2818" width="11.85546875" style="1" bestFit="1" customWidth="1"/>
    <col min="2819" max="2819" width="25.5703125" style="1" bestFit="1" customWidth="1"/>
    <col min="2820" max="2820" width="29" style="1" customWidth="1"/>
    <col min="2821" max="2821" width="16.7109375" style="1" customWidth="1"/>
    <col min="2822" max="2822" width="21.7109375" style="1" customWidth="1"/>
    <col min="2823" max="2823" width="11.7109375" style="1" customWidth="1"/>
    <col min="2824" max="2824" width="10.42578125" style="1" bestFit="1" customWidth="1"/>
    <col min="2825" max="2825" width="8.85546875" style="1" bestFit="1" customWidth="1"/>
    <col min="2826" max="2826" width="6.85546875" style="1" customWidth="1"/>
    <col min="2827" max="2827" width="11.28515625" style="1" customWidth="1"/>
    <col min="2828" max="2828" width="23.42578125" style="1" customWidth="1"/>
    <col min="2829" max="2829" width="15.85546875" style="1" customWidth="1"/>
    <col min="2830" max="2830" width="11.85546875" style="1" bestFit="1" customWidth="1"/>
    <col min="2831" max="3072" width="11.42578125" style="1"/>
    <col min="3073" max="3073" width="20.28515625" style="1" customWidth="1"/>
    <col min="3074" max="3074" width="11.85546875" style="1" bestFit="1" customWidth="1"/>
    <col min="3075" max="3075" width="25.5703125" style="1" bestFit="1" customWidth="1"/>
    <col min="3076" max="3076" width="29" style="1" customWidth="1"/>
    <col min="3077" max="3077" width="16.7109375" style="1" customWidth="1"/>
    <col min="3078" max="3078" width="21.7109375" style="1" customWidth="1"/>
    <col min="3079" max="3079" width="11.7109375" style="1" customWidth="1"/>
    <col min="3080" max="3080" width="10.42578125" style="1" bestFit="1" customWidth="1"/>
    <col min="3081" max="3081" width="8.85546875" style="1" bestFit="1" customWidth="1"/>
    <col min="3082" max="3082" width="6.85546875" style="1" customWidth="1"/>
    <col min="3083" max="3083" width="11.28515625" style="1" customWidth="1"/>
    <col min="3084" max="3084" width="23.42578125" style="1" customWidth="1"/>
    <col min="3085" max="3085" width="15.85546875" style="1" customWidth="1"/>
    <col min="3086" max="3086" width="11.85546875" style="1" bestFit="1" customWidth="1"/>
    <col min="3087" max="3328" width="11.42578125" style="1"/>
    <col min="3329" max="3329" width="20.28515625" style="1" customWidth="1"/>
    <col min="3330" max="3330" width="11.85546875" style="1" bestFit="1" customWidth="1"/>
    <col min="3331" max="3331" width="25.5703125" style="1" bestFit="1" customWidth="1"/>
    <col min="3332" max="3332" width="29" style="1" customWidth="1"/>
    <col min="3333" max="3333" width="16.7109375" style="1" customWidth="1"/>
    <col min="3334" max="3334" width="21.7109375" style="1" customWidth="1"/>
    <col min="3335" max="3335" width="11.7109375" style="1" customWidth="1"/>
    <col min="3336" max="3336" width="10.42578125" style="1" bestFit="1" customWidth="1"/>
    <col min="3337" max="3337" width="8.85546875" style="1" bestFit="1" customWidth="1"/>
    <col min="3338" max="3338" width="6.85546875" style="1" customWidth="1"/>
    <col min="3339" max="3339" width="11.28515625" style="1" customWidth="1"/>
    <col min="3340" max="3340" width="23.42578125" style="1" customWidth="1"/>
    <col min="3341" max="3341" width="15.85546875" style="1" customWidth="1"/>
    <col min="3342" max="3342" width="11.85546875" style="1" bestFit="1" customWidth="1"/>
    <col min="3343" max="3584" width="11.42578125" style="1"/>
    <col min="3585" max="3585" width="20.28515625" style="1" customWidth="1"/>
    <col min="3586" max="3586" width="11.85546875" style="1" bestFit="1" customWidth="1"/>
    <col min="3587" max="3587" width="25.5703125" style="1" bestFit="1" customWidth="1"/>
    <col min="3588" max="3588" width="29" style="1" customWidth="1"/>
    <col min="3589" max="3589" width="16.7109375" style="1" customWidth="1"/>
    <col min="3590" max="3590" width="21.7109375" style="1" customWidth="1"/>
    <col min="3591" max="3591" width="11.7109375" style="1" customWidth="1"/>
    <col min="3592" max="3592" width="10.42578125" style="1" bestFit="1" customWidth="1"/>
    <col min="3593" max="3593" width="8.85546875" style="1" bestFit="1" customWidth="1"/>
    <col min="3594" max="3594" width="6.85546875" style="1" customWidth="1"/>
    <col min="3595" max="3595" width="11.28515625" style="1" customWidth="1"/>
    <col min="3596" max="3596" width="23.42578125" style="1" customWidth="1"/>
    <col min="3597" max="3597" width="15.85546875" style="1" customWidth="1"/>
    <col min="3598" max="3598" width="11.85546875" style="1" bestFit="1" customWidth="1"/>
    <col min="3599" max="3840" width="11.42578125" style="1"/>
    <col min="3841" max="3841" width="20.28515625" style="1" customWidth="1"/>
    <col min="3842" max="3842" width="11.85546875" style="1" bestFit="1" customWidth="1"/>
    <col min="3843" max="3843" width="25.5703125" style="1" bestFit="1" customWidth="1"/>
    <col min="3844" max="3844" width="29" style="1" customWidth="1"/>
    <col min="3845" max="3845" width="16.7109375" style="1" customWidth="1"/>
    <col min="3846" max="3846" width="21.7109375" style="1" customWidth="1"/>
    <col min="3847" max="3847" width="11.7109375" style="1" customWidth="1"/>
    <col min="3848" max="3848" width="10.42578125" style="1" bestFit="1" customWidth="1"/>
    <col min="3849" max="3849" width="8.85546875" style="1" bestFit="1" customWidth="1"/>
    <col min="3850" max="3850" width="6.85546875" style="1" customWidth="1"/>
    <col min="3851" max="3851" width="11.28515625" style="1" customWidth="1"/>
    <col min="3852" max="3852" width="23.42578125" style="1" customWidth="1"/>
    <col min="3853" max="3853" width="15.85546875" style="1" customWidth="1"/>
    <col min="3854" max="3854" width="11.85546875" style="1" bestFit="1" customWidth="1"/>
    <col min="3855" max="4096" width="11.42578125" style="1"/>
    <col min="4097" max="4097" width="20.28515625" style="1" customWidth="1"/>
    <col min="4098" max="4098" width="11.85546875" style="1" bestFit="1" customWidth="1"/>
    <col min="4099" max="4099" width="25.5703125" style="1" bestFit="1" customWidth="1"/>
    <col min="4100" max="4100" width="29" style="1" customWidth="1"/>
    <col min="4101" max="4101" width="16.7109375" style="1" customWidth="1"/>
    <col min="4102" max="4102" width="21.7109375" style="1" customWidth="1"/>
    <col min="4103" max="4103" width="11.7109375" style="1" customWidth="1"/>
    <col min="4104" max="4104" width="10.42578125" style="1" bestFit="1" customWidth="1"/>
    <col min="4105" max="4105" width="8.85546875" style="1" bestFit="1" customWidth="1"/>
    <col min="4106" max="4106" width="6.85546875" style="1" customWidth="1"/>
    <col min="4107" max="4107" width="11.28515625" style="1" customWidth="1"/>
    <col min="4108" max="4108" width="23.42578125" style="1" customWidth="1"/>
    <col min="4109" max="4109" width="15.85546875" style="1" customWidth="1"/>
    <col min="4110" max="4110" width="11.85546875" style="1" bestFit="1" customWidth="1"/>
    <col min="4111" max="4352" width="11.42578125" style="1"/>
    <col min="4353" max="4353" width="20.28515625" style="1" customWidth="1"/>
    <col min="4354" max="4354" width="11.85546875" style="1" bestFit="1" customWidth="1"/>
    <col min="4355" max="4355" width="25.5703125" style="1" bestFit="1" customWidth="1"/>
    <col min="4356" max="4356" width="29" style="1" customWidth="1"/>
    <col min="4357" max="4357" width="16.7109375" style="1" customWidth="1"/>
    <col min="4358" max="4358" width="21.7109375" style="1" customWidth="1"/>
    <col min="4359" max="4359" width="11.7109375" style="1" customWidth="1"/>
    <col min="4360" max="4360" width="10.42578125" style="1" bestFit="1" customWidth="1"/>
    <col min="4361" max="4361" width="8.85546875" style="1" bestFit="1" customWidth="1"/>
    <col min="4362" max="4362" width="6.85546875" style="1" customWidth="1"/>
    <col min="4363" max="4363" width="11.28515625" style="1" customWidth="1"/>
    <col min="4364" max="4364" width="23.42578125" style="1" customWidth="1"/>
    <col min="4365" max="4365" width="15.85546875" style="1" customWidth="1"/>
    <col min="4366" max="4366" width="11.85546875" style="1" bestFit="1" customWidth="1"/>
    <col min="4367" max="4608" width="11.42578125" style="1"/>
    <col min="4609" max="4609" width="20.28515625" style="1" customWidth="1"/>
    <col min="4610" max="4610" width="11.85546875" style="1" bestFit="1" customWidth="1"/>
    <col min="4611" max="4611" width="25.5703125" style="1" bestFit="1" customWidth="1"/>
    <col min="4612" max="4612" width="29" style="1" customWidth="1"/>
    <col min="4613" max="4613" width="16.7109375" style="1" customWidth="1"/>
    <col min="4614" max="4614" width="21.7109375" style="1" customWidth="1"/>
    <col min="4615" max="4615" width="11.7109375" style="1" customWidth="1"/>
    <col min="4616" max="4616" width="10.42578125" style="1" bestFit="1" customWidth="1"/>
    <col min="4617" max="4617" width="8.85546875" style="1" bestFit="1" customWidth="1"/>
    <col min="4618" max="4618" width="6.85546875" style="1" customWidth="1"/>
    <col min="4619" max="4619" width="11.28515625" style="1" customWidth="1"/>
    <col min="4620" max="4620" width="23.42578125" style="1" customWidth="1"/>
    <col min="4621" max="4621" width="15.85546875" style="1" customWidth="1"/>
    <col min="4622" max="4622" width="11.85546875" style="1" bestFit="1" customWidth="1"/>
    <col min="4623" max="4864" width="11.42578125" style="1"/>
    <col min="4865" max="4865" width="20.28515625" style="1" customWidth="1"/>
    <col min="4866" max="4866" width="11.85546875" style="1" bestFit="1" customWidth="1"/>
    <col min="4867" max="4867" width="25.5703125" style="1" bestFit="1" customWidth="1"/>
    <col min="4868" max="4868" width="29" style="1" customWidth="1"/>
    <col min="4869" max="4869" width="16.7109375" style="1" customWidth="1"/>
    <col min="4870" max="4870" width="21.7109375" style="1" customWidth="1"/>
    <col min="4871" max="4871" width="11.7109375" style="1" customWidth="1"/>
    <col min="4872" max="4872" width="10.42578125" style="1" bestFit="1" customWidth="1"/>
    <col min="4873" max="4873" width="8.85546875" style="1" bestFit="1" customWidth="1"/>
    <col min="4874" max="4874" width="6.85546875" style="1" customWidth="1"/>
    <col min="4875" max="4875" width="11.28515625" style="1" customWidth="1"/>
    <col min="4876" max="4876" width="23.42578125" style="1" customWidth="1"/>
    <col min="4877" max="4877" width="15.85546875" style="1" customWidth="1"/>
    <col min="4878" max="4878" width="11.85546875" style="1" bestFit="1" customWidth="1"/>
    <col min="4879" max="5120" width="11.42578125" style="1"/>
    <col min="5121" max="5121" width="20.28515625" style="1" customWidth="1"/>
    <col min="5122" max="5122" width="11.85546875" style="1" bestFit="1" customWidth="1"/>
    <col min="5123" max="5123" width="25.5703125" style="1" bestFit="1" customWidth="1"/>
    <col min="5124" max="5124" width="29" style="1" customWidth="1"/>
    <col min="5125" max="5125" width="16.7109375" style="1" customWidth="1"/>
    <col min="5126" max="5126" width="21.7109375" style="1" customWidth="1"/>
    <col min="5127" max="5127" width="11.7109375" style="1" customWidth="1"/>
    <col min="5128" max="5128" width="10.42578125" style="1" bestFit="1" customWidth="1"/>
    <col min="5129" max="5129" width="8.85546875" style="1" bestFit="1" customWidth="1"/>
    <col min="5130" max="5130" width="6.85546875" style="1" customWidth="1"/>
    <col min="5131" max="5131" width="11.28515625" style="1" customWidth="1"/>
    <col min="5132" max="5132" width="23.42578125" style="1" customWidth="1"/>
    <col min="5133" max="5133" width="15.85546875" style="1" customWidth="1"/>
    <col min="5134" max="5134" width="11.85546875" style="1" bestFit="1" customWidth="1"/>
    <col min="5135" max="5376" width="11.42578125" style="1"/>
    <col min="5377" max="5377" width="20.28515625" style="1" customWidth="1"/>
    <col min="5378" max="5378" width="11.85546875" style="1" bestFit="1" customWidth="1"/>
    <col min="5379" max="5379" width="25.5703125" style="1" bestFit="1" customWidth="1"/>
    <col min="5380" max="5380" width="29" style="1" customWidth="1"/>
    <col min="5381" max="5381" width="16.7109375" style="1" customWidth="1"/>
    <col min="5382" max="5382" width="21.7109375" style="1" customWidth="1"/>
    <col min="5383" max="5383" width="11.7109375" style="1" customWidth="1"/>
    <col min="5384" max="5384" width="10.42578125" style="1" bestFit="1" customWidth="1"/>
    <col min="5385" max="5385" width="8.85546875" style="1" bestFit="1" customWidth="1"/>
    <col min="5386" max="5386" width="6.85546875" style="1" customWidth="1"/>
    <col min="5387" max="5387" width="11.28515625" style="1" customWidth="1"/>
    <col min="5388" max="5388" width="23.42578125" style="1" customWidth="1"/>
    <col min="5389" max="5389" width="15.85546875" style="1" customWidth="1"/>
    <col min="5390" max="5390" width="11.85546875" style="1" bestFit="1" customWidth="1"/>
    <col min="5391" max="5632" width="11.42578125" style="1"/>
    <col min="5633" max="5633" width="20.28515625" style="1" customWidth="1"/>
    <col min="5634" max="5634" width="11.85546875" style="1" bestFit="1" customWidth="1"/>
    <col min="5635" max="5635" width="25.5703125" style="1" bestFit="1" customWidth="1"/>
    <col min="5636" max="5636" width="29" style="1" customWidth="1"/>
    <col min="5637" max="5637" width="16.7109375" style="1" customWidth="1"/>
    <col min="5638" max="5638" width="21.7109375" style="1" customWidth="1"/>
    <col min="5639" max="5639" width="11.7109375" style="1" customWidth="1"/>
    <col min="5640" max="5640" width="10.42578125" style="1" bestFit="1" customWidth="1"/>
    <col min="5641" max="5641" width="8.85546875" style="1" bestFit="1" customWidth="1"/>
    <col min="5642" max="5642" width="6.85546875" style="1" customWidth="1"/>
    <col min="5643" max="5643" width="11.28515625" style="1" customWidth="1"/>
    <col min="5644" max="5644" width="23.42578125" style="1" customWidth="1"/>
    <col min="5645" max="5645" width="15.85546875" style="1" customWidth="1"/>
    <col min="5646" max="5646" width="11.85546875" style="1" bestFit="1" customWidth="1"/>
    <col min="5647" max="5888" width="11.42578125" style="1"/>
    <col min="5889" max="5889" width="20.28515625" style="1" customWidth="1"/>
    <col min="5890" max="5890" width="11.85546875" style="1" bestFit="1" customWidth="1"/>
    <col min="5891" max="5891" width="25.5703125" style="1" bestFit="1" customWidth="1"/>
    <col min="5892" max="5892" width="29" style="1" customWidth="1"/>
    <col min="5893" max="5893" width="16.7109375" style="1" customWidth="1"/>
    <col min="5894" max="5894" width="21.7109375" style="1" customWidth="1"/>
    <col min="5895" max="5895" width="11.7109375" style="1" customWidth="1"/>
    <col min="5896" max="5896" width="10.42578125" style="1" bestFit="1" customWidth="1"/>
    <col min="5897" max="5897" width="8.85546875" style="1" bestFit="1" customWidth="1"/>
    <col min="5898" max="5898" width="6.85546875" style="1" customWidth="1"/>
    <col min="5899" max="5899" width="11.28515625" style="1" customWidth="1"/>
    <col min="5900" max="5900" width="23.42578125" style="1" customWidth="1"/>
    <col min="5901" max="5901" width="15.85546875" style="1" customWidth="1"/>
    <col min="5902" max="5902" width="11.85546875" style="1" bestFit="1" customWidth="1"/>
    <col min="5903" max="6144" width="11.42578125" style="1"/>
    <col min="6145" max="6145" width="20.28515625" style="1" customWidth="1"/>
    <col min="6146" max="6146" width="11.85546875" style="1" bestFit="1" customWidth="1"/>
    <col min="6147" max="6147" width="25.5703125" style="1" bestFit="1" customWidth="1"/>
    <col min="6148" max="6148" width="29" style="1" customWidth="1"/>
    <col min="6149" max="6149" width="16.7109375" style="1" customWidth="1"/>
    <col min="6150" max="6150" width="21.7109375" style="1" customWidth="1"/>
    <col min="6151" max="6151" width="11.7109375" style="1" customWidth="1"/>
    <col min="6152" max="6152" width="10.42578125" style="1" bestFit="1" customWidth="1"/>
    <col min="6153" max="6153" width="8.85546875" style="1" bestFit="1" customWidth="1"/>
    <col min="6154" max="6154" width="6.85546875" style="1" customWidth="1"/>
    <col min="6155" max="6155" width="11.28515625" style="1" customWidth="1"/>
    <col min="6156" max="6156" width="23.42578125" style="1" customWidth="1"/>
    <col min="6157" max="6157" width="15.85546875" style="1" customWidth="1"/>
    <col min="6158" max="6158" width="11.85546875" style="1" bestFit="1" customWidth="1"/>
    <col min="6159" max="6400" width="11.42578125" style="1"/>
    <col min="6401" max="6401" width="20.28515625" style="1" customWidth="1"/>
    <col min="6402" max="6402" width="11.85546875" style="1" bestFit="1" customWidth="1"/>
    <col min="6403" max="6403" width="25.5703125" style="1" bestFit="1" customWidth="1"/>
    <col min="6404" max="6404" width="29" style="1" customWidth="1"/>
    <col min="6405" max="6405" width="16.7109375" style="1" customWidth="1"/>
    <col min="6406" max="6406" width="21.7109375" style="1" customWidth="1"/>
    <col min="6407" max="6407" width="11.7109375" style="1" customWidth="1"/>
    <col min="6408" max="6408" width="10.42578125" style="1" bestFit="1" customWidth="1"/>
    <col min="6409" max="6409" width="8.85546875" style="1" bestFit="1" customWidth="1"/>
    <col min="6410" max="6410" width="6.85546875" style="1" customWidth="1"/>
    <col min="6411" max="6411" width="11.28515625" style="1" customWidth="1"/>
    <col min="6412" max="6412" width="23.42578125" style="1" customWidth="1"/>
    <col min="6413" max="6413" width="15.85546875" style="1" customWidth="1"/>
    <col min="6414" max="6414" width="11.85546875" style="1" bestFit="1" customWidth="1"/>
    <col min="6415" max="6656" width="11.42578125" style="1"/>
    <col min="6657" max="6657" width="20.28515625" style="1" customWidth="1"/>
    <col min="6658" max="6658" width="11.85546875" style="1" bestFit="1" customWidth="1"/>
    <col min="6659" max="6659" width="25.5703125" style="1" bestFit="1" customWidth="1"/>
    <col min="6660" max="6660" width="29" style="1" customWidth="1"/>
    <col min="6661" max="6661" width="16.7109375" style="1" customWidth="1"/>
    <col min="6662" max="6662" width="21.7109375" style="1" customWidth="1"/>
    <col min="6663" max="6663" width="11.7109375" style="1" customWidth="1"/>
    <col min="6664" max="6664" width="10.42578125" style="1" bestFit="1" customWidth="1"/>
    <col min="6665" max="6665" width="8.85546875" style="1" bestFit="1" customWidth="1"/>
    <col min="6666" max="6666" width="6.85546875" style="1" customWidth="1"/>
    <col min="6667" max="6667" width="11.28515625" style="1" customWidth="1"/>
    <col min="6668" max="6668" width="23.42578125" style="1" customWidth="1"/>
    <col min="6669" max="6669" width="15.85546875" style="1" customWidth="1"/>
    <col min="6670" max="6670" width="11.85546875" style="1" bestFit="1" customWidth="1"/>
    <col min="6671" max="6912" width="11.42578125" style="1"/>
    <col min="6913" max="6913" width="20.28515625" style="1" customWidth="1"/>
    <col min="6914" max="6914" width="11.85546875" style="1" bestFit="1" customWidth="1"/>
    <col min="6915" max="6915" width="25.5703125" style="1" bestFit="1" customWidth="1"/>
    <col min="6916" max="6916" width="29" style="1" customWidth="1"/>
    <col min="6917" max="6917" width="16.7109375" style="1" customWidth="1"/>
    <col min="6918" max="6918" width="21.7109375" style="1" customWidth="1"/>
    <col min="6919" max="6919" width="11.7109375" style="1" customWidth="1"/>
    <col min="6920" max="6920" width="10.42578125" style="1" bestFit="1" customWidth="1"/>
    <col min="6921" max="6921" width="8.85546875" style="1" bestFit="1" customWidth="1"/>
    <col min="6922" max="6922" width="6.85546875" style="1" customWidth="1"/>
    <col min="6923" max="6923" width="11.28515625" style="1" customWidth="1"/>
    <col min="6924" max="6924" width="23.42578125" style="1" customWidth="1"/>
    <col min="6925" max="6925" width="15.85546875" style="1" customWidth="1"/>
    <col min="6926" max="6926" width="11.85546875" style="1" bestFit="1" customWidth="1"/>
    <col min="6927" max="7168" width="11.42578125" style="1"/>
    <col min="7169" max="7169" width="20.28515625" style="1" customWidth="1"/>
    <col min="7170" max="7170" width="11.85546875" style="1" bestFit="1" customWidth="1"/>
    <col min="7171" max="7171" width="25.5703125" style="1" bestFit="1" customWidth="1"/>
    <col min="7172" max="7172" width="29" style="1" customWidth="1"/>
    <col min="7173" max="7173" width="16.7109375" style="1" customWidth="1"/>
    <col min="7174" max="7174" width="21.7109375" style="1" customWidth="1"/>
    <col min="7175" max="7175" width="11.7109375" style="1" customWidth="1"/>
    <col min="7176" max="7176" width="10.42578125" style="1" bestFit="1" customWidth="1"/>
    <col min="7177" max="7177" width="8.85546875" style="1" bestFit="1" customWidth="1"/>
    <col min="7178" max="7178" width="6.85546875" style="1" customWidth="1"/>
    <col min="7179" max="7179" width="11.28515625" style="1" customWidth="1"/>
    <col min="7180" max="7180" width="23.42578125" style="1" customWidth="1"/>
    <col min="7181" max="7181" width="15.85546875" style="1" customWidth="1"/>
    <col min="7182" max="7182" width="11.85546875" style="1" bestFit="1" customWidth="1"/>
    <col min="7183" max="7424" width="11.42578125" style="1"/>
    <col min="7425" max="7425" width="20.28515625" style="1" customWidth="1"/>
    <col min="7426" max="7426" width="11.85546875" style="1" bestFit="1" customWidth="1"/>
    <col min="7427" max="7427" width="25.5703125" style="1" bestFit="1" customWidth="1"/>
    <col min="7428" max="7428" width="29" style="1" customWidth="1"/>
    <col min="7429" max="7429" width="16.7109375" style="1" customWidth="1"/>
    <col min="7430" max="7430" width="21.7109375" style="1" customWidth="1"/>
    <col min="7431" max="7431" width="11.7109375" style="1" customWidth="1"/>
    <col min="7432" max="7432" width="10.42578125" style="1" bestFit="1" customWidth="1"/>
    <col min="7433" max="7433" width="8.85546875" style="1" bestFit="1" customWidth="1"/>
    <col min="7434" max="7434" width="6.85546875" style="1" customWidth="1"/>
    <col min="7435" max="7435" width="11.28515625" style="1" customWidth="1"/>
    <col min="7436" max="7436" width="23.42578125" style="1" customWidth="1"/>
    <col min="7437" max="7437" width="15.85546875" style="1" customWidth="1"/>
    <col min="7438" max="7438" width="11.85546875" style="1" bestFit="1" customWidth="1"/>
    <col min="7439" max="7680" width="11.42578125" style="1"/>
    <col min="7681" max="7681" width="20.28515625" style="1" customWidth="1"/>
    <col min="7682" max="7682" width="11.85546875" style="1" bestFit="1" customWidth="1"/>
    <col min="7683" max="7683" width="25.5703125" style="1" bestFit="1" customWidth="1"/>
    <col min="7684" max="7684" width="29" style="1" customWidth="1"/>
    <col min="7685" max="7685" width="16.7109375" style="1" customWidth="1"/>
    <col min="7686" max="7686" width="21.7109375" style="1" customWidth="1"/>
    <col min="7687" max="7687" width="11.7109375" style="1" customWidth="1"/>
    <col min="7688" max="7688" width="10.42578125" style="1" bestFit="1" customWidth="1"/>
    <col min="7689" max="7689" width="8.85546875" style="1" bestFit="1" customWidth="1"/>
    <col min="7690" max="7690" width="6.85546875" style="1" customWidth="1"/>
    <col min="7691" max="7691" width="11.28515625" style="1" customWidth="1"/>
    <col min="7692" max="7692" width="23.42578125" style="1" customWidth="1"/>
    <col min="7693" max="7693" width="15.85546875" style="1" customWidth="1"/>
    <col min="7694" max="7694" width="11.85546875" style="1" bestFit="1" customWidth="1"/>
    <col min="7695" max="7936" width="11.42578125" style="1"/>
    <col min="7937" max="7937" width="20.28515625" style="1" customWidth="1"/>
    <col min="7938" max="7938" width="11.85546875" style="1" bestFit="1" customWidth="1"/>
    <col min="7939" max="7939" width="25.5703125" style="1" bestFit="1" customWidth="1"/>
    <col min="7940" max="7940" width="29" style="1" customWidth="1"/>
    <col min="7941" max="7941" width="16.7109375" style="1" customWidth="1"/>
    <col min="7942" max="7942" width="21.7109375" style="1" customWidth="1"/>
    <col min="7943" max="7943" width="11.7109375" style="1" customWidth="1"/>
    <col min="7944" max="7944" width="10.42578125" style="1" bestFit="1" customWidth="1"/>
    <col min="7945" max="7945" width="8.85546875" style="1" bestFit="1" customWidth="1"/>
    <col min="7946" max="7946" width="6.85546875" style="1" customWidth="1"/>
    <col min="7947" max="7947" width="11.28515625" style="1" customWidth="1"/>
    <col min="7948" max="7948" width="23.42578125" style="1" customWidth="1"/>
    <col min="7949" max="7949" width="15.85546875" style="1" customWidth="1"/>
    <col min="7950" max="7950" width="11.85546875" style="1" bestFit="1" customWidth="1"/>
    <col min="7951" max="8192" width="11.42578125" style="1"/>
    <col min="8193" max="8193" width="20.28515625" style="1" customWidth="1"/>
    <col min="8194" max="8194" width="11.85546875" style="1" bestFit="1" customWidth="1"/>
    <col min="8195" max="8195" width="25.5703125" style="1" bestFit="1" customWidth="1"/>
    <col min="8196" max="8196" width="29" style="1" customWidth="1"/>
    <col min="8197" max="8197" width="16.7109375" style="1" customWidth="1"/>
    <col min="8198" max="8198" width="21.7109375" style="1" customWidth="1"/>
    <col min="8199" max="8199" width="11.7109375" style="1" customWidth="1"/>
    <col min="8200" max="8200" width="10.42578125" style="1" bestFit="1" customWidth="1"/>
    <col min="8201" max="8201" width="8.85546875" style="1" bestFit="1" customWidth="1"/>
    <col min="8202" max="8202" width="6.85546875" style="1" customWidth="1"/>
    <col min="8203" max="8203" width="11.28515625" style="1" customWidth="1"/>
    <col min="8204" max="8204" width="23.42578125" style="1" customWidth="1"/>
    <col min="8205" max="8205" width="15.85546875" style="1" customWidth="1"/>
    <col min="8206" max="8206" width="11.85546875" style="1" bestFit="1" customWidth="1"/>
    <col min="8207" max="8448" width="11.42578125" style="1"/>
    <col min="8449" max="8449" width="20.28515625" style="1" customWidth="1"/>
    <col min="8450" max="8450" width="11.85546875" style="1" bestFit="1" customWidth="1"/>
    <col min="8451" max="8451" width="25.5703125" style="1" bestFit="1" customWidth="1"/>
    <col min="8452" max="8452" width="29" style="1" customWidth="1"/>
    <col min="8453" max="8453" width="16.7109375" style="1" customWidth="1"/>
    <col min="8454" max="8454" width="21.7109375" style="1" customWidth="1"/>
    <col min="8455" max="8455" width="11.7109375" style="1" customWidth="1"/>
    <col min="8456" max="8456" width="10.42578125" style="1" bestFit="1" customWidth="1"/>
    <col min="8457" max="8457" width="8.85546875" style="1" bestFit="1" customWidth="1"/>
    <col min="8458" max="8458" width="6.85546875" style="1" customWidth="1"/>
    <col min="8459" max="8459" width="11.28515625" style="1" customWidth="1"/>
    <col min="8460" max="8460" width="23.42578125" style="1" customWidth="1"/>
    <col min="8461" max="8461" width="15.85546875" style="1" customWidth="1"/>
    <col min="8462" max="8462" width="11.85546875" style="1" bestFit="1" customWidth="1"/>
    <col min="8463" max="8704" width="11.42578125" style="1"/>
    <col min="8705" max="8705" width="20.28515625" style="1" customWidth="1"/>
    <col min="8706" max="8706" width="11.85546875" style="1" bestFit="1" customWidth="1"/>
    <col min="8707" max="8707" width="25.5703125" style="1" bestFit="1" customWidth="1"/>
    <col min="8708" max="8708" width="29" style="1" customWidth="1"/>
    <col min="8709" max="8709" width="16.7109375" style="1" customWidth="1"/>
    <col min="8710" max="8710" width="21.7109375" style="1" customWidth="1"/>
    <col min="8711" max="8711" width="11.7109375" style="1" customWidth="1"/>
    <col min="8712" max="8712" width="10.42578125" style="1" bestFit="1" customWidth="1"/>
    <col min="8713" max="8713" width="8.85546875" style="1" bestFit="1" customWidth="1"/>
    <col min="8714" max="8714" width="6.85546875" style="1" customWidth="1"/>
    <col min="8715" max="8715" width="11.28515625" style="1" customWidth="1"/>
    <col min="8716" max="8716" width="23.42578125" style="1" customWidth="1"/>
    <col min="8717" max="8717" width="15.85546875" style="1" customWidth="1"/>
    <col min="8718" max="8718" width="11.85546875" style="1" bestFit="1" customWidth="1"/>
    <col min="8719" max="8960" width="11.42578125" style="1"/>
    <col min="8961" max="8961" width="20.28515625" style="1" customWidth="1"/>
    <col min="8962" max="8962" width="11.85546875" style="1" bestFit="1" customWidth="1"/>
    <col min="8963" max="8963" width="25.5703125" style="1" bestFit="1" customWidth="1"/>
    <col min="8964" max="8964" width="29" style="1" customWidth="1"/>
    <col min="8965" max="8965" width="16.7109375" style="1" customWidth="1"/>
    <col min="8966" max="8966" width="21.7109375" style="1" customWidth="1"/>
    <col min="8967" max="8967" width="11.7109375" style="1" customWidth="1"/>
    <col min="8968" max="8968" width="10.42578125" style="1" bestFit="1" customWidth="1"/>
    <col min="8969" max="8969" width="8.85546875" style="1" bestFit="1" customWidth="1"/>
    <col min="8970" max="8970" width="6.85546875" style="1" customWidth="1"/>
    <col min="8971" max="8971" width="11.28515625" style="1" customWidth="1"/>
    <col min="8972" max="8972" width="23.42578125" style="1" customWidth="1"/>
    <col min="8973" max="8973" width="15.85546875" style="1" customWidth="1"/>
    <col min="8974" max="8974" width="11.85546875" style="1" bestFit="1" customWidth="1"/>
    <col min="8975" max="9216" width="11.42578125" style="1"/>
    <col min="9217" max="9217" width="20.28515625" style="1" customWidth="1"/>
    <col min="9218" max="9218" width="11.85546875" style="1" bestFit="1" customWidth="1"/>
    <col min="9219" max="9219" width="25.5703125" style="1" bestFit="1" customWidth="1"/>
    <col min="9220" max="9220" width="29" style="1" customWidth="1"/>
    <col min="9221" max="9221" width="16.7109375" style="1" customWidth="1"/>
    <col min="9222" max="9222" width="21.7109375" style="1" customWidth="1"/>
    <col min="9223" max="9223" width="11.7109375" style="1" customWidth="1"/>
    <col min="9224" max="9224" width="10.42578125" style="1" bestFit="1" customWidth="1"/>
    <col min="9225" max="9225" width="8.85546875" style="1" bestFit="1" customWidth="1"/>
    <col min="9226" max="9226" width="6.85546875" style="1" customWidth="1"/>
    <col min="9227" max="9227" width="11.28515625" style="1" customWidth="1"/>
    <col min="9228" max="9228" width="23.42578125" style="1" customWidth="1"/>
    <col min="9229" max="9229" width="15.85546875" style="1" customWidth="1"/>
    <col min="9230" max="9230" width="11.85546875" style="1" bestFit="1" customWidth="1"/>
    <col min="9231" max="9472" width="11.42578125" style="1"/>
    <col min="9473" max="9473" width="20.28515625" style="1" customWidth="1"/>
    <col min="9474" max="9474" width="11.85546875" style="1" bestFit="1" customWidth="1"/>
    <col min="9475" max="9475" width="25.5703125" style="1" bestFit="1" customWidth="1"/>
    <col min="9476" max="9476" width="29" style="1" customWidth="1"/>
    <col min="9477" max="9477" width="16.7109375" style="1" customWidth="1"/>
    <col min="9478" max="9478" width="21.7109375" style="1" customWidth="1"/>
    <col min="9479" max="9479" width="11.7109375" style="1" customWidth="1"/>
    <col min="9480" max="9480" width="10.42578125" style="1" bestFit="1" customWidth="1"/>
    <col min="9481" max="9481" width="8.85546875" style="1" bestFit="1" customWidth="1"/>
    <col min="9482" max="9482" width="6.85546875" style="1" customWidth="1"/>
    <col min="9483" max="9483" width="11.28515625" style="1" customWidth="1"/>
    <col min="9484" max="9484" width="23.42578125" style="1" customWidth="1"/>
    <col min="9485" max="9485" width="15.85546875" style="1" customWidth="1"/>
    <col min="9486" max="9486" width="11.85546875" style="1" bestFit="1" customWidth="1"/>
    <col min="9487" max="9728" width="11.42578125" style="1"/>
    <col min="9729" max="9729" width="20.28515625" style="1" customWidth="1"/>
    <col min="9730" max="9730" width="11.85546875" style="1" bestFit="1" customWidth="1"/>
    <col min="9731" max="9731" width="25.5703125" style="1" bestFit="1" customWidth="1"/>
    <col min="9732" max="9732" width="29" style="1" customWidth="1"/>
    <col min="9733" max="9733" width="16.7109375" style="1" customWidth="1"/>
    <col min="9734" max="9734" width="21.7109375" style="1" customWidth="1"/>
    <col min="9735" max="9735" width="11.7109375" style="1" customWidth="1"/>
    <col min="9736" max="9736" width="10.42578125" style="1" bestFit="1" customWidth="1"/>
    <col min="9737" max="9737" width="8.85546875" style="1" bestFit="1" customWidth="1"/>
    <col min="9738" max="9738" width="6.85546875" style="1" customWidth="1"/>
    <col min="9739" max="9739" width="11.28515625" style="1" customWidth="1"/>
    <col min="9740" max="9740" width="23.42578125" style="1" customWidth="1"/>
    <col min="9741" max="9741" width="15.85546875" style="1" customWidth="1"/>
    <col min="9742" max="9742" width="11.85546875" style="1" bestFit="1" customWidth="1"/>
    <col min="9743" max="9984" width="11.42578125" style="1"/>
    <col min="9985" max="9985" width="20.28515625" style="1" customWidth="1"/>
    <col min="9986" max="9986" width="11.85546875" style="1" bestFit="1" customWidth="1"/>
    <col min="9987" max="9987" width="25.5703125" style="1" bestFit="1" customWidth="1"/>
    <col min="9988" max="9988" width="29" style="1" customWidth="1"/>
    <col min="9989" max="9989" width="16.7109375" style="1" customWidth="1"/>
    <col min="9990" max="9990" width="21.7109375" style="1" customWidth="1"/>
    <col min="9991" max="9991" width="11.7109375" style="1" customWidth="1"/>
    <col min="9992" max="9992" width="10.42578125" style="1" bestFit="1" customWidth="1"/>
    <col min="9993" max="9993" width="8.85546875" style="1" bestFit="1" customWidth="1"/>
    <col min="9994" max="9994" width="6.85546875" style="1" customWidth="1"/>
    <col min="9995" max="9995" width="11.28515625" style="1" customWidth="1"/>
    <col min="9996" max="9996" width="23.42578125" style="1" customWidth="1"/>
    <col min="9997" max="9997" width="15.85546875" style="1" customWidth="1"/>
    <col min="9998" max="9998" width="11.85546875" style="1" bestFit="1" customWidth="1"/>
    <col min="9999" max="10240" width="11.42578125" style="1"/>
    <col min="10241" max="10241" width="20.28515625" style="1" customWidth="1"/>
    <col min="10242" max="10242" width="11.85546875" style="1" bestFit="1" customWidth="1"/>
    <col min="10243" max="10243" width="25.5703125" style="1" bestFit="1" customWidth="1"/>
    <col min="10244" max="10244" width="29" style="1" customWidth="1"/>
    <col min="10245" max="10245" width="16.7109375" style="1" customWidth="1"/>
    <col min="10246" max="10246" width="21.7109375" style="1" customWidth="1"/>
    <col min="10247" max="10247" width="11.7109375" style="1" customWidth="1"/>
    <col min="10248" max="10248" width="10.42578125" style="1" bestFit="1" customWidth="1"/>
    <col min="10249" max="10249" width="8.85546875" style="1" bestFit="1" customWidth="1"/>
    <col min="10250" max="10250" width="6.85546875" style="1" customWidth="1"/>
    <col min="10251" max="10251" width="11.28515625" style="1" customWidth="1"/>
    <col min="10252" max="10252" width="23.42578125" style="1" customWidth="1"/>
    <col min="10253" max="10253" width="15.85546875" style="1" customWidth="1"/>
    <col min="10254" max="10254" width="11.85546875" style="1" bestFit="1" customWidth="1"/>
    <col min="10255" max="10496" width="11.42578125" style="1"/>
    <col min="10497" max="10497" width="20.28515625" style="1" customWidth="1"/>
    <col min="10498" max="10498" width="11.85546875" style="1" bestFit="1" customWidth="1"/>
    <col min="10499" max="10499" width="25.5703125" style="1" bestFit="1" customWidth="1"/>
    <col min="10500" max="10500" width="29" style="1" customWidth="1"/>
    <col min="10501" max="10501" width="16.7109375" style="1" customWidth="1"/>
    <col min="10502" max="10502" width="21.7109375" style="1" customWidth="1"/>
    <col min="10503" max="10503" width="11.7109375" style="1" customWidth="1"/>
    <col min="10504" max="10504" width="10.42578125" style="1" bestFit="1" customWidth="1"/>
    <col min="10505" max="10505" width="8.85546875" style="1" bestFit="1" customWidth="1"/>
    <col min="10506" max="10506" width="6.85546875" style="1" customWidth="1"/>
    <col min="10507" max="10507" width="11.28515625" style="1" customWidth="1"/>
    <col min="10508" max="10508" width="23.42578125" style="1" customWidth="1"/>
    <col min="10509" max="10509" width="15.85546875" style="1" customWidth="1"/>
    <col min="10510" max="10510" width="11.85546875" style="1" bestFit="1" customWidth="1"/>
    <col min="10511" max="10752" width="11.42578125" style="1"/>
    <col min="10753" max="10753" width="20.28515625" style="1" customWidth="1"/>
    <col min="10754" max="10754" width="11.85546875" style="1" bestFit="1" customWidth="1"/>
    <col min="10755" max="10755" width="25.5703125" style="1" bestFit="1" customWidth="1"/>
    <col min="10756" max="10756" width="29" style="1" customWidth="1"/>
    <col min="10757" max="10757" width="16.7109375" style="1" customWidth="1"/>
    <col min="10758" max="10758" width="21.7109375" style="1" customWidth="1"/>
    <col min="10759" max="10759" width="11.7109375" style="1" customWidth="1"/>
    <col min="10760" max="10760" width="10.42578125" style="1" bestFit="1" customWidth="1"/>
    <col min="10761" max="10761" width="8.85546875" style="1" bestFit="1" customWidth="1"/>
    <col min="10762" max="10762" width="6.85546875" style="1" customWidth="1"/>
    <col min="10763" max="10763" width="11.28515625" style="1" customWidth="1"/>
    <col min="10764" max="10764" width="23.42578125" style="1" customWidth="1"/>
    <col min="10765" max="10765" width="15.85546875" style="1" customWidth="1"/>
    <col min="10766" max="10766" width="11.85546875" style="1" bestFit="1" customWidth="1"/>
    <col min="10767" max="11008" width="11.42578125" style="1"/>
    <col min="11009" max="11009" width="20.28515625" style="1" customWidth="1"/>
    <col min="11010" max="11010" width="11.85546875" style="1" bestFit="1" customWidth="1"/>
    <col min="11011" max="11011" width="25.5703125" style="1" bestFit="1" customWidth="1"/>
    <col min="11012" max="11012" width="29" style="1" customWidth="1"/>
    <col min="11013" max="11013" width="16.7109375" style="1" customWidth="1"/>
    <col min="11014" max="11014" width="21.7109375" style="1" customWidth="1"/>
    <col min="11015" max="11015" width="11.7109375" style="1" customWidth="1"/>
    <col min="11016" max="11016" width="10.42578125" style="1" bestFit="1" customWidth="1"/>
    <col min="11017" max="11017" width="8.85546875" style="1" bestFit="1" customWidth="1"/>
    <col min="11018" max="11018" width="6.85546875" style="1" customWidth="1"/>
    <col min="11019" max="11019" width="11.28515625" style="1" customWidth="1"/>
    <col min="11020" max="11020" width="23.42578125" style="1" customWidth="1"/>
    <col min="11021" max="11021" width="15.85546875" style="1" customWidth="1"/>
    <col min="11022" max="11022" width="11.85546875" style="1" bestFit="1" customWidth="1"/>
    <col min="11023" max="11264" width="11.42578125" style="1"/>
    <col min="11265" max="11265" width="20.28515625" style="1" customWidth="1"/>
    <col min="11266" max="11266" width="11.85546875" style="1" bestFit="1" customWidth="1"/>
    <col min="11267" max="11267" width="25.5703125" style="1" bestFit="1" customWidth="1"/>
    <col min="11268" max="11268" width="29" style="1" customWidth="1"/>
    <col min="11269" max="11269" width="16.7109375" style="1" customWidth="1"/>
    <col min="11270" max="11270" width="21.7109375" style="1" customWidth="1"/>
    <col min="11271" max="11271" width="11.7109375" style="1" customWidth="1"/>
    <col min="11272" max="11272" width="10.42578125" style="1" bestFit="1" customWidth="1"/>
    <col min="11273" max="11273" width="8.85546875" style="1" bestFit="1" customWidth="1"/>
    <col min="11274" max="11274" width="6.85546875" style="1" customWidth="1"/>
    <col min="11275" max="11275" width="11.28515625" style="1" customWidth="1"/>
    <col min="11276" max="11276" width="23.42578125" style="1" customWidth="1"/>
    <col min="11277" max="11277" width="15.85546875" style="1" customWidth="1"/>
    <col min="11278" max="11278" width="11.85546875" style="1" bestFit="1" customWidth="1"/>
    <col min="11279" max="11520" width="11.42578125" style="1"/>
    <col min="11521" max="11521" width="20.28515625" style="1" customWidth="1"/>
    <col min="11522" max="11522" width="11.85546875" style="1" bestFit="1" customWidth="1"/>
    <col min="11523" max="11523" width="25.5703125" style="1" bestFit="1" customWidth="1"/>
    <col min="11524" max="11524" width="29" style="1" customWidth="1"/>
    <col min="11525" max="11525" width="16.7109375" style="1" customWidth="1"/>
    <col min="11526" max="11526" width="21.7109375" style="1" customWidth="1"/>
    <col min="11527" max="11527" width="11.7109375" style="1" customWidth="1"/>
    <col min="11528" max="11528" width="10.42578125" style="1" bestFit="1" customWidth="1"/>
    <col min="11529" max="11529" width="8.85546875" style="1" bestFit="1" customWidth="1"/>
    <col min="11530" max="11530" width="6.85546875" style="1" customWidth="1"/>
    <col min="11531" max="11531" width="11.28515625" style="1" customWidth="1"/>
    <col min="11532" max="11532" width="23.42578125" style="1" customWidth="1"/>
    <col min="11533" max="11533" width="15.85546875" style="1" customWidth="1"/>
    <col min="11534" max="11534" width="11.85546875" style="1" bestFit="1" customWidth="1"/>
    <col min="11535" max="11776" width="11.42578125" style="1"/>
    <col min="11777" max="11777" width="20.28515625" style="1" customWidth="1"/>
    <col min="11778" max="11778" width="11.85546875" style="1" bestFit="1" customWidth="1"/>
    <col min="11779" max="11779" width="25.5703125" style="1" bestFit="1" customWidth="1"/>
    <col min="11780" max="11780" width="29" style="1" customWidth="1"/>
    <col min="11781" max="11781" width="16.7109375" style="1" customWidth="1"/>
    <col min="11782" max="11782" width="21.7109375" style="1" customWidth="1"/>
    <col min="11783" max="11783" width="11.7109375" style="1" customWidth="1"/>
    <col min="11784" max="11784" width="10.42578125" style="1" bestFit="1" customWidth="1"/>
    <col min="11785" max="11785" width="8.85546875" style="1" bestFit="1" customWidth="1"/>
    <col min="11786" max="11786" width="6.85546875" style="1" customWidth="1"/>
    <col min="11787" max="11787" width="11.28515625" style="1" customWidth="1"/>
    <col min="11788" max="11788" width="23.42578125" style="1" customWidth="1"/>
    <col min="11789" max="11789" width="15.85546875" style="1" customWidth="1"/>
    <col min="11790" max="11790" width="11.85546875" style="1" bestFit="1" customWidth="1"/>
    <col min="11791" max="12032" width="11.42578125" style="1"/>
    <col min="12033" max="12033" width="20.28515625" style="1" customWidth="1"/>
    <col min="12034" max="12034" width="11.85546875" style="1" bestFit="1" customWidth="1"/>
    <col min="12035" max="12035" width="25.5703125" style="1" bestFit="1" customWidth="1"/>
    <col min="12036" max="12036" width="29" style="1" customWidth="1"/>
    <col min="12037" max="12037" width="16.7109375" style="1" customWidth="1"/>
    <col min="12038" max="12038" width="21.7109375" style="1" customWidth="1"/>
    <col min="12039" max="12039" width="11.7109375" style="1" customWidth="1"/>
    <col min="12040" max="12040" width="10.42578125" style="1" bestFit="1" customWidth="1"/>
    <col min="12041" max="12041" width="8.85546875" style="1" bestFit="1" customWidth="1"/>
    <col min="12042" max="12042" width="6.85546875" style="1" customWidth="1"/>
    <col min="12043" max="12043" width="11.28515625" style="1" customWidth="1"/>
    <col min="12044" max="12044" width="23.42578125" style="1" customWidth="1"/>
    <col min="12045" max="12045" width="15.85546875" style="1" customWidth="1"/>
    <col min="12046" max="12046" width="11.85546875" style="1" bestFit="1" customWidth="1"/>
    <col min="12047" max="12288" width="11.42578125" style="1"/>
    <col min="12289" max="12289" width="20.28515625" style="1" customWidth="1"/>
    <col min="12290" max="12290" width="11.85546875" style="1" bestFit="1" customWidth="1"/>
    <col min="12291" max="12291" width="25.5703125" style="1" bestFit="1" customWidth="1"/>
    <col min="12292" max="12292" width="29" style="1" customWidth="1"/>
    <col min="12293" max="12293" width="16.7109375" style="1" customWidth="1"/>
    <col min="12294" max="12294" width="21.7109375" style="1" customWidth="1"/>
    <col min="12295" max="12295" width="11.7109375" style="1" customWidth="1"/>
    <col min="12296" max="12296" width="10.42578125" style="1" bestFit="1" customWidth="1"/>
    <col min="12297" max="12297" width="8.85546875" style="1" bestFit="1" customWidth="1"/>
    <col min="12298" max="12298" width="6.85546875" style="1" customWidth="1"/>
    <col min="12299" max="12299" width="11.28515625" style="1" customWidth="1"/>
    <col min="12300" max="12300" width="23.42578125" style="1" customWidth="1"/>
    <col min="12301" max="12301" width="15.85546875" style="1" customWidth="1"/>
    <col min="12302" max="12302" width="11.85546875" style="1" bestFit="1" customWidth="1"/>
    <col min="12303" max="12544" width="11.42578125" style="1"/>
    <col min="12545" max="12545" width="20.28515625" style="1" customWidth="1"/>
    <col min="12546" max="12546" width="11.85546875" style="1" bestFit="1" customWidth="1"/>
    <col min="12547" max="12547" width="25.5703125" style="1" bestFit="1" customWidth="1"/>
    <col min="12548" max="12548" width="29" style="1" customWidth="1"/>
    <col min="12549" max="12549" width="16.7109375" style="1" customWidth="1"/>
    <col min="12550" max="12550" width="21.7109375" style="1" customWidth="1"/>
    <col min="12551" max="12551" width="11.7109375" style="1" customWidth="1"/>
    <col min="12552" max="12552" width="10.42578125" style="1" bestFit="1" customWidth="1"/>
    <col min="12553" max="12553" width="8.85546875" style="1" bestFit="1" customWidth="1"/>
    <col min="12554" max="12554" width="6.85546875" style="1" customWidth="1"/>
    <col min="12555" max="12555" width="11.28515625" style="1" customWidth="1"/>
    <col min="12556" max="12556" width="23.42578125" style="1" customWidth="1"/>
    <col min="12557" max="12557" width="15.85546875" style="1" customWidth="1"/>
    <col min="12558" max="12558" width="11.85546875" style="1" bestFit="1" customWidth="1"/>
    <col min="12559" max="12800" width="11.42578125" style="1"/>
    <col min="12801" max="12801" width="20.28515625" style="1" customWidth="1"/>
    <col min="12802" max="12802" width="11.85546875" style="1" bestFit="1" customWidth="1"/>
    <col min="12803" max="12803" width="25.5703125" style="1" bestFit="1" customWidth="1"/>
    <col min="12804" max="12804" width="29" style="1" customWidth="1"/>
    <col min="12805" max="12805" width="16.7109375" style="1" customWidth="1"/>
    <col min="12806" max="12806" width="21.7109375" style="1" customWidth="1"/>
    <col min="12807" max="12807" width="11.7109375" style="1" customWidth="1"/>
    <col min="12808" max="12808" width="10.42578125" style="1" bestFit="1" customWidth="1"/>
    <col min="12809" max="12809" width="8.85546875" style="1" bestFit="1" customWidth="1"/>
    <col min="12810" max="12810" width="6.85546875" style="1" customWidth="1"/>
    <col min="12811" max="12811" width="11.28515625" style="1" customWidth="1"/>
    <col min="12812" max="12812" width="23.42578125" style="1" customWidth="1"/>
    <col min="12813" max="12813" width="15.85546875" style="1" customWidth="1"/>
    <col min="12814" max="12814" width="11.85546875" style="1" bestFit="1" customWidth="1"/>
    <col min="12815" max="13056" width="11.42578125" style="1"/>
    <col min="13057" max="13057" width="20.28515625" style="1" customWidth="1"/>
    <col min="13058" max="13058" width="11.85546875" style="1" bestFit="1" customWidth="1"/>
    <col min="13059" max="13059" width="25.5703125" style="1" bestFit="1" customWidth="1"/>
    <col min="13060" max="13060" width="29" style="1" customWidth="1"/>
    <col min="13061" max="13061" width="16.7109375" style="1" customWidth="1"/>
    <col min="13062" max="13062" width="21.7109375" style="1" customWidth="1"/>
    <col min="13063" max="13063" width="11.7109375" style="1" customWidth="1"/>
    <col min="13064" max="13064" width="10.42578125" style="1" bestFit="1" customWidth="1"/>
    <col min="13065" max="13065" width="8.85546875" style="1" bestFit="1" customWidth="1"/>
    <col min="13066" max="13066" width="6.85546875" style="1" customWidth="1"/>
    <col min="13067" max="13067" width="11.28515625" style="1" customWidth="1"/>
    <col min="13068" max="13068" width="23.42578125" style="1" customWidth="1"/>
    <col min="13069" max="13069" width="15.85546875" style="1" customWidth="1"/>
    <col min="13070" max="13070" width="11.85546875" style="1" bestFit="1" customWidth="1"/>
    <col min="13071" max="13312" width="11.42578125" style="1"/>
    <col min="13313" max="13313" width="20.28515625" style="1" customWidth="1"/>
    <col min="13314" max="13314" width="11.85546875" style="1" bestFit="1" customWidth="1"/>
    <col min="13315" max="13315" width="25.5703125" style="1" bestFit="1" customWidth="1"/>
    <col min="13316" max="13316" width="29" style="1" customWidth="1"/>
    <col min="13317" max="13317" width="16.7109375" style="1" customWidth="1"/>
    <col min="13318" max="13318" width="21.7109375" style="1" customWidth="1"/>
    <col min="13319" max="13319" width="11.7109375" style="1" customWidth="1"/>
    <col min="13320" max="13320" width="10.42578125" style="1" bestFit="1" customWidth="1"/>
    <col min="13321" max="13321" width="8.85546875" style="1" bestFit="1" customWidth="1"/>
    <col min="13322" max="13322" width="6.85546875" style="1" customWidth="1"/>
    <col min="13323" max="13323" width="11.28515625" style="1" customWidth="1"/>
    <col min="13324" max="13324" width="23.42578125" style="1" customWidth="1"/>
    <col min="13325" max="13325" width="15.85546875" style="1" customWidth="1"/>
    <col min="13326" max="13326" width="11.85546875" style="1" bestFit="1" customWidth="1"/>
    <col min="13327" max="13568" width="11.42578125" style="1"/>
    <col min="13569" max="13569" width="20.28515625" style="1" customWidth="1"/>
    <col min="13570" max="13570" width="11.85546875" style="1" bestFit="1" customWidth="1"/>
    <col min="13571" max="13571" width="25.5703125" style="1" bestFit="1" customWidth="1"/>
    <col min="13572" max="13572" width="29" style="1" customWidth="1"/>
    <col min="13573" max="13573" width="16.7109375" style="1" customWidth="1"/>
    <col min="13574" max="13574" width="21.7109375" style="1" customWidth="1"/>
    <col min="13575" max="13575" width="11.7109375" style="1" customWidth="1"/>
    <col min="13576" max="13576" width="10.42578125" style="1" bestFit="1" customWidth="1"/>
    <col min="13577" max="13577" width="8.85546875" style="1" bestFit="1" customWidth="1"/>
    <col min="13578" max="13578" width="6.85546875" style="1" customWidth="1"/>
    <col min="13579" max="13579" width="11.28515625" style="1" customWidth="1"/>
    <col min="13580" max="13580" width="23.42578125" style="1" customWidth="1"/>
    <col min="13581" max="13581" width="15.85546875" style="1" customWidth="1"/>
    <col min="13582" max="13582" width="11.85546875" style="1" bestFit="1" customWidth="1"/>
    <col min="13583" max="13824" width="11.42578125" style="1"/>
    <col min="13825" max="13825" width="20.28515625" style="1" customWidth="1"/>
    <col min="13826" max="13826" width="11.85546875" style="1" bestFit="1" customWidth="1"/>
    <col min="13827" max="13827" width="25.5703125" style="1" bestFit="1" customWidth="1"/>
    <col min="13828" max="13828" width="29" style="1" customWidth="1"/>
    <col min="13829" max="13829" width="16.7109375" style="1" customWidth="1"/>
    <col min="13830" max="13830" width="21.7109375" style="1" customWidth="1"/>
    <col min="13831" max="13831" width="11.7109375" style="1" customWidth="1"/>
    <col min="13832" max="13832" width="10.42578125" style="1" bestFit="1" customWidth="1"/>
    <col min="13833" max="13833" width="8.85546875" style="1" bestFit="1" customWidth="1"/>
    <col min="13834" max="13834" width="6.85546875" style="1" customWidth="1"/>
    <col min="13835" max="13835" width="11.28515625" style="1" customWidth="1"/>
    <col min="13836" max="13836" width="23.42578125" style="1" customWidth="1"/>
    <col min="13837" max="13837" width="15.85546875" style="1" customWidth="1"/>
    <col min="13838" max="13838" width="11.85546875" style="1" bestFit="1" customWidth="1"/>
    <col min="13839" max="14080" width="11.42578125" style="1"/>
    <col min="14081" max="14081" width="20.28515625" style="1" customWidth="1"/>
    <col min="14082" max="14082" width="11.85546875" style="1" bestFit="1" customWidth="1"/>
    <col min="14083" max="14083" width="25.5703125" style="1" bestFit="1" customWidth="1"/>
    <col min="14084" max="14084" width="29" style="1" customWidth="1"/>
    <col min="14085" max="14085" width="16.7109375" style="1" customWidth="1"/>
    <col min="14086" max="14086" width="21.7109375" style="1" customWidth="1"/>
    <col min="14087" max="14087" width="11.7109375" style="1" customWidth="1"/>
    <col min="14088" max="14088" width="10.42578125" style="1" bestFit="1" customWidth="1"/>
    <col min="14089" max="14089" width="8.85546875" style="1" bestFit="1" customWidth="1"/>
    <col min="14090" max="14090" width="6.85546875" style="1" customWidth="1"/>
    <col min="14091" max="14091" width="11.28515625" style="1" customWidth="1"/>
    <col min="14092" max="14092" width="23.42578125" style="1" customWidth="1"/>
    <col min="14093" max="14093" width="15.85546875" style="1" customWidth="1"/>
    <col min="14094" max="14094" width="11.85546875" style="1" bestFit="1" customWidth="1"/>
    <col min="14095" max="14336" width="11.42578125" style="1"/>
    <col min="14337" max="14337" width="20.28515625" style="1" customWidth="1"/>
    <col min="14338" max="14338" width="11.85546875" style="1" bestFit="1" customWidth="1"/>
    <col min="14339" max="14339" width="25.5703125" style="1" bestFit="1" customWidth="1"/>
    <col min="14340" max="14340" width="29" style="1" customWidth="1"/>
    <col min="14341" max="14341" width="16.7109375" style="1" customWidth="1"/>
    <col min="14342" max="14342" width="21.7109375" style="1" customWidth="1"/>
    <col min="14343" max="14343" width="11.7109375" style="1" customWidth="1"/>
    <col min="14344" max="14344" width="10.42578125" style="1" bestFit="1" customWidth="1"/>
    <col min="14345" max="14345" width="8.85546875" style="1" bestFit="1" customWidth="1"/>
    <col min="14346" max="14346" width="6.85546875" style="1" customWidth="1"/>
    <col min="14347" max="14347" width="11.28515625" style="1" customWidth="1"/>
    <col min="14348" max="14348" width="23.42578125" style="1" customWidth="1"/>
    <col min="14349" max="14349" width="15.85546875" style="1" customWidth="1"/>
    <col min="14350" max="14350" width="11.85546875" style="1" bestFit="1" customWidth="1"/>
    <col min="14351" max="14592" width="11.42578125" style="1"/>
    <col min="14593" max="14593" width="20.28515625" style="1" customWidth="1"/>
    <col min="14594" max="14594" width="11.85546875" style="1" bestFit="1" customWidth="1"/>
    <col min="14595" max="14595" width="25.5703125" style="1" bestFit="1" customWidth="1"/>
    <col min="14596" max="14596" width="29" style="1" customWidth="1"/>
    <col min="14597" max="14597" width="16.7109375" style="1" customWidth="1"/>
    <col min="14598" max="14598" width="21.7109375" style="1" customWidth="1"/>
    <col min="14599" max="14599" width="11.7109375" style="1" customWidth="1"/>
    <col min="14600" max="14600" width="10.42578125" style="1" bestFit="1" customWidth="1"/>
    <col min="14601" max="14601" width="8.85546875" style="1" bestFit="1" customWidth="1"/>
    <col min="14602" max="14602" width="6.85546875" style="1" customWidth="1"/>
    <col min="14603" max="14603" width="11.28515625" style="1" customWidth="1"/>
    <col min="14604" max="14604" width="23.42578125" style="1" customWidth="1"/>
    <col min="14605" max="14605" width="15.85546875" style="1" customWidth="1"/>
    <col min="14606" max="14606" width="11.85546875" style="1" bestFit="1" customWidth="1"/>
    <col min="14607" max="14848" width="11.42578125" style="1"/>
    <col min="14849" max="14849" width="20.28515625" style="1" customWidth="1"/>
    <col min="14850" max="14850" width="11.85546875" style="1" bestFit="1" customWidth="1"/>
    <col min="14851" max="14851" width="25.5703125" style="1" bestFit="1" customWidth="1"/>
    <col min="14852" max="14852" width="29" style="1" customWidth="1"/>
    <col min="14853" max="14853" width="16.7109375" style="1" customWidth="1"/>
    <col min="14854" max="14854" width="21.7109375" style="1" customWidth="1"/>
    <col min="14855" max="14855" width="11.7109375" style="1" customWidth="1"/>
    <col min="14856" max="14856" width="10.42578125" style="1" bestFit="1" customWidth="1"/>
    <col min="14857" max="14857" width="8.85546875" style="1" bestFit="1" customWidth="1"/>
    <col min="14858" max="14858" width="6.85546875" style="1" customWidth="1"/>
    <col min="14859" max="14859" width="11.28515625" style="1" customWidth="1"/>
    <col min="14860" max="14860" width="23.42578125" style="1" customWidth="1"/>
    <col min="14861" max="14861" width="15.85546875" style="1" customWidth="1"/>
    <col min="14862" max="14862" width="11.85546875" style="1" bestFit="1" customWidth="1"/>
    <col min="14863" max="15104" width="11.42578125" style="1"/>
    <col min="15105" max="15105" width="20.28515625" style="1" customWidth="1"/>
    <col min="15106" max="15106" width="11.85546875" style="1" bestFit="1" customWidth="1"/>
    <col min="15107" max="15107" width="25.5703125" style="1" bestFit="1" customWidth="1"/>
    <col min="15108" max="15108" width="29" style="1" customWidth="1"/>
    <col min="15109" max="15109" width="16.7109375" style="1" customWidth="1"/>
    <col min="15110" max="15110" width="21.7109375" style="1" customWidth="1"/>
    <col min="15111" max="15111" width="11.7109375" style="1" customWidth="1"/>
    <col min="15112" max="15112" width="10.42578125" style="1" bestFit="1" customWidth="1"/>
    <col min="15113" max="15113" width="8.85546875" style="1" bestFit="1" customWidth="1"/>
    <col min="15114" max="15114" width="6.85546875" style="1" customWidth="1"/>
    <col min="15115" max="15115" width="11.28515625" style="1" customWidth="1"/>
    <col min="15116" max="15116" width="23.42578125" style="1" customWidth="1"/>
    <col min="15117" max="15117" width="15.85546875" style="1" customWidth="1"/>
    <col min="15118" max="15118" width="11.85546875" style="1" bestFit="1" customWidth="1"/>
    <col min="15119" max="15360" width="11.42578125" style="1"/>
    <col min="15361" max="15361" width="20.28515625" style="1" customWidth="1"/>
    <col min="15362" max="15362" width="11.85546875" style="1" bestFit="1" customWidth="1"/>
    <col min="15363" max="15363" width="25.5703125" style="1" bestFit="1" customWidth="1"/>
    <col min="15364" max="15364" width="29" style="1" customWidth="1"/>
    <col min="15365" max="15365" width="16.7109375" style="1" customWidth="1"/>
    <col min="15366" max="15366" width="21.7109375" style="1" customWidth="1"/>
    <col min="15367" max="15367" width="11.7109375" style="1" customWidth="1"/>
    <col min="15368" max="15368" width="10.42578125" style="1" bestFit="1" customWidth="1"/>
    <col min="15369" max="15369" width="8.85546875" style="1" bestFit="1" customWidth="1"/>
    <col min="15370" max="15370" width="6.85546875" style="1" customWidth="1"/>
    <col min="15371" max="15371" width="11.28515625" style="1" customWidth="1"/>
    <col min="15372" max="15372" width="23.42578125" style="1" customWidth="1"/>
    <col min="15373" max="15373" width="15.85546875" style="1" customWidth="1"/>
    <col min="15374" max="15374" width="11.85546875" style="1" bestFit="1" customWidth="1"/>
    <col min="15375" max="15616" width="11.42578125" style="1"/>
    <col min="15617" max="15617" width="20.28515625" style="1" customWidth="1"/>
    <col min="15618" max="15618" width="11.85546875" style="1" bestFit="1" customWidth="1"/>
    <col min="15619" max="15619" width="25.5703125" style="1" bestFit="1" customWidth="1"/>
    <col min="15620" max="15620" width="29" style="1" customWidth="1"/>
    <col min="15621" max="15621" width="16.7109375" style="1" customWidth="1"/>
    <col min="15622" max="15622" width="21.7109375" style="1" customWidth="1"/>
    <col min="15623" max="15623" width="11.7109375" style="1" customWidth="1"/>
    <col min="15624" max="15624" width="10.42578125" style="1" bestFit="1" customWidth="1"/>
    <col min="15625" max="15625" width="8.85546875" style="1" bestFit="1" customWidth="1"/>
    <col min="15626" max="15626" width="6.85546875" style="1" customWidth="1"/>
    <col min="15627" max="15627" width="11.28515625" style="1" customWidth="1"/>
    <col min="15628" max="15628" width="23.42578125" style="1" customWidth="1"/>
    <col min="15629" max="15629" width="15.85546875" style="1" customWidth="1"/>
    <col min="15630" max="15630" width="11.85546875" style="1" bestFit="1" customWidth="1"/>
    <col min="15631" max="15872" width="11.42578125" style="1"/>
    <col min="15873" max="15873" width="20.28515625" style="1" customWidth="1"/>
    <col min="15874" max="15874" width="11.85546875" style="1" bestFit="1" customWidth="1"/>
    <col min="15875" max="15875" width="25.5703125" style="1" bestFit="1" customWidth="1"/>
    <col min="15876" max="15876" width="29" style="1" customWidth="1"/>
    <col min="15877" max="15877" width="16.7109375" style="1" customWidth="1"/>
    <col min="15878" max="15878" width="21.7109375" style="1" customWidth="1"/>
    <col min="15879" max="15879" width="11.7109375" style="1" customWidth="1"/>
    <col min="15880" max="15880" width="10.42578125" style="1" bestFit="1" customWidth="1"/>
    <col min="15881" max="15881" width="8.85546875" style="1" bestFit="1" customWidth="1"/>
    <col min="15882" max="15882" width="6.85546875" style="1" customWidth="1"/>
    <col min="15883" max="15883" width="11.28515625" style="1" customWidth="1"/>
    <col min="15884" max="15884" width="23.42578125" style="1" customWidth="1"/>
    <col min="15885" max="15885" width="15.85546875" style="1" customWidth="1"/>
    <col min="15886" max="15886" width="11.85546875" style="1" bestFit="1" customWidth="1"/>
    <col min="15887" max="16128" width="11.42578125" style="1"/>
    <col min="16129" max="16129" width="20.28515625" style="1" customWidth="1"/>
    <col min="16130" max="16130" width="11.85546875" style="1" bestFit="1" customWidth="1"/>
    <col min="16131" max="16131" width="25.5703125" style="1" bestFit="1" customWidth="1"/>
    <col min="16132" max="16132" width="29" style="1" customWidth="1"/>
    <col min="16133" max="16133" width="16.7109375" style="1" customWidth="1"/>
    <col min="16134" max="16134" width="21.7109375" style="1" customWidth="1"/>
    <col min="16135" max="16135" width="11.7109375" style="1" customWidth="1"/>
    <col min="16136" max="16136" width="10.42578125" style="1" bestFit="1" customWidth="1"/>
    <col min="16137" max="16137" width="8.85546875" style="1" bestFit="1" customWidth="1"/>
    <col min="16138" max="16138" width="6.85546875" style="1" customWidth="1"/>
    <col min="16139" max="16139" width="11.28515625" style="1" customWidth="1"/>
    <col min="16140" max="16140" width="23.42578125" style="1" customWidth="1"/>
    <col min="16141" max="16141" width="15.85546875" style="1" customWidth="1"/>
    <col min="16142" max="16142" width="11.85546875" style="1" bestFit="1" customWidth="1"/>
    <col min="16143" max="16384" width="11.42578125" style="1"/>
  </cols>
  <sheetData>
    <row r="1" spans="1:14" x14ac:dyDescent="0.2">
      <c r="A1" s="30" t="s">
        <v>0</v>
      </c>
      <c r="B1" s="31" t="s">
        <v>1</v>
      </c>
      <c r="C1" s="32" t="s">
        <v>2</v>
      </c>
      <c r="D1" s="33" t="s">
        <v>3</v>
      </c>
      <c r="E1" s="34" t="s">
        <v>4</v>
      </c>
      <c r="F1" s="33" t="s">
        <v>5</v>
      </c>
      <c r="G1" s="33" t="s">
        <v>27</v>
      </c>
      <c r="H1" s="33" t="s">
        <v>7</v>
      </c>
      <c r="I1" s="33" t="s">
        <v>8</v>
      </c>
      <c r="J1" s="33" t="s">
        <v>22</v>
      </c>
      <c r="K1" s="33" t="s">
        <v>9</v>
      </c>
      <c r="L1" s="35" t="s">
        <v>10</v>
      </c>
      <c r="M1" s="35" t="s">
        <v>11</v>
      </c>
      <c r="N1" s="36" t="s">
        <v>30</v>
      </c>
    </row>
    <row r="2" spans="1:14" x14ac:dyDescent="0.2">
      <c r="A2" s="36" t="s">
        <v>12</v>
      </c>
      <c r="B2" s="37">
        <v>39906</v>
      </c>
      <c r="C2" s="38">
        <v>2009100732</v>
      </c>
      <c r="D2" s="36" t="s">
        <v>14</v>
      </c>
      <c r="E2" s="36" t="s">
        <v>13</v>
      </c>
      <c r="F2" s="36" t="s">
        <v>346</v>
      </c>
      <c r="G2" s="36" t="s">
        <v>347</v>
      </c>
      <c r="H2" s="36">
        <v>1206.9000000000001</v>
      </c>
      <c r="I2" s="39">
        <f t="shared" ref="I2:I45" si="0">H2*0.16</f>
        <v>193.10400000000001</v>
      </c>
      <c r="J2" s="36"/>
      <c r="K2" s="39">
        <f t="shared" ref="K2:K40" si="1">+H2+I2</f>
        <v>1400.0040000000001</v>
      </c>
      <c r="L2" s="36"/>
      <c r="M2" s="36" t="s">
        <v>348</v>
      </c>
      <c r="N2" s="36"/>
    </row>
    <row r="3" spans="1:14" x14ac:dyDescent="0.2">
      <c r="A3" s="36" t="s">
        <v>12</v>
      </c>
      <c r="B3" s="37">
        <v>39906</v>
      </c>
      <c r="C3" s="38">
        <v>2009100733</v>
      </c>
      <c r="D3" s="36" t="s">
        <v>14</v>
      </c>
      <c r="E3" s="36" t="s">
        <v>13</v>
      </c>
      <c r="F3" s="36" t="s">
        <v>349</v>
      </c>
      <c r="G3" s="36" t="s">
        <v>350</v>
      </c>
      <c r="H3" s="36">
        <v>2586.21</v>
      </c>
      <c r="I3" s="39">
        <f t="shared" si="0"/>
        <v>413.79360000000003</v>
      </c>
      <c r="J3" s="36"/>
      <c r="K3" s="39">
        <f t="shared" si="1"/>
        <v>3000.0036</v>
      </c>
      <c r="L3" s="36"/>
      <c r="M3" s="36" t="s">
        <v>348</v>
      </c>
      <c r="N3" s="36"/>
    </row>
    <row r="4" spans="1:14" x14ac:dyDescent="0.2">
      <c r="A4" s="36" t="s">
        <v>12</v>
      </c>
      <c r="B4" s="37">
        <v>39906</v>
      </c>
      <c r="C4" s="38">
        <v>2009100734</v>
      </c>
      <c r="D4" s="36" t="s">
        <v>14</v>
      </c>
      <c r="E4" s="36" t="s">
        <v>13</v>
      </c>
      <c r="F4" s="36" t="s">
        <v>351</v>
      </c>
      <c r="G4" s="36" t="s">
        <v>352</v>
      </c>
      <c r="H4" s="36">
        <v>2844.83</v>
      </c>
      <c r="I4" s="39">
        <f t="shared" si="0"/>
        <v>455.1728</v>
      </c>
      <c r="J4" s="36"/>
      <c r="K4" s="39">
        <f t="shared" si="1"/>
        <v>3300.0027999999998</v>
      </c>
      <c r="L4" s="36"/>
      <c r="M4" s="36" t="s">
        <v>348</v>
      </c>
      <c r="N4" s="36"/>
    </row>
    <row r="5" spans="1:14" x14ac:dyDescent="0.2">
      <c r="A5" s="36" t="s">
        <v>12</v>
      </c>
      <c r="B5" s="37">
        <v>39906</v>
      </c>
      <c r="C5" s="38">
        <v>2009100735</v>
      </c>
      <c r="D5" s="36" t="s">
        <v>14</v>
      </c>
      <c r="E5" s="36" t="s">
        <v>13</v>
      </c>
      <c r="F5" s="36" t="s">
        <v>353</v>
      </c>
      <c r="G5" s="36" t="s">
        <v>354</v>
      </c>
      <c r="H5" s="36">
        <v>4137.93</v>
      </c>
      <c r="I5" s="39">
        <f t="shared" si="0"/>
        <v>662.06880000000001</v>
      </c>
      <c r="J5" s="36"/>
      <c r="K5" s="39">
        <f t="shared" si="1"/>
        <v>4799.9988000000003</v>
      </c>
      <c r="L5" s="36"/>
      <c r="M5" s="36" t="s">
        <v>348</v>
      </c>
      <c r="N5" s="36"/>
    </row>
    <row r="6" spans="1:14" x14ac:dyDescent="0.2">
      <c r="A6" s="36" t="s">
        <v>12</v>
      </c>
      <c r="B6" s="37">
        <v>39918</v>
      </c>
      <c r="C6" s="38">
        <v>2009100786</v>
      </c>
      <c r="D6" s="36" t="s">
        <v>14</v>
      </c>
      <c r="E6" s="36" t="s">
        <v>13</v>
      </c>
      <c r="F6" s="40" t="s">
        <v>355</v>
      </c>
      <c r="G6" s="40" t="s">
        <v>356</v>
      </c>
      <c r="H6" s="36">
        <v>3448.28</v>
      </c>
      <c r="I6" s="39">
        <f t="shared" si="0"/>
        <v>551.72480000000007</v>
      </c>
      <c r="J6" s="36"/>
      <c r="K6" s="39">
        <f t="shared" si="1"/>
        <v>4000.0048000000002</v>
      </c>
      <c r="L6" s="36"/>
      <c r="M6" s="36" t="s">
        <v>348</v>
      </c>
      <c r="N6" s="36"/>
    </row>
    <row r="7" spans="1:14" x14ac:dyDescent="0.2">
      <c r="A7" s="41" t="s">
        <v>12</v>
      </c>
      <c r="B7" s="42">
        <v>39918</v>
      </c>
      <c r="C7" s="43">
        <v>2009100787</v>
      </c>
      <c r="D7" s="41" t="s">
        <v>14</v>
      </c>
      <c r="E7" s="41" t="s">
        <v>13</v>
      </c>
      <c r="F7" s="41" t="s">
        <v>357</v>
      </c>
      <c r="G7" s="41" t="s">
        <v>358</v>
      </c>
      <c r="H7" s="41">
        <v>2657.76</v>
      </c>
      <c r="I7" s="44">
        <f t="shared" si="0"/>
        <v>425.24160000000006</v>
      </c>
      <c r="J7" s="41"/>
      <c r="K7" s="44">
        <f t="shared" si="1"/>
        <v>3083.0016000000005</v>
      </c>
      <c r="L7" s="36"/>
      <c r="M7" s="36" t="s">
        <v>348</v>
      </c>
      <c r="N7" s="36"/>
    </row>
    <row r="8" spans="1:14" x14ac:dyDescent="0.2">
      <c r="A8" s="36" t="s">
        <v>12</v>
      </c>
      <c r="B8" s="37">
        <v>39920</v>
      </c>
      <c r="C8" s="38">
        <v>2009100809</v>
      </c>
      <c r="D8" s="36" t="s">
        <v>14</v>
      </c>
      <c r="E8" s="36" t="s">
        <v>13</v>
      </c>
      <c r="F8" s="36" t="s">
        <v>346</v>
      </c>
      <c r="G8" s="36" t="s">
        <v>359</v>
      </c>
      <c r="H8" s="36">
        <v>1380.17</v>
      </c>
      <c r="I8" s="39">
        <f t="shared" si="0"/>
        <v>220.8272</v>
      </c>
      <c r="J8" s="36"/>
      <c r="K8" s="39">
        <f t="shared" si="1"/>
        <v>1600.9972</v>
      </c>
      <c r="L8" s="36"/>
      <c r="M8" s="36" t="s">
        <v>348</v>
      </c>
      <c r="N8" s="36"/>
    </row>
    <row r="9" spans="1:14" x14ac:dyDescent="0.2">
      <c r="A9" s="36" t="s">
        <v>12</v>
      </c>
      <c r="B9" s="37">
        <v>39920</v>
      </c>
      <c r="C9" s="38">
        <v>2009100810</v>
      </c>
      <c r="D9" s="36" t="s">
        <v>14</v>
      </c>
      <c r="E9" s="36" t="s">
        <v>13</v>
      </c>
      <c r="F9" s="36" t="s">
        <v>360</v>
      </c>
      <c r="G9" s="36" t="s">
        <v>361</v>
      </c>
      <c r="H9" s="36">
        <v>1379.31</v>
      </c>
      <c r="I9" s="39">
        <f t="shared" si="0"/>
        <v>220.68959999999998</v>
      </c>
      <c r="J9" s="36"/>
      <c r="K9" s="39">
        <f t="shared" si="1"/>
        <v>1599.9995999999999</v>
      </c>
      <c r="L9" s="36"/>
      <c r="M9" s="36" t="s">
        <v>348</v>
      </c>
      <c r="N9" s="36"/>
    </row>
    <row r="10" spans="1:14" x14ac:dyDescent="0.2">
      <c r="A10" s="36" t="s">
        <v>12</v>
      </c>
      <c r="B10" s="37">
        <v>39920</v>
      </c>
      <c r="C10" s="38">
        <v>2009100811</v>
      </c>
      <c r="D10" s="36" t="s">
        <v>14</v>
      </c>
      <c r="E10" s="36" t="s">
        <v>13</v>
      </c>
      <c r="F10" s="36" t="s">
        <v>362</v>
      </c>
      <c r="G10" s="36" t="s">
        <v>363</v>
      </c>
      <c r="H10" s="36">
        <v>3879.31</v>
      </c>
      <c r="I10" s="39">
        <f t="shared" si="0"/>
        <v>620.68960000000004</v>
      </c>
      <c r="J10" s="36"/>
      <c r="K10" s="39">
        <f t="shared" si="1"/>
        <v>4499.9996000000001</v>
      </c>
      <c r="L10" s="36"/>
      <c r="M10" s="36" t="s">
        <v>348</v>
      </c>
      <c r="N10" s="36"/>
    </row>
    <row r="11" spans="1:14" x14ac:dyDescent="0.2">
      <c r="A11" s="36" t="s">
        <v>12</v>
      </c>
      <c r="B11" s="37">
        <v>39923</v>
      </c>
      <c r="C11" s="38">
        <v>2009100827</v>
      </c>
      <c r="D11" s="36" t="s">
        <v>14</v>
      </c>
      <c r="E11" s="36" t="s">
        <v>13</v>
      </c>
      <c r="F11" s="36" t="s">
        <v>346</v>
      </c>
      <c r="G11" s="36" t="s">
        <v>364</v>
      </c>
      <c r="H11" s="36">
        <v>1077.5899999999999</v>
      </c>
      <c r="I11" s="39">
        <f t="shared" si="0"/>
        <v>172.4144</v>
      </c>
      <c r="J11" s="36"/>
      <c r="K11" s="39">
        <f t="shared" si="1"/>
        <v>1250.0043999999998</v>
      </c>
      <c r="L11" s="36"/>
      <c r="M11" s="36" t="s">
        <v>348</v>
      </c>
      <c r="N11" s="36"/>
    </row>
    <row r="12" spans="1:14" x14ac:dyDescent="0.2">
      <c r="A12" s="36" t="s">
        <v>12</v>
      </c>
      <c r="B12" s="37">
        <v>39923</v>
      </c>
      <c r="C12" s="38">
        <v>2009100828</v>
      </c>
      <c r="D12" s="36" t="s">
        <v>14</v>
      </c>
      <c r="E12" s="36" t="s">
        <v>13</v>
      </c>
      <c r="F12" s="36" t="s">
        <v>360</v>
      </c>
      <c r="G12" s="36" t="s">
        <v>365</v>
      </c>
      <c r="H12" s="36">
        <v>1077.5899999999999</v>
      </c>
      <c r="I12" s="39">
        <f t="shared" si="0"/>
        <v>172.4144</v>
      </c>
      <c r="J12" s="36"/>
      <c r="K12" s="39">
        <f t="shared" si="1"/>
        <v>1250.0043999999998</v>
      </c>
      <c r="L12" s="36"/>
      <c r="M12" s="36" t="s">
        <v>348</v>
      </c>
      <c r="N12" s="36"/>
    </row>
    <row r="13" spans="1:14" x14ac:dyDescent="0.2">
      <c r="A13" s="36" t="s">
        <v>12</v>
      </c>
      <c r="B13" s="37">
        <v>39925</v>
      </c>
      <c r="C13" s="38">
        <v>2009100839</v>
      </c>
      <c r="D13" s="36" t="s">
        <v>14</v>
      </c>
      <c r="E13" s="36" t="s">
        <v>13</v>
      </c>
      <c r="F13" s="36" t="s">
        <v>366</v>
      </c>
      <c r="G13" s="36" t="s">
        <v>367</v>
      </c>
      <c r="H13" s="36">
        <v>4517.24</v>
      </c>
      <c r="I13" s="39">
        <f t="shared" si="0"/>
        <v>722.75839999999994</v>
      </c>
      <c r="J13" s="36"/>
      <c r="K13" s="39">
        <f t="shared" si="1"/>
        <v>5239.9983999999995</v>
      </c>
      <c r="L13" s="36"/>
      <c r="M13" s="36" t="s">
        <v>348</v>
      </c>
      <c r="N13" s="36"/>
    </row>
    <row r="14" spans="1:14" x14ac:dyDescent="0.2">
      <c r="A14" s="36" t="s">
        <v>12</v>
      </c>
      <c r="B14" s="37">
        <v>39934</v>
      </c>
      <c r="C14" s="38">
        <v>2009100887</v>
      </c>
      <c r="D14" s="36" t="s">
        <v>14</v>
      </c>
      <c r="E14" s="36" t="s">
        <v>13</v>
      </c>
      <c r="F14" s="36" t="s">
        <v>368</v>
      </c>
      <c r="G14" s="36" t="s">
        <v>369</v>
      </c>
      <c r="H14" s="36">
        <v>2189.66</v>
      </c>
      <c r="I14" s="39">
        <f t="shared" si="0"/>
        <v>350.34559999999999</v>
      </c>
      <c r="J14" s="36"/>
      <c r="K14" s="39">
        <f t="shared" si="1"/>
        <v>2540.0056</v>
      </c>
      <c r="L14" s="36"/>
      <c r="M14" s="36" t="s">
        <v>348</v>
      </c>
      <c r="N14" s="36"/>
    </row>
    <row r="15" spans="1:14" x14ac:dyDescent="0.2">
      <c r="A15" s="36" t="s">
        <v>12</v>
      </c>
      <c r="B15" s="37">
        <v>39934</v>
      </c>
      <c r="C15" s="38">
        <v>2009100888</v>
      </c>
      <c r="D15" s="36" t="s">
        <v>14</v>
      </c>
      <c r="E15" s="36" t="s">
        <v>13</v>
      </c>
      <c r="F15" s="36" t="s">
        <v>368</v>
      </c>
      <c r="G15" s="36" t="s">
        <v>370</v>
      </c>
      <c r="H15" s="36">
        <v>2155.17</v>
      </c>
      <c r="I15" s="39">
        <f t="shared" si="0"/>
        <v>344.8272</v>
      </c>
      <c r="J15" s="36"/>
      <c r="K15" s="39">
        <f t="shared" si="1"/>
        <v>2499.9972000000002</v>
      </c>
      <c r="L15" s="36"/>
      <c r="M15" s="36" t="s">
        <v>348</v>
      </c>
      <c r="N15" s="36"/>
    </row>
    <row r="16" spans="1:14" x14ac:dyDescent="0.2">
      <c r="A16" s="36" t="s">
        <v>12</v>
      </c>
      <c r="B16" s="37">
        <v>39934</v>
      </c>
      <c r="C16" s="38">
        <v>2009100889</v>
      </c>
      <c r="D16" s="36" t="s">
        <v>14</v>
      </c>
      <c r="E16" s="36" t="s">
        <v>13</v>
      </c>
      <c r="F16" s="36" t="s">
        <v>371</v>
      </c>
      <c r="G16" s="36" t="s">
        <v>372</v>
      </c>
      <c r="H16" s="36">
        <v>2554.36</v>
      </c>
      <c r="I16" s="39">
        <f t="shared" si="0"/>
        <v>408.69760000000002</v>
      </c>
      <c r="J16" s="36"/>
      <c r="K16" s="39">
        <f t="shared" si="1"/>
        <v>2963.0576000000001</v>
      </c>
      <c r="L16" s="36"/>
      <c r="M16" s="36" t="s">
        <v>348</v>
      </c>
      <c r="N16" s="36"/>
    </row>
    <row r="17" spans="1:14" x14ac:dyDescent="0.2">
      <c r="A17" s="36" t="s">
        <v>12</v>
      </c>
      <c r="B17" s="37">
        <v>39939</v>
      </c>
      <c r="C17" s="38">
        <v>2009100907</v>
      </c>
      <c r="D17" s="36" t="s">
        <v>14</v>
      </c>
      <c r="E17" s="36" t="s">
        <v>13</v>
      </c>
      <c r="F17" s="36" t="s">
        <v>373</v>
      </c>
      <c r="G17" s="36" t="s">
        <v>374</v>
      </c>
      <c r="H17" s="36">
        <v>2586.21</v>
      </c>
      <c r="I17" s="39">
        <f t="shared" si="0"/>
        <v>413.79360000000003</v>
      </c>
      <c r="J17" s="36"/>
      <c r="K17" s="39">
        <f t="shared" si="1"/>
        <v>3000.0036</v>
      </c>
      <c r="L17" s="36"/>
      <c r="M17" s="36" t="s">
        <v>348</v>
      </c>
      <c r="N17" s="36"/>
    </row>
    <row r="18" spans="1:14" x14ac:dyDescent="0.2">
      <c r="A18" s="36" t="s">
        <v>12</v>
      </c>
      <c r="B18" s="37">
        <v>39939</v>
      </c>
      <c r="C18" s="38">
        <v>2009100908</v>
      </c>
      <c r="D18" s="36" t="s">
        <v>14</v>
      </c>
      <c r="E18" s="36" t="s">
        <v>13</v>
      </c>
      <c r="F18" s="36" t="s">
        <v>375</v>
      </c>
      <c r="G18" s="36" t="s">
        <v>376</v>
      </c>
      <c r="H18" s="36">
        <v>2317.6799999999998</v>
      </c>
      <c r="I18" s="39">
        <f t="shared" si="0"/>
        <v>370.8288</v>
      </c>
      <c r="J18" s="36"/>
      <c r="K18" s="39">
        <f t="shared" si="1"/>
        <v>2688.5087999999996</v>
      </c>
      <c r="L18" s="36"/>
      <c r="M18" s="36" t="s">
        <v>348</v>
      </c>
      <c r="N18" s="36"/>
    </row>
    <row r="19" spans="1:14" x14ac:dyDescent="0.2">
      <c r="A19" s="36" t="s">
        <v>12</v>
      </c>
      <c r="B19" s="37">
        <v>39939</v>
      </c>
      <c r="C19" s="38">
        <v>2009100909</v>
      </c>
      <c r="D19" s="36" t="s">
        <v>14</v>
      </c>
      <c r="E19" s="36" t="s">
        <v>13</v>
      </c>
      <c r="F19" s="36" t="s">
        <v>377</v>
      </c>
      <c r="G19" s="36" t="s">
        <v>378</v>
      </c>
      <c r="H19" s="36">
        <v>2586.21</v>
      </c>
      <c r="I19" s="39">
        <f t="shared" si="0"/>
        <v>413.79360000000003</v>
      </c>
      <c r="J19" s="36"/>
      <c r="K19" s="39">
        <f t="shared" si="1"/>
        <v>3000.0036</v>
      </c>
      <c r="L19" s="36"/>
      <c r="M19" s="36" t="s">
        <v>348</v>
      </c>
      <c r="N19" s="36"/>
    </row>
    <row r="20" spans="1:14" x14ac:dyDescent="0.2">
      <c r="A20" s="36" t="s">
        <v>12</v>
      </c>
      <c r="B20" s="37">
        <v>39939</v>
      </c>
      <c r="C20" s="38">
        <v>2009100910</v>
      </c>
      <c r="D20" s="36" t="s">
        <v>14</v>
      </c>
      <c r="E20" s="36" t="s">
        <v>13</v>
      </c>
      <c r="F20" s="36" t="s">
        <v>379</v>
      </c>
      <c r="G20" s="36" t="s">
        <v>380</v>
      </c>
      <c r="H20" s="36">
        <v>2155.17</v>
      </c>
      <c r="I20" s="39">
        <f t="shared" si="0"/>
        <v>344.8272</v>
      </c>
      <c r="J20" s="36"/>
      <c r="K20" s="39">
        <f t="shared" si="1"/>
        <v>2499.9972000000002</v>
      </c>
      <c r="L20" s="36"/>
      <c r="M20" s="36" t="s">
        <v>348</v>
      </c>
      <c r="N20" s="36"/>
    </row>
    <row r="21" spans="1:14" x14ac:dyDescent="0.2">
      <c r="A21" s="36" t="s">
        <v>12</v>
      </c>
      <c r="B21" s="37">
        <v>39946</v>
      </c>
      <c r="C21" s="38">
        <v>2009100980</v>
      </c>
      <c r="D21" s="36" t="s">
        <v>14</v>
      </c>
      <c r="E21" s="36" t="s">
        <v>13</v>
      </c>
      <c r="F21" s="36" t="s">
        <v>381</v>
      </c>
      <c r="G21" s="36" t="s">
        <v>382</v>
      </c>
      <c r="H21" s="36">
        <v>3206.27</v>
      </c>
      <c r="I21" s="39">
        <f t="shared" si="0"/>
        <v>513.00319999999999</v>
      </c>
      <c r="J21" s="36"/>
      <c r="K21" s="39">
        <f t="shared" si="1"/>
        <v>3719.2732000000001</v>
      </c>
      <c r="L21" s="36"/>
      <c r="M21" s="36" t="s">
        <v>348</v>
      </c>
      <c r="N21" s="36"/>
    </row>
    <row r="22" spans="1:14" x14ac:dyDescent="0.2">
      <c r="A22" s="36" t="s">
        <v>12</v>
      </c>
      <c r="B22" s="37">
        <v>39946</v>
      </c>
      <c r="C22" s="38">
        <v>2009100981</v>
      </c>
      <c r="D22" s="36" t="s">
        <v>14</v>
      </c>
      <c r="E22" s="36" t="s">
        <v>13</v>
      </c>
      <c r="F22" s="36" t="s">
        <v>381</v>
      </c>
      <c r="G22" s="36" t="s">
        <v>383</v>
      </c>
      <c r="H22" s="36">
        <v>3293.16</v>
      </c>
      <c r="I22" s="39">
        <f t="shared" si="0"/>
        <v>526.90559999999994</v>
      </c>
      <c r="J22" s="36"/>
      <c r="K22" s="39">
        <f t="shared" si="1"/>
        <v>3820.0655999999999</v>
      </c>
      <c r="L22" s="36"/>
      <c r="M22" s="36" t="s">
        <v>348</v>
      </c>
      <c r="N22" s="36"/>
    </row>
    <row r="23" spans="1:14" x14ac:dyDescent="0.2">
      <c r="A23" s="36" t="s">
        <v>12</v>
      </c>
      <c r="B23" s="37">
        <v>39951</v>
      </c>
      <c r="C23" s="38">
        <v>2009101012</v>
      </c>
      <c r="D23" s="36" t="s">
        <v>14</v>
      </c>
      <c r="E23" s="36" t="s">
        <v>13</v>
      </c>
      <c r="F23" s="36" t="s">
        <v>377</v>
      </c>
      <c r="G23" s="36" t="s">
        <v>384</v>
      </c>
      <c r="H23" s="36">
        <v>1739</v>
      </c>
      <c r="I23" s="39">
        <f t="shared" si="0"/>
        <v>278.24</v>
      </c>
      <c r="J23" s="36"/>
      <c r="K23" s="39">
        <f t="shared" si="1"/>
        <v>2017.24</v>
      </c>
      <c r="L23" s="36"/>
      <c r="M23" s="36" t="s">
        <v>348</v>
      </c>
      <c r="N23" s="36"/>
    </row>
    <row r="24" spans="1:14" x14ac:dyDescent="0.2">
      <c r="A24" s="36" t="s">
        <v>12</v>
      </c>
      <c r="B24" s="37">
        <v>39951</v>
      </c>
      <c r="C24" s="38">
        <v>2009101011</v>
      </c>
      <c r="D24" s="36" t="s">
        <v>14</v>
      </c>
      <c r="E24" s="36" t="s">
        <v>13</v>
      </c>
      <c r="F24" s="36" t="s">
        <v>360</v>
      </c>
      <c r="G24" s="36" t="s">
        <v>385</v>
      </c>
      <c r="H24" s="36">
        <v>1292.3599999999999</v>
      </c>
      <c r="I24" s="39">
        <f t="shared" si="0"/>
        <v>206.77759999999998</v>
      </c>
      <c r="J24" s="36"/>
      <c r="K24" s="39">
        <f t="shared" si="1"/>
        <v>1499.1375999999998</v>
      </c>
      <c r="L24" s="36"/>
      <c r="M24" s="36" t="s">
        <v>348</v>
      </c>
      <c r="N24" s="36"/>
    </row>
    <row r="25" spans="1:14" x14ac:dyDescent="0.2">
      <c r="A25" s="36" t="s">
        <v>12</v>
      </c>
      <c r="B25" s="37">
        <v>39951</v>
      </c>
      <c r="C25" s="38">
        <v>2009101010</v>
      </c>
      <c r="D25" s="36" t="s">
        <v>14</v>
      </c>
      <c r="E25" s="36" t="s">
        <v>13</v>
      </c>
      <c r="F25" s="36" t="s">
        <v>360</v>
      </c>
      <c r="G25" s="36" t="s">
        <v>386</v>
      </c>
      <c r="H25" s="36">
        <v>1468.11</v>
      </c>
      <c r="I25" s="39">
        <f t="shared" si="0"/>
        <v>234.89759999999998</v>
      </c>
      <c r="J25" s="36"/>
      <c r="K25" s="39">
        <f t="shared" si="1"/>
        <v>1703.0075999999999</v>
      </c>
      <c r="L25" s="36"/>
      <c r="M25" s="36" t="s">
        <v>348</v>
      </c>
      <c r="N25" s="36"/>
    </row>
    <row r="26" spans="1:14" x14ac:dyDescent="0.2">
      <c r="A26" s="36" t="s">
        <v>12</v>
      </c>
      <c r="B26" s="37">
        <v>39951</v>
      </c>
      <c r="C26" s="38">
        <v>2009101009</v>
      </c>
      <c r="D26" s="36" t="s">
        <v>14</v>
      </c>
      <c r="E26" s="36" t="s">
        <v>13</v>
      </c>
      <c r="F26" s="36" t="s">
        <v>360</v>
      </c>
      <c r="G26" s="36" t="s">
        <v>387</v>
      </c>
      <c r="H26" s="36">
        <v>1431.35</v>
      </c>
      <c r="I26" s="39">
        <f t="shared" si="0"/>
        <v>229.01599999999999</v>
      </c>
      <c r="J26" s="36"/>
      <c r="K26" s="39">
        <f t="shared" si="1"/>
        <v>1660.366</v>
      </c>
      <c r="L26" s="36"/>
      <c r="M26" s="36" t="s">
        <v>348</v>
      </c>
      <c r="N26" s="36"/>
    </row>
    <row r="27" spans="1:14" x14ac:dyDescent="0.2">
      <c r="A27" s="36" t="s">
        <v>12</v>
      </c>
      <c r="B27" s="37">
        <v>39952</v>
      </c>
      <c r="C27" s="38">
        <v>2009101031</v>
      </c>
      <c r="D27" s="36" t="s">
        <v>14</v>
      </c>
      <c r="E27" s="36" t="s">
        <v>13</v>
      </c>
      <c r="F27" s="36" t="s">
        <v>368</v>
      </c>
      <c r="G27" s="36" t="s">
        <v>388</v>
      </c>
      <c r="H27" s="36">
        <v>2916.47</v>
      </c>
      <c r="I27" s="39">
        <f t="shared" si="0"/>
        <v>466.6352</v>
      </c>
      <c r="J27" s="36"/>
      <c r="K27" s="39">
        <f t="shared" si="1"/>
        <v>3383.1052</v>
      </c>
      <c r="L27" s="36"/>
      <c r="M27" s="36" t="s">
        <v>348</v>
      </c>
      <c r="N27" s="36"/>
    </row>
    <row r="28" spans="1:14" x14ac:dyDescent="0.2">
      <c r="A28" s="36" t="s">
        <v>12</v>
      </c>
      <c r="B28" s="37">
        <v>39952</v>
      </c>
      <c r="C28" s="38">
        <v>2009101032</v>
      </c>
      <c r="D28" s="36" t="s">
        <v>14</v>
      </c>
      <c r="E28" s="36" t="s">
        <v>13</v>
      </c>
      <c r="F28" s="36" t="s">
        <v>368</v>
      </c>
      <c r="G28" s="36" t="s">
        <v>389</v>
      </c>
      <c r="H28" s="36">
        <v>2970.16</v>
      </c>
      <c r="I28" s="39">
        <f t="shared" si="0"/>
        <v>475.22559999999999</v>
      </c>
      <c r="J28" s="36"/>
      <c r="K28" s="39">
        <f t="shared" si="1"/>
        <v>3445.3855999999996</v>
      </c>
      <c r="L28" s="36"/>
      <c r="M28" s="36" t="s">
        <v>348</v>
      </c>
      <c r="N28" s="36"/>
    </row>
    <row r="29" spans="1:14" x14ac:dyDescent="0.2">
      <c r="A29" s="36" t="s">
        <v>12</v>
      </c>
      <c r="B29" s="37">
        <v>39955</v>
      </c>
      <c r="C29" s="38">
        <v>2009101057</v>
      </c>
      <c r="D29" s="36" t="s">
        <v>14</v>
      </c>
      <c r="E29" s="36" t="s">
        <v>13</v>
      </c>
      <c r="F29" s="36" t="s">
        <v>390</v>
      </c>
      <c r="G29" s="36" t="s">
        <v>391</v>
      </c>
      <c r="H29" s="36">
        <v>3706.9</v>
      </c>
      <c r="I29" s="39">
        <f t="shared" si="0"/>
        <v>593.10400000000004</v>
      </c>
      <c r="J29" s="36"/>
      <c r="K29" s="39">
        <f t="shared" si="1"/>
        <v>4300.0039999999999</v>
      </c>
      <c r="L29" s="36"/>
      <c r="M29" s="36" t="s">
        <v>348</v>
      </c>
      <c r="N29" s="36"/>
    </row>
    <row r="30" spans="1:14" x14ac:dyDescent="0.2">
      <c r="A30" s="36" t="s">
        <v>12</v>
      </c>
      <c r="B30" s="37">
        <v>39955</v>
      </c>
      <c r="C30" s="38">
        <v>2009101056</v>
      </c>
      <c r="D30" s="36" t="s">
        <v>14</v>
      </c>
      <c r="E30" s="36" t="s">
        <v>13</v>
      </c>
      <c r="F30" s="36" t="s">
        <v>392</v>
      </c>
      <c r="G30" s="36" t="s">
        <v>393</v>
      </c>
      <c r="H30" s="36">
        <v>3052.46</v>
      </c>
      <c r="I30" s="39">
        <f t="shared" si="0"/>
        <v>488.39359999999999</v>
      </c>
      <c r="J30" s="36"/>
      <c r="K30" s="39">
        <f t="shared" si="1"/>
        <v>3540.8535999999999</v>
      </c>
      <c r="L30" s="36"/>
      <c r="M30" s="36" t="s">
        <v>348</v>
      </c>
      <c r="N30" s="36"/>
    </row>
    <row r="31" spans="1:14" x14ac:dyDescent="0.2">
      <c r="A31" s="36" t="s">
        <v>12</v>
      </c>
      <c r="B31" s="37">
        <v>39955</v>
      </c>
      <c r="C31" s="38">
        <v>2009101058</v>
      </c>
      <c r="D31" s="36" t="s">
        <v>14</v>
      </c>
      <c r="E31" s="36" t="s">
        <v>13</v>
      </c>
      <c r="F31" s="36" t="s">
        <v>394</v>
      </c>
      <c r="G31" s="36" t="s">
        <v>395</v>
      </c>
      <c r="H31" s="36">
        <v>3189.66</v>
      </c>
      <c r="I31" s="39">
        <f t="shared" si="0"/>
        <v>510.34559999999999</v>
      </c>
      <c r="J31" s="36"/>
      <c r="K31" s="39">
        <f t="shared" si="1"/>
        <v>3700.0056</v>
      </c>
      <c r="L31" s="36"/>
      <c r="M31" s="36" t="s">
        <v>348</v>
      </c>
      <c r="N31" s="36"/>
    </row>
    <row r="32" spans="1:14" x14ac:dyDescent="0.2">
      <c r="A32" s="36" t="s">
        <v>12</v>
      </c>
      <c r="B32" s="37">
        <v>39960</v>
      </c>
      <c r="C32" s="38">
        <v>2009101091</v>
      </c>
      <c r="D32" s="36" t="s">
        <v>14</v>
      </c>
      <c r="E32" s="36" t="s">
        <v>13</v>
      </c>
      <c r="F32" s="36" t="s">
        <v>396</v>
      </c>
      <c r="G32" s="36" t="s">
        <v>397</v>
      </c>
      <c r="H32" s="36">
        <v>2844.83</v>
      </c>
      <c r="I32" s="39">
        <f t="shared" si="0"/>
        <v>455.1728</v>
      </c>
      <c r="J32" s="36"/>
      <c r="K32" s="39">
        <f t="shared" si="1"/>
        <v>3300.0027999999998</v>
      </c>
      <c r="L32" s="36"/>
      <c r="M32" s="36" t="s">
        <v>348</v>
      </c>
      <c r="N32" s="36"/>
    </row>
    <row r="33" spans="1:14" x14ac:dyDescent="0.2">
      <c r="A33" s="36" t="s">
        <v>12</v>
      </c>
      <c r="B33" s="37">
        <v>39960</v>
      </c>
      <c r="C33" s="38">
        <v>2009101092</v>
      </c>
      <c r="D33" s="36" t="s">
        <v>14</v>
      </c>
      <c r="E33" s="36" t="s">
        <v>13</v>
      </c>
      <c r="F33" s="36" t="s">
        <v>396</v>
      </c>
      <c r="G33" s="36" t="s">
        <v>398</v>
      </c>
      <c r="H33" s="36">
        <v>2758.62</v>
      </c>
      <c r="I33" s="39">
        <f t="shared" si="0"/>
        <v>441.37919999999997</v>
      </c>
      <c r="J33" s="36"/>
      <c r="K33" s="39">
        <f t="shared" si="1"/>
        <v>3199.9991999999997</v>
      </c>
      <c r="L33" s="36"/>
      <c r="M33" s="36" t="s">
        <v>348</v>
      </c>
      <c r="N33" s="36"/>
    </row>
    <row r="34" spans="1:14" x14ac:dyDescent="0.2">
      <c r="A34" s="36" t="s">
        <v>12</v>
      </c>
      <c r="B34" s="37">
        <v>39965</v>
      </c>
      <c r="C34" s="38">
        <v>2009101112</v>
      </c>
      <c r="D34" s="36" t="s">
        <v>14</v>
      </c>
      <c r="E34" s="36" t="s">
        <v>13</v>
      </c>
      <c r="F34" s="36" t="s">
        <v>360</v>
      </c>
      <c r="G34" s="36" t="s">
        <v>399</v>
      </c>
      <c r="H34" s="36">
        <v>925.79</v>
      </c>
      <c r="I34" s="39">
        <f t="shared" si="0"/>
        <v>148.12639999999999</v>
      </c>
      <c r="J34" s="36"/>
      <c r="K34" s="39">
        <f t="shared" si="1"/>
        <v>1073.9164000000001</v>
      </c>
      <c r="L34" s="36"/>
      <c r="M34" s="36" t="s">
        <v>348</v>
      </c>
      <c r="N34" s="36"/>
    </row>
    <row r="35" spans="1:14" x14ac:dyDescent="0.2">
      <c r="A35" s="36" t="s">
        <v>12</v>
      </c>
      <c r="B35" s="37">
        <v>39965</v>
      </c>
      <c r="C35" s="38">
        <v>2009101113</v>
      </c>
      <c r="D35" s="36" t="s">
        <v>14</v>
      </c>
      <c r="E35" s="36" t="s">
        <v>13</v>
      </c>
      <c r="F35" s="36" t="s">
        <v>400</v>
      </c>
      <c r="G35" s="36" t="s">
        <v>401</v>
      </c>
      <c r="H35" s="36">
        <v>1922.44</v>
      </c>
      <c r="I35" s="39">
        <f t="shared" si="0"/>
        <v>307.59039999999999</v>
      </c>
      <c r="J35" s="36"/>
      <c r="K35" s="39">
        <f t="shared" si="1"/>
        <v>2230.0304000000001</v>
      </c>
      <c r="L35" s="36"/>
      <c r="M35" s="36" t="s">
        <v>348</v>
      </c>
      <c r="N35" s="36"/>
    </row>
    <row r="36" spans="1:14" x14ac:dyDescent="0.2">
      <c r="A36" s="36" t="s">
        <v>12</v>
      </c>
      <c r="B36" s="37">
        <v>39965</v>
      </c>
      <c r="C36" s="38">
        <v>2009101114</v>
      </c>
      <c r="D36" s="36" t="s">
        <v>14</v>
      </c>
      <c r="E36" s="36" t="s">
        <v>13</v>
      </c>
      <c r="F36" s="36" t="s">
        <v>390</v>
      </c>
      <c r="G36" s="36" t="s">
        <v>402</v>
      </c>
      <c r="H36" s="36">
        <v>4220.99</v>
      </c>
      <c r="I36" s="39">
        <f t="shared" si="0"/>
        <v>675.35839999999996</v>
      </c>
      <c r="J36" s="36"/>
      <c r="K36" s="39">
        <f t="shared" si="1"/>
        <v>4896.3483999999999</v>
      </c>
      <c r="L36" s="36"/>
      <c r="M36" s="36" t="s">
        <v>348</v>
      </c>
      <c r="N36" s="36"/>
    </row>
    <row r="37" spans="1:14" x14ac:dyDescent="0.2">
      <c r="A37" s="36" t="s">
        <v>12</v>
      </c>
      <c r="B37" s="37">
        <v>39965</v>
      </c>
      <c r="C37" s="38">
        <v>2009101115</v>
      </c>
      <c r="D37" s="36" t="s">
        <v>14</v>
      </c>
      <c r="E37" s="36" t="s">
        <v>13</v>
      </c>
      <c r="F37" s="36" t="s">
        <v>377</v>
      </c>
      <c r="G37" s="36" t="s">
        <v>403</v>
      </c>
      <c r="H37" s="36">
        <v>2497.59</v>
      </c>
      <c r="I37" s="39">
        <f t="shared" si="0"/>
        <v>399.61440000000005</v>
      </c>
      <c r="J37" s="36"/>
      <c r="K37" s="39">
        <f t="shared" si="1"/>
        <v>2897.2044000000001</v>
      </c>
      <c r="L37" s="36"/>
      <c r="M37" s="36" t="s">
        <v>348</v>
      </c>
      <c r="N37" s="36"/>
    </row>
    <row r="38" spans="1:14" x14ac:dyDescent="0.2">
      <c r="A38" s="36" t="s">
        <v>12</v>
      </c>
      <c r="B38" s="37">
        <v>39968</v>
      </c>
      <c r="C38" s="38">
        <v>2009101149</v>
      </c>
      <c r="D38" s="36" t="s">
        <v>14</v>
      </c>
      <c r="E38" s="36" t="s">
        <v>13</v>
      </c>
      <c r="F38" s="36" t="s">
        <v>346</v>
      </c>
      <c r="G38" s="36" t="s">
        <v>404</v>
      </c>
      <c r="H38" s="36">
        <v>1357.31</v>
      </c>
      <c r="I38" s="39">
        <f t="shared" si="0"/>
        <v>217.1696</v>
      </c>
      <c r="J38" s="36"/>
      <c r="K38" s="39">
        <f t="shared" si="1"/>
        <v>1574.4795999999999</v>
      </c>
      <c r="L38" s="36"/>
      <c r="M38" s="36" t="s">
        <v>348</v>
      </c>
      <c r="N38" s="36"/>
    </row>
    <row r="39" spans="1:14" x14ac:dyDescent="0.2">
      <c r="A39" s="36" t="s">
        <v>12</v>
      </c>
      <c r="B39" s="37">
        <v>39968</v>
      </c>
      <c r="C39" s="38">
        <v>2009101151</v>
      </c>
      <c r="D39" s="36" t="s">
        <v>14</v>
      </c>
      <c r="E39" s="36" t="s">
        <v>13</v>
      </c>
      <c r="F39" s="36" t="s">
        <v>400</v>
      </c>
      <c r="G39" s="36" t="s">
        <v>405</v>
      </c>
      <c r="H39" s="36">
        <v>1635.76</v>
      </c>
      <c r="I39" s="39">
        <f t="shared" si="0"/>
        <v>261.72160000000002</v>
      </c>
      <c r="J39" s="36"/>
      <c r="K39" s="39">
        <f t="shared" si="1"/>
        <v>1897.4816000000001</v>
      </c>
      <c r="L39" s="36"/>
      <c r="M39" s="36" t="s">
        <v>348</v>
      </c>
      <c r="N39" s="36"/>
    </row>
    <row r="40" spans="1:14" x14ac:dyDescent="0.2">
      <c r="A40" s="36" t="s">
        <v>12</v>
      </c>
      <c r="B40" s="37">
        <v>39968</v>
      </c>
      <c r="C40" s="38">
        <v>2009101150</v>
      </c>
      <c r="D40" s="36" t="s">
        <v>14</v>
      </c>
      <c r="E40" s="36" t="s">
        <v>13</v>
      </c>
      <c r="F40" s="36" t="s">
        <v>406</v>
      </c>
      <c r="G40" s="36" t="s">
        <v>407</v>
      </c>
      <c r="H40" s="36">
        <v>2250.06</v>
      </c>
      <c r="I40" s="39">
        <f t="shared" si="0"/>
        <v>360.00959999999998</v>
      </c>
      <c r="J40" s="36"/>
      <c r="K40" s="39">
        <f t="shared" si="1"/>
        <v>2610.0695999999998</v>
      </c>
      <c r="L40" s="36"/>
      <c r="M40" s="36" t="s">
        <v>348</v>
      </c>
      <c r="N40" s="36"/>
    </row>
    <row r="41" spans="1:14" x14ac:dyDescent="0.2">
      <c r="A41" s="36" t="s">
        <v>408</v>
      </c>
      <c r="B41" s="45">
        <v>39952</v>
      </c>
      <c r="C41" s="46" t="s">
        <v>136</v>
      </c>
      <c r="D41" s="47" t="s">
        <v>409</v>
      </c>
      <c r="E41" s="36" t="s">
        <v>410</v>
      </c>
      <c r="F41" s="48" t="s">
        <v>411</v>
      </c>
      <c r="G41" s="36" t="s">
        <v>412</v>
      </c>
      <c r="H41" s="36">
        <v>5517.24</v>
      </c>
      <c r="I41" s="39">
        <f t="shared" si="0"/>
        <v>882.75839999999994</v>
      </c>
      <c r="J41" s="36"/>
      <c r="K41" s="39">
        <f>+H41+I41</f>
        <v>6399.9983999999995</v>
      </c>
      <c r="L41" s="36" t="s">
        <v>413</v>
      </c>
      <c r="M41" s="36" t="s">
        <v>348</v>
      </c>
      <c r="N41" s="36"/>
    </row>
    <row r="42" spans="1:14" x14ac:dyDescent="0.2">
      <c r="A42" s="36" t="s">
        <v>408</v>
      </c>
      <c r="B42" s="45">
        <v>39961</v>
      </c>
      <c r="C42" s="46" t="s">
        <v>137</v>
      </c>
      <c r="D42" s="47" t="s">
        <v>414</v>
      </c>
      <c r="E42" s="36" t="s">
        <v>415</v>
      </c>
      <c r="F42" s="48" t="s">
        <v>416</v>
      </c>
      <c r="G42" s="36" t="s">
        <v>363</v>
      </c>
      <c r="H42" s="36">
        <v>5603.45</v>
      </c>
      <c r="I42" s="39">
        <f t="shared" si="0"/>
        <v>896.55200000000002</v>
      </c>
      <c r="J42" s="36"/>
      <c r="K42" s="39">
        <f>+H42+I42</f>
        <v>6500.0019999999995</v>
      </c>
      <c r="L42" s="36" t="s">
        <v>417</v>
      </c>
      <c r="M42" s="36" t="s">
        <v>348</v>
      </c>
      <c r="N42" s="36"/>
    </row>
    <row r="43" spans="1:14" x14ac:dyDescent="0.2">
      <c r="A43" s="36" t="s">
        <v>408</v>
      </c>
      <c r="B43" s="45">
        <v>39961</v>
      </c>
      <c r="C43" s="46" t="s">
        <v>138</v>
      </c>
      <c r="D43" s="47" t="s">
        <v>418</v>
      </c>
      <c r="E43" s="36" t="s">
        <v>419</v>
      </c>
      <c r="F43" s="48" t="s">
        <v>230</v>
      </c>
      <c r="G43" s="36" t="s">
        <v>376</v>
      </c>
      <c r="H43" s="36">
        <v>3017.24</v>
      </c>
      <c r="I43" s="39">
        <f t="shared" si="0"/>
        <v>482.75839999999999</v>
      </c>
      <c r="J43" s="36"/>
      <c r="K43" s="39">
        <f>+H43+I43</f>
        <v>3499.9983999999999</v>
      </c>
      <c r="L43" s="36"/>
      <c r="M43" s="36" t="s">
        <v>348</v>
      </c>
      <c r="N43" s="36"/>
    </row>
    <row r="44" spans="1:14" x14ac:dyDescent="0.2">
      <c r="A44" s="36" t="s">
        <v>408</v>
      </c>
      <c r="B44" s="45">
        <v>39994</v>
      </c>
      <c r="C44" s="46" t="s">
        <v>139</v>
      </c>
      <c r="D44" s="47" t="s">
        <v>420</v>
      </c>
      <c r="E44" s="49" t="s">
        <v>421</v>
      </c>
      <c r="F44" s="48" t="s">
        <v>422</v>
      </c>
      <c r="G44" s="48" t="s">
        <v>423</v>
      </c>
      <c r="H44" s="36">
        <v>2068.9699999999998</v>
      </c>
      <c r="I44" s="39">
        <f t="shared" si="0"/>
        <v>331.03519999999997</v>
      </c>
      <c r="J44" s="36"/>
      <c r="K44" s="39">
        <f>+H44+I44</f>
        <v>2400.0051999999996</v>
      </c>
      <c r="L44" s="36"/>
      <c r="M44" s="36" t="s">
        <v>348</v>
      </c>
      <c r="N44" s="36"/>
    </row>
    <row r="45" spans="1:14" x14ac:dyDescent="0.2">
      <c r="A45" s="36" t="s">
        <v>408</v>
      </c>
      <c r="B45" s="45">
        <v>39994</v>
      </c>
      <c r="C45" s="46" t="s">
        <v>140</v>
      </c>
      <c r="D45" s="47" t="s">
        <v>424</v>
      </c>
      <c r="E45" s="49" t="s">
        <v>425</v>
      </c>
      <c r="F45" s="48" t="s">
        <v>183</v>
      </c>
      <c r="G45" s="48" t="s">
        <v>426</v>
      </c>
      <c r="H45" s="36">
        <v>5000</v>
      </c>
      <c r="I45" s="39">
        <f t="shared" si="0"/>
        <v>800</v>
      </c>
      <c r="J45" s="36"/>
      <c r="K45" s="39">
        <f>+H45+I45</f>
        <v>5800</v>
      </c>
      <c r="L45" s="36"/>
      <c r="M45" s="36" t="s">
        <v>348</v>
      </c>
      <c r="N45" s="36"/>
    </row>
    <row r="46" spans="1:14" x14ac:dyDescent="0.2">
      <c r="A46" s="36" t="s">
        <v>427</v>
      </c>
      <c r="B46" s="37">
        <v>40059</v>
      </c>
      <c r="C46" s="38" t="s">
        <v>428</v>
      </c>
      <c r="D46" s="36" t="s">
        <v>14</v>
      </c>
      <c r="E46" s="36"/>
      <c r="F46" s="36"/>
      <c r="G46" s="36"/>
      <c r="H46" s="36"/>
      <c r="I46" s="36"/>
      <c r="J46" s="36"/>
      <c r="K46" s="36">
        <v>1074.47</v>
      </c>
      <c r="L46" s="36"/>
      <c r="M46" s="36" t="s">
        <v>429</v>
      </c>
      <c r="N46" s="36"/>
    </row>
    <row r="47" spans="1:14" x14ac:dyDescent="0.2">
      <c r="A47" s="36" t="s">
        <v>427</v>
      </c>
      <c r="B47" s="37">
        <v>40059</v>
      </c>
      <c r="C47" s="38" t="s">
        <v>428</v>
      </c>
      <c r="D47" s="36" t="s">
        <v>14</v>
      </c>
      <c r="E47" s="36"/>
      <c r="F47" s="36"/>
      <c r="G47" s="36"/>
      <c r="H47" s="36"/>
      <c r="I47" s="36"/>
      <c r="J47" s="36"/>
      <c r="K47" s="36">
        <v>150</v>
      </c>
      <c r="L47" s="36"/>
      <c r="M47" s="36" t="s">
        <v>429</v>
      </c>
      <c r="N47" s="36"/>
    </row>
    <row r="48" spans="1:14" x14ac:dyDescent="0.2">
      <c r="A48" s="36" t="s">
        <v>12</v>
      </c>
      <c r="B48" s="37">
        <v>40065</v>
      </c>
      <c r="C48" s="38">
        <v>15100779</v>
      </c>
      <c r="D48" s="36" t="s">
        <v>15</v>
      </c>
      <c r="E48" s="36" t="s">
        <v>16</v>
      </c>
      <c r="F48" s="36" t="s">
        <v>430</v>
      </c>
      <c r="G48" s="36" t="s">
        <v>431</v>
      </c>
      <c r="H48" s="39">
        <f>2700/1.16</f>
        <v>2327.5862068965521</v>
      </c>
      <c r="I48" s="39">
        <f>H48*0.16</f>
        <v>372.41379310344831</v>
      </c>
      <c r="J48" s="36"/>
      <c r="K48" s="36">
        <f>+H48+I48</f>
        <v>2700.0000000000005</v>
      </c>
      <c r="L48" s="36"/>
      <c r="M48" s="36" t="s">
        <v>429</v>
      </c>
      <c r="N48" s="36"/>
    </row>
    <row r="49" spans="1:14" x14ac:dyDescent="0.2">
      <c r="A49" s="36" t="s">
        <v>12</v>
      </c>
      <c r="B49" s="37">
        <v>40026</v>
      </c>
      <c r="C49" s="38" t="s">
        <v>432</v>
      </c>
      <c r="D49" s="36" t="s">
        <v>14</v>
      </c>
      <c r="E49" s="36" t="s">
        <v>13</v>
      </c>
      <c r="F49" s="36" t="s">
        <v>433</v>
      </c>
      <c r="G49" s="36" t="s">
        <v>404</v>
      </c>
      <c r="H49" s="39">
        <v>431.04</v>
      </c>
      <c r="I49" s="39">
        <f>H49*0.16</f>
        <v>68.966400000000007</v>
      </c>
      <c r="J49" s="39"/>
      <c r="K49" s="39">
        <f>+H49+I49</f>
        <v>500.00640000000004</v>
      </c>
      <c r="L49" s="36"/>
      <c r="M49" s="36" t="s">
        <v>429</v>
      </c>
      <c r="N49" s="36"/>
    </row>
    <row r="50" spans="1:14" x14ac:dyDescent="0.2">
      <c r="A50" s="36" t="s">
        <v>12</v>
      </c>
      <c r="B50" s="37">
        <v>40067</v>
      </c>
      <c r="C50" s="38">
        <v>2009101855</v>
      </c>
      <c r="D50" s="36" t="s">
        <v>14</v>
      </c>
      <c r="E50" s="36" t="s">
        <v>13</v>
      </c>
      <c r="F50" s="36" t="s">
        <v>434</v>
      </c>
      <c r="G50" s="36" t="s">
        <v>435</v>
      </c>
      <c r="H50" s="36">
        <v>2081.1</v>
      </c>
      <c r="I50" s="39">
        <f>H50*0.16</f>
        <v>332.976</v>
      </c>
      <c r="J50" s="39"/>
      <c r="K50" s="39">
        <f>+H50+I50</f>
        <v>2414.076</v>
      </c>
      <c r="L50" s="36"/>
      <c r="M50" s="36" t="s">
        <v>429</v>
      </c>
      <c r="N50" s="36"/>
    </row>
    <row r="51" spans="1:14" x14ac:dyDescent="0.2">
      <c r="A51" s="36" t="s">
        <v>12</v>
      </c>
      <c r="B51" s="37">
        <v>40067</v>
      </c>
      <c r="C51" s="38">
        <v>2009101856</v>
      </c>
      <c r="D51" s="36" t="s">
        <v>14</v>
      </c>
      <c r="E51" s="36" t="s">
        <v>13</v>
      </c>
      <c r="F51" s="36" t="s">
        <v>436</v>
      </c>
      <c r="G51" s="36" t="s">
        <v>437</v>
      </c>
      <c r="H51" s="36">
        <v>2641.01</v>
      </c>
      <c r="I51" s="39">
        <f t="shared" ref="I51:I108" si="2">H51*0.16</f>
        <v>422.56160000000006</v>
      </c>
      <c r="J51" s="39"/>
      <c r="K51" s="39">
        <f t="shared" ref="K51:K108" si="3">+H51+I51</f>
        <v>3063.5716000000002</v>
      </c>
      <c r="L51" s="36"/>
      <c r="M51" s="36" t="s">
        <v>429</v>
      </c>
      <c r="N51" s="36"/>
    </row>
    <row r="52" spans="1:14" x14ac:dyDescent="0.2">
      <c r="A52" s="36" t="s">
        <v>12</v>
      </c>
      <c r="B52" s="37">
        <v>40045</v>
      </c>
      <c r="C52" s="38">
        <v>2009101765</v>
      </c>
      <c r="D52" s="36" t="s">
        <v>14</v>
      </c>
      <c r="E52" s="36" t="s">
        <v>13</v>
      </c>
      <c r="F52" s="36" t="s">
        <v>406</v>
      </c>
      <c r="G52" s="36" t="s">
        <v>438</v>
      </c>
      <c r="H52" s="36">
        <v>1555.91</v>
      </c>
      <c r="I52" s="39">
        <f t="shared" si="2"/>
        <v>248.94560000000001</v>
      </c>
      <c r="J52" s="39"/>
      <c r="K52" s="39">
        <f t="shared" si="3"/>
        <v>1804.8556000000001</v>
      </c>
      <c r="L52" s="36"/>
      <c r="M52" s="36" t="s">
        <v>429</v>
      </c>
      <c r="N52" s="36"/>
    </row>
    <row r="53" spans="1:14" x14ac:dyDescent="0.2">
      <c r="A53" s="36" t="s">
        <v>12</v>
      </c>
      <c r="B53" s="37">
        <v>40045</v>
      </c>
      <c r="C53" s="38">
        <v>2009101764</v>
      </c>
      <c r="D53" s="36" t="s">
        <v>14</v>
      </c>
      <c r="E53" s="36" t="s">
        <v>13</v>
      </c>
      <c r="F53" s="36" t="s">
        <v>406</v>
      </c>
      <c r="G53" s="36" t="s">
        <v>439</v>
      </c>
      <c r="H53" s="36">
        <v>1363.36</v>
      </c>
      <c r="I53" s="39">
        <f t="shared" si="2"/>
        <v>218.13759999999999</v>
      </c>
      <c r="J53" s="39"/>
      <c r="K53" s="39">
        <f t="shared" si="3"/>
        <v>1581.4975999999999</v>
      </c>
      <c r="L53" s="36"/>
      <c r="M53" s="36" t="s">
        <v>429</v>
      </c>
      <c r="N53" s="36"/>
    </row>
    <row r="54" spans="1:14" x14ac:dyDescent="0.2">
      <c r="A54" s="36" t="s">
        <v>12</v>
      </c>
      <c r="B54" s="37">
        <v>40077</v>
      </c>
      <c r="C54" s="38">
        <v>2009101872</v>
      </c>
      <c r="D54" s="36" t="s">
        <v>14</v>
      </c>
      <c r="E54" s="36" t="s">
        <v>13</v>
      </c>
      <c r="F54" s="36" t="s">
        <v>346</v>
      </c>
      <c r="G54" s="36" t="s">
        <v>440</v>
      </c>
      <c r="H54" s="36">
        <v>1166.3800000000001</v>
      </c>
      <c r="I54" s="39">
        <f t="shared" si="2"/>
        <v>186.62080000000003</v>
      </c>
      <c r="J54" s="39"/>
      <c r="K54" s="39">
        <f t="shared" si="3"/>
        <v>1353.0008000000003</v>
      </c>
      <c r="L54" s="36"/>
      <c r="M54" s="36" t="s">
        <v>429</v>
      </c>
      <c r="N54" s="36"/>
    </row>
    <row r="55" spans="1:14" x14ac:dyDescent="0.2">
      <c r="A55" s="36" t="s">
        <v>12</v>
      </c>
      <c r="B55" s="37">
        <v>40077</v>
      </c>
      <c r="C55" s="38">
        <v>2009101873</v>
      </c>
      <c r="D55" s="36" t="s">
        <v>14</v>
      </c>
      <c r="E55" s="36" t="s">
        <v>13</v>
      </c>
      <c r="F55" s="36" t="s">
        <v>434</v>
      </c>
      <c r="G55" s="36" t="s">
        <v>441</v>
      </c>
      <c r="H55" s="36">
        <v>3087.58</v>
      </c>
      <c r="I55" s="39">
        <f t="shared" si="2"/>
        <v>494.01280000000003</v>
      </c>
      <c r="J55" s="39"/>
      <c r="K55" s="39">
        <f t="shared" si="3"/>
        <v>3581.5927999999999</v>
      </c>
      <c r="L55" s="36"/>
      <c r="M55" s="36" t="s">
        <v>429</v>
      </c>
      <c r="N55" s="36"/>
    </row>
    <row r="56" spans="1:14" x14ac:dyDescent="0.2">
      <c r="A56" s="36" t="s">
        <v>12</v>
      </c>
      <c r="B56" s="37">
        <v>40057</v>
      </c>
      <c r="C56" s="38">
        <v>2009101808</v>
      </c>
      <c r="D56" s="36" t="s">
        <v>14</v>
      </c>
      <c r="E56" s="36" t="s">
        <v>13</v>
      </c>
      <c r="F56" s="36" t="s">
        <v>442</v>
      </c>
      <c r="G56" s="36" t="s">
        <v>443</v>
      </c>
      <c r="H56" s="36">
        <v>6896.55</v>
      </c>
      <c r="I56" s="39">
        <f t="shared" si="2"/>
        <v>1103.4480000000001</v>
      </c>
      <c r="J56" s="39"/>
      <c r="K56" s="39">
        <f t="shared" si="3"/>
        <v>7999.9980000000005</v>
      </c>
      <c r="L56" s="36"/>
      <c r="M56" s="36" t="s">
        <v>429</v>
      </c>
      <c r="N56" s="36"/>
    </row>
    <row r="57" spans="1:14" x14ac:dyDescent="0.2">
      <c r="A57" s="36" t="s">
        <v>12</v>
      </c>
      <c r="B57" s="37">
        <v>40057</v>
      </c>
      <c r="C57" s="38">
        <v>2009101809</v>
      </c>
      <c r="D57" s="36" t="s">
        <v>14</v>
      </c>
      <c r="E57" s="36" t="s">
        <v>13</v>
      </c>
      <c r="F57" s="36" t="s">
        <v>436</v>
      </c>
      <c r="G57" s="36" t="s">
        <v>444</v>
      </c>
      <c r="H57" s="36">
        <v>2743.21</v>
      </c>
      <c r="I57" s="39">
        <f t="shared" si="2"/>
        <v>438.91360000000003</v>
      </c>
      <c r="J57" s="39"/>
      <c r="K57" s="39">
        <f t="shared" si="3"/>
        <v>3182.1235999999999</v>
      </c>
      <c r="L57" s="36"/>
      <c r="M57" s="36" t="s">
        <v>429</v>
      </c>
      <c r="N57" s="36"/>
    </row>
    <row r="58" spans="1:14" x14ac:dyDescent="0.2">
      <c r="A58" s="36" t="s">
        <v>12</v>
      </c>
      <c r="B58" s="37">
        <v>40057</v>
      </c>
      <c r="C58" s="38">
        <v>2009101810</v>
      </c>
      <c r="D58" s="36" t="s">
        <v>14</v>
      </c>
      <c r="E58" s="36" t="s">
        <v>13</v>
      </c>
      <c r="F58" s="36" t="s">
        <v>445</v>
      </c>
      <c r="G58" s="36" t="s">
        <v>446</v>
      </c>
      <c r="H58" s="36">
        <v>2858.16</v>
      </c>
      <c r="I58" s="39">
        <f t="shared" si="2"/>
        <v>457.30559999999997</v>
      </c>
      <c r="J58" s="39"/>
      <c r="K58" s="39">
        <f t="shared" si="3"/>
        <v>3315.4656</v>
      </c>
      <c r="L58" s="36"/>
      <c r="M58" s="36" t="s">
        <v>429</v>
      </c>
      <c r="N58" s="36"/>
    </row>
    <row r="59" spans="1:14" x14ac:dyDescent="0.2">
      <c r="A59" s="36" t="s">
        <v>12</v>
      </c>
      <c r="B59" s="37">
        <v>40059</v>
      </c>
      <c r="C59" s="38">
        <v>2009101827</v>
      </c>
      <c r="D59" s="36" t="s">
        <v>14</v>
      </c>
      <c r="E59" s="36" t="s">
        <v>13</v>
      </c>
      <c r="F59" s="36" t="s">
        <v>406</v>
      </c>
      <c r="G59" s="36" t="s">
        <v>447</v>
      </c>
      <c r="H59" s="36">
        <v>2351.02</v>
      </c>
      <c r="I59" s="39">
        <f t="shared" si="2"/>
        <v>376.16320000000002</v>
      </c>
      <c r="J59" s="39"/>
      <c r="K59" s="39">
        <f t="shared" si="3"/>
        <v>2727.1831999999999</v>
      </c>
      <c r="L59" s="36"/>
      <c r="M59" s="36" t="s">
        <v>429</v>
      </c>
      <c r="N59" s="36"/>
    </row>
    <row r="60" spans="1:14" x14ac:dyDescent="0.2">
      <c r="A60" s="36" t="s">
        <v>12</v>
      </c>
      <c r="B60" s="37">
        <v>40059</v>
      </c>
      <c r="C60" s="38">
        <v>2009101828</v>
      </c>
      <c r="D60" s="36" t="s">
        <v>14</v>
      </c>
      <c r="E60" s="36" t="s">
        <v>13</v>
      </c>
      <c r="F60" s="36" t="s">
        <v>406</v>
      </c>
      <c r="G60" s="36" t="s">
        <v>448</v>
      </c>
      <c r="H60" s="36">
        <v>2068.9699999999998</v>
      </c>
      <c r="I60" s="39">
        <f t="shared" si="2"/>
        <v>331.03519999999997</v>
      </c>
      <c r="J60" s="39"/>
      <c r="K60" s="39">
        <f t="shared" si="3"/>
        <v>2400.0051999999996</v>
      </c>
      <c r="L60" s="36"/>
      <c r="M60" s="36" t="s">
        <v>429</v>
      </c>
      <c r="N60" s="36"/>
    </row>
    <row r="61" spans="1:14" x14ac:dyDescent="0.2">
      <c r="A61" s="36" t="s">
        <v>12</v>
      </c>
      <c r="B61" s="37">
        <v>40059</v>
      </c>
      <c r="C61" s="38">
        <v>2009101829</v>
      </c>
      <c r="D61" s="36" t="s">
        <v>14</v>
      </c>
      <c r="E61" s="36" t="s">
        <v>13</v>
      </c>
      <c r="F61" s="36" t="s">
        <v>406</v>
      </c>
      <c r="G61" s="36" t="s">
        <v>449</v>
      </c>
      <c r="H61" s="36">
        <v>2068.9699999999998</v>
      </c>
      <c r="I61" s="39">
        <f t="shared" si="2"/>
        <v>331.03519999999997</v>
      </c>
      <c r="J61" s="39"/>
      <c r="K61" s="39">
        <f t="shared" si="3"/>
        <v>2400.0051999999996</v>
      </c>
      <c r="L61" s="36"/>
      <c r="M61" s="36" t="s">
        <v>429</v>
      </c>
      <c r="N61" s="36"/>
    </row>
    <row r="62" spans="1:14" x14ac:dyDescent="0.2">
      <c r="A62" s="36" t="s">
        <v>12</v>
      </c>
      <c r="B62" s="37">
        <v>40087</v>
      </c>
      <c r="C62" s="38">
        <v>2009101941</v>
      </c>
      <c r="D62" s="36" t="s">
        <v>14</v>
      </c>
      <c r="E62" s="36" t="s">
        <v>13</v>
      </c>
      <c r="F62" s="36" t="s">
        <v>434</v>
      </c>
      <c r="G62" s="36" t="s">
        <v>450</v>
      </c>
      <c r="H62" s="36">
        <v>3616.94</v>
      </c>
      <c r="I62" s="39">
        <f t="shared" si="2"/>
        <v>578.71040000000005</v>
      </c>
      <c r="J62" s="39"/>
      <c r="K62" s="39">
        <f t="shared" si="3"/>
        <v>4195.6504000000004</v>
      </c>
      <c r="L62" s="36"/>
      <c r="M62" s="36" t="s">
        <v>429</v>
      </c>
      <c r="N62" s="36"/>
    </row>
    <row r="63" spans="1:14" x14ac:dyDescent="0.2">
      <c r="A63" s="36" t="s">
        <v>12</v>
      </c>
      <c r="B63" s="37">
        <v>40087</v>
      </c>
      <c r="C63" s="38">
        <v>2009101942</v>
      </c>
      <c r="D63" s="36" t="s">
        <v>14</v>
      </c>
      <c r="E63" s="36" t="s">
        <v>13</v>
      </c>
      <c r="F63" s="36" t="s">
        <v>377</v>
      </c>
      <c r="G63" s="36" t="s">
        <v>451</v>
      </c>
      <c r="H63" s="36">
        <v>3545.46</v>
      </c>
      <c r="I63" s="39">
        <f t="shared" si="2"/>
        <v>567.27359999999999</v>
      </c>
      <c r="J63" s="39"/>
      <c r="K63" s="39">
        <f t="shared" si="3"/>
        <v>4112.7335999999996</v>
      </c>
      <c r="L63" s="36"/>
      <c r="M63" s="36" t="s">
        <v>429</v>
      </c>
      <c r="N63" s="36"/>
    </row>
    <row r="64" spans="1:14" x14ac:dyDescent="0.2">
      <c r="A64" s="36" t="s">
        <v>12</v>
      </c>
      <c r="B64" s="37">
        <v>40087</v>
      </c>
      <c r="C64" s="38">
        <v>2009101943</v>
      </c>
      <c r="D64" s="36" t="s">
        <v>14</v>
      </c>
      <c r="E64" s="36" t="s">
        <v>13</v>
      </c>
      <c r="F64" s="36" t="s">
        <v>377</v>
      </c>
      <c r="G64" s="36" t="s">
        <v>452</v>
      </c>
      <c r="H64" s="36">
        <v>3149.33</v>
      </c>
      <c r="I64" s="39">
        <f t="shared" si="2"/>
        <v>503.89280000000002</v>
      </c>
      <c r="J64" s="39"/>
      <c r="K64" s="39">
        <f t="shared" si="3"/>
        <v>3653.2228</v>
      </c>
      <c r="L64" s="36"/>
      <c r="M64" s="36" t="s">
        <v>429</v>
      </c>
      <c r="N64" s="36"/>
    </row>
    <row r="65" spans="1:14" x14ac:dyDescent="0.2">
      <c r="A65" s="36" t="s">
        <v>12</v>
      </c>
      <c r="B65" s="37">
        <v>40044</v>
      </c>
      <c r="C65" s="38">
        <v>2009101706</v>
      </c>
      <c r="D65" s="36" t="s">
        <v>14</v>
      </c>
      <c r="E65" s="36" t="s">
        <v>13</v>
      </c>
      <c r="F65" s="36" t="s">
        <v>453</v>
      </c>
      <c r="G65" s="36" t="s">
        <v>454</v>
      </c>
      <c r="H65" s="36">
        <v>4909.28</v>
      </c>
      <c r="I65" s="39">
        <f t="shared" si="2"/>
        <v>785.48479999999995</v>
      </c>
      <c r="J65" s="39"/>
      <c r="K65" s="39">
        <f t="shared" si="3"/>
        <v>5694.7647999999999</v>
      </c>
      <c r="L65" s="36"/>
      <c r="M65" s="36" t="s">
        <v>429</v>
      </c>
      <c r="N65" s="36"/>
    </row>
    <row r="66" spans="1:14" x14ac:dyDescent="0.2">
      <c r="A66" s="36" t="s">
        <v>12</v>
      </c>
      <c r="B66" s="37">
        <v>40044</v>
      </c>
      <c r="C66" s="38">
        <v>2009101707</v>
      </c>
      <c r="D66" s="36" t="s">
        <v>14</v>
      </c>
      <c r="E66" s="36" t="s">
        <v>13</v>
      </c>
      <c r="F66" s="36" t="s">
        <v>346</v>
      </c>
      <c r="G66" s="36" t="s">
        <v>455</v>
      </c>
      <c r="H66" s="36">
        <v>1279.73</v>
      </c>
      <c r="I66" s="39">
        <f t="shared" si="2"/>
        <v>204.7568</v>
      </c>
      <c r="J66" s="39"/>
      <c r="K66" s="39">
        <f t="shared" si="3"/>
        <v>1484.4868000000001</v>
      </c>
      <c r="L66" s="36"/>
      <c r="M66" s="36" t="s">
        <v>429</v>
      </c>
      <c r="N66" s="36"/>
    </row>
    <row r="67" spans="1:14" x14ac:dyDescent="0.2">
      <c r="A67" s="36" t="s">
        <v>12</v>
      </c>
      <c r="B67" s="37">
        <v>40044</v>
      </c>
      <c r="C67" s="38">
        <v>2009101708</v>
      </c>
      <c r="D67" s="36" t="s">
        <v>14</v>
      </c>
      <c r="E67" s="36" t="s">
        <v>13</v>
      </c>
      <c r="F67" s="36" t="s">
        <v>360</v>
      </c>
      <c r="G67" s="36" t="s">
        <v>456</v>
      </c>
      <c r="H67" s="36">
        <v>1524.26</v>
      </c>
      <c r="I67" s="39">
        <f t="shared" si="2"/>
        <v>243.88159999999999</v>
      </c>
      <c r="J67" s="39"/>
      <c r="K67" s="39">
        <f t="shared" si="3"/>
        <v>1768.1415999999999</v>
      </c>
      <c r="L67" s="36"/>
      <c r="M67" s="36" t="s">
        <v>429</v>
      </c>
      <c r="N67" s="36"/>
    </row>
    <row r="68" spans="1:14" x14ac:dyDescent="0.2">
      <c r="A68" s="36" t="s">
        <v>12</v>
      </c>
      <c r="B68" s="37">
        <v>40044</v>
      </c>
      <c r="C68" s="38">
        <v>2009101709</v>
      </c>
      <c r="D68" s="36" t="s">
        <v>14</v>
      </c>
      <c r="E68" s="36" t="s">
        <v>13</v>
      </c>
      <c r="F68" s="36" t="s">
        <v>362</v>
      </c>
      <c r="G68" s="36" t="s">
        <v>457</v>
      </c>
      <c r="H68" s="36">
        <v>3627.78</v>
      </c>
      <c r="I68" s="39">
        <f t="shared" si="2"/>
        <v>580.4448000000001</v>
      </c>
      <c r="J68" s="39"/>
      <c r="K68" s="39">
        <f t="shared" si="3"/>
        <v>4208.2248</v>
      </c>
      <c r="L68" s="36"/>
      <c r="M68" s="36" t="s">
        <v>429</v>
      </c>
      <c r="N68" s="36"/>
    </row>
    <row r="69" spans="1:14" x14ac:dyDescent="0.2">
      <c r="A69" s="36" t="s">
        <v>12</v>
      </c>
      <c r="B69" s="37">
        <v>40044</v>
      </c>
      <c r="C69" s="38">
        <v>2009101710</v>
      </c>
      <c r="D69" s="36" t="s">
        <v>14</v>
      </c>
      <c r="E69" s="36" t="s">
        <v>13</v>
      </c>
      <c r="F69" s="36" t="s">
        <v>458</v>
      </c>
      <c r="G69" s="36" t="s">
        <v>459</v>
      </c>
      <c r="H69" s="36">
        <v>2987.41</v>
      </c>
      <c r="I69" s="39">
        <f t="shared" si="2"/>
        <v>477.98559999999998</v>
      </c>
      <c r="J69" s="39"/>
      <c r="K69" s="39">
        <f t="shared" si="3"/>
        <v>3465.3955999999998</v>
      </c>
      <c r="L69" s="36"/>
      <c r="M69" s="36" t="s">
        <v>429</v>
      </c>
      <c r="N69" s="36"/>
    </row>
    <row r="70" spans="1:14" x14ac:dyDescent="0.2">
      <c r="A70" s="36" t="s">
        <v>12</v>
      </c>
      <c r="B70" s="37">
        <v>40044</v>
      </c>
      <c r="C70" s="38">
        <v>2009101711</v>
      </c>
      <c r="D70" s="36" t="s">
        <v>14</v>
      </c>
      <c r="E70" s="36" t="s">
        <v>13</v>
      </c>
      <c r="F70" s="36" t="s">
        <v>445</v>
      </c>
      <c r="G70" s="36" t="s">
        <v>460</v>
      </c>
      <c r="H70" s="36">
        <v>2568.62</v>
      </c>
      <c r="I70" s="39">
        <f t="shared" si="2"/>
        <v>410.97919999999999</v>
      </c>
      <c r="J70" s="39"/>
      <c r="K70" s="39">
        <f t="shared" si="3"/>
        <v>2979.5991999999997</v>
      </c>
      <c r="L70" s="36"/>
      <c r="M70" s="36" t="s">
        <v>429</v>
      </c>
      <c r="N70" s="36"/>
    </row>
    <row r="71" spans="1:14" x14ac:dyDescent="0.2">
      <c r="A71" s="36" t="s">
        <v>12</v>
      </c>
      <c r="B71" s="37">
        <v>40044</v>
      </c>
      <c r="C71" s="38">
        <v>2009101712</v>
      </c>
      <c r="D71" s="36" t="s">
        <v>14</v>
      </c>
      <c r="E71" s="36" t="s">
        <v>13</v>
      </c>
      <c r="F71" s="36" t="s">
        <v>445</v>
      </c>
      <c r="G71" s="36" t="s">
        <v>461</v>
      </c>
      <c r="H71" s="36">
        <v>2865.36</v>
      </c>
      <c r="I71" s="39">
        <f t="shared" si="2"/>
        <v>458.45760000000001</v>
      </c>
      <c r="J71" s="39"/>
      <c r="K71" s="39">
        <f t="shared" si="3"/>
        <v>3323.8176000000003</v>
      </c>
      <c r="L71" s="36"/>
      <c r="M71" s="36" t="s">
        <v>429</v>
      </c>
      <c r="N71" s="36"/>
    </row>
    <row r="72" spans="1:14" x14ac:dyDescent="0.2">
      <c r="A72" s="36" t="s">
        <v>12</v>
      </c>
      <c r="B72" s="37">
        <v>39995</v>
      </c>
      <c r="C72" s="38">
        <v>2009101217</v>
      </c>
      <c r="D72" s="36" t="s">
        <v>14</v>
      </c>
      <c r="E72" s="36" t="s">
        <v>13</v>
      </c>
      <c r="F72" s="36" t="s">
        <v>406</v>
      </c>
      <c r="G72" s="36" t="s">
        <v>462</v>
      </c>
      <c r="H72" s="36">
        <v>1703.35</v>
      </c>
      <c r="I72" s="39">
        <f t="shared" si="2"/>
        <v>272.536</v>
      </c>
      <c r="J72" s="39"/>
      <c r="K72" s="39">
        <f t="shared" si="3"/>
        <v>1975.886</v>
      </c>
      <c r="L72" s="36"/>
      <c r="M72" s="36" t="s">
        <v>429</v>
      </c>
      <c r="N72" s="36"/>
    </row>
    <row r="73" spans="1:14" x14ac:dyDescent="0.2">
      <c r="A73" s="36" t="s">
        <v>12</v>
      </c>
      <c r="B73" s="37">
        <v>39995</v>
      </c>
      <c r="C73" s="38">
        <v>2009101218</v>
      </c>
      <c r="D73" s="36" t="s">
        <v>14</v>
      </c>
      <c r="E73" s="36" t="s">
        <v>13</v>
      </c>
      <c r="F73" s="36" t="s">
        <v>406</v>
      </c>
      <c r="G73" s="36" t="s">
        <v>463</v>
      </c>
      <c r="H73" s="36">
        <v>1717.72</v>
      </c>
      <c r="I73" s="39">
        <f t="shared" si="2"/>
        <v>274.83519999999999</v>
      </c>
      <c r="J73" s="39"/>
      <c r="K73" s="39">
        <f t="shared" si="3"/>
        <v>1992.5552</v>
      </c>
      <c r="L73" s="36"/>
      <c r="M73" s="36" t="s">
        <v>429</v>
      </c>
      <c r="N73" s="36"/>
    </row>
    <row r="74" spans="1:14" x14ac:dyDescent="0.2">
      <c r="A74" s="36" t="s">
        <v>12</v>
      </c>
      <c r="B74" s="37">
        <v>39995</v>
      </c>
      <c r="C74" s="38">
        <v>2009101219</v>
      </c>
      <c r="D74" s="36" t="s">
        <v>14</v>
      </c>
      <c r="E74" s="36" t="s">
        <v>13</v>
      </c>
      <c r="F74" s="36" t="s">
        <v>371</v>
      </c>
      <c r="G74" s="36" t="s">
        <v>464</v>
      </c>
      <c r="H74" s="36">
        <v>3223.6</v>
      </c>
      <c r="I74" s="39">
        <f t="shared" si="2"/>
        <v>515.77599999999995</v>
      </c>
      <c r="J74" s="39"/>
      <c r="K74" s="39">
        <f t="shared" si="3"/>
        <v>3739.3759999999997</v>
      </c>
      <c r="L74" s="36"/>
      <c r="M74" s="36" t="s">
        <v>429</v>
      </c>
      <c r="N74" s="36"/>
    </row>
    <row r="75" spans="1:14" x14ac:dyDescent="0.2">
      <c r="A75" s="36" t="s">
        <v>12</v>
      </c>
      <c r="B75" s="37">
        <v>40037</v>
      </c>
      <c r="C75" s="38">
        <v>2009101631</v>
      </c>
      <c r="D75" s="36" t="s">
        <v>14</v>
      </c>
      <c r="E75" s="36" t="s">
        <v>13</v>
      </c>
      <c r="F75" s="36" t="s">
        <v>434</v>
      </c>
      <c r="G75" s="36" t="s">
        <v>465</v>
      </c>
      <c r="H75" s="36">
        <v>3132.16</v>
      </c>
      <c r="I75" s="39">
        <f t="shared" si="2"/>
        <v>501.1456</v>
      </c>
      <c r="J75" s="39"/>
      <c r="K75" s="39">
        <f t="shared" si="3"/>
        <v>3633.3055999999997</v>
      </c>
      <c r="L75" s="36"/>
      <c r="M75" s="36" t="s">
        <v>429</v>
      </c>
      <c r="N75" s="36"/>
    </row>
    <row r="76" spans="1:14" x14ac:dyDescent="0.2">
      <c r="A76" s="36" t="s">
        <v>12</v>
      </c>
      <c r="B76" s="37">
        <v>40037</v>
      </c>
      <c r="C76" s="38">
        <v>2009101628</v>
      </c>
      <c r="D76" s="36" t="s">
        <v>14</v>
      </c>
      <c r="E76" s="36" t="s">
        <v>13</v>
      </c>
      <c r="F76" s="36" t="s">
        <v>379</v>
      </c>
      <c r="G76" s="36" t="s">
        <v>466</v>
      </c>
      <c r="H76" s="36">
        <v>1761.85</v>
      </c>
      <c r="I76" s="39">
        <f t="shared" si="2"/>
        <v>281.89600000000002</v>
      </c>
      <c r="J76" s="39"/>
      <c r="K76" s="39">
        <f t="shared" si="3"/>
        <v>2043.7459999999999</v>
      </c>
      <c r="L76" s="36"/>
      <c r="M76" s="36" t="s">
        <v>429</v>
      </c>
      <c r="N76" s="36"/>
    </row>
    <row r="77" spans="1:14" x14ac:dyDescent="0.2">
      <c r="A77" s="36" t="s">
        <v>12</v>
      </c>
      <c r="B77" s="37">
        <v>40037</v>
      </c>
      <c r="C77" s="38">
        <v>2009101627</v>
      </c>
      <c r="D77" s="36" t="s">
        <v>14</v>
      </c>
      <c r="E77" s="36" t="s">
        <v>13</v>
      </c>
      <c r="F77" s="36" t="s">
        <v>377</v>
      </c>
      <c r="G77" s="36" t="s">
        <v>467</v>
      </c>
      <c r="H77" s="36">
        <v>1264.02</v>
      </c>
      <c r="I77" s="39">
        <f t="shared" si="2"/>
        <v>202.2432</v>
      </c>
      <c r="J77" s="39"/>
      <c r="K77" s="39">
        <f t="shared" si="3"/>
        <v>1466.2631999999999</v>
      </c>
      <c r="L77" s="36"/>
      <c r="M77" s="36" t="s">
        <v>429</v>
      </c>
      <c r="N77" s="36"/>
    </row>
    <row r="78" spans="1:14" x14ac:dyDescent="0.2">
      <c r="A78" s="36" t="s">
        <v>12</v>
      </c>
      <c r="B78" s="37">
        <v>40037</v>
      </c>
      <c r="C78" s="38">
        <v>2009101626</v>
      </c>
      <c r="D78" s="36" t="s">
        <v>14</v>
      </c>
      <c r="E78" s="36" t="s">
        <v>13</v>
      </c>
      <c r="F78" s="36" t="s">
        <v>377</v>
      </c>
      <c r="G78" s="36" t="s">
        <v>468</v>
      </c>
      <c r="H78" s="36">
        <v>1536.9</v>
      </c>
      <c r="I78" s="39">
        <f t="shared" si="2"/>
        <v>245.90400000000002</v>
      </c>
      <c r="J78" s="39"/>
      <c r="K78" s="39">
        <f t="shared" si="3"/>
        <v>1782.8040000000001</v>
      </c>
      <c r="L78" s="36"/>
      <c r="M78" s="36" t="s">
        <v>429</v>
      </c>
      <c r="N78" s="36"/>
    </row>
    <row r="79" spans="1:14" x14ac:dyDescent="0.2">
      <c r="A79" s="36" t="s">
        <v>12</v>
      </c>
      <c r="B79" s="37">
        <v>40035</v>
      </c>
      <c r="C79" s="38">
        <v>2009101606</v>
      </c>
      <c r="D79" s="36" t="s">
        <v>14</v>
      </c>
      <c r="E79" s="36" t="s">
        <v>13</v>
      </c>
      <c r="F79" s="36" t="s">
        <v>469</v>
      </c>
      <c r="G79" s="36" t="s">
        <v>470</v>
      </c>
      <c r="H79" s="36">
        <v>2805.42</v>
      </c>
      <c r="I79" s="39">
        <f t="shared" si="2"/>
        <v>448.86720000000003</v>
      </c>
      <c r="J79" s="39"/>
      <c r="K79" s="39">
        <f t="shared" si="3"/>
        <v>3254.2872000000002</v>
      </c>
      <c r="L79" s="36"/>
      <c r="M79" s="36" t="s">
        <v>429</v>
      </c>
      <c r="N79" s="36"/>
    </row>
    <row r="80" spans="1:14" x14ac:dyDescent="0.2">
      <c r="A80" s="36" t="s">
        <v>12</v>
      </c>
      <c r="B80" s="37">
        <v>40035</v>
      </c>
      <c r="C80" s="38">
        <v>2009101607</v>
      </c>
      <c r="D80" s="36" t="s">
        <v>14</v>
      </c>
      <c r="E80" s="36" t="s">
        <v>13</v>
      </c>
      <c r="F80" s="36" t="s">
        <v>371</v>
      </c>
      <c r="G80" s="36" t="s">
        <v>471</v>
      </c>
      <c r="H80" s="36">
        <v>2589.1</v>
      </c>
      <c r="I80" s="39">
        <f t="shared" si="2"/>
        <v>414.25599999999997</v>
      </c>
      <c r="J80" s="39"/>
      <c r="K80" s="39">
        <f t="shared" si="3"/>
        <v>3003.3559999999998</v>
      </c>
      <c r="L80" s="36"/>
      <c r="M80" s="36" t="s">
        <v>429</v>
      </c>
      <c r="N80" s="36"/>
    </row>
    <row r="81" spans="1:14" x14ac:dyDescent="0.2">
      <c r="A81" s="36" t="s">
        <v>12</v>
      </c>
      <c r="B81" s="37">
        <v>40026</v>
      </c>
      <c r="C81" s="38">
        <v>2009101526</v>
      </c>
      <c r="D81" s="36" t="s">
        <v>14</v>
      </c>
      <c r="E81" s="36" t="s">
        <v>13</v>
      </c>
      <c r="F81" s="36" t="s">
        <v>472</v>
      </c>
      <c r="G81" s="36" t="s">
        <v>473</v>
      </c>
      <c r="H81" s="36">
        <v>4093.78</v>
      </c>
      <c r="I81" s="39">
        <f t="shared" si="2"/>
        <v>655.00480000000005</v>
      </c>
      <c r="J81" s="39"/>
      <c r="K81" s="39">
        <f t="shared" si="3"/>
        <v>4748.7848000000004</v>
      </c>
      <c r="L81" s="36"/>
      <c r="M81" s="36" t="s">
        <v>429</v>
      </c>
      <c r="N81" s="36"/>
    </row>
    <row r="82" spans="1:14" x14ac:dyDescent="0.2">
      <c r="A82" s="36" t="s">
        <v>12</v>
      </c>
      <c r="B82" s="37">
        <v>40026</v>
      </c>
      <c r="C82" s="38">
        <v>2009101527</v>
      </c>
      <c r="D82" s="36" t="s">
        <v>14</v>
      </c>
      <c r="E82" s="36" t="s">
        <v>13</v>
      </c>
      <c r="F82" s="36" t="s">
        <v>390</v>
      </c>
      <c r="G82" s="36" t="s">
        <v>474</v>
      </c>
      <c r="H82" s="36">
        <v>3419.55</v>
      </c>
      <c r="I82" s="39">
        <f t="shared" si="2"/>
        <v>547.12800000000004</v>
      </c>
      <c r="J82" s="39"/>
      <c r="K82" s="39">
        <f t="shared" si="3"/>
        <v>3966.6780000000003</v>
      </c>
      <c r="L82" s="36"/>
      <c r="M82" s="36" t="s">
        <v>429</v>
      </c>
      <c r="N82" s="36"/>
    </row>
    <row r="83" spans="1:14" x14ac:dyDescent="0.2">
      <c r="A83" s="36" t="s">
        <v>12</v>
      </c>
      <c r="B83" s="37">
        <v>40026</v>
      </c>
      <c r="C83" s="38">
        <v>2009101520</v>
      </c>
      <c r="D83" s="36" t="s">
        <v>14</v>
      </c>
      <c r="E83" s="36" t="s">
        <v>13</v>
      </c>
      <c r="F83" s="36" t="s">
        <v>375</v>
      </c>
      <c r="G83" s="36" t="s">
        <v>475</v>
      </c>
      <c r="H83" s="36">
        <v>849.28</v>
      </c>
      <c r="I83" s="39">
        <f t="shared" si="2"/>
        <v>135.88479999999998</v>
      </c>
      <c r="J83" s="39"/>
      <c r="K83" s="39">
        <f t="shared" si="3"/>
        <v>985.16480000000001</v>
      </c>
      <c r="L83" s="36"/>
      <c r="M83" s="36" t="s">
        <v>429</v>
      </c>
      <c r="N83" s="36"/>
    </row>
    <row r="84" spans="1:14" x14ac:dyDescent="0.2">
      <c r="A84" s="36" t="s">
        <v>12</v>
      </c>
      <c r="B84" s="37">
        <v>40026</v>
      </c>
      <c r="C84" s="38">
        <v>2009101519</v>
      </c>
      <c r="D84" s="36" t="s">
        <v>14</v>
      </c>
      <c r="E84" s="36" t="s">
        <v>13</v>
      </c>
      <c r="F84" s="36" t="s">
        <v>406</v>
      </c>
      <c r="G84" s="36" t="s">
        <v>476</v>
      </c>
      <c r="H84" s="36">
        <v>2152.1</v>
      </c>
      <c r="I84" s="39">
        <f t="shared" si="2"/>
        <v>344.33600000000001</v>
      </c>
      <c r="J84" s="39"/>
      <c r="K84" s="39">
        <f t="shared" si="3"/>
        <v>2496.4359999999997</v>
      </c>
      <c r="L84" s="36"/>
      <c r="M84" s="36" t="s">
        <v>429</v>
      </c>
      <c r="N84" s="36"/>
    </row>
    <row r="85" spans="1:14" x14ac:dyDescent="0.2">
      <c r="A85" s="36" t="s">
        <v>12</v>
      </c>
      <c r="B85" s="37">
        <v>40026</v>
      </c>
      <c r="C85" s="38">
        <v>2009101518</v>
      </c>
      <c r="D85" s="36" t="s">
        <v>14</v>
      </c>
      <c r="E85" s="36" t="s">
        <v>13</v>
      </c>
      <c r="F85" s="36" t="s">
        <v>406</v>
      </c>
      <c r="G85" s="36" t="s">
        <v>477</v>
      </c>
      <c r="H85" s="36">
        <v>2412.9299999999998</v>
      </c>
      <c r="I85" s="39">
        <f t="shared" si="2"/>
        <v>386.06880000000001</v>
      </c>
      <c r="J85" s="39"/>
      <c r="K85" s="39">
        <f t="shared" si="3"/>
        <v>2798.9987999999998</v>
      </c>
      <c r="L85" s="36"/>
      <c r="M85" s="36" t="s">
        <v>429</v>
      </c>
      <c r="N85" s="36"/>
    </row>
    <row r="86" spans="1:14" x14ac:dyDescent="0.2">
      <c r="A86" s="36" t="s">
        <v>12</v>
      </c>
      <c r="B86" s="37">
        <v>40026</v>
      </c>
      <c r="C86" s="38">
        <v>2009101517</v>
      </c>
      <c r="D86" s="36" t="s">
        <v>14</v>
      </c>
      <c r="E86" s="36" t="s">
        <v>13</v>
      </c>
      <c r="F86" s="36" t="s">
        <v>346</v>
      </c>
      <c r="G86" s="36" t="s">
        <v>478</v>
      </c>
      <c r="H86" s="36">
        <v>1431.03</v>
      </c>
      <c r="I86" s="39">
        <f t="shared" si="2"/>
        <v>228.9648</v>
      </c>
      <c r="J86" s="39"/>
      <c r="K86" s="39">
        <f t="shared" si="3"/>
        <v>1659.9947999999999</v>
      </c>
      <c r="L86" s="36"/>
      <c r="M86" s="36" t="s">
        <v>429</v>
      </c>
      <c r="N86" s="36"/>
    </row>
    <row r="87" spans="1:14" x14ac:dyDescent="0.2">
      <c r="A87" s="36" t="s">
        <v>12</v>
      </c>
      <c r="B87" s="37">
        <v>40026</v>
      </c>
      <c r="C87" s="38">
        <v>2009101516</v>
      </c>
      <c r="D87" s="36" t="s">
        <v>14</v>
      </c>
      <c r="E87" s="36" t="s">
        <v>13</v>
      </c>
      <c r="F87" s="36" t="s">
        <v>346</v>
      </c>
      <c r="G87" s="36" t="s">
        <v>479</v>
      </c>
      <c r="H87" s="36">
        <v>1548.28</v>
      </c>
      <c r="I87" s="39">
        <f t="shared" si="2"/>
        <v>247.72479999999999</v>
      </c>
      <c r="J87" s="39"/>
      <c r="K87" s="39">
        <f t="shared" si="3"/>
        <v>1796.0047999999999</v>
      </c>
      <c r="L87" s="36"/>
      <c r="M87" s="36" t="s">
        <v>429</v>
      </c>
      <c r="N87" s="36"/>
    </row>
    <row r="88" spans="1:14" x14ac:dyDescent="0.2">
      <c r="A88" s="36" t="s">
        <v>12</v>
      </c>
      <c r="B88" s="37">
        <v>40026</v>
      </c>
      <c r="C88" s="38">
        <v>2009101515</v>
      </c>
      <c r="D88" s="36" t="s">
        <v>14</v>
      </c>
      <c r="E88" s="36" t="s">
        <v>13</v>
      </c>
      <c r="F88" s="36" t="s">
        <v>346</v>
      </c>
      <c r="G88" s="36" t="s">
        <v>480</v>
      </c>
      <c r="H88" s="36">
        <v>1463.79</v>
      </c>
      <c r="I88" s="39">
        <f t="shared" si="2"/>
        <v>234.2064</v>
      </c>
      <c r="J88" s="39"/>
      <c r="K88" s="39">
        <f t="shared" si="3"/>
        <v>1697.9964</v>
      </c>
      <c r="L88" s="36"/>
      <c r="M88" s="36" t="s">
        <v>429</v>
      </c>
      <c r="N88" s="36"/>
    </row>
    <row r="89" spans="1:14" x14ac:dyDescent="0.2">
      <c r="A89" s="36" t="s">
        <v>12</v>
      </c>
      <c r="B89" s="37">
        <v>40018</v>
      </c>
      <c r="C89" s="38">
        <v>2009101437</v>
      </c>
      <c r="D89" s="36" t="s">
        <v>14</v>
      </c>
      <c r="E89" s="36" t="s">
        <v>13</v>
      </c>
      <c r="F89" s="36" t="s">
        <v>346</v>
      </c>
      <c r="G89" s="36" t="s">
        <v>481</v>
      </c>
      <c r="H89" s="36">
        <v>1255.93</v>
      </c>
      <c r="I89" s="39">
        <f t="shared" si="2"/>
        <v>200.94880000000001</v>
      </c>
      <c r="J89" s="39"/>
      <c r="K89" s="39">
        <f t="shared" si="3"/>
        <v>1456.8788</v>
      </c>
      <c r="L89" s="36"/>
      <c r="M89" s="36" t="s">
        <v>429</v>
      </c>
      <c r="N89" s="36"/>
    </row>
    <row r="90" spans="1:14" x14ac:dyDescent="0.2">
      <c r="A90" s="36" t="s">
        <v>12</v>
      </c>
      <c r="B90" s="37">
        <v>40018</v>
      </c>
      <c r="C90" s="38">
        <v>2009101438</v>
      </c>
      <c r="D90" s="36" t="s">
        <v>14</v>
      </c>
      <c r="E90" s="36" t="s">
        <v>13</v>
      </c>
      <c r="F90" s="36" t="s">
        <v>346</v>
      </c>
      <c r="G90" s="36" t="s">
        <v>482</v>
      </c>
      <c r="H90" s="36">
        <v>1075.03</v>
      </c>
      <c r="I90" s="39">
        <f t="shared" si="2"/>
        <v>172.00479999999999</v>
      </c>
      <c r="J90" s="39"/>
      <c r="K90" s="39">
        <f t="shared" si="3"/>
        <v>1247.0347999999999</v>
      </c>
      <c r="L90" s="36"/>
      <c r="M90" s="36" t="s">
        <v>429</v>
      </c>
      <c r="N90" s="36"/>
    </row>
    <row r="91" spans="1:14" x14ac:dyDescent="0.2">
      <c r="A91" s="36" t="s">
        <v>12</v>
      </c>
      <c r="B91" s="37">
        <v>40018</v>
      </c>
      <c r="C91" s="38">
        <v>2009101439</v>
      </c>
      <c r="D91" s="36" t="s">
        <v>14</v>
      </c>
      <c r="E91" s="36" t="s">
        <v>13</v>
      </c>
      <c r="F91" s="36" t="s">
        <v>346</v>
      </c>
      <c r="G91" s="36" t="s">
        <v>483</v>
      </c>
      <c r="H91" s="36">
        <v>1234.1300000000001</v>
      </c>
      <c r="I91" s="39">
        <f t="shared" si="2"/>
        <v>197.46080000000003</v>
      </c>
      <c r="J91" s="39"/>
      <c r="K91" s="39">
        <f t="shared" si="3"/>
        <v>1431.5908000000002</v>
      </c>
      <c r="L91" s="36"/>
      <c r="M91" s="36" t="s">
        <v>429</v>
      </c>
      <c r="N91" s="36"/>
    </row>
    <row r="92" spans="1:14" x14ac:dyDescent="0.2">
      <c r="A92" s="36" t="s">
        <v>12</v>
      </c>
      <c r="B92" s="37">
        <v>40018</v>
      </c>
      <c r="C92" s="38">
        <v>2009101440</v>
      </c>
      <c r="D92" s="36" t="s">
        <v>14</v>
      </c>
      <c r="E92" s="36" t="s">
        <v>13</v>
      </c>
      <c r="F92" s="36" t="s">
        <v>406</v>
      </c>
      <c r="G92" s="36" t="s">
        <v>484</v>
      </c>
      <c r="H92" s="36">
        <v>2923.28</v>
      </c>
      <c r="I92" s="39">
        <f t="shared" si="2"/>
        <v>467.72480000000002</v>
      </c>
      <c r="J92" s="39"/>
      <c r="K92" s="39">
        <f t="shared" si="3"/>
        <v>3391.0048000000002</v>
      </c>
      <c r="L92" s="36"/>
      <c r="M92" s="36" t="s">
        <v>429</v>
      </c>
      <c r="N92" s="36"/>
    </row>
    <row r="93" spans="1:14" x14ac:dyDescent="0.2">
      <c r="A93" s="36" t="s">
        <v>12</v>
      </c>
      <c r="B93" s="37">
        <v>40018</v>
      </c>
      <c r="C93" s="38">
        <v>2009101441</v>
      </c>
      <c r="D93" s="36" t="s">
        <v>14</v>
      </c>
      <c r="E93" s="36" t="s">
        <v>13</v>
      </c>
      <c r="F93" s="36" t="s">
        <v>485</v>
      </c>
      <c r="G93" s="36" t="s">
        <v>486</v>
      </c>
      <c r="H93" s="36">
        <v>2586.21</v>
      </c>
      <c r="I93" s="39">
        <f t="shared" si="2"/>
        <v>413.79360000000003</v>
      </c>
      <c r="J93" s="39"/>
      <c r="K93" s="39">
        <f t="shared" si="3"/>
        <v>3000.0036</v>
      </c>
      <c r="L93" s="36"/>
      <c r="M93" s="36" t="s">
        <v>429</v>
      </c>
      <c r="N93" s="36"/>
    </row>
    <row r="94" spans="1:14" x14ac:dyDescent="0.2">
      <c r="A94" s="36" t="s">
        <v>12</v>
      </c>
      <c r="B94" s="37">
        <v>40018</v>
      </c>
      <c r="C94" s="38">
        <v>2009101468</v>
      </c>
      <c r="D94" s="36" t="s">
        <v>14</v>
      </c>
      <c r="E94" s="36" t="s">
        <v>13</v>
      </c>
      <c r="F94" s="36" t="s">
        <v>381</v>
      </c>
      <c r="G94" s="36" t="s">
        <v>487</v>
      </c>
      <c r="H94" s="36">
        <v>1951.49</v>
      </c>
      <c r="I94" s="39">
        <f t="shared" si="2"/>
        <v>312.23840000000001</v>
      </c>
      <c r="J94" s="39"/>
      <c r="K94" s="39">
        <f t="shared" si="3"/>
        <v>2263.7284</v>
      </c>
      <c r="L94" s="36"/>
      <c r="M94" s="36" t="s">
        <v>429</v>
      </c>
      <c r="N94" s="36"/>
    </row>
    <row r="95" spans="1:14" x14ac:dyDescent="0.2">
      <c r="A95" s="36" t="s">
        <v>12</v>
      </c>
      <c r="B95" s="37">
        <v>40018</v>
      </c>
      <c r="C95" s="38">
        <v>2009101469</v>
      </c>
      <c r="D95" s="36" t="s">
        <v>14</v>
      </c>
      <c r="E95" s="36" t="s">
        <v>13</v>
      </c>
      <c r="F95" s="36" t="s">
        <v>381</v>
      </c>
      <c r="G95" s="36" t="s">
        <v>488</v>
      </c>
      <c r="H95" s="36">
        <v>2049.91</v>
      </c>
      <c r="I95" s="39">
        <f t="shared" si="2"/>
        <v>327.98559999999998</v>
      </c>
      <c r="J95" s="39"/>
      <c r="K95" s="39">
        <f t="shared" si="3"/>
        <v>2377.8955999999998</v>
      </c>
      <c r="L95" s="36"/>
      <c r="M95" s="36" t="s">
        <v>429</v>
      </c>
      <c r="N95" s="36"/>
    </row>
    <row r="96" spans="1:14" x14ac:dyDescent="0.2">
      <c r="A96" s="36" t="s">
        <v>12</v>
      </c>
      <c r="B96" s="37">
        <v>39995</v>
      </c>
      <c r="C96" s="38">
        <v>2009101308</v>
      </c>
      <c r="D96" s="36" t="s">
        <v>14</v>
      </c>
      <c r="E96" s="36" t="s">
        <v>13</v>
      </c>
      <c r="F96" s="36" t="s">
        <v>368</v>
      </c>
      <c r="G96" s="36" t="s">
        <v>489</v>
      </c>
      <c r="H96" s="36">
        <v>1599.63</v>
      </c>
      <c r="I96" s="39">
        <f t="shared" si="2"/>
        <v>255.94080000000002</v>
      </c>
      <c r="J96" s="39"/>
      <c r="K96" s="39">
        <f t="shared" si="3"/>
        <v>1855.5708000000002</v>
      </c>
      <c r="L96" s="36"/>
      <c r="M96" s="36" t="s">
        <v>429</v>
      </c>
      <c r="N96" s="36"/>
    </row>
    <row r="97" spans="1:14" x14ac:dyDescent="0.2">
      <c r="A97" s="36" t="s">
        <v>12</v>
      </c>
      <c r="B97" s="37">
        <v>39995</v>
      </c>
      <c r="C97" s="38">
        <v>2009101309</v>
      </c>
      <c r="D97" s="36" t="s">
        <v>14</v>
      </c>
      <c r="E97" s="36" t="s">
        <v>13</v>
      </c>
      <c r="F97" s="36" t="s">
        <v>375</v>
      </c>
      <c r="G97" s="36" t="s">
        <v>231</v>
      </c>
      <c r="H97" s="36">
        <v>1093.78</v>
      </c>
      <c r="I97" s="39">
        <f t="shared" si="2"/>
        <v>175.00479999999999</v>
      </c>
      <c r="J97" s="39"/>
      <c r="K97" s="39">
        <f t="shared" si="3"/>
        <v>1268.7847999999999</v>
      </c>
      <c r="L97" s="36"/>
      <c r="M97" s="36" t="s">
        <v>429</v>
      </c>
      <c r="N97" s="36"/>
    </row>
    <row r="98" spans="1:14" x14ac:dyDescent="0.2">
      <c r="A98" s="36" t="s">
        <v>12</v>
      </c>
      <c r="B98" s="37">
        <v>39995</v>
      </c>
      <c r="C98" s="38">
        <v>2009101310</v>
      </c>
      <c r="D98" s="36" t="s">
        <v>14</v>
      </c>
      <c r="E98" s="36" t="s">
        <v>13</v>
      </c>
      <c r="F98" s="36" t="s">
        <v>377</v>
      </c>
      <c r="G98" s="36" t="s">
        <v>490</v>
      </c>
      <c r="H98" s="36">
        <v>1724.14</v>
      </c>
      <c r="I98" s="39">
        <f t="shared" si="2"/>
        <v>275.86240000000004</v>
      </c>
      <c r="J98" s="39"/>
      <c r="K98" s="39">
        <f t="shared" si="3"/>
        <v>2000.0024000000001</v>
      </c>
      <c r="L98" s="36"/>
      <c r="M98" s="36" t="s">
        <v>429</v>
      </c>
      <c r="N98" s="36"/>
    </row>
    <row r="99" spans="1:14" x14ac:dyDescent="0.2">
      <c r="A99" s="36" t="s">
        <v>12</v>
      </c>
      <c r="B99" s="37">
        <v>39995</v>
      </c>
      <c r="C99" s="38">
        <v>2009101311</v>
      </c>
      <c r="D99" s="36" t="s">
        <v>14</v>
      </c>
      <c r="E99" s="36" t="s">
        <v>13</v>
      </c>
      <c r="F99" s="36" t="s">
        <v>436</v>
      </c>
      <c r="G99" s="36" t="s">
        <v>491</v>
      </c>
      <c r="H99" s="36">
        <v>2080.17</v>
      </c>
      <c r="I99" s="39">
        <f t="shared" si="2"/>
        <v>332.8272</v>
      </c>
      <c r="J99" s="39"/>
      <c r="K99" s="39">
        <f t="shared" si="3"/>
        <v>2412.9972000000002</v>
      </c>
      <c r="L99" s="36"/>
      <c r="M99" s="36" t="s">
        <v>429</v>
      </c>
      <c r="N99" s="36"/>
    </row>
    <row r="100" spans="1:14" x14ac:dyDescent="0.2">
      <c r="A100" s="36" t="s">
        <v>12</v>
      </c>
      <c r="B100" s="37">
        <v>39995</v>
      </c>
      <c r="C100" s="38">
        <v>2009101307</v>
      </c>
      <c r="D100" s="36" t="s">
        <v>14</v>
      </c>
      <c r="E100" s="36" t="s">
        <v>13</v>
      </c>
      <c r="F100" s="36" t="s">
        <v>406</v>
      </c>
      <c r="G100" s="36" t="s">
        <v>492</v>
      </c>
      <c r="H100" s="36">
        <v>1883.14</v>
      </c>
      <c r="I100" s="39">
        <f t="shared" si="2"/>
        <v>301.30240000000003</v>
      </c>
      <c r="J100" s="39"/>
      <c r="K100" s="39">
        <f t="shared" si="3"/>
        <v>2184.4423999999999</v>
      </c>
      <c r="L100" s="36"/>
      <c r="M100" s="36" t="s">
        <v>429</v>
      </c>
      <c r="N100" s="36"/>
    </row>
    <row r="101" spans="1:14" x14ac:dyDescent="0.2">
      <c r="A101" s="36" t="s">
        <v>12</v>
      </c>
      <c r="B101" s="37">
        <v>39995</v>
      </c>
      <c r="C101" s="38">
        <v>2009101103</v>
      </c>
      <c r="D101" s="36" t="s">
        <v>14</v>
      </c>
      <c r="E101" s="36" t="s">
        <v>13</v>
      </c>
      <c r="F101" s="36" t="s">
        <v>493</v>
      </c>
      <c r="G101" s="36" t="s">
        <v>494</v>
      </c>
      <c r="H101" s="36">
        <v>22413.79</v>
      </c>
      <c r="I101" s="39">
        <f t="shared" si="2"/>
        <v>3586.2064</v>
      </c>
      <c r="J101" s="39"/>
      <c r="K101" s="39">
        <f t="shared" si="3"/>
        <v>25999.9964</v>
      </c>
      <c r="L101" s="36"/>
      <c r="M101" s="36" t="s">
        <v>429</v>
      </c>
      <c r="N101" s="36"/>
    </row>
    <row r="102" spans="1:14" x14ac:dyDescent="0.2">
      <c r="A102" s="36" t="s">
        <v>12</v>
      </c>
      <c r="B102" s="37">
        <v>40009</v>
      </c>
      <c r="C102" s="38">
        <v>2009101397</v>
      </c>
      <c r="D102" s="36" t="s">
        <v>14</v>
      </c>
      <c r="E102" s="36" t="s">
        <v>13</v>
      </c>
      <c r="F102" s="36" t="s">
        <v>349</v>
      </c>
      <c r="G102" s="36" t="s">
        <v>495</v>
      </c>
      <c r="H102" s="36">
        <v>3016.62</v>
      </c>
      <c r="I102" s="39">
        <f t="shared" si="2"/>
        <v>482.6592</v>
      </c>
      <c r="J102" s="39"/>
      <c r="K102" s="39">
        <f t="shared" si="3"/>
        <v>3499.2791999999999</v>
      </c>
      <c r="L102" s="36"/>
      <c r="M102" s="36" t="s">
        <v>429</v>
      </c>
      <c r="N102" s="36"/>
    </row>
    <row r="103" spans="1:14" x14ac:dyDescent="0.2">
      <c r="A103" s="36" t="s">
        <v>12</v>
      </c>
      <c r="B103" s="37">
        <v>40009</v>
      </c>
      <c r="C103" s="38">
        <v>2009101398</v>
      </c>
      <c r="D103" s="36" t="s">
        <v>14</v>
      </c>
      <c r="E103" s="36" t="s">
        <v>13</v>
      </c>
      <c r="F103" s="36" t="s">
        <v>377</v>
      </c>
      <c r="G103" s="36" t="s">
        <v>496</v>
      </c>
      <c r="H103" s="36">
        <v>4310.3500000000004</v>
      </c>
      <c r="I103" s="39">
        <f t="shared" si="2"/>
        <v>689.65600000000006</v>
      </c>
      <c r="J103" s="39"/>
      <c r="K103" s="39">
        <f t="shared" si="3"/>
        <v>5000.0060000000003</v>
      </c>
      <c r="L103" s="36"/>
      <c r="M103" s="36" t="s">
        <v>429</v>
      </c>
      <c r="N103" s="36"/>
    </row>
    <row r="104" spans="1:14" x14ac:dyDescent="0.2">
      <c r="A104" s="36" t="s">
        <v>12</v>
      </c>
      <c r="B104" s="37">
        <v>40009</v>
      </c>
      <c r="C104" s="38">
        <v>2009101399</v>
      </c>
      <c r="D104" s="36" t="s">
        <v>14</v>
      </c>
      <c r="E104" s="36" t="s">
        <v>13</v>
      </c>
      <c r="F104" s="36" t="s">
        <v>497</v>
      </c>
      <c r="G104" s="36" t="s">
        <v>498</v>
      </c>
      <c r="H104" s="36">
        <v>6694.27</v>
      </c>
      <c r="I104" s="39">
        <f t="shared" si="2"/>
        <v>1071.0832</v>
      </c>
      <c r="J104" s="39"/>
      <c r="K104" s="39">
        <f t="shared" si="3"/>
        <v>7765.3532000000005</v>
      </c>
      <c r="L104" s="36"/>
      <c r="M104" s="36" t="s">
        <v>429</v>
      </c>
      <c r="N104" s="36"/>
    </row>
    <row r="105" spans="1:14" x14ac:dyDescent="0.2">
      <c r="A105" s="36" t="s">
        <v>12</v>
      </c>
      <c r="B105" s="37">
        <v>39995</v>
      </c>
      <c r="C105" s="38">
        <v>2009101271</v>
      </c>
      <c r="D105" s="36" t="s">
        <v>14</v>
      </c>
      <c r="E105" s="36" t="s">
        <v>13</v>
      </c>
      <c r="F105" s="36" t="s">
        <v>406</v>
      </c>
      <c r="G105" s="36" t="s">
        <v>499</v>
      </c>
      <c r="H105" s="36">
        <v>1808.35</v>
      </c>
      <c r="I105" s="39">
        <f t="shared" si="2"/>
        <v>289.33600000000001</v>
      </c>
      <c r="J105" s="39"/>
      <c r="K105" s="39">
        <f t="shared" si="3"/>
        <v>2097.6859999999997</v>
      </c>
      <c r="L105" s="36"/>
      <c r="M105" s="36" t="s">
        <v>429</v>
      </c>
      <c r="N105" s="36"/>
    </row>
    <row r="106" spans="1:14" x14ac:dyDescent="0.2">
      <c r="A106" s="36" t="s">
        <v>12</v>
      </c>
      <c r="B106" s="37">
        <v>39995</v>
      </c>
      <c r="C106" s="38">
        <v>2009101272</v>
      </c>
      <c r="D106" s="36" t="s">
        <v>14</v>
      </c>
      <c r="E106" s="36" t="s">
        <v>13</v>
      </c>
      <c r="F106" s="36" t="s">
        <v>500</v>
      </c>
      <c r="G106" s="36" t="s">
        <v>501</v>
      </c>
      <c r="H106" s="36">
        <v>1849.9</v>
      </c>
      <c r="I106" s="39">
        <f t="shared" si="2"/>
        <v>295.98400000000004</v>
      </c>
      <c r="J106" s="39"/>
      <c r="K106" s="39">
        <f t="shared" si="3"/>
        <v>2145.884</v>
      </c>
      <c r="L106" s="36"/>
      <c r="M106" s="36" t="s">
        <v>429</v>
      </c>
      <c r="N106" s="36"/>
    </row>
    <row r="107" spans="1:14" x14ac:dyDescent="0.2">
      <c r="A107" s="36" t="s">
        <v>12</v>
      </c>
      <c r="B107" s="37">
        <v>39995</v>
      </c>
      <c r="C107" s="38">
        <v>2009101169</v>
      </c>
      <c r="D107" s="36" t="s">
        <v>14</v>
      </c>
      <c r="E107" s="36" t="s">
        <v>13</v>
      </c>
      <c r="F107" s="36" t="s">
        <v>469</v>
      </c>
      <c r="G107" s="36" t="s">
        <v>502</v>
      </c>
      <c r="H107" s="36">
        <v>2593.66</v>
      </c>
      <c r="I107" s="39">
        <f t="shared" si="2"/>
        <v>414.98559999999998</v>
      </c>
      <c r="J107" s="39"/>
      <c r="K107" s="39">
        <f t="shared" si="3"/>
        <v>3008.6455999999998</v>
      </c>
      <c r="L107" s="36"/>
      <c r="M107" s="36" t="s">
        <v>429</v>
      </c>
      <c r="N107" s="36"/>
    </row>
    <row r="108" spans="1:14" x14ac:dyDescent="0.2">
      <c r="A108" s="36" t="s">
        <v>12</v>
      </c>
      <c r="B108" s="37">
        <v>39995</v>
      </c>
      <c r="C108" s="38">
        <v>2009101170</v>
      </c>
      <c r="D108" s="36" t="s">
        <v>14</v>
      </c>
      <c r="E108" s="36" t="s">
        <v>13</v>
      </c>
      <c r="F108" s="36" t="s">
        <v>485</v>
      </c>
      <c r="G108" s="36" t="s">
        <v>503</v>
      </c>
      <c r="H108" s="36">
        <v>2931.04</v>
      </c>
      <c r="I108" s="39">
        <f t="shared" si="2"/>
        <v>468.96640000000002</v>
      </c>
      <c r="J108" s="39"/>
      <c r="K108" s="39">
        <f t="shared" si="3"/>
        <v>3400.0064000000002</v>
      </c>
      <c r="L108" s="36"/>
      <c r="M108" s="36" t="s">
        <v>429</v>
      </c>
      <c r="N108" s="36"/>
    </row>
    <row r="109" spans="1:14" x14ac:dyDescent="0.2">
      <c r="A109" s="36" t="s">
        <v>12</v>
      </c>
      <c r="B109" s="37">
        <v>40052</v>
      </c>
      <c r="C109" s="38">
        <v>2009233008</v>
      </c>
      <c r="D109" s="36" t="s">
        <v>17</v>
      </c>
      <c r="E109" s="36" t="s">
        <v>18</v>
      </c>
      <c r="F109" s="36" t="s">
        <v>504</v>
      </c>
      <c r="G109" s="36" t="s">
        <v>505</v>
      </c>
      <c r="H109" s="36">
        <v>3172.41</v>
      </c>
      <c r="I109" s="39">
        <f>H109*0.16</f>
        <v>507.5856</v>
      </c>
      <c r="J109" s="36"/>
      <c r="K109" s="39">
        <f>+H109+I109</f>
        <v>3679.9955999999997</v>
      </c>
      <c r="L109" s="36"/>
      <c r="M109" s="36" t="s">
        <v>429</v>
      </c>
      <c r="N109" s="36"/>
    </row>
    <row r="110" spans="1:14" x14ac:dyDescent="0.2">
      <c r="A110" s="36" t="s">
        <v>12</v>
      </c>
      <c r="B110" s="37">
        <v>40001</v>
      </c>
      <c r="C110" s="38">
        <v>12018058</v>
      </c>
      <c r="D110" s="36" t="s">
        <v>19</v>
      </c>
      <c r="E110" s="36" t="s">
        <v>20</v>
      </c>
      <c r="F110" s="36" t="s">
        <v>506</v>
      </c>
      <c r="G110" s="36" t="s">
        <v>507</v>
      </c>
      <c r="H110" s="36"/>
      <c r="I110" s="36"/>
      <c r="J110" s="36"/>
      <c r="K110" s="36">
        <v>7400</v>
      </c>
      <c r="L110" s="36" t="s">
        <v>21</v>
      </c>
      <c r="M110" s="36" t="s">
        <v>429</v>
      </c>
      <c r="N110" s="36"/>
    </row>
    <row r="111" spans="1:14" x14ac:dyDescent="0.2">
      <c r="A111" s="36" t="s">
        <v>408</v>
      </c>
      <c r="B111" s="45">
        <v>40003</v>
      </c>
      <c r="C111" s="46" t="s">
        <v>141</v>
      </c>
      <c r="D111" s="47" t="s">
        <v>508</v>
      </c>
      <c r="E111" s="49" t="s">
        <v>509</v>
      </c>
      <c r="F111" s="48" t="s">
        <v>510</v>
      </c>
      <c r="G111" s="48" t="s">
        <v>511</v>
      </c>
      <c r="H111" s="39">
        <v>1982.76</v>
      </c>
      <c r="I111" s="39">
        <f t="shared" ref="I111:I155" si="4">H111*0.16</f>
        <v>317.24160000000001</v>
      </c>
      <c r="J111" s="39"/>
      <c r="K111" s="39">
        <f t="shared" ref="K111:K154" si="5">+H111+I111</f>
        <v>2300.0016000000001</v>
      </c>
      <c r="L111" s="36"/>
      <c r="M111" s="36" t="s">
        <v>429</v>
      </c>
      <c r="N111" s="36"/>
    </row>
    <row r="112" spans="1:14" x14ac:dyDescent="0.2">
      <c r="A112" s="36" t="s">
        <v>408</v>
      </c>
      <c r="B112" s="45">
        <v>40003</v>
      </c>
      <c r="C112" s="46" t="s">
        <v>142</v>
      </c>
      <c r="D112" s="47" t="s">
        <v>512</v>
      </c>
      <c r="E112" s="49" t="s">
        <v>513</v>
      </c>
      <c r="F112" s="48" t="s">
        <v>514</v>
      </c>
      <c r="G112" s="48" t="s">
        <v>515</v>
      </c>
      <c r="H112" s="39">
        <v>1982.76</v>
      </c>
      <c r="I112" s="39">
        <f t="shared" si="4"/>
        <v>317.24160000000001</v>
      </c>
      <c r="J112" s="39"/>
      <c r="K112" s="39">
        <f t="shared" si="5"/>
        <v>2300.0016000000001</v>
      </c>
      <c r="L112" s="36"/>
      <c r="M112" s="36" t="s">
        <v>429</v>
      </c>
      <c r="N112" s="36"/>
    </row>
    <row r="113" spans="1:14" x14ac:dyDescent="0.2">
      <c r="A113" s="36" t="s">
        <v>408</v>
      </c>
      <c r="B113" s="45">
        <v>40003</v>
      </c>
      <c r="C113" s="46" t="s">
        <v>143</v>
      </c>
      <c r="D113" s="47" t="s">
        <v>516</v>
      </c>
      <c r="E113" s="47" t="s">
        <v>517</v>
      </c>
      <c r="F113" s="48" t="s">
        <v>518</v>
      </c>
      <c r="G113" s="48" t="s">
        <v>519</v>
      </c>
      <c r="H113" s="39">
        <v>2672.41</v>
      </c>
      <c r="I113" s="39">
        <f t="shared" si="4"/>
        <v>427.5856</v>
      </c>
      <c r="J113" s="39"/>
      <c r="K113" s="39">
        <f t="shared" si="5"/>
        <v>3099.9955999999997</v>
      </c>
      <c r="L113" s="36"/>
      <c r="M113" s="36" t="s">
        <v>429</v>
      </c>
      <c r="N113" s="36"/>
    </row>
    <row r="114" spans="1:14" x14ac:dyDescent="0.2">
      <c r="A114" s="36" t="s">
        <v>408</v>
      </c>
      <c r="B114" s="45">
        <v>40003</v>
      </c>
      <c r="C114" s="46" t="s">
        <v>144</v>
      </c>
      <c r="D114" s="36" t="s">
        <v>520</v>
      </c>
      <c r="E114" s="49" t="s">
        <v>521</v>
      </c>
      <c r="F114" s="48" t="s">
        <v>522</v>
      </c>
      <c r="G114" s="48" t="s">
        <v>523</v>
      </c>
      <c r="H114" s="39">
        <v>13500</v>
      </c>
      <c r="I114" s="39"/>
      <c r="J114" s="39"/>
      <c r="K114" s="39">
        <f t="shared" si="5"/>
        <v>13500</v>
      </c>
      <c r="L114" s="36" t="s">
        <v>31</v>
      </c>
      <c r="M114" s="36" t="s">
        <v>429</v>
      </c>
      <c r="N114" s="36"/>
    </row>
    <row r="115" spans="1:14" x14ac:dyDescent="0.2">
      <c r="A115" s="36" t="s">
        <v>408</v>
      </c>
      <c r="B115" s="45">
        <v>40009</v>
      </c>
      <c r="C115" s="46" t="s">
        <v>145</v>
      </c>
      <c r="D115" s="47" t="s">
        <v>524</v>
      </c>
      <c r="E115" s="36" t="s">
        <v>525</v>
      </c>
      <c r="F115" s="48" t="s">
        <v>526</v>
      </c>
      <c r="G115" s="48" t="s">
        <v>527</v>
      </c>
      <c r="H115" s="39">
        <v>2844.83</v>
      </c>
      <c r="I115" s="39">
        <f t="shared" si="4"/>
        <v>455.1728</v>
      </c>
      <c r="J115" s="39"/>
      <c r="K115" s="39">
        <f t="shared" si="5"/>
        <v>3300.0027999999998</v>
      </c>
      <c r="L115" s="36"/>
      <c r="M115" s="36" t="s">
        <v>429</v>
      </c>
      <c r="N115" s="36"/>
    </row>
    <row r="116" spans="1:14" x14ac:dyDescent="0.2">
      <c r="A116" s="36" t="s">
        <v>408</v>
      </c>
      <c r="B116" s="45">
        <v>40009</v>
      </c>
      <c r="C116" s="46" t="s">
        <v>146</v>
      </c>
      <c r="D116" s="47" t="s">
        <v>528</v>
      </c>
      <c r="E116" s="49" t="s">
        <v>529</v>
      </c>
      <c r="F116" s="48" t="s">
        <v>239</v>
      </c>
      <c r="G116" s="48" t="s">
        <v>530</v>
      </c>
      <c r="H116" s="39">
        <v>4137.93</v>
      </c>
      <c r="I116" s="39">
        <f t="shared" si="4"/>
        <v>662.06880000000001</v>
      </c>
      <c r="J116" s="39"/>
      <c r="K116" s="39">
        <f t="shared" si="5"/>
        <v>4799.9988000000003</v>
      </c>
      <c r="L116" s="36"/>
      <c r="M116" s="36" t="s">
        <v>429</v>
      </c>
      <c r="N116" s="36"/>
    </row>
    <row r="117" spans="1:14" x14ac:dyDescent="0.2">
      <c r="A117" s="36" t="s">
        <v>408</v>
      </c>
      <c r="B117" s="45">
        <v>40014</v>
      </c>
      <c r="C117" s="46" t="s">
        <v>147</v>
      </c>
      <c r="D117" s="47" t="s">
        <v>531</v>
      </c>
      <c r="E117" s="49" t="s">
        <v>532</v>
      </c>
      <c r="F117" s="36" t="s">
        <v>379</v>
      </c>
      <c r="G117" s="48" t="s">
        <v>533</v>
      </c>
      <c r="H117" s="39">
        <v>3189.66</v>
      </c>
      <c r="I117" s="39">
        <f t="shared" si="4"/>
        <v>510.34559999999999</v>
      </c>
      <c r="J117" s="39"/>
      <c r="K117" s="39">
        <f t="shared" si="5"/>
        <v>3700.0056</v>
      </c>
      <c r="L117" s="36"/>
      <c r="M117" s="36" t="s">
        <v>429</v>
      </c>
      <c r="N117" s="36"/>
    </row>
    <row r="118" spans="1:14" x14ac:dyDescent="0.2">
      <c r="A118" s="36" t="s">
        <v>408</v>
      </c>
      <c r="B118" s="45">
        <v>40024</v>
      </c>
      <c r="C118" s="46" t="s">
        <v>148</v>
      </c>
      <c r="D118" s="47" t="s">
        <v>534</v>
      </c>
      <c r="E118" s="49" t="s">
        <v>535</v>
      </c>
      <c r="F118" s="48" t="s">
        <v>239</v>
      </c>
      <c r="G118" s="48" t="s">
        <v>536</v>
      </c>
      <c r="H118" s="39">
        <v>2801.72</v>
      </c>
      <c r="I118" s="39">
        <f t="shared" si="4"/>
        <v>448.27519999999998</v>
      </c>
      <c r="J118" s="39"/>
      <c r="K118" s="39">
        <f t="shared" si="5"/>
        <v>3249.9951999999998</v>
      </c>
      <c r="L118" s="36"/>
      <c r="M118" s="36" t="s">
        <v>429</v>
      </c>
      <c r="N118" s="36"/>
    </row>
    <row r="119" spans="1:14" x14ac:dyDescent="0.2">
      <c r="A119" s="36" t="s">
        <v>408</v>
      </c>
      <c r="B119" s="45">
        <v>40024</v>
      </c>
      <c r="C119" s="46" t="s">
        <v>149</v>
      </c>
      <c r="D119" s="47" t="s">
        <v>534</v>
      </c>
      <c r="E119" s="49" t="s">
        <v>535</v>
      </c>
      <c r="F119" s="48" t="s">
        <v>210</v>
      </c>
      <c r="G119" s="48" t="s">
        <v>401</v>
      </c>
      <c r="H119" s="39">
        <v>2543.1</v>
      </c>
      <c r="I119" s="39">
        <f t="shared" si="4"/>
        <v>406.89600000000002</v>
      </c>
      <c r="J119" s="39"/>
      <c r="K119" s="39">
        <f t="shared" si="5"/>
        <v>2949.9960000000001</v>
      </c>
      <c r="L119" s="36"/>
      <c r="M119" s="36" t="s">
        <v>429</v>
      </c>
      <c r="N119" s="36"/>
    </row>
    <row r="120" spans="1:14" x14ac:dyDescent="0.2">
      <c r="A120" s="36" t="s">
        <v>408</v>
      </c>
      <c r="B120" s="45">
        <v>40032</v>
      </c>
      <c r="C120" s="46" t="s">
        <v>150</v>
      </c>
      <c r="D120" s="47" t="s">
        <v>534</v>
      </c>
      <c r="E120" s="49" t="s">
        <v>535</v>
      </c>
      <c r="F120" s="48" t="s">
        <v>218</v>
      </c>
      <c r="G120" s="48" t="s">
        <v>481</v>
      </c>
      <c r="H120" s="39">
        <v>2284.48</v>
      </c>
      <c r="I120" s="39">
        <f t="shared" si="4"/>
        <v>365.51679999999999</v>
      </c>
      <c r="J120" s="39"/>
      <c r="K120" s="39">
        <f t="shared" si="5"/>
        <v>2649.9967999999999</v>
      </c>
      <c r="L120" s="36"/>
      <c r="M120" s="36" t="s">
        <v>429</v>
      </c>
      <c r="N120" s="36"/>
    </row>
    <row r="121" spans="1:14" x14ac:dyDescent="0.2">
      <c r="A121" s="36" t="s">
        <v>408</v>
      </c>
      <c r="B121" s="37">
        <v>40035</v>
      </c>
      <c r="C121" s="46" t="s">
        <v>151</v>
      </c>
      <c r="D121" s="36" t="s">
        <v>537</v>
      </c>
      <c r="E121" s="36"/>
      <c r="F121" s="36"/>
      <c r="G121" s="36"/>
      <c r="H121" s="39"/>
      <c r="I121" s="39">
        <f t="shared" si="4"/>
        <v>0</v>
      </c>
      <c r="J121" s="39"/>
      <c r="K121" s="39">
        <f t="shared" si="5"/>
        <v>0</v>
      </c>
      <c r="L121" s="36"/>
      <c r="M121" s="36" t="s">
        <v>429</v>
      </c>
      <c r="N121" s="36"/>
    </row>
    <row r="122" spans="1:14" x14ac:dyDescent="0.2">
      <c r="A122" s="36" t="s">
        <v>408</v>
      </c>
      <c r="B122" s="45">
        <v>40035</v>
      </c>
      <c r="C122" s="46" t="s">
        <v>152</v>
      </c>
      <c r="D122" s="47" t="s">
        <v>538</v>
      </c>
      <c r="E122" s="49" t="s">
        <v>539</v>
      </c>
      <c r="F122" s="48" t="s">
        <v>218</v>
      </c>
      <c r="G122" s="48" t="s">
        <v>540</v>
      </c>
      <c r="H122" s="39">
        <v>1551.72</v>
      </c>
      <c r="I122" s="39">
        <f t="shared" si="4"/>
        <v>248.27520000000001</v>
      </c>
      <c r="J122" s="39"/>
      <c r="K122" s="39">
        <f t="shared" si="5"/>
        <v>1799.9952000000001</v>
      </c>
      <c r="L122" s="36"/>
      <c r="M122" s="36" t="s">
        <v>429</v>
      </c>
      <c r="N122" s="36"/>
    </row>
    <row r="123" spans="1:14" x14ac:dyDescent="0.2">
      <c r="A123" s="36" t="s">
        <v>408</v>
      </c>
      <c r="B123" s="45">
        <v>40035</v>
      </c>
      <c r="C123" s="46" t="s">
        <v>541</v>
      </c>
      <c r="D123" s="47" t="s">
        <v>542</v>
      </c>
      <c r="E123" s="49" t="s">
        <v>543</v>
      </c>
      <c r="F123" s="48" t="s">
        <v>214</v>
      </c>
      <c r="G123" s="48" t="s">
        <v>544</v>
      </c>
      <c r="H123" s="39">
        <v>3103.45</v>
      </c>
      <c r="I123" s="39">
        <f t="shared" si="4"/>
        <v>496.55199999999996</v>
      </c>
      <c r="J123" s="39"/>
      <c r="K123" s="39">
        <f t="shared" si="5"/>
        <v>3600.002</v>
      </c>
      <c r="L123" s="36"/>
      <c r="M123" s="36" t="s">
        <v>429</v>
      </c>
      <c r="N123" s="36"/>
    </row>
    <row r="124" spans="1:14" x14ac:dyDescent="0.2">
      <c r="A124" s="41" t="s">
        <v>408</v>
      </c>
      <c r="B124" s="50">
        <v>40036</v>
      </c>
      <c r="C124" s="51" t="s">
        <v>154</v>
      </c>
      <c r="D124" s="30" t="s">
        <v>545</v>
      </c>
      <c r="E124" s="52" t="s">
        <v>546</v>
      </c>
      <c r="F124" s="53" t="s">
        <v>547</v>
      </c>
      <c r="G124" s="53" t="s">
        <v>548</v>
      </c>
      <c r="H124" s="44">
        <v>3017.24</v>
      </c>
      <c r="I124" s="44">
        <f t="shared" si="4"/>
        <v>482.75839999999999</v>
      </c>
      <c r="J124" s="44"/>
      <c r="K124" s="44">
        <f t="shared" si="5"/>
        <v>3499.9983999999999</v>
      </c>
      <c r="L124" s="36"/>
      <c r="M124" s="36" t="s">
        <v>429</v>
      </c>
      <c r="N124" s="36"/>
    </row>
    <row r="125" spans="1:14" x14ac:dyDescent="0.2">
      <c r="A125" s="36" t="s">
        <v>408</v>
      </c>
      <c r="B125" s="45">
        <v>40042</v>
      </c>
      <c r="C125" s="46" t="s">
        <v>549</v>
      </c>
      <c r="D125" s="47" t="s">
        <v>550</v>
      </c>
      <c r="E125" s="49" t="s">
        <v>551</v>
      </c>
      <c r="F125" s="48" t="s">
        <v>552</v>
      </c>
      <c r="G125" s="48" t="s">
        <v>553</v>
      </c>
      <c r="H125" s="39">
        <v>344.83</v>
      </c>
      <c r="I125" s="39">
        <f t="shared" si="4"/>
        <v>55.172799999999995</v>
      </c>
      <c r="J125" s="39"/>
      <c r="K125" s="39">
        <f t="shared" si="5"/>
        <v>400.00279999999998</v>
      </c>
      <c r="L125" s="36"/>
      <c r="M125" s="36" t="s">
        <v>429</v>
      </c>
      <c r="N125" s="36"/>
    </row>
    <row r="126" spans="1:14" x14ac:dyDescent="0.2">
      <c r="A126" s="36" t="s">
        <v>408</v>
      </c>
      <c r="B126" s="45">
        <v>40045</v>
      </c>
      <c r="C126" s="46" t="s">
        <v>554</v>
      </c>
      <c r="D126" s="47" t="s">
        <v>528</v>
      </c>
      <c r="E126" s="49" t="s">
        <v>555</v>
      </c>
      <c r="F126" s="48" t="s">
        <v>239</v>
      </c>
      <c r="G126" s="48" t="s">
        <v>556</v>
      </c>
      <c r="H126" s="39"/>
      <c r="I126" s="39"/>
      <c r="J126" s="39"/>
      <c r="K126" s="39"/>
      <c r="L126" s="36"/>
      <c r="M126" s="36" t="s">
        <v>429</v>
      </c>
      <c r="N126" s="36"/>
    </row>
    <row r="127" spans="1:14" x14ac:dyDescent="0.2">
      <c r="A127" s="36" t="s">
        <v>408</v>
      </c>
      <c r="B127" s="45">
        <v>40045</v>
      </c>
      <c r="C127" s="46" t="s">
        <v>157</v>
      </c>
      <c r="D127" s="47" t="s">
        <v>557</v>
      </c>
      <c r="E127" s="49" t="s">
        <v>558</v>
      </c>
      <c r="F127" s="48" t="s">
        <v>559</v>
      </c>
      <c r="G127" s="48" t="s">
        <v>560</v>
      </c>
      <c r="H127" s="39">
        <v>3448.28</v>
      </c>
      <c r="I127" s="39">
        <f t="shared" si="4"/>
        <v>551.72480000000007</v>
      </c>
      <c r="J127" s="39"/>
      <c r="K127" s="39">
        <f t="shared" si="5"/>
        <v>4000.0048000000002</v>
      </c>
      <c r="L127" s="36"/>
      <c r="M127" s="36" t="s">
        <v>429</v>
      </c>
      <c r="N127" s="36"/>
    </row>
    <row r="128" spans="1:14" x14ac:dyDescent="0.2">
      <c r="A128" s="36" t="s">
        <v>408</v>
      </c>
      <c r="B128" s="45">
        <v>40045</v>
      </c>
      <c r="C128" s="46" t="s">
        <v>158</v>
      </c>
      <c r="D128" s="47" t="s">
        <v>561</v>
      </c>
      <c r="E128" s="49" t="s">
        <v>562</v>
      </c>
      <c r="F128" s="48" t="s">
        <v>239</v>
      </c>
      <c r="G128" s="48" t="s">
        <v>563</v>
      </c>
      <c r="H128" s="39">
        <v>2586.21</v>
      </c>
      <c r="I128" s="39">
        <f t="shared" si="4"/>
        <v>413.79360000000003</v>
      </c>
      <c r="J128" s="39"/>
      <c r="K128" s="39">
        <f t="shared" si="5"/>
        <v>3000.0036</v>
      </c>
      <c r="L128" s="36"/>
      <c r="M128" s="36" t="s">
        <v>429</v>
      </c>
      <c r="N128" s="36"/>
    </row>
    <row r="129" spans="1:14" x14ac:dyDescent="0.2">
      <c r="A129" s="36" t="s">
        <v>408</v>
      </c>
      <c r="B129" s="45">
        <v>40060</v>
      </c>
      <c r="C129" s="46" t="s">
        <v>159</v>
      </c>
      <c r="D129" s="47" t="s">
        <v>564</v>
      </c>
      <c r="E129" s="49" t="s">
        <v>565</v>
      </c>
      <c r="F129" s="48" t="s">
        <v>246</v>
      </c>
      <c r="G129" s="48" t="s">
        <v>566</v>
      </c>
      <c r="H129" s="39">
        <v>4051.72</v>
      </c>
      <c r="I129" s="39">
        <f t="shared" si="4"/>
        <v>648.27519999999993</v>
      </c>
      <c r="J129" s="39"/>
      <c r="K129" s="39">
        <f t="shared" si="5"/>
        <v>4699.9951999999994</v>
      </c>
      <c r="L129" s="36"/>
      <c r="M129" s="36" t="s">
        <v>429</v>
      </c>
      <c r="N129" s="36"/>
    </row>
    <row r="130" spans="1:14" x14ac:dyDescent="0.2">
      <c r="A130" s="36" t="s">
        <v>408</v>
      </c>
      <c r="B130" s="45">
        <v>40060</v>
      </c>
      <c r="C130" s="46" t="s">
        <v>160</v>
      </c>
      <c r="D130" s="47" t="s">
        <v>567</v>
      </c>
      <c r="E130" s="49" t="s">
        <v>568</v>
      </c>
      <c r="F130" s="48" t="s">
        <v>569</v>
      </c>
      <c r="G130" s="48" t="s">
        <v>570</v>
      </c>
      <c r="H130" s="39">
        <v>3836.21</v>
      </c>
      <c r="I130" s="39">
        <f t="shared" si="4"/>
        <v>613.79359999999997</v>
      </c>
      <c r="J130" s="39"/>
      <c r="K130" s="39">
        <f t="shared" si="5"/>
        <v>4450.0036</v>
      </c>
      <c r="L130" s="36"/>
      <c r="M130" s="36" t="s">
        <v>429</v>
      </c>
      <c r="N130" s="36"/>
    </row>
    <row r="131" spans="1:14" x14ac:dyDescent="0.2">
      <c r="A131" s="36" t="s">
        <v>408</v>
      </c>
      <c r="B131" s="45">
        <v>40060</v>
      </c>
      <c r="C131" s="46" t="s">
        <v>161</v>
      </c>
      <c r="D131" s="47" t="s">
        <v>571</v>
      </c>
      <c r="E131" s="49" t="s">
        <v>572</v>
      </c>
      <c r="F131" s="48" t="s">
        <v>218</v>
      </c>
      <c r="G131" s="48" t="s">
        <v>573</v>
      </c>
      <c r="H131" s="39">
        <v>2327.59</v>
      </c>
      <c r="I131" s="39">
        <f t="shared" si="4"/>
        <v>372.41440000000006</v>
      </c>
      <c r="J131" s="39"/>
      <c r="K131" s="39">
        <f t="shared" si="5"/>
        <v>2700.0044000000003</v>
      </c>
      <c r="L131" s="36"/>
      <c r="M131" s="36" t="s">
        <v>429</v>
      </c>
      <c r="N131" s="36"/>
    </row>
    <row r="132" spans="1:14" x14ac:dyDescent="0.2">
      <c r="A132" s="36" t="s">
        <v>408</v>
      </c>
      <c r="B132" s="45">
        <v>40065</v>
      </c>
      <c r="C132" s="46" t="s">
        <v>162</v>
      </c>
      <c r="D132" s="47" t="s">
        <v>574</v>
      </c>
      <c r="E132" s="49" t="s">
        <v>575</v>
      </c>
      <c r="F132" s="48" t="s">
        <v>230</v>
      </c>
      <c r="G132" s="48" t="s">
        <v>576</v>
      </c>
      <c r="H132" s="39">
        <v>3620.69</v>
      </c>
      <c r="I132" s="39">
        <f t="shared" si="4"/>
        <v>579.31040000000007</v>
      </c>
      <c r="J132" s="39"/>
      <c r="K132" s="39">
        <f t="shared" si="5"/>
        <v>4200.0003999999999</v>
      </c>
      <c r="L132" s="36"/>
      <c r="M132" s="36" t="s">
        <v>429</v>
      </c>
      <c r="N132" s="36"/>
    </row>
    <row r="133" spans="1:14" x14ac:dyDescent="0.2">
      <c r="A133" s="36" t="s">
        <v>408</v>
      </c>
      <c r="B133" s="45">
        <v>40077</v>
      </c>
      <c r="C133" s="46" t="s">
        <v>163</v>
      </c>
      <c r="D133" s="47" t="s">
        <v>577</v>
      </c>
      <c r="E133" s="49" t="s">
        <v>578</v>
      </c>
      <c r="F133" s="48" t="s">
        <v>569</v>
      </c>
      <c r="G133" s="48" t="s">
        <v>579</v>
      </c>
      <c r="H133" s="39">
        <v>2586.21</v>
      </c>
      <c r="I133" s="39">
        <f t="shared" si="4"/>
        <v>413.79360000000003</v>
      </c>
      <c r="J133" s="39"/>
      <c r="K133" s="39">
        <f t="shared" si="5"/>
        <v>3000.0036</v>
      </c>
      <c r="L133" s="36"/>
      <c r="M133" s="36" t="s">
        <v>429</v>
      </c>
      <c r="N133" s="36"/>
    </row>
    <row r="134" spans="1:14" x14ac:dyDescent="0.2">
      <c r="A134" s="36" t="s">
        <v>408</v>
      </c>
      <c r="B134" s="45">
        <v>40077</v>
      </c>
      <c r="C134" s="46" t="s">
        <v>164</v>
      </c>
      <c r="D134" s="47" t="s">
        <v>580</v>
      </c>
      <c r="E134" s="49" t="s">
        <v>532</v>
      </c>
      <c r="F134" s="48" t="s">
        <v>309</v>
      </c>
      <c r="G134" s="48" t="s">
        <v>581</v>
      </c>
      <c r="H134" s="39">
        <v>3189.66</v>
      </c>
      <c r="I134" s="39">
        <f t="shared" si="4"/>
        <v>510.34559999999999</v>
      </c>
      <c r="J134" s="39"/>
      <c r="K134" s="39">
        <f t="shared" si="5"/>
        <v>3700.0056</v>
      </c>
      <c r="L134" s="36"/>
      <c r="M134" s="36" t="s">
        <v>429</v>
      </c>
      <c r="N134" s="36"/>
    </row>
    <row r="135" spans="1:14" x14ac:dyDescent="0.2">
      <c r="A135" s="36" t="s">
        <v>408</v>
      </c>
      <c r="B135" s="45">
        <v>40077</v>
      </c>
      <c r="C135" s="46" t="s">
        <v>165</v>
      </c>
      <c r="D135" s="47" t="s">
        <v>582</v>
      </c>
      <c r="E135" s="49" t="s">
        <v>583</v>
      </c>
      <c r="F135" s="48" t="s">
        <v>406</v>
      </c>
      <c r="G135" s="48" t="s">
        <v>584</v>
      </c>
      <c r="H135" s="39">
        <v>2586.21</v>
      </c>
      <c r="I135" s="39">
        <f t="shared" si="4"/>
        <v>413.79360000000003</v>
      </c>
      <c r="J135" s="39"/>
      <c r="K135" s="39">
        <f t="shared" si="5"/>
        <v>3000.0036</v>
      </c>
      <c r="L135" s="36"/>
      <c r="M135" s="36" t="s">
        <v>429</v>
      </c>
      <c r="N135" s="36"/>
    </row>
    <row r="136" spans="1:14" x14ac:dyDescent="0.2">
      <c r="A136" s="36" t="s">
        <v>408</v>
      </c>
      <c r="B136" s="45">
        <v>40077</v>
      </c>
      <c r="C136" s="46" t="s">
        <v>166</v>
      </c>
      <c r="D136" s="47" t="s">
        <v>585</v>
      </c>
      <c r="E136" s="49" t="s">
        <v>586</v>
      </c>
      <c r="F136" s="48" t="s">
        <v>406</v>
      </c>
      <c r="G136" s="48" t="s">
        <v>587</v>
      </c>
      <c r="H136" s="39">
        <v>2844.83</v>
      </c>
      <c r="I136" s="39">
        <f t="shared" si="4"/>
        <v>455.1728</v>
      </c>
      <c r="J136" s="39"/>
      <c r="K136" s="39">
        <f t="shared" si="5"/>
        <v>3300.0027999999998</v>
      </c>
      <c r="L136" s="36"/>
      <c r="M136" s="36" t="s">
        <v>429</v>
      </c>
      <c r="N136" s="36"/>
    </row>
    <row r="137" spans="1:14" x14ac:dyDescent="0.2">
      <c r="A137" s="36" t="s">
        <v>408</v>
      </c>
      <c r="B137" s="45">
        <v>40077</v>
      </c>
      <c r="C137" s="46" t="s">
        <v>167</v>
      </c>
      <c r="D137" s="47" t="s">
        <v>588</v>
      </c>
      <c r="E137" s="49" t="s">
        <v>589</v>
      </c>
      <c r="F137" s="48" t="s">
        <v>381</v>
      </c>
      <c r="G137" s="48" t="s">
        <v>590</v>
      </c>
      <c r="H137" s="39">
        <v>2586.21</v>
      </c>
      <c r="I137" s="39">
        <f t="shared" si="4"/>
        <v>413.79360000000003</v>
      </c>
      <c r="J137" s="39"/>
      <c r="K137" s="39">
        <f t="shared" si="5"/>
        <v>3000.0036</v>
      </c>
      <c r="L137" s="36"/>
      <c r="M137" s="36" t="s">
        <v>429</v>
      </c>
      <c r="N137" s="36"/>
    </row>
    <row r="138" spans="1:14" x14ac:dyDescent="0.2">
      <c r="A138" s="36" t="s">
        <v>408</v>
      </c>
      <c r="B138" s="45">
        <v>40077</v>
      </c>
      <c r="C138" s="46" t="s">
        <v>168</v>
      </c>
      <c r="D138" s="47" t="s">
        <v>591</v>
      </c>
      <c r="E138" s="49" t="s">
        <v>592</v>
      </c>
      <c r="F138" s="48" t="s">
        <v>593</v>
      </c>
      <c r="G138" s="48" t="s">
        <v>594</v>
      </c>
      <c r="H138" s="39">
        <v>2844.83</v>
      </c>
      <c r="I138" s="39">
        <f t="shared" si="4"/>
        <v>455.1728</v>
      </c>
      <c r="J138" s="39"/>
      <c r="K138" s="39">
        <f t="shared" si="5"/>
        <v>3300.0027999999998</v>
      </c>
      <c r="L138" s="36"/>
      <c r="M138" s="36" t="s">
        <v>429</v>
      </c>
      <c r="N138" s="36"/>
    </row>
    <row r="139" spans="1:14" x14ac:dyDescent="0.2">
      <c r="A139" s="36" t="s">
        <v>408</v>
      </c>
      <c r="B139" s="45">
        <v>40077</v>
      </c>
      <c r="C139" s="46" t="s">
        <v>169</v>
      </c>
      <c r="D139" s="47" t="s">
        <v>595</v>
      </c>
      <c r="E139" s="49" t="s">
        <v>596</v>
      </c>
      <c r="F139" s="48" t="s">
        <v>597</v>
      </c>
      <c r="G139" s="48" t="s">
        <v>598</v>
      </c>
      <c r="H139" s="39">
        <v>8534.48</v>
      </c>
      <c r="I139" s="39">
        <f t="shared" si="4"/>
        <v>1365.5167999999999</v>
      </c>
      <c r="J139" s="39"/>
      <c r="K139" s="39">
        <f t="shared" si="5"/>
        <v>9899.996799999999</v>
      </c>
      <c r="L139" s="36" t="s">
        <v>31</v>
      </c>
      <c r="M139" s="36" t="s">
        <v>429</v>
      </c>
      <c r="N139" s="36"/>
    </row>
    <row r="140" spans="1:14" x14ac:dyDescent="0.2">
      <c r="A140" s="36" t="s">
        <v>408</v>
      </c>
      <c r="B140" s="45">
        <v>40085</v>
      </c>
      <c r="C140" s="46" t="s">
        <v>170</v>
      </c>
      <c r="D140" s="47" t="s">
        <v>599</v>
      </c>
      <c r="E140" s="49" t="s">
        <v>600</v>
      </c>
      <c r="F140" s="48" t="s">
        <v>406</v>
      </c>
      <c r="G140" s="48" t="s">
        <v>601</v>
      </c>
      <c r="H140" s="39">
        <v>2586.21</v>
      </c>
      <c r="I140" s="39">
        <f t="shared" si="4"/>
        <v>413.79360000000003</v>
      </c>
      <c r="J140" s="39"/>
      <c r="K140" s="39">
        <f t="shared" si="5"/>
        <v>3000.0036</v>
      </c>
      <c r="L140" s="36"/>
      <c r="M140" s="36" t="s">
        <v>429</v>
      </c>
      <c r="N140" s="36"/>
    </row>
    <row r="141" spans="1:14" x14ac:dyDescent="0.2">
      <c r="A141" s="36" t="s">
        <v>408</v>
      </c>
      <c r="B141" s="45">
        <v>40085</v>
      </c>
      <c r="C141" s="46" t="s">
        <v>171</v>
      </c>
      <c r="D141" s="47" t="s">
        <v>602</v>
      </c>
      <c r="E141" s="49" t="s">
        <v>603</v>
      </c>
      <c r="F141" s="48" t="s">
        <v>346</v>
      </c>
      <c r="G141" s="48" t="s">
        <v>604</v>
      </c>
      <c r="H141" s="39">
        <v>2327.59</v>
      </c>
      <c r="I141" s="39">
        <f t="shared" si="4"/>
        <v>372.41440000000006</v>
      </c>
      <c r="J141" s="39"/>
      <c r="K141" s="39">
        <f t="shared" si="5"/>
        <v>2700.0044000000003</v>
      </c>
      <c r="L141" s="36"/>
      <c r="M141" s="36" t="s">
        <v>429</v>
      </c>
      <c r="N141" s="36"/>
    </row>
    <row r="142" spans="1:14" x14ac:dyDescent="0.2">
      <c r="A142" s="36" t="s">
        <v>408</v>
      </c>
      <c r="B142" s="45">
        <v>40085</v>
      </c>
      <c r="C142" s="46" t="s">
        <v>172</v>
      </c>
      <c r="D142" s="47" t="s">
        <v>605</v>
      </c>
      <c r="E142" s="49" t="s">
        <v>606</v>
      </c>
      <c r="F142" s="48" t="s">
        <v>349</v>
      </c>
      <c r="G142" s="48" t="s">
        <v>607</v>
      </c>
      <c r="H142" s="39">
        <v>3017.24</v>
      </c>
      <c r="I142" s="39">
        <f t="shared" si="4"/>
        <v>482.75839999999999</v>
      </c>
      <c r="J142" s="39"/>
      <c r="K142" s="39">
        <f t="shared" si="5"/>
        <v>3499.9983999999999</v>
      </c>
      <c r="L142" s="36"/>
      <c r="M142" s="36" t="s">
        <v>429</v>
      </c>
      <c r="N142" s="36"/>
    </row>
    <row r="143" spans="1:14" x14ac:dyDescent="0.2">
      <c r="A143" s="36" t="s">
        <v>408</v>
      </c>
      <c r="B143" s="45">
        <v>40085</v>
      </c>
      <c r="C143" s="46" t="s">
        <v>173</v>
      </c>
      <c r="D143" s="47" t="s">
        <v>608</v>
      </c>
      <c r="E143" s="49" t="s">
        <v>609</v>
      </c>
      <c r="F143" s="48" t="s">
        <v>392</v>
      </c>
      <c r="G143" s="48" t="s">
        <v>610</v>
      </c>
      <c r="H143" s="39">
        <v>2155.17</v>
      </c>
      <c r="I143" s="39">
        <f t="shared" si="4"/>
        <v>344.8272</v>
      </c>
      <c r="J143" s="39"/>
      <c r="K143" s="39">
        <f t="shared" si="5"/>
        <v>2499.9972000000002</v>
      </c>
      <c r="L143" s="36"/>
      <c r="M143" s="36" t="s">
        <v>429</v>
      </c>
      <c r="N143" s="36"/>
    </row>
    <row r="144" spans="1:14" x14ac:dyDescent="0.2">
      <c r="A144" s="36" t="s">
        <v>408</v>
      </c>
      <c r="B144" s="45">
        <v>40085</v>
      </c>
      <c r="C144" s="46" t="s">
        <v>174</v>
      </c>
      <c r="D144" s="47" t="s">
        <v>611</v>
      </c>
      <c r="E144" s="49" t="s">
        <v>612</v>
      </c>
      <c r="F144" s="48" t="s">
        <v>360</v>
      </c>
      <c r="G144" s="48" t="s">
        <v>613</v>
      </c>
      <c r="H144" s="39">
        <v>1724.14</v>
      </c>
      <c r="I144" s="39">
        <f t="shared" si="4"/>
        <v>275.86240000000004</v>
      </c>
      <c r="J144" s="39"/>
      <c r="K144" s="39">
        <f t="shared" si="5"/>
        <v>2000.0024000000001</v>
      </c>
      <c r="L144" s="36"/>
      <c r="M144" s="36" t="s">
        <v>429</v>
      </c>
      <c r="N144" s="36"/>
    </row>
    <row r="145" spans="1:14" x14ac:dyDescent="0.2">
      <c r="A145" s="36" t="s">
        <v>408</v>
      </c>
      <c r="B145" s="45">
        <v>40085</v>
      </c>
      <c r="C145" s="46" t="s">
        <v>175</v>
      </c>
      <c r="D145" s="47" t="s">
        <v>614</v>
      </c>
      <c r="E145" s="49" t="s">
        <v>615</v>
      </c>
      <c r="F145" s="48" t="s">
        <v>368</v>
      </c>
      <c r="G145" s="48" t="s">
        <v>616</v>
      </c>
      <c r="H145" s="39">
        <v>3275.86</v>
      </c>
      <c r="I145" s="39">
        <f t="shared" si="4"/>
        <v>524.13760000000002</v>
      </c>
      <c r="J145" s="39"/>
      <c r="K145" s="39">
        <f t="shared" si="5"/>
        <v>3799.9976000000001</v>
      </c>
      <c r="L145" s="36"/>
      <c r="M145" s="36" t="s">
        <v>429</v>
      </c>
      <c r="N145" s="36"/>
    </row>
    <row r="146" spans="1:14" x14ac:dyDescent="0.2">
      <c r="A146" s="36" t="s">
        <v>408</v>
      </c>
      <c r="B146" s="45">
        <v>40085</v>
      </c>
      <c r="C146" s="46" t="s">
        <v>176</v>
      </c>
      <c r="D146" s="47" t="s">
        <v>617</v>
      </c>
      <c r="E146" s="49" t="s">
        <v>618</v>
      </c>
      <c r="F146" s="48" t="s">
        <v>619</v>
      </c>
      <c r="G146" s="48" t="s">
        <v>620</v>
      </c>
      <c r="H146" s="39">
        <v>2586.21</v>
      </c>
      <c r="I146" s="39">
        <f t="shared" si="4"/>
        <v>413.79360000000003</v>
      </c>
      <c r="J146" s="39"/>
      <c r="K146" s="39">
        <f t="shared" si="5"/>
        <v>3000.0036</v>
      </c>
      <c r="L146" s="36"/>
      <c r="M146" s="36" t="s">
        <v>429</v>
      </c>
      <c r="N146" s="36"/>
    </row>
    <row r="147" spans="1:14" x14ac:dyDescent="0.2">
      <c r="A147" s="36" t="s">
        <v>408</v>
      </c>
      <c r="B147" s="45">
        <v>40085</v>
      </c>
      <c r="C147" s="46" t="s">
        <v>177</v>
      </c>
      <c r="D147" s="47" t="s">
        <v>621</v>
      </c>
      <c r="E147" s="49" t="s">
        <v>622</v>
      </c>
      <c r="F147" s="48" t="s">
        <v>623</v>
      </c>
      <c r="G147" s="48" t="s">
        <v>624</v>
      </c>
      <c r="H147" s="39">
        <v>3620.69</v>
      </c>
      <c r="I147" s="39">
        <f t="shared" si="4"/>
        <v>579.31040000000007</v>
      </c>
      <c r="J147" s="39"/>
      <c r="K147" s="39">
        <f t="shared" si="5"/>
        <v>4200.0003999999999</v>
      </c>
      <c r="L147" s="36"/>
      <c r="M147" s="36" t="s">
        <v>429</v>
      </c>
      <c r="N147" s="36"/>
    </row>
    <row r="148" spans="1:14" x14ac:dyDescent="0.2">
      <c r="A148" s="36" t="s">
        <v>408</v>
      </c>
      <c r="B148" s="45">
        <v>40085</v>
      </c>
      <c r="C148" s="46" t="s">
        <v>625</v>
      </c>
      <c r="D148" s="47" t="s">
        <v>626</v>
      </c>
      <c r="E148" s="49" t="s">
        <v>627</v>
      </c>
      <c r="F148" s="48" t="s">
        <v>201</v>
      </c>
      <c r="G148" s="48" t="s">
        <v>496</v>
      </c>
      <c r="H148" s="39">
        <v>4741.38</v>
      </c>
      <c r="I148" s="39">
        <f t="shared" si="4"/>
        <v>758.62080000000003</v>
      </c>
      <c r="J148" s="39"/>
      <c r="K148" s="39">
        <f t="shared" si="5"/>
        <v>5500.0007999999998</v>
      </c>
      <c r="L148" s="36"/>
      <c r="M148" s="36" t="s">
        <v>429</v>
      </c>
      <c r="N148" s="36"/>
    </row>
    <row r="149" spans="1:14" x14ac:dyDescent="0.2">
      <c r="A149" s="36" t="s">
        <v>408</v>
      </c>
      <c r="B149" s="45">
        <v>40086</v>
      </c>
      <c r="C149" s="46" t="s">
        <v>628</v>
      </c>
      <c r="D149" s="47" t="s">
        <v>629</v>
      </c>
      <c r="E149" s="49" t="s">
        <v>630</v>
      </c>
      <c r="F149" s="48" t="s">
        <v>218</v>
      </c>
      <c r="G149" s="48" t="s">
        <v>631</v>
      </c>
      <c r="H149" s="39">
        <v>1465.52</v>
      </c>
      <c r="I149" s="39">
        <f t="shared" si="4"/>
        <v>234.48320000000001</v>
      </c>
      <c r="J149" s="39"/>
      <c r="K149" s="39">
        <f t="shared" si="5"/>
        <v>1700.0032000000001</v>
      </c>
      <c r="L149" s="36"/>
      <c r="M149" s="36" t="s">
        <v>429</v>
      </c>
      <c r="N149" s="36"/>
    </row>
    <row r="150" spans="1:14" x14ac:dyDescent="0.2">
      <c r="A150" s="36" t="s">
        <v>408</v>
      </c>
      <c r="B150" s="45">
        <v>40086</v>
      </c>
      <c r="C150" s="46" t="s">
        <v>632</v>
      </c>
      <c r="D150" s="47" t="s">
        <v>418</v>
      </c>
      <c r="E150" s="36" t="s">
        <v>419</v>
      </c>
      <c r="F150" s="48" t="s">
        <v>183</v>
      </c>
      <c r="G150" s="36" t="s">
        <v>437</v>
      </c>
      <c r="H150" s="39">
        <v>3275.86</v>
      </c>
      <c r="I150" s="39">
        <f t="shared" si="4"/>
        <v>524.13760000000002</v>
      </c>
      <c r="J150" s="39"/>
      <c r="K150" s="39">
        <f t="shared" si="5"/>
        <v>3799.9976000000001</v>
      </c>
      <c r="L150" s="36"/>
      <c r="M150" s="36" t="s">
        <v>429</v>
      </c>
      <c r="N150" s="36"/>
    </row>
    <row r="151" spans="1:14" x14ac:dyDescent="0.2">
      <c r="A151" s="36" t="s">
        <v>408</v>
      </c>
      <c r="B151" s="45">
        <v>40086</v>
      </c>
      <c r="C151" s="46" t="s">
        <v>633</v>
      </c>
      <c r="D151" s="47" t="s">
        <v>634</v>
      </c>
      <c r="E151" s="36" t="s">
        <v>635</v>
      </c>
      <c r="F151" s="48" t="s">
        <v>183</v>
      </c>
      <c r="G151" s="48" t="s">
        <v>636</v>
      </c>
      <c r="H151" s="39">
        <v>2586.21</v>
      </c>
      <c r="I151" s="39">
        <f t="shared" si="4"/>
        <v>413.79360000000003</v>
      </c>
      <c r="J151" s="39"/>
      <c r="K151" s="39">
        <f t="shared" si="5"/>
        <v>3000.0036</v>
      </c>
      <c r="L151" s="36"/>
      <c r="M151" s="36" t="s">
        <v>429</v>
      </c>
      <c r="N151" s="36"/>
    </row>
    <row r="152" spans="1:14" x14ac:dyDescent="0.2">
      <c r="A152" s="36" t="s">
        <v>408</v>
      </c>
      <c r="B152" s="45">
        <v>40086</v>
      </c>
      <c r="C152" s="46" t="s">
        <v>637</v>
      </c>
      <c r="D152" s="47" t="s">
        <v>638</v>
      </c>
      <c r="E152" s="49" t="s">
        <v>639</v>
      </c>
      <c r="F152" s="48" t="s">
        <v>218</v>
      </c>
      <c r="G152" s="48" t="s">
        <v>640</v>
      </c>
      <c r="H152" s="39">
        <v>1034.48</v>
      </c>
      <c r="I152" s="39">
        <f t="shared" si="4"/>
        <v>165.51680000000002</v>
      </c>
      <c r="J152" s="39"/>
      <c r="K152" s="39">
        <f t="shared" si="5"/>
        <v>1199.9968000000001</v>
      </c>
      <c r="L152" s="36"/>
      <c r="M152" s="36" t="s">
        <v>429</v>
      </c>
      <c r="N152" s="36"/>
    </row>
    <row r="153" spans="1:14" x14ac:dyDescent="0.2">
      <c r="A153" s="36" t="s">
        <v>408</v>
      </c>
      <c r="B153" s="45">
        <v>40086</v>
      </c>
      <c r="C153" s="46" t="s">
        <v>641</v>
      </c>
      <c r="D153" s="47" t="s">
        <v>642</v>
      </c>
      <c r="E153" s="49" t="s">
        <v>643</v>
      </c>
      <c r="F153" s="48" t="s">
        <v>422</v>
      </c>
      <c r="G153" s="48" t="s">
        <v>644</v>
      </c>
      <c r="H153" s="39">
        <v>1724.14</v>
      </c>
      <c r="I153" s="39">
        <f t="shared" si="4"/>
        <v>275.86240000000004</v>
      </c>
      <c r="J153" s="39"/>
      <c r="K153" s="39">
        <f t="shared" si="5"/>
        <v>2000.0024000000001</v>
      </c>
      <c r="L153" s="36"/>
      <c r="M153" s="36" t="s">
        <v>429</v>
      </c>
      <c r="N153" s="36"/>
    </row>
    <row r="154" spans="1:14" x14ac:dyDescent="0.2">
      <c r="A154" s="36" t="s">
        <v>408</v>
      </c>
      <c r="B154" s="45">
        <v>40086</v>
      </c>
      <c r="C154" s="46" t="s">
        <v>645</v>
      </c>
      <c r="D154" s="47" t="s">
        <v>646</v>
      </c>
      <c r="E154" s="49" t="s">
        <v>647</v>
      </c>
      <c r="F154" s="48" t="s">
        <v>201</v>
      </c>
      <c r="G154" s="48" t="s">
        <v>648</v>
      </c>
      <c r="H154" s="39">
        <v>2155.17</v>
      </c>
      <c r="I154" s="39">
        <f t="shared" si="4"/>
        <v>344.8272</v>
      </c>
      <c r="J154" s="39"/>
      <c r="K154" s="39">
        <f t="shared" si="5"/>
        <v>2499.9972000000002</v>
      </c>
      <c r="L154" s="36"/>
      <c r="M154" s="36" t="s">
        <v>429</v>
      </c>
      <c r="N154" s="36"/>
    </row>
    <row r="155" spans="1:14" x14ac:dyDescent="0.2">
      <c r="A155" s="36" t="s">
        <v>649</v>
      </c>
      <c r="B155" s="37">
        <v>39979</v>
      </c>
      <c r="C155" s="54" t="s">
        <v>650</v>
      </c>
      <c r="D155" s="36" t="s">
        <v>651</v>
      </c>
      <c r="E155" s="36" t="s">
        <v>652</v>
      </c>
      <c r="F155" s="36" t="s">
        <v>649</v>
      </c>
      <c r="G155" s="36"/>
      <c r="H155" s="36">
        <v>17363.849999999999</v>
      </c>
      <c r="I155" s="39">
        <f t="shared" si="4"/>
        <v>2778.2159999999999</v>
      </c>
      <c r="J155" s="39">
        <v>-881.41</v>
      </c>
      <c r="K155" s="39">
        <f>+H155+I155+J155</f>
        <v>19260.655999999999</v>
      </c>
      <c r="L155" s="36"/>
      <c r="M155" s="36" t="s">
        <v>348</v>
      </c>
      <c r="N155" s="36"/>
    </row>
    <row r="156" spans="1:14" x14ac:dyDescent="0.2">
      <c r="A156" s="36" t="s">
        <v>408</v>
      </c>
      <c r="B156" s="37">
        <v>40086</v>
      </c>
      <c r="C156" s="38" t="s">
        <v>653</v>
      </c>
      <c r="D156" s="36" t="s">
        <v>654</v>
      </c>
      <c r="E156" s="36" t="s">
        <v>345</v>
      </c>
      <c r="F156" s="36" t="s">
        <v>346</v>
      </c>
      <c r="G156" s="36" t="s">
        <v>480</v>
      </c>
      <c r="H156" s="39">
        <f>2500/1.16</f>
        <v>2155.1724137931037</v>
      </c>
      <c r="I156" s="39">
        <f>H156*0.16</f>
        <v>344.82758620689663</v>
      </c>
      <c r="J156" s="36"/>
      <c r="K156" s="39">
        <f>+H156+I156</f>
        <v>2500.0000000000005</v>
      </c>
      <c r="L156" s="36"/>
      <c r="M156" s="36" t="s">
        <v>429</v>
      </c>
      <c r="N156" s="36"/>
    </row>
    <row r="157" spans="1:14" x14ac:dyDescent="0.2">
      <c r="A157" s="36" t="s">
        <v>649</v>
      </c>
      <c r="B157" s="37">
        <v>40009</v>
      </c>
      <c r="C157" s="38" t="s">
        <v>655</v>
      </c>
      <c r="D157" s="36" t="s">
        <v>651</v>
      </c>
      <c r="E157" s="36" t="s">
        <v>652</v>
      </c>
      <c r="F157" s="36" t="s">
        <v>649</v>
      </c>
      <c r="G157" s="36"/>
      <c r="H157" s="36">
        <v>46623.48</v>
      </c>
      <c r="I157" s="39">
        <f>H157*0.16</f>
        <v>7459.756800000001</v>
      </c>
      <c r="J157" s="39">
        <v>-2366.67</v>
      </c>
      <c r="K157" s="39">
        <f>+H157+I157+J157</f>
        <v>51716.566800000008</v>
      </c>
      <c r="L157" s="36"/>
      <c r="M157" s="36" t="s">
        <v>429</v>
      </c>
      <c r="N157" s="36"/>
    </row>
    <row r="158" spans="1:14" x14ac:dyDescent="0.2">
      <c r="A158" s="36" t="s">
        <v>649</v>
      </c>
      <c r="B158" s="37">
        <v>40040</v>
      </c>
      <c r="C158" s="38" t="s">
        <v>656</v>
      </c>
      <c r="D158" s="36" t="s">
        <v>651</v>
      </c>
      <c r="E158" s="36" t="s">
        <v>652</v>
      </c>
      <c r="F158" s="36" t="s">
        <v>649</v>
      </c>
      <c r="G158" s="36"/>
      <c r="H158" s="36">
        <v>18156.57</v>
      </c>
      <c r="I158" s="39">
        <f>H158*0.16</f>
        <v>2905.0511999999999</v>
      </c>
      <c r="J158" s="39">
        <v>-921.65</v>
      </c>
      <c r="K158" s="39">
        <f>+H158+I158+J158</f>
        <v>20139.9712</v>
      </c>
      <c r="L158" s="36"/>
      <c r="M158" s="36" t="s">
        <v>429</v>
      </c>
      <c r="N158" s="36"/>
    </row>
    <row r="159" spans="1:14" x14ac:dyDescent="0.2">
      <c r="A159" s="36" t="s">
        <v>649</v>
      </c>
      <c r="B159" s="37">
        <v>40071</v>
      </c>
      <c r="C159" s="38" t="s">
        <v>657</v>
      </c>
      <c r="D159" s="36" t="s">
        <v>651</v>
      </c>
      <c r="E159" s="36" t="s">
        <v>652</v>
      </c>
      <c r="F159" s="36" t="s">
        <v>649</v>
      </c>
      <c r="G159" s="36"/>
      <c r="H159" s="36">
        <v>40017.519999999997</v>
      </c>
      <c r="I159" s="39">
        <f>H159*0.16</f>
        <v>6402.8031999999994</v>
      </c>
      <c r="J159" s="39">
        <v>-2031.35</v>
      </c>
      <c r="K159" s="39">
        <f>+H159+I159+J159</f>
        <v>44388.9732</v>
      </c>
      <c r="L159" s="36"/>
      <c r="M159" s="36" t="s">
        <v>429</v>
      </c>
      <c r="N159" s="36"/>
    </row>
    <row r="160" spans="1:14" x14ac:dyDescent="0.2">
      <c r="A160" s="36" t="s">
        <v>408</v>
      </c>
      <c r="B160" s="45">
        <v>40087</v>
      </c>
      <c r="C160" s="46" t="s">
        <v>658</v>
      </c>
      <c r="D160" s="47" t="s">
        <v>659</v>
      </c>
      <c r="E160" s="49" t="s">
        <v>660</v>
      </c>
      <c r="F160" s="48" t="s">
        <v>661</v>
      </c>
      <c r="G160" s="48" t="s">
        <v>662</v>
      </c>
      <c r="H160" s="39">
        <v>3103.45</v>
      </c>
      <c r="I160" s="39">
        <f>H160*0.16</f>
        <v>496.55199999999996</v>
      </c>
      <c r="J160" s="39"/>
      <c r="K160" s="39">
        <f>+H160+I160</f>
        <v>3600.002</v>
      </c>
      <c r="L160" s="36"/>
      <c r="M160" s="36" t="s">
        <v>663</v>
      </c>
      <c r="N160" s="36"/>
    </row>
    <row r="161" spans="1:14" x14ac:dyDescent="0.2">
      <c r="A161" s="36" t="s">
        <v>408</v>
      </c>
      <c r="B161" s="45">
        <v>40101</v>
      </c>
      <c r="C161" s="46" t="s">
        <v>664</v>
      </c>
      <c r="D161" s="47" t="s">
        <v>665</v>
      </c>
      <c r="E161" s="49" t="s">
        <v>666</v>
      </c>
      <c r="F161" s="48" t="s">
        <v>518</v>
      </c>
      <c r="G161" s="48" t="s">
        <v>667</v>
      </c>
      <c r="H161" s="39">
        <v>239.66</v>
      </c>
      <c r="I161" s="39">
        <f t="shared" ref="I161:I224" si="6">H161*0.16</f>
        <v>38.345599999999997</v>
      </c>
      <c r="J161" s="39"/>
      <c r="K161" s="39">
        <f t="shared" ref="K161:K224" si="7">+H161+I161</f>
        <v>278.00560000000002</v>
      </c>
      <c r="L161" s="36"/>
      <c r="M161" s="36" t="s">
        <v>663</v>
      </c>
      <c r="N161" s="36"/>
    </row>
    <row r="162" spans="1:14" x14ac:dyDescent="0.2">
      <c r="A162" s="36" t="s">
        <v>408</v>
      </c>
      <c r="B162" s="45">
        <v>40105</v>
      </c>
      <c r="C162" s="46" t="s">
        <v>668</v>
      </c>
      <c r="D162" s="47" t="s">
        <v>669</v>
      </c>
      <c r="E162" s="49" t="s">
        <v>670</v>
      </c>
      <c r="F162" s="48" t="s">
        <v>671</v>
      </c>
      <c r="G162" s="48" t="s">
        <v>435</v>
      </c>
      <c r="H162" s="39">
        <v>3189.66</v>
      </c>
      <c r="I162" s="39">
        <f t="shared" si="6"/>
        <v>510.34559999999999</v>
      </c>
      <c r="J162" s="39"/>
      <c r="K162" s="39">
        <f t="shared" si="7"/>
        <v>3700.0056</v>
      </c>
      <c r="L162" s="36"/>
      <c r="M162" s="36" t="s">
        <v>663</v>
      </c>
      <c r="N162" s="36"/>
    </row>
    <row r="163" spans="1:14" x14ac:dyDescent="0.2">
      <c r="A163" s="36" t="s">
        <v>408</v>
      </c>
      <c r="B163" s="45">
        <v>40105</v>
      </c>
      <c r="C163" s="46" t="s">
        <v>672</v>
      </c>
      <c r="D163" s="47" t="s">
        <v>673</v>
      </c>
      <c r="E163" s="49" t="s">
        <v>652</v>
      </c>
      <c r="F163" s="48" t="s">
        <v>674</v>
      </c>
      <c r="G163" s="48" t="s">
        <v>675</v>
      </c>
      <c r="H163" s="39">
        <v>22629.31</v>
      </c>
      <c r="I163" s="39">
        <f t="shared" si="6"/>
        <v>3620.6896000000002</v>
      </c>
      <c r="J163" s="39"/>
      <c r="K163" s="39">
        <f t="shared" si="7"/>
        <v>26249.999600000003</v>
      </c>
      <c r="L163" s="36" t="s">
        <v>676</v>
      </c>
      <c r="M163" s="36" t="s">
        <v>663</v>
      </c>
      <c r="N163" s="36"/>
    </row>
    <row r="164" spans="1:14" x14ac:dyDescent="0.2">
      <c r="A164" s="36" t="s">
        <v>408</v>
      </c>
      <c r="B164" s="45">
        <v>40106</v>
      </c>
      <c r="C164" s="46" t="s">
        <v>677</v>
      </c>
      <c r="D164" s="47" t="s">
        <v>678</v>
      </c>
      <c r="E164" s="49" t="s">
        <v>679</v>
      </c>
      <c r="F164" s="48" t="s">
        <v>680</v>
      </c>
      <c r="G164" s="48" t="s">
        <v>681</v>
      </c>
      <c r="H164" s="39">
        <v>2586.21</v>
      </c>
      <c r="I164" s="39">
        <f t="shared" si="6"/>
        <v>413.79360000000003</v>
      </c>
      <c r="J164" s="39"/>
      <c r="K164" s="39">
        <f t="shared" si="7"/>
        <v>3000.0036</v>
      </c>
      <c r="L164" s="36"/>
      <c r="M164" s="36" t="s">
        <v>663</v>
      </c>
      <c r="N164" s="36"/>
    </row>
    <row r="165" spans="1:14" x14ac:dyDescent="0.2">
      <c r="A165" s="36" t="s">
        <v>408</v>
      </c>
      <c r="B165" s="45">
        <v>40106</v>
      </c>
      <c r="C165" s="46" t="s">
        <v>682</v>
      </c>
      <c r="D165" s="47" t="s">
        <v>683</v>
      </c>
      <c r="E165" s="49" t="s">
        <v>684</v>
      </c>
      <c r="F165" s="48" t="s">
        <v>680</v>
      </c>
      <c r="G165" s="48" t="s">
        <v>685</v>
      </c>
      <c r="H165" s="39">
        <v>2155.17</v>
      </c>
      <c r="I165" s="39">
        <f t="shared" si="6"/>
        <v>344.8272</v>
      </c>
      <c r="J165" s="39"/>
      <c r="K165" s="39">
        <f t="shared" si="7"/>
        <v>2499.9972000000002</v>
      </c>
      <c r="L165" s="36"/>
      <c r="M165" s="36" t="s">
        <v>663</v>
      </c>
      <c r="N165" s="36"/>
    </row>
    <row r="166" spans="1:14" x14ac:dyDescent="0.2">
      <c r="A166" s="36" t="s">
        <v>408</v>
      </c>
      <c r="B166" s="45">
        <v>40106</v>
      </c>
      <c r="C166" s="46" t="s">
        <v>686</v>
      </c>
      <c r="D166" s="47" t="s">
        <v>687</v>
      </c>
      <c r="E166" s="49" t="s">
        <v>688</v>
      </c>
      <c r="F166" s="48" t="s">
        <v>377</v>
      </c>
      <c r="G166" s="48" t="s">
        <v>689</v>
      </c>
      <c r="H166" s="39">
        <v>2931.0349999999999</v>
      </c>
      <c r="I166" s="39">
        <f t="shared" si="6"/>
        <v>468.96559999999999</v>
      </c>
      <c r="J166" s="39"/>
      <c r="K166" s="39">
        <f t="shared" si="7"/>
        <v>3400.0005999999998</v>
      </c>
      <c r="L166" s="36"/>
      <c r="M166" s="36" t="s">
        <v>663</v>
      </c>
      <c r="N166" s="36"/>
    </row>
    <row r="167" spans="1:14" x14ac:dyDescent="0.2">
      <c r="A167" s="36" t="s">
        <v>408</v>
      </c>
      <c r="B167" s="45">
        <v>40106</v>
      </c>
      <c r="C167" s="46" t="s">
        <v>690</v>
      </c>
      <c r="D167" s="47" t="s">
        <v>691</v>
      </c>
      <c r="E167" s="49" t="s">
        <v>692</v>
      </c>
      <c r="F167" s="48" t="s">
        <v>693</v>
      </c>
      <c r="G167" s="48" t="s">
        <v>694</v>
      </c>
      <c r="H167" s="39">
        <v>9482.76</v>
      </c>
      <c r="I167" s="39">
        <f t="shared" si="6"/>
        <v>1517.2416000000001</v>
      </c>
      <c r="J167" s="39"/>
      <c r="K167" s="39">
        <f t="shared" si="7"/>
        <v>11000.0016</v>
      </c>
      <c r="L167" s="36" t="s">
        <v>31</v>
      </c>
      <c r="M167" s="36" t="s">
        <v>663</v>
      </c>
      <c r="N167" s="36"/>
    </row>
    <row r="168" spans="1:14" x14ac:dyDescent="0.2">
      <c r="A168" s="36" t="s">
        <v>408</v>
      </c>
      <c r="B168" s="45">
        <v>40106</v>
      </c>
      <c r="C168" s="46" t="s">
        <v>695</v>
      </c>
      <c r="D168" s="47" t="s">
        <v>696</v>
      </c>
      <c r="E168" s="49" t="s">
        <v>697</v>
      </c>
      <c r="F168" s="48" t="s">
        <v>377</v>
      </c>
      <c r="G168" s="48" t="s">
        <v>698</v>
      </c>
      <c r="H168" s="39">
        <v>2155.17</v>
      </c>
      <c r="I168" s="39">
        <f t="shared" si="6"/>
        <v>344.8272</v>
      </c>
      <c r="J168" s="39"/>
      <c r="K168" s="39">
        <f t="shared" si="7"/>
        <v>2499.9972000000002</v>
      </c>
      <c r="L168" s="36"/>
      <c r="M168" s="36" t="s">
        <v>663</v>
      </c>
      <c r="N168" s="36"/>
    </row>
    <row r="169" spans="1:14" x14ac:dyDescent="0.2">
      <c r="A169" s="36" t="s">
        <v>408</v>
      </c>
      <c r="B169" s="45">
        <v>40113</v>
      </c>
      <c r="C169" s="46" t="s">
        <v>699</v>
      </c>
      <c r="D169" s="47" t="s">
        <v>700</v>
      </c>
      <c r="E169" s="49" t="s">
        <v>701</v>
      </c>
      <c r="F169" s="48" t="s">
        <v>406</v>
      </c>
      <c r="G169" s="48" t="s">
        <v>702</v>
      </c>
      <c r="H169" s="39">
        <v>2155.17</v>
      </c>
      <c r="I169" s="39">
        <f t="shared" si="6"/>
        <v>344.8272</v>
      </c>
      <c r="J169" s="39"/>
      <c r="K169" s="39">
        <f t="shared" si="7"/>
        <v>2499.9972000000002</v>
      </c>
      <c r="L169" s="36"/>
      <c r="M169" s="36" t="s">
        <v>663</v>
      </c>
      <c r="N169" s="36"/>
    </row>
    <row r="170" spans="1:14" x14ac:dyDescent="0.2">
      <c r="A170" s="36" t="s">
        <v>408</v>
      </c>
      <c r="B170" s="45">
        <v>40113</v>
      </c>
      <c r="C170" s="46" t="s">
        <v>703</v>
      </c>
      <c r="D170" s="47" t="s">
        <v>704</v>
      </c>
      <c r="E170" s="49" t="s">
        <v>705</v>
      </c>
      <c r="F170" s="48" t="s">
        <v>706</v>
      </c>
      <c r="G170" s="48" t="s">
        <v>707</v>
      </c>
      <c r="H170" s="39">
        <v>7327.59</v>
      </c>
      <c r="I170" s="39">
        <f t="shared" si="6"/>
        <v>1172.4144000000001</v>
      </c>
      <c r="J170" s="39"/>
      <c r="K170" s="39">
        <f t="shared" si="7"/>
        <v>8500.0043999999998</v>
      </c>
      <c r="L170" s="36" t="s">
        <v>31</v>
      </c>
      <c r="M170" s="36" t="s">
        <v>663</v>
      </c>
      <c r="N170" s="36"/>
    </row>
    <row r="171" spans="1:14" x14ac:dyDescent="0.2">
      <c r="A171" s="36" t="s">
        <v>408</v>
      </c>
      <c r="B171" s="45">
        <v>40113</v>
      </c>
      <c r="C171" s="46" t="s">
        <v>708</v>
      </c>
      <c r="D171" s="47" t="s">
        <v>709</v>
      </c>
      <c r="E171" s="49" t="s">
        <v>710</v>
      </c>
      <c r="F171" s="48" t="s">
        <v>711</v>
      </c>
      <c r="G171" s="48" t="s">
        <v>712</v>
      </c>
      <c r="H171" s="39">
        <v>5603.45</v>
      </c>
      <c r="I171" s="39">
        <f t="shared" si="6"/>
        <v>896.55200000000002</v>
      </c>
      <c r="J171" s="39"/>
      <c r="K171" s="39">
        <f t="shared" si="7"/>
        <v>6500.0019999999995</v>
      </c>
      <c r="L171" s="36" t="s">
        <v>31</v>
      </c>
      <c r="M171" s="36" t="s">
        <v>663</v>
      </c>
      <c r="N171" s="36"/>
    </row>
    <row r="172" spans="1:14" x14ac:dyDescent="0.2">
      <c r="A172" s="36" t="s">
        <v>408</v>
      </c>
      <c r="B172" s="45">
        <v>40113</v>
      </c>
      <c r="C172" s="46" t="s">
        <v>713</v>
      </c>
      <c r="D172" s="47" t="s">
        <v>714</v>
      </c>
      <c r="E172" s="49" t="s">
        <v>715</v>
      </c>
      <c r="F172" s="48" t="s">
        <v>716</v>
      </c>
      <c r="G172" s="48" t="s">
        <v>717</v>
      </c>
      <c r="H172" s="39">
        <v>6500</v>
      </c>
      <c r="I172" s="39">
        <v>0</v>
      </c>
      <c r="J172" s="39"/>
      <c r="K172" s="39">
        <f t="shared" si="7"/>
        <v>6500</v>
      </c>
      <c r="L172" s="36" t="s">
        <v>31</v>
      </c>
      <c r="M172" s="36" t="s">
        <v>663</v>
      </c>
      <c r="N172" s="36"/>
    </row>
    <row r="173" spans="1:14" x14ac:dyDescent="0.2">
      <c r="A173" s="36" t="s">
        <v>408</v>
      </c>
      <c r="B173" s="45">
        <v>40113</v>
      </c>
      <c r="C173" s="46" t="s">
        <v>718</v>
      </c>
      <c r="D173" s="47" t="s">
        <v>719</v>
      </c>
      <c r="E173" s="49" t="s">
        <v>720</v>
      </c>
      <c r="F173" s="48" t="s">
        <v>406</v>
      </c>
      <c r="G173" s="48" t="s">
        <v>721</v>
      </c>
      <c r="H173" s="39">
        <v>3448.28</v>
      </c>
      <c r="I173" s="39">
        <f t="shared" si="6"/>
        <v>551.72480000000007</v>
      </c>
      <c r="J173" s="39"/>
      <c r="K173" s="39">
        <f t="shared" si="7"/>
        <v>4000.0048000000002</v>
      </c>
      <c r="L173" s="36"/>
      <c r="M173" s="36" t="s">
        <v>663</v>
      </c>
      <c r="N173" s="36"/>
    </row>
    <row r="174" spans="1:14" x14ac:dyDescent="0.2">
      <c r="A174" s="36" t="s">
        <v>408</v>
      </c>
      <c r="B174" s="45">
        <v>40115</v>
      </c>
      <c r="C174" s="46" t="s">
        <v>722</v>
      </c>
      <c r="D174" s="47" t="s">
        <v>723</v>
      </c>
      <c r="E174" s="49" t="s">
        <v>724</v>
      </c>
      <c r="F174" s="48" t="s">
        <v>239</v>
      </c>
      <c r="G174" s="48" t="s">
        <v>449</v>
      </c>
      <c r="H174" s="39">
        <v>3275.86</v>
      </c>
      <c r="I174" s="39">
        <f t="shared" si="6"/>
        <v>524.13760000000002</v>
      </c>
      <c r="J174" s="39"/>
      <c r="K174" s="39">
        <f t="shared" si="7"/>
        <v>3799.9976000000001</v>
      </c>
      <c r="L174" s="36"/>
      <c r="M174" s="36" t="s">
        <v>663</v>
      </c>
      <c r="N174" s="36"/>
    </row>
    <row r="175" spans="1:14" x14ac:dyDescent="0.2">
      <c r="A175" s="36" t="s">
        <v>408</v>
      </c>
      <c r="B175" s="45">
        <v>40122</v>
      </c>
      <c r="C175" s="46" t="s">
        <v>725</v>
      </c>
      <c r="D175" s="47" t="s">
        <v>726</v>
      </c>
      <c r="E175" s="49" t="s">
        <v>727</v>
      </c>
      <c r="F175" s="48" t="s">
        <v>201</v>
      </c>
      <c r="G175" s="48" t="s">
        <v>468</v>
      </c>
      <c r="H175" s="39">
        <v>3017.24</v>
      </c>
      <c r="I175" s="39">
        <f t="shared" si="6"/>
        <v>482.75839999999999</v>
      </c>
      <c r="J175" s="39"/>
      <c r="K175" s="39">
        <f t="shared" si="7"/>
        <v>3499.9983999999999</v>
      </c>
      <c r="L175" s="36"/>
      <c r="M175" s="36" t="s">
        <v>663</v>
      </c>
      <c r="N175" s="36"/>
    </row>
    <row r="176" spans="1:14" x14ac:dyDescent="0.2">
      <c r="A176" s="36" t="s">
        <v>408</v>
      </c>
      <c r="B176" s="45">
        <v>40122</v>
      </c>
      <c r="C176" s="46" t="s">
        <v>728</v>
      </c>
      <c r="D176" s="47" t="s">
        <v>729</v>
      </c>
      <c r="E176" s="49" t="s">
        <v>730</v>
      </c>
      <c r="F176" s="48" t="s">
        <v>201</v>
      </c>
      <c r="G176" s="48" t="s">
        <v>378</v>
      </c>
      <c r="H176" s="39">
        <v>2931.0349999999999</v>
      </c>
      <c r="I176" s="39">
        <f t="shared" si="6"/>
        <v>468.96559999999999</v>
      </c>
      <c r="J176" s="39"/>
      <c r="K176" s="39">
        <f t="shared" si="7"/>
        <v>3400.0005999999998</v>
      </c>
      <c r="L176" s="36"/>
      <c r="M176" s="36" t="s">
        <v>663</v>
      </c>
      <c r="N176" s="36"/>
    </row>
    <row r="177" spans="1:14" x14ac:dyDescent="0.2">
      <c r="A177" s="36" t="s">
        <v>408</v>
      </c>
      <c r="B177" s="45">
        <v>40122</v>
      </c>
      <c r="C177" s="46" t="s">
        <v>731</v>
      </c>
      <c r="D177" s="47" t="s">
        <v>732</v>
      </c>
      <c r="E177" s="49" t="s">
        <v>733</v>
      </c>
      <c r="F177" s="48" t="s">
        <v>239</v>
      </c>
      <c r="G177" s="48" t="s">
        <v>734</v>
      </c>
      <c r="H177" s="39">
        <v>3017.24</v>
      </c>
      <c r="I177" s="39">
        <f t="shared" si="6"/>
        <v>482.75839999999999</v>
      </c>
      <c r="J177" s="39"/>
      <c r="K177" s="39">
        <f t="shared" si="7"/>
        <v>3499.9983999999999</v>
      </c>
      <c r="L177" s="36"/>
      <c r="M177" s="36" t="s">
        <v>663</v>
      </c>
      <c r="N177" s="36"/>
    </row>
    <row r="178" spans="1:14" x14ac:dyDescent="0.2">
      <c r="A178" s="36" t="s">
        <v>408</v>
      </c>
      <c r="B178" s="45">
        <v>40122</v>
      </c>
      <c r="C178" s="46" t="s">
        <v>735</v>
      </c>
      <c r="D178" s="36" t="s">
        <v>296</v>
      </c>
      <c r="E178" s="49" t="s">
        <v>297</v>
      </c>
      <c r="F178" s="48" t="s">
        <v>736</v>
      </c>
      <c r="G178" s="48" t="s">
        <v>737</v>
      </c>
      <c r="H178" s="39">
        <v>4000</v>
      </c>
      <c r="I178" s="39"/>
      <c r="J178" s="39"/>
      <c r="K178" s="39">
        <f t="shared" si="7"/>
        <v>4000</v>
      </c>
      <c r="L178" s="36" t="s">
        <v>303</v>
      </c>
      <c r="M178" s="36" t="s">
        <v>663</v>
      </c>
      <c r="N178" s="36"/>
    </row>
    <row r="179" spans="1:14" x14ac:dyDescent="0.2">
      <c r="A179" s="36" t="s">
        <v>408</v>
      </c>
      <c r="B179" s="45">
        <v>40122</v>
      </c>
      <c r="C179" s="46" t="s">
        <v>738</v>
      </c>
      <c r="D179" s="47" t="s">
        <v>739</v>
      </c>
      <c r="E179" s="49" t="s">
        <v>740</v>
      </c>
      <c r="F179" s="48" t="s">
        <v>246</v>
      </c>
      <c r="G179" s="48" t="s">
        <v>741</v>
      </c>
      <c r="H179" s="39">
        <v>6120.69</v>
      </c>
      <c r="I179" s="39">
        <f t="shared" si="6"/>
        <v>979.31039999999996</v>
      </c>
      <c r="J179" s="39"/>
      <c r="K179" s="39">
        <f t="shared" si="7"/>
        <v>7100.0003999999999</v>
      </c>
      <c r="L179" s="36" t="s">
        <v>31</v>
      </c>
      <c r="M179" s="36" t="s">
        <v>663</v>
      </c>
      <c r="N179" s="36"/>
    </row>
    <row r="180" spans="1:14" x14ac:dyDescent="0.2">
      <c r="A180" s="36" t="s">
        <v>408</v>
      </c>
      <c r="B180" s="45">
        <v>40122</v>
      </c>
      <c r="C180" s="46" t="s">
        <v>742</v>
      </c>
      <c r="D180" s="47" t="s">
        <v>743</v>
      </c>
      <c r="E180" s="49" t="s">
        <v>744</v>
      </c>
      <c r="F180" s="48" t="s">
        <v>745</v>
      </c>
      <c r="G180" s="48" t="s">
        <v>746</v>
      </c>
      <c r="H180" s="39">
        <v>4137.93</v>
      </c>
      <c r="I180" s="39">
        <f t="shared" si="6"/>
        <v>662.06880000000001</v>
      </c>
      <c r="J180" s="39"/>
      <c r="K180" s="39">
        <f t="shared" si="7"/>
        <v>4799.9988000000003</v>
      </c>
      <c r="L180" s="36"/>
      <c r="M180" s="36" t="s">
        <v>663</v>
      </c>
      <c r="N180" s="36"/>
    </row>
    <row r="181" spans="1:14" x14ac:dyDescent="0.2">
      <c r="A181" s="36" t="s">
        <v>408</v>
      </c>
      <c r="B181" s="45">
        <v>40122</v>
      </c>
      <c r="C181" s="46" t="s">
        <v>747</v>
      </c>
      <c r="D181" s="47" t="s">
        <v>748</v>
      </c>
      <c r="E181" s="49" t="s">
        <v>749</v>
      </c>
      <c r="F181" s="48" t="s">
        <v>183</v>
      </c>
      <c r="G181" s="48" t="s">
        <v>750</v>
      </c>
      <c r="H181" s="39">
        <v>3879.31</v>
      </c>
      <c r="I181" s="39">
        <f t="shared" si="6"/>
        <v>620.68960000000004</v>
      </c>
      <c r="J181" s="39"/>
      <c r="K181" s="39">
        <f t="shared" si="7"/>
        <v>4499.9996000000001</v>
      </c>
      <c r="L181" s="36"/>
      <c r="M181" s="36" t="s">
        <v>663</v>
      </c>
      <c r="N181" s="36"/>
    </row>
    <row r="182" spans="1:14" x14ac:dyDescent="0.2">
      <c r="A182" s="36" t="s">
        <v>408</v>
      </c>
      <c r="B182" s="45">
        <v>40127</v>
      </c>
      <c r="C182" s="46" t="s">
        <v>751</v>
      </c>
      <c r="D182" s="47" t="s">
        <v>752</v>
      </c>
      <c r="E182" s="49" t="s">
        <v>753</v>
      </c>
      <c r="F182" s="48" t="s">
        <v>218</v>
      </c>
      <c r="G182" s="48" t="s">
        <v>754</v>
      </c>
      <c r="H182" s="39">
        <v>2844.83</v>
      </c>
      <c r="I182" s="39">
        <f t="shared" si="6"/>
        <v>455.1728</v>
      </c>
      <c r="J182" s="39"/>
      <c r="K182" s="39">
        <f t="shared" si="7"/>
        <v>3300.0027999999998</v>
      </c>
      <c r="L182" s="36"/>
      <c r="M182" s="36" t="s">
        <v>663</v>
      </c>
      <c r="N182" s="36"/>
    </row>
    <row r="183" spans="1:14" x14ac:dyDescent="0.2">
      <c r="A183" s="36" t="s">
        <v>408</v>
      </c>
      <c r="B183" s="45">
        <v>40128</v>
      </c>
      <c r="C183" s="46" t="s">
        <v>755</v>
      </c>
      <c r="D183" s="47" t="s">
        <v>756</v>
      </c>
      <c r="E183" s="49" t="s">
        <v>757</v>
      </c>
      <c r="F183" s="48" t="s">
        <v>183</v>
      </c>
      <c r="G183" s="48" t="s">
        <v>758</v>
      </c>
      <c r="H183" s="39">
        <v>3275.86</v>
      </c>
      <c r="I183" s="39">
        <f t="shared" si="6"/>
        <v>524.13760000000002</v>
      </c>
      <c r="J183" s="39"/>
      <c r="K183" s="39">
        <f t="shared" si="7"/>
        <v>3799.9976000000001</v>
      </c>
      <c r="L183" s="36"/>
      <c r="M183" s="36" t="s">
        <v>663</v>
      </c>
      <c r="N183" s="36"/>
    </row>
    <row r="184" spans="1:14" x14ac:dyDescent="0.2">
      <c r="A184" s="36" t="s">
        <v>408</v>
      </c>
      <c r="B184" s="45">
        <v>40128</v>
      </c>
      <c r="C184" s="46" t="s">
        <v>759</v>
      </c>
      <c r="D184" s="47" t="s">
        <v>760</v>
      </c>
      <c r="E184" s="49" t="s">
        <v>761</v>
      </c>
      <c r="F184" s="48" t="s">
        <v>762</v>
      </c>
      <c r="G184" s="48" t="s">
        <v>763</v>
      </c>
      <c r="H184" s="39"/>
      <c r="I184" s="39"/>
      <c r="J184" s="39"/>
      <c r="K184" s="39"/>
      <c r="L184" s="36"/>
      <c r="M184" s="36" t="s">
        <v>663</v>
      </c>
      <c r="N184" s="36"/>
    </row>
    <row r="185" spans="1:14" x14ac:dyDescent="0.2">
      <c r="A185" s="36" t="s">
        <v>408</v>
      </c>
      <c r="B185" s="45">
        <v>40141</v>
      </c>
      <c r="C185" s="46" t="s">
        <v>764</v>
      </c>
      <c r="D185" s="47" t="s">
        <v>765</v>
      </c>
      <c r="E185" s="49" t="s">
        <v>766</v>
      </c>
      <c r="F185" s="48" t="s">
        <v>762</v>
      </c>
      <c r="G185" s="48" t="s">
        <v>503</v>
      </c>
      <c r="H185" s="39">
        <v>3362.07</v>
      </c>
      <c r="I185" s="39">
        <f t="shared" si="6"/>
        <v>537.93119999999999</v>
      </c>
      <c r="J185" s="39"/>
      <c r="K185" s="39">
        <f t="shared" si="7"/>
        <v>3900.0012000000002</v>
      </c>
      <c r="L185" s="36"/>
      <c r="M185" s="36" t="s">
        <v>663</v>
      </c>
      <c r="N185" s="36"/>
    </row>
    <row r="186" spans="1:14" x14ac:dyDescent="0.2">
      <c r="A186" s="36" t="s">
        <v>408</v>
      </c>
      <c r="B186" s="45">
        <v>40143</v>
      </c>
      <c r="C186" s="46" t="s">
        <v>767</v>
      </c>
      <c r="D186" s="47" t="s">
        <v>768</v>
      </c>
      <c r="E186" s="49" t="s">
        <v>769</v>
      </c>
      <c r="F186" s="48" t="s">
        <v>770</v>
      </c>
      <c r="G186" s="48" t="s">
        <v>771</v>
      </c>
      <c r="H186" s="39">
        <v>7758.62</v>
      </c>
      <c r="I186" s="39">
        <f t="shared" si="6"/>
        <v>1241.3792000000001</v>
      </c>
      <c r="J186" s="39"/>
      <c r="K186" s="39">
        <f t="shared" si="7"/>
        <v>8999.9992000000002</v>
      </c>
      <c r="L186" s="36" t="s">
        <v>772</v>
      </c>
      <c r="M186" s="36" t="s">
        <v>663</v>
      </c>
      <c r="N186" s="36"/>
    </row>
    <row r="187" spans="1:14" x14ac:dyDescent="0.2">
      <c r="A187" s="36" t="s">
        <v>408</v>
      </c>
      <c r="B187" s="45">
        <v>40143</v>
      </c>
      <c r="C187" s="46" t="s">
        <v>773</v>
      </c>
      <c r="D187" s="47" t="s">
        <v>774</v>
      </c>
      <c r="E187" s="49" t="s">
        <v>775</v>
      </c>
      <c r="F187" s="48" t="s">
        <v>776</v>
      </c>
      <c r="G187" s="48" t="s">
        <v>777</v>
      </c>
      <c r="H187" s="39">
        <v>2586.21</v>
      </c>
      <c r="I187" s="39">
        <f t="shared" si="6"/>
        <v>413.79360000000003</v>
      </c>
      <c r="J187" s="39"/>
      <c r="K187" s="39">
        <f t="shared" si="7"/>
        <v>3000.0036</v>
      </c>
      <c r="L187" s="36"/>
      <c r="M187" s="36" t="s">
        <v>663</v>
      </c>
      <c r="N187" s="36"/>
    </row>
    <row r="188" spans="1:14" x14ac:dyDescent="0.2">
      <c r="A188" s="36" t="s">
        <v>408</v>
      </c>
      <c r="B188" s="45">
        <v>40143</v>
      </c>
      <c r="C188" s="46" t="s">
        <v>778</v>
      </c>
      <c r="D188" s="47" t="s">
        <v>779</v>
      </c>
      <c r="E188" s="49" t="s">
        <v>780</v>
      </c>
      <c r="F188" s="48" t="s">
        <v>183</v>
      </c>
      <c r="G188" s="48" t="s">
        <v>781</v>
      </c>
      <c r="H188" s="39">
        <v>3448.28</v>
      </c>
      <c r="I188" s="39">
        <f t="shared" si="6"/>
        <v>551.72480000000007</v>
      </c>
      <c r="J188" s="39"/>
      <c r="K188" s="39">
        <f t="shared" si="7"/>
        <v>4000.0048000000002</v>
      </c>
      <c r="L188" s="36"/>
      <c r="M188" s="36" t="s">
        <v>663</v>
      </c>
      <c r="N188" s="36"/>
    </row>
    <row r="189" spans="1:14" x14ac:dyDescent="0.2">
      <c r="A189" s="36" t="s">
        <v>408</v>
      </c>
      <c r="B189" s="45">
        <v>40143</v>
      </c>
      <c r="C189" s="46" t="s">
        <v>782</v>
      </c>
      <c r="D189" s="47" t="s">
        <v>783</v>
      </c>
      <c r="E189" s="55">
        <v>20205200049</v>
      </c>
      <c r="F189" s="48" t="s">
        <v>239</v>
      </c>
      <c r="G189" s="48" t="s">
        <v>448</v>
      </c>
      <c r="H189" s="39">
        <v>2758.62</v>
      </c>
      <c r="I189" s="39">
        <f t="shared" si="6"/>
        <v>441.37919999999997</v>
      </c>
      <c r="J189" s="39"/>
      <c r="K189" s="39">
        <f t="shared" si="7"/>
        <v>3199.9991999999997</v>
      </c>
      <c r="L189" s="36"/>
      <c r="M189" s="36" t="s">
        <v>663</v>
      </c>
      <c r="N189" s="36"/>
    </row>
    <row r="190" spans="1:14" x14ac:dyDescent="0.2">
      <c r="A190" s="36" t="s">
        <v>408</v>
      </c>
      <c r="B190" s="45">
        <v>40143</v>
      </c>
      <c r="C190" s="46" t="s">
        <v>784</v>
      </c>
      <c r="D190" s="47" t="s">
        <v>785</v>
      </c>
      <c r="E190" s="49" t="s">
        <v>786</v>
      </c>
      <c r="F190" s="48" t="s">
        <v>787</v>
      </c>
      <c r="G190" s="48" t="s">
        <v>788</v>
      </c>
      <c r="H190" s="39">
        <v>3800</v>
      </c>
      <c r="I190" s="39"/>
      <c r="J190" s="39"/>
      <c r="K190" s="39">
        <f t="shared" si="7"/>
        <v>3800</v>
      </c>
      <c r="L190" s="36" t="s">
        <v>303</v>
      </c>
      <c r="M190" s="36" t="s">
        <v>663</v>
      </c>
      <c r="N190" s="36"/>
    </row>
    <row r="191" spans="1:14" x14ac:dyDescent="0.2">
      <c r="A191" s="36" t="s">
        <v>408</v>
      </c>
      <c r="B191" s="45">
        <v>40144</v>
      </c>
      <c r="C191" s="46" t="s">
        <v>789</v>
      </c>
      <c r="D191" s="47" t="s">
        <v>790</v>
      </c>
      <c r="E191" s="49" t="s">
        <v>791</v>
      </c>
      <c r="F191" s="48" t="s">
        <v>569</v>
      </c>
      <c r="G191" s="48" t="s">
        <v>792</v>
      </c>
      <c r="H191" s="39">
        <v>3017.24</v>
      </c>
      <c r="I191" s="39">
        <f t="shared" si="6"/>
        <v>482.75839999999999</v>
      </c>
      <c r="J191" s="39"/>
      <c r="K191" s="39">
        <f t="shared" si="7"/>
        <v>3499.9983999999999</v>
      </c>
      <c r="L191" s="36"/>
      <c r="M191" s="36" t="s">
        <v>663</v>
      </c>
      <c r="N191" s="36"/>
    </row>
    <row r="192" spans="1:14" ht="38.25" x14ac:dyDescent="0.2">
      <c r="A192" s="36" t="s">
        <v>408</v>
      </c>
      <c r="B192" s="45">
        <v>40144</v>
      </c>
      <c r="C192" s="46" t="s">
        <v>793</v>
      </c>
      <c r="D192" s="47" t="s">
        <v>760</v>
      </c>
      <c r="E192" s="49" t="s">
        <v>794</v>
      </c>
      <c r="F192" s="48" t="s">
        <v>201</v>
      </c>
      <c r="G192" s="48" t="s">
        <v>795</v>
      </c>
      <c r="H192" s="39">
        <v>3879.31</v>
      </c>
      <c r="I192" s="39">
        <f t="shared" si="6"/>
        <v>620.68960000000004</v>
      </c>
      <c r="J192" s="39"/>
      <c r="K192" s="39">
        <f t="shared" si="7"/>
        <v>4499.9996000000001</v>
      </c>
      <c r="L192" s="36"/>
      <c r="M192" s="36" t="s">
        <v>663</v>
      </c>
      <c r="N192" s="36"/>
    </row>
    <row r="193" spans="1:14" x14ac:dyDescent="0.2">
      <c r="A193" s="36" t="s">
        <v>408</v>
      </c>
      <c r="B193" s="45">
        <v>40147</v>
      </c>
      <c r="C193" s="46" t="s">
        <v>796</v>
      </c>
      <c r="D193" s="47" t="s">
        <v>797</v>
      </c>
      <c r="E193" s="49" t="s">
        <v>798</v>
      </c>
      <c r="F193" s="48" t="s">
        <v>762</v>
      </c>
      <c r="G193" s="48" t="s">
        <v>799</v>
      </c>
      <c r="H193" s="39">
        <v>1293.0999999999999</v>
      </c>
      <c r="I193" s="39">
        <f t="shared" si="6"/>
        <v>206.89599999999999</v>
      </c>
      <c r="J193" s="39"/>
      <c r="K193" s="39">
        <f t="shared" si="7"/>
        <v>1499.9959999999999</v>
      </c>
      <c r="L193" s="36"/>
      <c r="M193" s="36" t="s">
        <v>663</v>
      </c>
      <c r="N193" s="36"/>
    </row>
    <row r="194" spans="1:14" x14ac:dyDescent="0.2">
      <c r="A194" s="36" t="s">
        <v>408</v>
      </c>
      <c r="B194" s="45">
        <v>40147</v>
      </c>
      <c r="C194" s="46" t="s">
        <v>800</v>
      </c>
      <c r="D194" s="36" t="s">
        <v>296</v>
      </c>
      <c r="E194" s="49" t="s">
        <v>297</v>
      </c>
      <c r="F194" s="48" t="s">
        <v>416</v>
      </c>
      <c r="G194" s="48" t="s">
        <v>801</v>
      </c>
      <c r="H194" s="39">
        <v>4741.38</v>
      </c>
      <c r="I194" s="39">
        <f t="shared" si="6"/>
        <v>758.62080000000003</v>
      </c>
      <c r="J194" s="39"/>
      <c r="K194" s="39">
        <f t="shared" si="7"/>
        <v>5500.0007999999998</v>
      </c>
      <c r="L194" s="36"/>
      <c r="M194" s="36" t="s">
        <v>663</v>
      </c>
      <c r="N194" s="36"/>
    </row>
    <row r="195" spans="1:14" x14ac:dyDescent="0.2">
      <c r="A195" s="36" t="s">
        <v>408</v>
      </c>
      <c r="B195" s="45">
        <v>40148</v>
      </c>
      <c r="C195" s="46" t="s">
        <v>802</v>
      </c>
      <c r="D195" s="47" t="s">
        <v>803</v>
      </c>
      <c r="E195" s="49" t="s">
        <v>804</v>
      </c>
      <c r="F195" s="48" t="s">
        <v>218</v>
      </c>
      <c r="G195" s="48" t="s">
        <v>805</v>
      </c>
      <c r="H195" s="39">
        <v>3000</v>
      </c>
      <c r="I195" s="39">
        <f t="shared" si="6"/>
        <v>480</v>
      </c>
      <c r="J195" s="39"/>
      <c r="K195" s="39">
        <f t="shared" si="7"/>
        <v>3480</v>
      </c>
      <c r="L195" s="36"/>
      <c r="M195" s="36" t="s">
        <v>663</v>
      </c>
      <c r="N195" s="36"/>
    </row>
    <row r="196" spans="1:14" x14ac:dyDescent="0.2">
      <c r="A196" s="36" t="s">
        <v>408</v>
      </c>
      <c r="B196" s="45">
        <v>40158</v>
      </c>
      <c r="C196" s="46" t="s">
        <v>806</v>
      </c>
      <c r="D196" s="47" t="s">
        <v>807</v>
      </c>
      <c r="E196" s="49" t="s">
        <v>808</v>
      </c>
      <c r="F196" s="48" t="s">
        <v>809</v>
      </c>
      <c r="G196" s="48" t="s">
        <v>810</v>
      </c>
      <c r="H196" s="39">
        <v>3448.28</v>
      </c>
      <c r="I196" s="39">
        <f t="shared" si="6"/>
        <v>551.72480000000007</v>
      </c>
      <c r="J196" s="39"/>
      <c r="K196" s="39">
        <f t="shared" si="7"/>
        <v>4000.0048000000002</v>
      </c>
      <c r="L196" s="36"/>
      <c r="M196" s="36" t="s">
        <v>663</v>
      </c>
      <c r="N196" s="36"/>
    </row>
    <row r="197" spans="1:14" x14ac:dyDescent="0.2">
      <c r="A197" s="36" t="s">
        <v>408</v>
      </c>
      <c r="B197" s="45">
        <v>40158</v>
      </c>
      <c r="C197" s="46" t="s">
        <v>811</v>
      </c>
      <c r="D197" s="47" t="s">
        <v>812</v>
      </c>
      <c r="E197" s="49" t="s">
        <v>813</v>
      </c>
      <c r="F197" s="48" t="s">
        <v>218</v>
      </c>
      <c r="G197" s="48" t="s">
        <v>814</v>
      </c>
      <c r="H197" s="39">
        <v>2155.17</v>
      </c>
      <c r="I197" s="39">
        <f t="shared" si="6"/>
        <v>344.8272</v>
      </c>
      <c r="J197" s="39"/>
      <c r="K197" s="39">
        <f t="shared" si="7"/>
        <v>2499.9972000000002</v>
      </c>
      <c r="L197" s="36"/>
      <c r="M197" s="36" t="s">
        <v>663</v>
      </c>
      <c r="N197" s="36"/>
    </row>
    <row r="198" spans="1:14" x14ac:dyDescent="0.2">
      <c r="A198" s="36" t="s">
        <v>408</v>
      </c>
      <c r="B198" s="45">
        <v>40158</v>
      </c>
      <c r="C198" s="46" t="s">
        <v>815</v>
      </c>
      <c r="D198" s="47" t="s">
        <v>816</v>
      </c>
      <c r="E198" s="49" t="s">
        <v>817</v>
      </c>
      <c r="F198" s="48" t="s">
        <v>818</v>
      </c>
      <c r="G198" s="48" t="s">
        <v>819</v>
      </c>
      <c r="H198" s="39">
        <v>14655.17</v>
      </c>
      <c r="I198" s="39">
        <f t="shared" si="6"/>
        <v>2344.8272000000002</v>
      </c>
      <c r="J198" s="39"/>
      <c r="K198" s="39">
        <f t="shared" si="7"/>
        <v>16999.997200000002</v>
      </c>
      <c r="L198" s="36" t="s">
        <v>820</v>
      </c>
      <c r="M198" s="36" t="s">
        <v>663</v>
      </c>
      <c r="N198" s="36"/>
    </row>
    <row r="199" spans="1:14" x14ac:dyDescent="0.2">
      <c r="A199" s="36" t="s">
        <v>408</v>
      </c>
      <c r="B199" s="45">
        <v>40158</v>
      </c>
      <c r="C199" s="46" t="s">
        <v>821</v>
      </c>
      <c r="D199" s="47" t="s">
        <v>822</v>
      </c>
      <c r="E199" s="49" t="s">
        <v>823</v>
      </c>
      <c r="F199" s="48" t="s">
        <v>191</v>
      </c>
      <c r="G199" s="48" t="s">
        <v>824</v>
      </c>
      <c r="H199" s="39">
        <v>4310.3450000000003</v>
      </c>
      <c r="I199" s="39">
        <f t="shared" si="6"/>
        <v>689.65520000000004</v>
      </c>
      <c r="J199" s="39"/>
      <c r="K199" s="39">
        <f t="shared" si="7"/>
        <v>5000.0002000000004</v>
      </c>
      <c r="L199" s="36"/>
      <c r="M199" s="36" t="s">
        <v>663</v>
      </c>
      <c r="N199" s="36"/>
    </row>
    <row r="200" spans="1:14" x14ac:dyDescent="0.2">
      <c r="A200" s="36" t="s">
        <v>408</v>
      </c>
      <c r="B200" s="45">
        <v>40158</v>
      </c>
      <c r="C200" s="46" t="s">
        <v>825</v>
      </c>
      <c r="D200" s="47" t="s">
        <v>826</v>
      </c>
      <c r="E200" s="49" t="s">
        <v>827</v>
      </c>
      <c r="F200" s="48" t="s">
        <v>422</v>
      </c>
      <c r="G200" s="48" t="s">
        <v>828</v>
      </c>
      <c r="H200" s="39">
        <v>2155.17</v>
      </c>
      <c r="I200" s="39">
        <f t="shared" si="6"/>
        <v>344.8272</v>
      </c>
      <c r="J200" s="39"/>
      <c r="K200" s="39">
        <f t="shared" si="7"/>
        <v>2499.9972000000002</v>
      </c>
      <c r="L200" s="36"/>
      <c r="M200" s="36" t="s">
        <v>663</v>
      </c>
      <c r="N200" s="36"/>
    </row>
    <row r="201" spans="1:14" x14ac:dyDescent="0.2">
      <c r="A201" s="36" t="s">
        <v>408</v>
      </c>
      <c r="B201" s="45">
        <v>40158</v>
      </c>
      <c r="C201" s="46" t="s">
        <v>829</v>
      </c>
      <c r="D201" s="47" t="s">
        <v>830</v>
      </c>
      <c r="E201" s="49" t="s">
        <v>831</v>
      </c>
      <c r="F201" s="48" t="s">
        <v>269</v>
      </c>
      <c r="G201" s="48" t="s">
        <v>832</v>
      </c>
      <c r="H201" s="39">
        <v>3017.24</v>
      </c>
      <c r="I201" s="39">
        <f t="shared" si="6"/>
        <v>482.75839999999999</v>
      </c>
      <c r="J201" s="39"/>
      <c r="K201" s="39">
        <f t="shared" si="7"/>
        <v>3499.9983999999999</v>
      </c>
      <c r="L201" s="36"/>
      <c r="M201" s="36" t="s">
        <v>663</v>
      </c>
      <c r="N201" s="36" t="s">
        <v>30</v>
      </c>
    </row>
    <row r="202" spans="1:14" x14ac:dyDescent="0.2">
      <c r="A202" s="36" t="s">
        <v>408</v>
      </c>
      <c r="B202" s="45">
        <v>40147</v>
      </c>
      <c r="C202" s="46" t="s">
        <v>833</v>
      </c>
      <c r="D202" s="36" t="s">
        <v>296</v>
      </c>
      <c r="E202" s="49" t="s">
        <v>297</v>
      </c>
      <c r="F202" s="48" t="s">
        <v>569</v>
      </c>
      <c r="G202" s="48" t="s">
        <v>834</v>
      </c>
      <c r="H202" s="39">
        <v>2586.21</v>
      </c>
      <c r="I202" s="39">
        <f t="shared" si="6"/>
        <v>413.79360000000003</v>
      </c>
      <c r="J202" s="39"/>
      <c r="K202" s="39">
        <f t="shared" si="7"/>
        <v>3000.0036</v>
      </c>
      <c r="L202" s="36"/>
      <c r="M202" s="36" t="s">
        <v>663</v>
      </c>
      <c r="N202" s="36"/>
    </row>
    <row r="203" spans="1:14" x14ac:dyDescent="0.2">
      <c r="A203" s="36" t="s">
        <v>408</v>
      </c>
      <c r="B203" s="45">
        <v>40165</v>
      </c>
      <c r="C203" s="46" t="s">
        <v>835</v>
      </c>
      <c r="D203" s="47" t="s">
        <v>836</v>
      </c>
      <c r="E203" s="49" t="s">
        <v>837</v>
      </c>
      <c r="F203" s="48" t="s">
        <v>838</v>
      </c>
      <c r="G203" s="48" t="s">
        <v>839</v>
      </c>
      <c r="H203" s="39">
        <v>9051.7199999999993</v>
      </c>
      <c r="I203" s="39">
        <f t="shared" si="6"/>
        <v>1448.2751999999998</v>
      </c>
      <c r="J203" s="39"/>
      <c r="K203" s="39">
        <f t="shared" si="7"/>
        <v>10499.995199999999</v>
      </c>
      <c r="L203" s="36" t="s">
        <v>840</v>
      </c>
      <c r="M203" s="36" t="s">
        <v>663</v>
      </c>
      <c r="N203" s="36"/>
    </row>
    <row r="204" spans="1:14" x14ac:dyDescent="0.2">
      <c r="A204" s="36" t="s">
        <v>408</v>
      </c>
      <c r="B204" s="45">
        <v>40165</v>
      </c>
      <c r="C204" s="46" t="s">
        <v>841</v>
      </c>
      <c r="D204" s="47" t="s">
        <v>842</v>
      </c>
      <c r="E204" s="49" t="s">
        <v>843</v>
      </c>
      <c r="F204" s="48" t="s">
        <v>422</v>
      </c>
      <c r="G204" s="48" t="s">
        <v>844</v>
      </c>
      <c r="H204" s="39">
        <v>2155.17</v>
      </c>
      <c r="I204" s="39">
        <f t="shared" si="6"/>
        <v>344.8272</v>
      </c>
      <c r="J204" s="39"/>
      <c r="K204" s="39">
        <f t="shared" si="7"/>
        <v>2499.9972000000002</v>
      </c>
      <c r="L204" s="36"/>
      <c r="M204" s="36" t="s">
        <v>663</v>
      </c>
      <c r="N204" s="36"/>
    </row>
    <row r="205" spans="1:14" x14ac:dyDescent="0.2">
      <c r="A205" s="36" t="s">
        <v>408</v>
      </c>
      <c r="B205" s="45">
        <v>40165</v>
      </c>
      <c r="C205" s="46" t="s">
        <v>845</v>
      </c>
      <c r="D205" s="47" t="s">
        <v>846</v>
      </c>
      <c r="E205" s="49" t="s">
        <v>419</v>
      </c>
      <c r="F205" s="48" t="s">
        <v>770</v>
      </c>
      <c r="G205" s="48" t="s">
        <v>847</v>
      </c>
      <c r="H205" s="39">
        <v>17672.41</v>
      </c>
      <c r="I205" s="39">
        <f t="shared" si="6"/>
        <v>2827.5855999999999</v>
      </c>
      <c r="J205" s="39"/>
      <c r="K205" s="39">
        <f t="shared" si="7"/>
        <v>20499.995599999998</v>
      </c>
      <c r="L205" s="36" t="s">
        <v>31</v>
      </c>
      <c r="M205" s="36" t="s">
        <v>663</v>
      </c>
      <c r="N205" s="36"/>
    </row>
    <row r="206" spans="1:14" x14ac:dyDescent="0.2">
      <c r="A206" s="36" t="s">
        <v>408</v>
      </c>
      <c r="B206" s="45">
        <v>40176</v>
      </c>
      <c r="C206" s="46" t="s">
        <v>848</v>
      </c>
      <c r="D206" s="47" t="s">
        <v>849</v>
      </c>
      <c r="E206" s="49" t="s">
        <v>850</v>
      </c>
      <c r="F206" s="48" t="s">
        <v>183</v>
      </c>
      <c r="G206" s="48" t="s">
        <v>450</v>
      </c>
      <c r="H206" s="39">
        <v>3879.31</v>
      </c>
      <c r="I206" s="39">
        <f t="shared" si="6"/>
        <v>620.68960000000004</v>
      </c>
      <c r="J206" s="39"/>
      <c r="K206" s="39">
        <f t="shared" si="7"/>
        <v>4499.9996000000001</v>
      </c>
      <c r="L206" s="36"/>
      <c r="M206" s="36" t="s">
        <v>663</v>
      </c>
      <c r="N206" s="36"/>
    </row>
    <row r="207" spans="1:14" x14ac:dyDescent="0.2">
      <c r="A207" s="36" t="s">
        <v>408</v>
      </c>
      <c r="B207" s="36"/>
      <c r="C207" s="46" t="s">
        <v>851</v>
      </c>
      <c r="D207" s="36" t="s">
        <v>852</v>
      </c>
      <c r="E207" s="36"/>
      <c r="F207" s="36"/>
      <c r="G207" s="36"/>
      <c r="H207" s="39"/>
      <c r="I207" s="39">
        <f t="shared" si="6"/>
        <v>0</v>
      </c>
      <c r="J207" s="39"/>
      <c r="K207" s="39">
        <f t="shared" si="7"/>
        <v>0</v>
      </c>
      <c r="L207" s="36"/>
      <c r="M207" s="36" t="s">
        <v>663</v>
      </c>
      <c r="N207" s="36"/>
    </row>
    <row r="208" spans="1:14" x14ac:dyDescent="0.2">
      <c r="A208" s="36" t="s">
        <v>408</v>
      </c>
      <c r="B208" s="45">
        <v>40176</v>
      </c>
      <c r="C208" s="46" t="s">
        <v>853</v>
      </c>
      <c r="D208" s="47" t="s">
        <v>854</v>
      </c>
      <c r="E208" s="49" t="s">
        <v>855</v>
      </c>
      <c r="F208" s="48" t="s">
        <v>856</v>
      </c>
      <c r="G208" s="48" t="s">
        <v>857</v>
      </c>
      <c r="H208" s="39">
        <v>3017.24</v>
      </c>
      <c r="I208" s="39">
        <f t="shared" si="6"/>
        <v>482.75839999999999</v>
      </c>
      <c r="J208" s="39"/>
      <c r="K208" s="39">
        <f t="shared" si="7"/>
        <v>3499.9983999999999</v>
      </c>
      <c r="L208" s="36"/>
      <c r="M208" s="36" t="s">
        <v>663</v>
      </c>
      <c r="N208" s="36"/>
    </row>
    <row r="209" spans="1:14" x14ac:dyDescent="0.2">
      <c r="A209" s="36" t="s">
        <v>408</v>
      </c>
      <c r="B209" s="37">
        <v>40123</v>
      </c>
      <c r="C209" s="38" t="s">
        <v>858</v>
      </c>
      <c r="D209" s="36" t="s">
        <v>859</v>
      </c>
      <c r="E209" s="36" t="s">
        <v>860</v>
      </c>
      <c r="F209" s="36" t="s">
        <v>218</v>
      </c>
      <c r="G209" s="36" t="s">
        <v>861</v>
      </c>
      <c r="H209" s="36">
        <v>1810.345</v>
      </c>
      <c r="I209" s="36">
        <f t="shared" si="6"/>
        <v>289.65520000000004</v>
      </c>
      <c r="J209" s="36"/>
      <c r="K209" s="39">
        <f t="shared" si="7"/>
        <v>2100.0001999999999</v>
      </c>
      <c r="L209" s="36"/>
      <c r="M209" s="36" t="s">
        <v>663</v>
      </c>
      <c r="N209" s="36"/>
    </row>
    <row r="210" spans="1:14" x14ac:dyDescent="0.2">
      <c r="A210" s="36" t="s">
        <v>408</v>
      </c>
      <c r="B210" s="37">
        <v>40092</v>
      </c>
      <c r="C210" s="38" t="s">
        <v>862</v>
      </c>
      <c r="D210" s="36" t="s">
        <v>863</v>
      </c>
      <c r="E210" s="36" t="s">
        <v>864</v>
      </c>
      <c r="F210" s="36" t="s">
        <v>309</v>
      </c>
      <c r="G210" s="36" t="s">
        <v>380</v>
      </c>
      <c r="H210" s="36">
        <v>2500</v>
      </c>
      <c r="I210" s="36">
        <f t="shared" si="6"/>
        <v>400</v>
      </c>
      <c r="J210" s="36"/>
      <c r="K210" s="36">
        <f t="shared" si="7"/>
        <v>2900</v>
      </c>
      <c r="L210" s="36"/>
      <c r="M210" s="36" t="s">
        <v>663</v>
      </c>
      <c r="N210" s="36"/>
    </row>
    <row r="211" spans="1:14" x14ac:dyDescent="0.2">
      <c r="A211" s="36" t="s">
        <v>408</v>
      </c>
      <c r="B211" s="37">
        <v>40092</v>
      </c>
      <c r="C211" s="38" t="s">
        <v>865</v>
      </c>
      <c r="D211" s="36" t="s">
        <v>520</v>
      </c>
      <c r="E211" s="49" t="s">
        <v>521</v>
      </c>
      <c r="F211" s="36" t="s">
        <v>246</v>
      </c>
      <c r="G211" s="36" t="s">
        <v>487</v>
      </c>
      <c r="H211" s="36">
        <v>2500</v>
      </c>
      <c r="I211" s="36">
        <f t="shared" si="6"/>
        <v>400</v>
      </c>
      <c r="J211" s="36"/>
      <c r="K211" s="36">
        <f t="shared" si="7"/>
        <v>2900</v>
      </c>
      <c r="L211" s="36"/>
      <c r="M211" s="36" t="s">
        <v>663</v>
      </c>
      <c r="N211" s="36"/>
    </row>
    <row r="212" spans="1:14" x14ac:dyDescent="0.2">
      <c r="A212" s="36" t="s">
        <v>408</v>
      </c>
      <c r="B212" s="37">
        <v>40092</v>
      </c>
      <c r="C212" s="38" t="s">
        <v>866</v>
      </c>
      <c r="D212" s="36" t="s">
        <v>296</v>
      </c>
      <c r="E212" s="49" t="s">
        <v>297</v>
      </c>
      <c r="F212" s="36" t="s">
        <v>214</v>
      </c>
      <c r="G212" s="36" t="s">
        <v>474</v>
      </c>
      <c r="H212" s="39">
        <v>4310.3450000000003</v>
      </c>
      <c r="I212" s="39">
        <f t="shared" si="6"/>
        <v>689.65520000000004</v>
      </c>
      <c r="J212" s="39"/>
      <c r="K212" s="39">
        <f t="shared" si="7"/>
        <v>5000.0002000000004</v>
      </c>
      <c r="L212" s="36"/>
      <c r="M212" s="36" t="s">
        <v>663</v>
      </c>
      <c r="N212" s="36"/>
    </row>
    <row r="213" spans="1:14" x14ac:dyDescent="0.2">
      <c r="A213" s="36" t="s">
        <v>408</v>
      </c>
      <c r="B213" s="37">
        <v>40143</v>
      </c>
      <c r="C213" s="38" t="s">
        <v>867</v>
      </c>
      <c r="D213" s="36" t="s">
        <v>868</v>
      </c>
      <c r="E213" s="36" t="s">
        <v>869</v>
      </c>
      <c r="F213" s="36" t="s">
        <v>239</v>
      </c>
      <c r="G213" s="36" t="s">
        <v>477</v>
      </c>
      <c r="H213" s="36">
        <v>3500</v>
      </c>
      <c r="I213" s="36">
        <f t="shared" si="6"/>
        <v>560</v>
      </c>
      <c r="J213" s="36"/>
      <c r="K213" s="36">
        <f t="shared" si="7"/>
        <v>4060</v>
      </c>
      <c r="L213" s="36"/>
      <c r="M213" s="36" t="s">
        <v>663</v>
      </c>
      <c r="N213" s="36"/>
    </row>
    <row r="214" spans="1:14" x14ac:dyDescent="0.2">
      <c r="A214" s="36" t="s">
        <v>408</v>
      </c>
      <c r="B214" s="37">
        <v>40099</v>
      </c>
      <c r="C214" s="38" t="s">
        <v>870</v>
      </c>
      <c r="D214" s="36" t="s">
        <v>871</v>
      </c>
      <c r="E214" s="36" t="s">
        <v>872</v>
      </c>
      <c r="F214" s="36" t="s">
        <v>309</v>
      </c>
      <c r="G214" s="36" t="s">
        <v>398</v>
      </c>
      <c r="H214" s="36">
        <v>3017.2449999999999</v>
      </c>
      <c r="I214" s="36">
        <f t="shared" si="6"/>
        <v>482.75919999999996</v>
      </c>
      <c r="J214" s="36"/>
      <c r="K214" s="39">
        <f t="shared" si="7"/>
        <v>3500.0041999999999</v>
      </c>
      <c r="L214" s="36"/>
      <c r="M214" s="36" t="s">
        <v>663</v>
      </c>
      <c r="N214" s="36"/>
    </row>
    <row r="215" spans="1:14" x14ac:dyDescent="0.2">
      <c r="A215" s="36" t="s">
        <v>12</v>
      </c>
      <c r="B215" s="37">
        <v>40057</v>
      </c>
      <c r="C215" s="38">
        <v>231</v>
      </c>
      <c r="D215" s="36" t="s">
        <v>564</v>
      </c>
      <c r="E215" s="49" t="s">
        <v>565</v>
      </c>
      <c r="F215" s="36" t="s">
        <v>762</v>
      </c>
      <c r="G215" s="36" t="s">
        <v>799</v>
      </c>
      <c r="H215" s="36">
        <v>603.45000000000005</v>
      </c>
      <c r="I215" s="39">
        <f t="shared" si="6"/>
        <v>96.552000000000007</v>
      </c>
      <c r="J215" s="39"/>
      <c r="K215" s="39">
        <f t="shared" si="7"/>
        <v>700.00200000000007</v>
      </c>
      <c r="L215" s="36"/>
      <c r="M215" s="36" t="s">
        <v>663</v>
      </c>
      <c r="N215" s="36"/>
    </row>
    <row r="216" spans="1:14" x14ac:dyDescent="0.2">
      <c r="A216" s="36" t="s">
        <v>12</v>
      </c>
      <c r="B216" s="37">
        <v>40093</v>
      </c>
      <c r="C216" s="38">
        <v>2009101958</v>
      </c>
      <c r="D216" s="36" t="s">
        <v>14</v>
      </c>
      <c r="E216" s="36" t="s">
        <v>13</v>
      </c>
      <c r="F216" s="36" t="s">
        <v>392</v>
      </c>
      <c r="G216" s="36" t="s">
        <v>873</v>
      </c>
      <c r="H216" s="36">
        <v>3248.28</v>
      </c>
      <c r="I216" s="39">
        <f t="shared" si="6"/>
        <v>519.72480000000007</v>
      </c>
      <c r="J216" s="39"/>
      <c r="K216" s="39">
        <f t="shared" si="7"/>
        <v>3768.0048000000002</v>
      </c>
      <c r="L216" s="36"/>
      <c r="M216" s="36" t="s">
        <v>663</v>
      </c>
      <c r="N216" s="36"/>
    </row>
    <row r="217" spans="1:14" x14ac:dyDescent="0.2">
      <c r="A217" s="36" t="s">
        <v>12</v>
      </c>
      <c r="B217" s="37">
        <v>40093</v>
      </c>
      <c r="C217" s="38">
        <v>2009101959</v>
      </c>
      <c r="D217" s="36" t="s">
        <v>14</v>
      </c>
      <c r="E217" s="36" t="s">
        <v>13</v>
      </c>
      <c r="F217" s="36" t="s">
        <v>201</v>
      </c>
      <c r="G217" s="36" t="s">
        <v>874</v>
      </c>
      <c r="H217" s="36">
        <v>2844.83</v>
      </c>
      <c r="I217" s="39">
        <f t="shared" si="6"/>
        <v>455.1728</v>
      </c>
      <c r="J217" s="39"/>
      <c r="K217" s="39">
        <f t="shared" si="7"/>
        <v>3300.0027999999998</v>
      </c>
      <c r="L217" s="36"/>
      <c r="M217" s="36" t="s">
        <v>663</v>
      </c>
      <c r="N217" s="36"/>
    </row>
    <row r="218" spans="1:14" x14ac:dyDescent="0.2">
      <c r="A218" s="36" t="s">
        <v>12</v>
      </c>
      <c r="B218" s="37">
        <v>40105</v>
      </c>
      <c r="C218" s="38">
        <v>2009102010</v>
      </c>
      <c r="D218" s="36" t="s">
        <v>14</v>
      </c>
      <c r="E218" s="36" t="s">
        <v>13</v>
      </c>
      <c r="F218" s="36" t="s">
        <v>875</v>
      </c>
      <c r="G218" s="36" t="s">
        <v>876</v>
      </c>
      <c r="H218" s="36">
        <v>6033.04</v>
      </c>
      <c r="I218" s="39">
        <f t="shared" si="6"/>
        <v>965.28639999999996</v>
      </c>
      <c r="J218" s="39"/>
      <c r="K218" s="39">
        <f t="shared" si="7"/>
        <v>6998.3263999999999</v>
      </c>
      <c r="L218" s="36"/>
      <c r="M218" s="36" t="s">
        <v>663</v>
      </c>
      <c r="N218" s="36"/>
    </row>
    <row r="219" spans="1:14" x14ac:dyDescent="0.2">
      <c r="A219" s="36" t="s">
        <v>12</v>
      </c>
      <c r="B219" s="37">
        <v>40105</v>
      </c>
      <c r="C219" s="38">
        <v>2009102011</v>
      </c>
      <c r="D219" s="36" t="s">
        <v>14</v>
      </c>
      <c r="E219" s="36" t="s">
        <v>13</v>
      </c>
      <c r="F219" s="36" t="s">
        <v>346</v>
      </c>
      <c r="G219" s="36" t="s">
        <v>877</v>
      </c>
      <c r="H219" s="36">
        <v>1698.91</v>
      </c>
      <c r="I219" s="39">
        <f t="shared" si="6"/>
        <v>271.82560000000001</v>
      </c>
      <c r="J219" s="39"/>
      <c r="K219" s="39">
        <f t="shared" si="7"/>
        <v>1970.7356</v>
      </c>
      <c r="L219" s="36"/>
      <c r="M219" s="36" t="s">
        <v>663</v>
      </c>
      <c r="N219" s="36"/>
    </row>
    <row r="220" spans="1:14" x14ac:dyDescent="0.2">
      <c r="A220" s="36" t="s">
        <v>12</v>
      </c>
      <c r="B220" s="37">
        <v>40105</v>
      </c>
      <c r="C220" s="38">
        <v>2009102012</v>
      </c>
      <c r="D220" s="36" t="s">
        <v>14</v>
      </c>
      <c r="E220" s="36" t="s">
        <v>13</v>
      </c>
      <c r="F220" s="36" t="s">
        <v>346</v>
      </c>
      <c r="G220" s="36" t="s">
        <v>878</v>
      </c>
      <c r="H220" s="36">
        <v>1602.4</v>
      </c>
      <c r="I220" s="39">
        <f t="shared" si="6"/>
        <v>256.38400000000001</v>
      </c>
      <c r="J220" s="39"/>
      <c r="K220" s="39">
        <f t="shared" si="7"/>
        <v>1858.7840000000001</v>
      </c>
      <c r="L220" s="36"/>
      <c r="M220" s="36" t="s">
        <v>663</v>
      </c>
      <c r="N220" s="36"/>
    </row>
    <row r="221" spans="1:14" x14ac:dyDescent="0.2">
      <c r="A221" s="36" t="s">
        <v>12</v>
      </c>
      <c r="B221" s="37">
        <v>40168</v>
      </c>
      <c r="C221" s="38" t="s">
        <v>879</v>
      </c>
      <c r="D221" s="36" t="s">
        <v>14</v>
      </c>
      <c r="E221" s="36" t="s">
        <v>13</v>
      </c>
      <c r="F221" s="36" t="s">
        <v>201</v>
      </c>
      <c r="G221" s="36" t="s">
        <v>880</v>
      </c>
      <c r="H221" s="36">
        <v>862.07</v>
      </c>
      <c r="I221" s="39">
        <f t="shared" si="6"/>
        <v>137.93120000000002</v>
      </c>
      <c r="J221" s="39"/>
      <c r="K221" s="39">
        <f t="shared" si="7"/>
        <v>1000.0012</v>
      </c>
      <c r="L221" s="36"/>
      <c r="M221" s="36" t="s">
        <v>663</v>
      </c>
      <c r="N221" s="36"/>
    </row>
    <row r="222" spans="1:14" x14ac:dyDescent="0.2">
      <c r="A222" s="36" t="s">
        <v>12</v>
      </c>
      <c r="B222" s="37">
        <v>40168</v>
      </c>
      <c r="C222" s="38" t="s">
        <v>881</v>
      </c>
      <c r="D222" s="36" t="s">
        <v>14</v>
      </c>
      <c r="E222" s="36" t="s">
        <v>13</v>
      </c>
      <c r="F222" s="36" t="s">
        <v>394</v>
      </c>
      <c r="G222" s="36" t="s">
        <v>882</v>
      </c>
      <c r="H222" s="36">
        <v>2586.21</v>
      </c>
      <c r="I222" s="39">
        <f t="shared" si="6"/>
        <v>413.79360000000003</v>
      </c>
      <c r="J222" s="39"/>
      <c r="K222" s="39">
        <f t="shared" si="7"/>
        <v>3000.0036</v>
      </c>
      <c r="L222" s="36"/>
      <c r="M222" s="36" t="s">
        <v>663</v>
      </c>
      <c r="N222" s="36"/>
    </row>
    <row r="223" spans="1:14" x14ac:dyDescent="0.2">
      <c r="A223" s="36" t="s">
        <v>12</v>
      </c>
      <c r="B223" s="37">
        <v>40168</v>
      </c>
      <c r="C223" s="38" t="s">
        <v>883</v>
      </c>
      <c r="D223" s="36" t="s">
        <v>14</v>
      </c>
      <c r="E223" s="36" t="s">
        <v>13</v>
      </c>
      <c r="F223" s="36" t="s">
        <v>201</v>
      </c>
      <c r="G223" s="36" t="s">
        <v>884</v>
      </c>
      <c r="H223" s="36">
        <v>1120.69</v>
      </c>
      <c r="I223" s="39">
        <f t="shared" si="6"/>
        <v>179.31040000000002</v>
      </c>
      <c r="J223" s="39"/>
      <c r="K223" s="39">
        <f t="shared" si="7"/>
        <v>1300.0004000000001</v>
      </c>
      <c r="L223" s="36"/>
      <c r="M223" s="36" t="s">
        <v>663</v>
      </c>
      <c r="N223" s="36"/>
    </row>
    <row r="224" spans="1:14" x14ac:dyDescent="0.2">
      <c r="A224" s="36" t="s">
        <v>12</v>
      </c>
      <c r="B224" s="37">
        <v>40171</v>
      </c>
      <c r="C224" s="38">
        <v>2009102351</v>
      </c>
      <c r="D224" s="36" t="s">
        <v>14</v>
      </c>
      <c r="E224" s="36" t="s">
        <v>13</v>
      </c>
      <c r="F224" s="36" t="s">
        <v>375</v>
      </c>
      <c r="G224" s="36" t="s">
        <v>885</v>
      </c>
      <c r="H224" s="36">
        <v>1418.77</v>
      </c>
      <c r="I224" s="39">
        <f t="shared" si="6"/>
        <v>227.00319999999999</v>
      </c>
      <c r="J224" s="39"/>
      <c r="K224" s="39">
        <f t="shared" si="7"/>
        <v>1645.7732000000001</v>
      </c>
      <c r="L224" s="36"/>
      <c r="M224" s="36" t="s">
        <v>663</v>
      </c>
      <c r="N224" s="36"/>
    </row>
    <row r="225" spans="1:14" x14ac:dyDescent="0.2">
      <c r="A225" s="36" t="s">
        <v>12</v>
      </c>
      <c r="B225" s="37">
        <v>40171</v>
      </c>
      <c r="C225" s="38">
        <v>2009102352</v>
      </c>
      <c r="D225" s="36" t="s">
        <v>14</v>
      </c>
      <c r="E225" s="36" t="s">
        <v>13</v>
      </c>
      <c r="F225" s="36" t="s">
        <v>375</v>
      </c>
      <c r="G225" s="36" t="s">
        <v>886</v>
      </c>
      <c r="H225" s="36">
        <v>1100.1600000000001</v>
      </c>
      <c r="I225" s="39">
        <f t="shared" ref="I225:I269" si="8">H225*0.16</f>
        <v>176.02560000000003</v>
      </c>
      <c r="J225" s="39"/>
      <c r="K225" s="39">
        <f t="shared" ref="K225:K269" si="9">+H225+I225</f>
        <v>1276.1856</v>
      </c>
      <c r="L225" s="36"/>
      <c r="M225" s="36" t="s">
        <v>663</v>
      </c>
      <c r="N225" s="36"/>
    </row>
    <row r="226" spans="1:14" x14ac:dyDescent="0.2">
      <c r="A226" s="36" t="s">
        <v>12</v>
      </c>
      <c r="B226" s="37">
        <v>40171</v>
      </c>
      <c r="C226" s="38">
        <v>2009102353</v>
      </c>
      <c r="D226" s="36" t="s">
        <v>14</v>
      </c>
      <c r="E226" s="36" t="s">
        <v>13</v>
      </c>
      <c r="F226" s="36" t="s">
        <v>390</v>
      </c>
      <c r="G226" s="36" t="s">
        <v>887</v>
      </c>
      <c r="H226" s="36">
        <v>4082.91</v>
      </c>
      <c r="I226" s="39">
        <f t="shared" si="8"/>
        <v>653.26559999999995</v>
      </c>
      <c r="J226" s="39"/>
      <c r="K226" s="39">
        <f t="shared" si="9"/>
        <v>4736.1755999999996</v>
      </c>
      <c r="L226" s="36"/>
      <c r="M226" s="36" t="s">
        <v>663</v>
      </c>
      <c r="N226" s="36"/>
    </row>
    <row r="227" spans="1:14" x14ac:dyDescent="0.2">
      <c r="A227" s="36" t="s">
        <v>12</v>
      </c>
      <c r="B227" s="37">
        <v>40171</v>
      </c>
      <c r="C227" s="38">
        <v>2009102354</v>
      </c>
      <c r="D227" s="36" t="s">
        <v>14</v>
      </c>
      <c r="E227" s="36" t="s">
        <v>13</v>
      </c>
      <c r="F227" s="36" t="s">
        <v>355</v>
      </c>
      <c r="G227" s="36" t="s">
        <v>888</v>
      </c>
      <c r="H227" s="36">
        <v>3618.17</v>
      </c>
      <c r="I227" s="39">
        <f t="shared" si="8"/>
        <v>578.90719999999999</v>
      </c>
      <c r="J227" s="39"/>
      <c r="K227" s="39">
        <f t="shared" si="9"/>
        <v>4197.0771999999997</v>
      </c>
      <c r="L227" s="36"/>
      <c r="M227" s="36" t="s">
        <v>663</v>
      </c>
      <c r="N227" s="36"/>
    </row>
    <row r="228" spans="1:14" x14ac:dyDescent="0.2">
      <c r="A228" s="36" t="s">
        <v>12</v>
      </c>
      <c r="B228" s="37">
        <v>40171</v>
      </c>
      <c r="C228" s="38">
        <v>2009102355</v>
      </c>
      <c r="D228" s="36" t="s">
        <v>14</v>
      </c>
      <c r="E228" s="36" t="s">
        <v>13</v>
      </c>
      <c r="F228" s="36" t="s">
        <v>201</v>
      </c>
      <c r="G228" s="36" t="s">
        <v>889</v>
      </c>
      <c r="H228" s="36">
        <v>1968.26</v>
      </c>
      <c r="I228" s="39">
        <f t="shared" si="8"/>
        <v>314.92160000000001</v>
      </c>
      <c r="J228" s="39"/>
      <c r="K228" s="39">
        <f t="shared" si="9"/>
        <v>2283.1815999999999</v>
      </c>
      <c r="L228" s="36"/>
      <c r="M228" s="36" t="s">
        <v>663</v>
      </c>
      <c r="N228" s="36"/>
    </row>
    <row r="229" spans="1:14" x14ac:dyDescent="0.2">
      <c r="A229" s="36" t="s">
        <v>12</v>
      </c>
      <c r="B229" s="37">
        <v>40108</v>
      </c>
      <c r="C229" s="38">
        <v>2009102043</v>
      </c>
      <c r="D229" s="36" t="s">
        <v>14</v>
      </c>
      <c r="E229" s="36" t="s">
        <v>13</v>
      </c>
      <c r="F229" s="36" t="s">
        <v>346</v>
      </c>
      <c r="G229" s="36" t="s">
        <v>890</v>
      </c>
      <c r="H229" s="36">
        <v>1623.68</v>
      </c>
      <c r="I229" s="39">
        <f t="shared" si="8"/>
        <v>259.78880000000004</v>
      </c>
      <c r="J229" s="39"/>
      <c r="K229" s="39">
        <f t="shared" si="9"/>
        <v>1883.4688000000001</v>
      </c>
      <c r="L229" s="36"/>
      <c r="M229" s="36" t="s">
        <v>663</v>
      </c>
      <c r="N229" s="36"/>
    </row>
    <row r="230" spans="1:14" x14ac:dyDescent="0.2">
      <c r="A230" s="36" t="s">
        <v>12</v>
      </c>
      <c r="B230" s="37">
        <v>40108</v>
      </c>
      <c r="C230" s="38">
        <v>2009102044</v>
      </c>
      <c r="D230" s="36" t="s">
        <v>14</v>
      </c>
      <c r="E230" s="36" t="s">
        <v>13</v>
      </c>
      <c r="F230" s="36" t="s">
        <v>346</v>
      </c>
      <c r="G230" s="36" t="s">
        <v>754</v>
      </c>
      <c r="H230" s="36">
        <v>1912.18</v>
      </c>
      <c r="I230" s="39">
        <f t="shared" si="8"/>
        <v>305.94880000000001</v>
      </c>
      <c r="J230" s="39"/>
      <c r="K230" s="39">
        <f t="shared" si="9"/>
        <v>2218.1288</v>
      </c>
      <c r="L230" s="36"/>
      <c r="M230" s="36" t="s">
        <v>663</v>
      </c>
      <c r="N230" s="36"/>
    </row>
    <row r="231" spans="1:14" x14ac:dyDescent="0.2">
      <c r="A231" s="36" t="s">
        <v>12</v>
      </c>
      <c r="B231" s="37">
        <v>40108</v>
      </c>
      <c r="C231" s="38" t="s">
        <v>891</v>
      </c>
      <c r="D231" s="36" t="s">
        <v>14</v>
      </c>
      <c r="E231" s="36" t="s">
        <v>13</v>
      </c>
      <c r="F231" s="36" t="s">
        <v>892</v>
      </c>
      <c r="G231" s="36" t="s">
        <v>893</v>
      </c>
      <c r="H231" s="36">
        <v>689.66</v>
      </c>
      <c r="I231" s="39">
        <f t="shared" si="8"/>
        <v>110.34559999999999</v>
      </c>
      <c r="J231" s="39"/>
      <c r="K231" s="39">
        <f t="shared" si="9"/>
        <v>800.00559999999996</v>
      </c>
      <c r="L231" s="36"/>
      <c r="M231" s="36" t="s">
        <v>663</v>
      </c>
      <c r="N231" s="36"/>
    </row>
    <row r="232" spans="1:14" x14ac:dyDescent="0.2">
      <c r="A232" s="36" t="s">
        <v>12</v>
      </c>
      <c r="B232" s="37">
        <v>40113</v>
      </c>
      <c r="C232" s="38">
        <v>2009102070</v>
      </c>
      <c r="D232" s="36" t="s">
        <v>14</v>
      </c>
      <c r="E232" s="36" t="s">
        <v>13</v>
      </c>
      <c r="F232" s="36" t="s">
        <v>214</v>
      </c>
      <c r="G232" s="36" t="s">
        <v>894</v>
      </c>
      <c r="H232" s="36">
        <v>5654.75</v>
      </c>
      <c r="I232" s="39">
        <f t="shared" si="8"/>
        <v>904.76</v>
      </c>
      <c r="J232" s="39"/>
      <c r="K232" s="39">
        <f t="shared" si="9"/>
        <v>6559.51</v>
      </c>
      <c r="L232" s="36"/>
      <c r="M232" s="36" t="s">
        <v>663</v>
      </c>
      <c r="N232" s="36"/>
    </row>
    <row r="233" spans="1:14" x14ac:dyDescent="0.2">
      <c r="A233" s="36" t="s">
        <v>12</v>
      </c>
      <c r="B233" s="37">
        <v>40114</v>
      </c>
      <c r="C233" s="38">
        <v>2009102079</v>
      </c>
      <c r="D233" s="36" t="s">
        <v>14</v>
      </c>
      <c r="E233" s="36" t="s">
        <v>13</v>
      </c>
      <c r="F233" s="36" t="s">
        <v>346</v>
      </c>
      <c r="G233" s="36" t="s">
        <v>895</v>
      </c>
      <c r="H233" s="36">
        <v>3429.27</v>
      </c>
      <c r="I233" s="39">
        <f t="shared" si="8"/>
        <v>548.68320000000006</v>
      </c>
      <c r="J233" s="39"/>
      <c r="K233" s="39">
        <f t="shared" si="9"/>
        <v>3977.9531999999999</v>
      </c>
      <c r="L233" s="36"/>
      <c r="M233" s="36" t="s">
        <v>663</v>
      </c>
      <c r="N233" s="36"/>
    </row>
    <row r="234" spans="1:14" x14ac:dyDescent="0.2">
      <c r="A234" s="36" t="s">
        <v>12</v>
      </c>
      <c r="B234" s="37">
        <v>40118</v>
      </c>
      <c r="C234" s="38">
        <v>2009102092</v>
      </c>
      <c r="D234" s="36" t="s">
        <v>14</v>
      </c>
      <c r="E234" s="36" t="s">
        <v>13</v>
      </c>
      <c r="F234" s="36" t="s">
        <v>346</v>
      </c>
      <c r="G234" s="36" t="s">
        <v>896</v>
      </c>
      <c r="H234" s="36">
        <v>1477.8</v>
      </c>
      <c r="I234" s="39">
        <f t="shared" si="8"/>
        <v>236.44800000000001</v>
      </c>
      <c r="J234" s="39"/>
      <c r="K234" s="39">
        <f t="shared" si="9"/>
        <v>1714.248</v>
      </c>
      <c r="L234" s="36"/>
      <c r="M234" s="36" t="s">
        <v>663</v>
      </c>
      <c r="N234" s="36"/>
    </row>
    <row r="235" spans="1:14" x14ac:dyDescent="0.2">
      <c r="A235" s="36" t="s">
        <v>12</v>
      </c>
      <c r="B235" s="37">
        <v>40118</v>
      </c>
      <c r="C235" s="38">
        <v>2009102093</v>
      </c>
      <c r="D235" s="36" t="s">
        <v>14</v>
      </c>
      <c r="E235" s="36" t="s">
        <v>13</v>
      </c>
      <c r="F235" s="36" t="s">
        <v>406</v>
      </c>
      <c r="G235" s="36" t="s">
        <v>897</v>
      </c>
      <c r="H235" s="36">
        <v>1108.55</v>
      </c>
      <c r="I235" s="39">
        <f t="shared" si="8"/>
        <v>177.36799999999999</v>
      </c>
      <c r="J235" s="39"/>
      <c r="K235" s="39">
        <f t="shared" si="9"/>
        <v>1285.9179999999999</v>
      </c>
      <c r="L235" s="36"/>
      <c r="M235" s="36" t="s">
        <v>663</v>
      </c>
      <c r="N235" s="36"/>
    </row>
    <row r="236" spans="1:14" x14ac:dyDescent="0.2">
      <c r="A236" s="36" t="s">
        <v>12</v>
      </c>
      <c r="B236" s="37">
        <v>40118</v>
      </c>
      <c r="C236" s="38">
        <v>2009102094</v>
      </c>
      <c r="D236" s="36" t="s">
        <v>14</v>
      </c>
      <c r="E236" s="36" t="s">
        <v>13</v>
      </c>
      <c r="F236" s="36" t="s">
        <v>898</v>
      </c>
      <c r="G236" s="36" t="s">
        <v>899</v>
      </c>
      <c r="H236" s="36">
        <v>3949.14</v>
      </c>
      <c r="I236" s="39">
        <f t="shared" si="8"/>
        <v>631.86239999999998</v>
      </c>
      <c r="J236" s="39"/>
      <c r="K236" s="39">
        <f t="shared" si="9"/>
        <v>4581.0023999999994</v>
      </c>
      <c r="L236" s="36"/>
      <c r="M236" s="36" t="s">
        <v>663</v>
      </c>
      <c r="N236" s="36"/>
    </row>
    <row r="237" spans="1:14" x14ac:dyDescent="0.2">
      <c r="A237" s="36" t="s">
        <v>12</v>
      </c>
      <c r="B237" s="37">
        <v>40127</v>
      </c>
      <c r="C237" s="38">
        <v>2009102138</v>
      </c>
      <c r="D237" s="36" t="s">
        <v>14</v>
      </c>
      <c r="E237" s="36" t="s">
        <v>13</v>
      </c>
      <c r="F237" s="36" t="s">
        <v>900</v>
      </c>
      <c r="G237" s="36" t="s">
        <v>901</v>
      </c>
      <c r="H237" s="36">
        <v>5799.18</v>
      </c>
      <c r="I237" s="39">
        <f t="shared" si="8"/>
        <v>927.86880000000008</v>
      </c>
      <c r="J237" s="39"/>
      <c r="K237" s="39">
        <f t="shared" si="9"/>
        <v>6727.0488000000005</v>
      </c>
      <c r="L237" s="36"/>
      <c r="M237" s="36" t="s">
        <v>663</v>
      </c>
      <c r="N237" s="36"/>
    </row>
    <row r="238" spans="1:14" x14ac:dyDescent="0.2">
      <c r="A238" s="36" t="s">
        <v>12</v>
      </c>
      <c r="B238" s="37">
        <v>40127</v>
      </c>
      <c r="C238" s="38">
        <v>2009102139</v>
      </c>
      <c r="D238" s="36" t="s">
        <v>14</v>
      </c>
      <c r="E238" s="36" t="s">
        <v>13</v>
      </c>
      <c r="F238" s="36" t="s">
        <v>368</v>
      </c>
      <c r="G238" s="36" t="s">
        <v>902</v>
      </c>
      <c r="H238" s="36">
        <v>3399.66</v>
      </c>
      <c r="I238" s="39">
        <f t="shared" si="8"/>
        <v>543.94560000000001</v>
      </c>
      <c r="J238" s="39"/>
      <c r="K238" s="39">
        <f t="shared" si="9"/>
        <v>3943.6055999999999</v>
      </c>
      <c r="L238" s="36"/>
      <c r="M238" s="36" t="s">
        <v>663</v>
      </c>
      <c r="N238" s="36"/>
    </row>
    <row r="239" spans="1:14" x14ac:dyDescent="0.2">
      <c r="A239" s="36" t="s">
        <v>12</v>
      </c>
      <c r="B239" s="37">
        <v>40130</v>
      </c>
      <c r="C239" s="38">
        <v>2009102165</v>
      </c>
      <c r="D239" s="36" t="s">
        <v>14</v>
      </c>
      <c r="E239" s="36" t="s">
        <v>13</v>
      </c>
      <c r="F239" s="36" t="s">
        <v>346</v>
      </c>
      <c r="G239" s="36" t="s">
        <v>243</v>
      </c>
      <c r="H239" s="36">
        <v>1041.32</v>
      </c>
      <c r="I239" s="39">
        <f t="shared" si="8"/>
        <v>166.6112</v>
      </c>
      <c r="J239" s="39"/>
      <c r="K239" s="39">
        <f t="shared" si="9"/>
        <v>1207.9312</v>
      </c>
      <c r="L239" s="36"/>
      <c r="M239" s="36" t="s">
        <v>663</v>
      </c>
      <c r="N239" s="36"/>
    </row>
    <row r="240" spans="1:14" x14ac:dyDescent="0.2">
      <c r="A240" s="36" t="s">
        <v>12</v>
      </c>
      <c r="B240" s="37">
        <v>40130</v>
      </c>
      <c r="C240" s="38">
        <v>2009102166</v>
      </c>
      <c r="D240" s="36" t="s">
        <v>14</v>
      </c>
      <c r="E240" s="36" t="s">
        <v>13</v>
      </c>
      <c r="F240" s="36" t="s">
        <v>346</v>
      </c>
      <c r="G240" s="36" t="s">
        <v>903</v>
      </c>
      <c r="H240" s="36">
        <v>1073.72</v>
      </c>
      <c r="I240" s="39">
        <f t="shared" si="8"/>
        <v>171.79519999999999</v>
      </c>
      <c r="J240" s="39"/>
      <c r="K240" s="39">
        <f t="shared" si="9"/>
        <v>1245.5152</v>
      </c>
      <c r="L240" s="36"/>
      <c r="M240" s="36" t="s">
        <v>663</v>
      </c>
      <c r="N240" s="36"/>
    </row>
    <row r="241" spans="1:14" x14ac:dyDescent="0.2">
      <c r="A241" s="36" t="s">
        <v>12</v>
      </c>
      <c r="B241" s="37">
        <v>40137</v>
      </c>
      <c r="C241" s="38">
        <v>2009102199</v>
      </c>
      <c r="D241" s="36" t="s">
        <v>14</v>
      </c>
      <c r="E241" s="36" t="s">
        <v>13</v>
      </c>
      <c r="F241" s="36" t="s">
        <v>406</v>
      </c>
      <c r="G241" s="36" t="s">
        <v>904</v>
      </c>
      <c r="H241" s="36">
        <v>1992.24</v>
      </c>
      <c r="I241" s="39">
        <f t="shared" si="8"/>
        <v>318.75839999999999</v>
      </c>
      <c r="J241" s="39"/>
      <c r="K241" s="39">
        <f t="shared" si="9"/>
        <v>2310.9983999999999</v>
      </c>
      <c r="L241" s="36"/>
      <c r="M241" s="36" t="s">
        <v>663</v>
      </c>
      <c r="N241" s="36"/>
    </row>
    <row r="242" spans="1:14" x14ac:dyDescent="0.2">
      <c r="A242" s="36" t="s">
        <v>12</v>
      </c>
      <c r="B242" s="37">
        <v>40137</v>
      </c>
      <c r="C242" s="38">
        <v>2009102200</v>
      </c>
      <c r="D242" s="36" t="s">
        <v>14</v>
      </c>
      <c r="E242" s="36" t="s">
        <v>13</v>
      </c>
      <c r="F242" s="36" t="s">
        <v>400</v>
      </c>
      <c r="G242" s="36" t="s">
        <v>905</v>
      </c>
      <c r="H242" s="36">
        <v>1120.69</v>
      </c>
      <c r="I242" s="39">
        <f t="shared" si="8"/>
        <v>179.31040000000002</v>
      </c>
      <c r="J242" s="39"/>
      <c r="K242" s="39">
        <f t="shared" si="9"/>
        <v>1300.0004000000001</v>
      </c>
      <c r="L242" s="36"/>
      <c r="M242" s="36" t="s">
        <v>663</v>
      </c>
      <c r="N242" s="36"/>
    </row>
    <row r="243" spans="1:14" x14ac:dyDescent="0.2">
      <c r="A243" s="36" t="s">
        <v>12</v>
      </c>
      <c r="B243" s="37">
        <v>40137</v>
      </c>
      <c r="C243" s="38">
        <v>2009102201</v>
      </c>
      <c r="D243" s="36" t="s">
        <v>14</v>
      </c>
      <c r="E243" s="36" t="s">
        <v>13</v>
      </c>
      <c r="F243" s="36" t="s">
        <v>906</v>
      </c>
      <c r="G243" s="36" t="s">
        <v>907</v>
      </c>
      <c r="H243" s="36">
        <v>3853.98</v>
      </c>
      <c r="I243" s="39">
        <f t="shared" si="8"/>
        <v>616.63679999999999</v>
      </c>
      <c r="J243" s="39"/>
      <c r="K243" s="39">
        <f t="shared" si="9"/>
        <v>4470.6167999999998</v>
      </c>
      <c r="L243" s="36"/>
      <c r="M243" s="36" t="s">
        <v>663</v>
      </c>
      <c r="N243" s="36"/>
    </row>
    <row r="244" spans="1:14" x14ac:dyDescent="0.2">
      <c r="A244" s="36" t="s">
        <v>12</v>
      </c>
      <c r="B244" s="37">
        <v>40137</v>
      </c>
      <c r="C244" s="38">
        <v>2009102202</v>
      </c>
      <c r="D244" s="36" t="s">
        <v>14</v>
      </c>
      <c r="E244" s="36" t="s">
        <v>13</v>
      </c>
      <c r="F244" s="36" t="s">
        <v>908</v>
      </c>
      <c r="G244" s="36" t="s">
        <v>909</v>
      </c>
      <c r="H244" s="36">
        <v>2458.12</v>
      </c>
      <c r="I244" s="39">
        <f t="shared" si="8"/>
        <v>393.29919999999998</v>
      </c>
      <c r="J244" s="39"/>
      <c r="K244" s="39">
        <f t="shared" si="9"/>
        <v>2851.4191999999998</v>
      </c>
      <c r="L244" s="36"/>
      <c r="M244" s="36" t="s">
        <v>663</v>
      </c>
      <c r="N244" s="36"/>
    </row>
    <row r="245" spans="1:14" x14ac:dyDescent="0.2">
      <c r="A245" s="36" t="s">
        <v>12</v>
      </c>
      <c r="B245" s="37">
        <v>40137</v>
      </c>
      <c r="C245" s="38">
        <v>2009102203</v>
      </c>
      <c r="D245" s="36" t="s">
        <v>14</v>
      </c>
      <c r="E245" s="36" t="s">
        <v>13</v>
      </c>
      <c r="F245" s="36" t="s">
        <v>436</v>
      </c>
      <c r="G245" s="36" t="s">
        <v>910</v>
      </c>
      <c r="H245" s="36">
        <v>2844.83</v>
      </c>
      <c r="I245" s="39">
        <f t="shared" si="8"/>
        <v>455.1728</v>
      </c>
      <c r="J245" s="39"/>
      <c r="K245" s="39">
        <f t="shared" si="9"/>
        <v>3300.0027999999998</v>
      </c>
      <c r="L245" s="36"/>
      <c r="M245" s="36" t="s">
        <v>663</v>
      </c>
      <c r="N245" s="36"/>
    </row>
    <row r="246" spans="1:14" x14ac:dyDescent="0.2">
      <c r="A246" s="36" t="s">
        <v>12</v>
      </c>
      <c r="B246" s="37">
        <v>40137</v>
      </c>
      <c r="C246" s="38">
        <v>2009102204</v>
      </c>
      <c r="D246" s="36" t="s">
        <v>14</v>
      </c>
      <c r="E246" s="36" t="s">
        <v>13</v>
      </c>
      <c r="F246" s="36" t="s">
        <v>436</v>
      </c>
      <c r="G246" s="36" t="s">
        <v>235</v>
      </c>
      <c r="H246" s="36">
        <v>2844.83</v>
      </c>
      <c r="I246" s="39">
        <f t="shared" si="8"/>
        <v>455.1728</v>
      </c>
      <c r="J246" s="39"/>
      <c r="K246" s="39">
        <f t="shared" si="9"/>
        <v>3300.0027999999998</v>
      </c>
      <c r="L246" s="36"/>
      <c r="M246" s="36" t="s">
        <v>663</v>
      </c>
      <c r="N246" s="36"/>
    </row>
    <row r="247" spans="1:14" x14ac:dyDescent="0.2">
      <c r="A247" s="36" t="s">
        <v>12</v>
      </c>
      <c r="B247" s="37">
        <v>40166</v>
      </c>
      <c r="C247" s="38">
        <v>2009102325</v>
      </c>
      <c r="D247" s="36" t="s">
        <v>14</v>
      </c>
      <c r="E247" s="36" t="s">
        <v>13</v>
      </c>
      <c r="F247" s="36" t="s">
        <v>434</v>
      </c>
      <c r="G247" s="36" t="s">
        <v>911</v>
      </c>
      <c r="H247" s="36">
        <v>4332.76</v>
      </c>
      <c r="I247" s="39">
        <f t="shared" si="8"/>
        <v>693.24160000000006</v>
      </c>
      <c r="J247" s="39"/>
      <c r="K247" s="39">
        <f t="shared" si="9"/>
        <v>5026.0016000000005</v>
      </c>
      <c r="L247" s="36"/>
      <c r="M247" s="36" t="s">
        <v>663</v>
      </c>
      <c r="N247" s="36"/>
    </row>
    <row r="248" spans="1:14" x14ac:dyDescent="0.2">
      <c r="A248" s="36" t="s">
        <v>12</v>
      </c>
      <c r="B248" s="37">
        <v>40154</v>
      </c>
      <c r="C248" s="38">
        <v>2009102265</v>
      </c>
      <c r="D248" s="36" t="s">
        <v>14</v>
      </c>
      <c r="E248" s="36" t="s">
        <v>13</v>
      </c>
      <c r="F248" s="36" t="s">
        <v>346</v>
      </c>
      <c r="G248" s="36" t="s">
        <v>912</v>
      </c>
      <c r="H248" s="36">
        <v>1885.59</v>
      </c>
      <c r="I248" s="39">
        <f t="shared" si="8"/>
        <v>301.69439999999997</v>
      </c>
      <c r="J248" s="39"/>
      <c r="K248" s="39">
        <f t="shared" si="9"/>
        <v>2187.2844</v>
      </c>
      <c r="L248" s="36"/>
      <c r="M248" s="36" t="s">
        <v>663</v>
      </c>
      <c r="N248" s="36"/>
    </row>
    <row r="249" spans="1:14" x14ac:dyDescent="0.2">
      <c r="A249" s="36" t="s">
        <v>12</v>
      </c>
      <c r="B249" s="37">
        <v>40154</v>
      </c>
      <c r="C249" s="38">
        <v>2009102266</v>
      </c>
      <c r="D249" s="36" t="s">
        <v>14</v>
      </c>
      <c r="E249" s="36" t="s">
        <v>13</v>
      </c>
      <c r="F249" s="36" t="s">
        <v>913</v>
      </c>
      <c r="G249" s="36" t="s">
        <v>914</v>
      </c>
      <c r="H249" s="36">
        <v>5689.66</v>
      </c>
      <c r="I249" s="39">
        <f t="shared" si="8"/>
        <v>910.34559999999999</v>
      </c>
      <c r="J249" s="39"/>
      <c r="K249" s="39">
        <f t="shared" si="9"/>
        <v>6600.0055999999995</v>
      </c>
      <c r="L249" s="36"/>
      <c r="M249" s="36" t="s">
        <v>663</v>
      </c>
      <c r="N249" s="36"/>
    </row>
    <row r="250" spans="1:14" x14ac:dyDescent="0.2">
      <c r="A250" s="36" t="s">
        <v>12</v>
      </c>
      <c r="B250" s="37">
        <v>40154</v>
      </c>
      <c r="C250" s="38">
        <v>2009102267</v>
      </c>
      <c r="D250" s="36" t="s">
        <v>14</v>
      </c>
      <c r="E250" s="36" t="s">
        <v>13</v>
      </c>
      <c r="F250" s="36" t="s">
        <v>915</v>
      </c>
      <c r="G250" s="36" t="s">
        <v>916</v>
      </c>
      <c r="H250" s="36">
        <v>1875.86</v>
      </c>
      <c r="I250" s="39">
        <f t="shared" si="8"/>
        <v>300.13759999999996</v>
      </c>
      <c r="J250" s="39"/>
      <c r="K250" s="39">
        <f t="shared" si="9"/>
        <v>2175.9975999999997</v>
      </c>
      <c r="L250" s="36"/>
      <c r="M250" s="36" t="s">
        <v>663</v>
      </c>
      <c r="N250" s="36"/>
    </row>
    <row r="251" spans="1:14" x14ac:dyDescent="0.2">
      <c r="A251" s="36" t="s">
        <v>12</v>
      </c>
      <c r="B251" s="37">
        <v>40154</v>
      </c>
      <c r="C251" s="38">
        <v>2009102268</v>
      </c>
      <c r="D251" s="36" t="s">
        <v>14</v>
      </c>
      <c r="E251" s="36" t="s">
        <v>13</v>
      </c>
      <c r="F251" s="36" t="s">
        <v>246</v>
      </c>
      <c r="G251" s="36" t="s">
        <v>247</v>
      </c>
      <c r="H251" s="36">
        <v>1479.56</v>
      </c>
      <c r="I251" s="39">
        <f t="shared" si="8"/>
        <v>236.7296</v>
      </c>
      <c r="J251" s="39"/>
      <c r="K251" s="39">
        <f t="shared" si="9"/>
        <v>1716.2896000000001</v>
      </c>
      <c r="L251" s="36"/>
      <c r="M251" s="36" t="s">
        <v>663</v>
      </c>
      <c r="N251" s="36"/>
    </row>
    <row r="252" spans="1:14" x14ac:dyDescent="0.2">
      <c r="A252" s="36" t="s">
        <v>12</v>
      </c>
      <c r="B252" s="37">
        <v>40154</v>
      </c>
      <c r="C252" s="38">
        <v>2009102269</v>
      </c>
      <c r="D252" s="36" t="s">
        <v>14</v>
      </c>
      <c r="E252" s="36" t="s">
        <v>13</v>
      </c>
      <c r="F252" s="36" t="s">
        <v>838</v>
      </c>
      <c r="G252" s="36" t="s">
        <v>839</v>
      </c>
      <c r="H252" s="36">
        <v>7194.63</v>
      </c>
      <c r="I252" s="39">
        <f t="shared" si="8"/>
        <v>1151.1408000000001</v>
      </c>
      <c r="J252" s="39"/>
      <c r="K252" s="39">
        <f t="shared" si="9"/>
        <v>8345.7708000000002</v>
      </c>
      <c r="L252" s="36"/>
      <c r="M252" s="36" t="s">
        <v>663</v>
      </c>
      <c r="N252" s="36"/>
    </row>
    <row r="253" spans="1:14" x14ac:dyDescent="0.2">
      <c r="A253" s="36" t="s">
        <v>12</v>
      </c>
      <c r="B253" s="37">
        <v>40100</v>
      </c>
      <c r="C253" s="38">
        <v>2009262090</v>
      </c>
      <c r="D253" s="36" t="s">
        <v>17</v>
      </c>
      <c r="E253" s="36" t="s">
        <v>18</v>
      </c>
      <c r="F253" s="36" t="s">
        <v>917</v>
      </c>
      <c r="G253" s="36" t="s">
        <v>685</v>
      </c>
      <c r="H253" s="36">
        <v>1620.69</v>
      </c>
      <c r="I253" s="39">
        <f t="shared" si="8"/>
        <v>259.31040000000002</v>
      </c>
      <c r="J253" s="36"/>
      <c r="K253" s="39">
        <f t="shared" si="9"/>
        <v>1880.0004000000001</v>
      </c>
      <c r="L253" s="36"/>
      <c r="M253" s="36" t="s">
        <v>663</v>
      </c>
      <c r="N253" s="36"/>
    </row>
    <row r="254" spans="1:14" x14ac:dyDescent="0.2">
      <c r="A254" s="36" t="s">
        <v>12</v>
      </c>
      <c r="B254" s="37">
        <v>40100</v>
      </c>
      <c r="C254" s="38">
        <v>2009262091</v>
      </c>
      <c r="D254" s="36" t="s">
        <v>17</v>
      </c>
      <c r="E254" s="36" t="s">
        <v>18</v>
      </c>
      <c r="F254" s="36" t="s">
        <v>917</v>
      </c>
      <c r="G254" s="36" t="s">
        <v>861</v>
      </c>
      <c r="H254" s="36">
        <v>1620.69</v>
      </c>
      <c r="I254" s="39">
        <f t="shared" si="8"/>
        <v>259.31040000000002</v>
      </c>
      <c r="J254" s="36"/>
      <c r="K254" s="39">
        <f t="shared" si="9"/>
        <v>1880.0004000000001</v>
      </c>
      <c r="L254" s="36"/>
      <c r="M254" s="36" t="s">
        <v>663</v>
      </c>
      <c r="N254" s="36"/>
    </row>
    <row r="255" spans="1:14" x14ac:dyDescent="0.2">
      <c r="A255" s="36" t="s">
        <v>12</v>
      </c>
      <c r="B255" s="37">
        <v>40134</v>
      </c>
      <c r="C255" s="38">
        <v>2009288733</v>
      </c>
      <c r="D255" s="36" t="s">
        <v>17</v>
      </c>
      <c r="E255" s="36" t="s">
        <v>18</v>
      </c>
      <c r="F255" s="36" t="s">
        <v>246</v>
      </c>
      <c r="G255" s="36" t="s">
        <v>918</v>
      </c>
      <c r="H255" s="36">
        <v>3517.24</v>
      </c>
      <c r="I255" s="39">
        <f t="shared" si="8"/>
        <v>562.75839999999994</v>
      </c>
      <c r="J255" s="36"/>
      <c r="K255" s="39">
        <f t="shared" si="9"/>
        <v>4079.9983999999995</v>
      </c>
      <c r="L255" s="36"/>
      <c r="M255" s="36" t="s">
        <v>663</v>
      </c>
      <c r="N255" s="36"/>
    </row>
    <row r="256" spans="1:14" x14ac:dyDescent="0.2">
      <c r="A256" s="36" t="s">
        <v>12</v>
      </c>
      <c r="B256" s="37">
        <v>40134</v>
      </c>
      <c r="C256" s="38">
        <v>2009288697</v>
      </c>
      <c r="D256" s="36" t="s">
        <v>17</v>
      </c>
      <c r="E256" s="36" t="s">
        <v>18</v>
      </c>
      <c r="F256" s="36" t="s">
        <v>246</v>
      </c>
      <c r="G256" s="36" t="s">
        <v>919</v>
      </c>
      <c r="H256" s="36">
        <v>3689.66</v>
      </c>
      <c r="I256" s="39">
        <f t="shared" si="8"/>
        <v>590.34559999999999</v>
      </c>
      <c r="J256" s="36"/>
      <c r="K256" s="39">
        <f t="shared" si="9"/>
        <v>4280.0055999999995</v>
      </c>
      <c r="L256" s="36"/>
      <c r="M256" s="36" t="s">
        <v>663</v>
      </c>
      <c r="N256" s="36"/>
    </row>
    <row r="257" spans="1:17" x14ac:dyDescent="0.2">
      <c r="A257" s="36" t="s">
        <v>12</v>
      </c>
      <c r="B257" s="37">
        <v>40150</v>
      </c>
      <c r="C257" s="38">
        <v>2009313503</v>
      </c>
      <c r="D257" s="36" t="s">
        <v>17</v>
      </c>
      <c r="E257" s="36" t="s">
        <v>18</v>
      </c>
      <c r="F257" s="36" t="s">
        <v>920</v>
      </c>
      <c r="G257" s="36" t="s">
        <v>921</v>
      </c>
      <c r="H257" s="36">
        <v>2741.38</v>
      </c>
      <c r="I257" s="39">
        <f t="shared" si="8"/>
        <v>438.62080000000003</v>
      </c>
      <c r="J257" s="36"/>
      <c r="K257" s="39">
        <f t="shared" si="9"/>
        <v>3180.0008000000003</v>
      </c>
      <c r="L257" s="36"/>
      <c r="M257" s="36" t="s">
        <v>663</v>
      </c>
      <c r="N257" s="36"/>
    </row>
    <row r="258" spans="1:17" x14ac:dyDescent="0.2">
      <c r="A258" s="36" t="s">
        <v>12</v>
      </c>
      <c r="B258" s="37">
        <v>40156</v>
      </c>
      <c r="C258" s="56" t="s">
        <v>922</v>
      </c>
      <c r="D258" s="36" t="s">
        <v>23</v>
      </c>
      <c r="E258" s="36" t="s">
        <v>24</v>
      </c>
      <c r="F258" s="36" t="s">
        <v>923</v>
      </c>
      <c r="G258" s="36" t="s">
        <v>924</v>
      </c>
      <c r="H258" s="36">
        <v>3534.48</v>
      </c>
      <c r="I258" s="39">
        <f t="shared" si="8"/>
        <v>565.51679999999999</v>
      </c>
      <c r="J258" s="36"/>
      <c r="K258" s="39">
        <f t="shared" si="9"/>
        <v>4099.9967999999999</v>
      </c>
      <c r="L258" s="36"/>
      <c r="M258" s="36" t="s">
        <v>663</v>
      </c>
      <c r="N258" s="36"/>
    </row>
    <row r="259" spans="1:17" x14ac:dyDescent="0.2">
      <c r="A259" s="36" t="s">
        <v>12</v>
      </c>
      <c r="B259" s="37">
        <v>40122</v>
      </c>
      <c r="C259" s="38" t="s">
        <v>925</v>
      </c>
      <c r="D259" s="36" t="s">
        <v>25</v>
      </c>
      <c r="E259" s="36" t="s">
        <v>26</v>
      </c>
      <c r="F259" s="36" t="s">
        <v>809</v>
      </c>
      <c r="G259" s="36" t="s">
        <v>810</v>
      </c>
      <c r="H259" s="36">
        <v>3017.24</v>
      </c>
      <c r="I259" s="39">
        <f t="shared" si="8"/>
        <v>482.75839999999999</v>
      </c>
      <c r="J259" s="36"/>
      <c r="K259" s="39">
        <f t="shared" si="9"/>
        <v>3499.9983999999999</v>
      </c>
      <c r="L259" s="36"/>
      <c r="M259" s="36" t="s">
        <v>663</v>
      </c>
      <c r="N259" s="36"/>
    </row>
    <row r="260" spans="1:17" x14ac:dyDescent="0.2">
      <c r="A260" s="36" t="s">
        <v>12</v>
      </c>
      <c r="B260" s="37">
        <v>40119</v>
      </c>
      <c r="C260" s="38" t="s">
        <v>926</v>
      </c>
      <c r="D260" s="36" t="s">
        <v>25</v>
      </c>
      <c r="E260" s="36" t="s">
        <v>26</v>
      </c>
      <c r="F260" s="36" t="s">
        <v>381</v>
      </c>
      <c r="G260" s="36" t="s">
        <v>927</v>
      </c>
      <c r="H260" s="36">
        <v>3275.86</v>
      </c>
      <c r="I260" s="39">
        <f t="shared" si="8"/>
        <v>524.13760000000002</v>
      </c>
      <c r="J260" s="36"/>
      <c r="K260" s="39">
        <f t="shared" si="9"/>
        <v>3799.9976000000001</v>
      </c>
      <c r="L260" s="36"/>
      <c r="M260" s="36" t="s">
        <v>663</v>
      </c>
      <c r="N260" s="36"/>
    </row>
    <row r="261" spans="1:17" x14ac:dyDescent="0.2">
      <c r="A261" s="36" t="s">
        <v>12</v>
      </c>
      <c r="B261" s="37">
        <v>40148</v>
      </c>
      <c r="C261" s="38" t="s">
        <v>928</v>
      </c>
      <c r="D261" s="36" t="s">
        <v>25</v>
      </c>
      <c r="E261" s="36" t="s">
        <v>26</v>
      </c>
      <c r="F261" s="36" t="s">
        <v>929</v>
      </c>
      <c r="G261" s="36" t="s">
        <v>193</v>
      </c>
      <c r="H261" s="36">
        <v>4224.1400000000003</v>
      </c>
      <c r="I261" s="39">
        <f t="shared" si="8"/>
        <v>675.86240000000009</v>
      </c>
      <c r="J261" s="36"/>
      <c r="K261" s="39">
        <f t="shared" si="9"/>
        <v>4900.0024000000003</v>
      </c>
      <c r="L261" s="36"/>
      <c r="M261" s="36" t="s">
        <v>663</v>
      </c>
      <c r="N261" s="36"/>
    </row>
    <row r="262" spans="1:17" x14ac:dyDescent="0.2">
      <c r="A262" s="36" t="s">
        <v>930</v>
      </c>
      <c r="B262" s="37">
        <v>40086</v>
      </c>
      <c r="C262" s="38">
        <v>2490</v>
      </c>
      <c r="D262" s="36" t="s">
        <v>931</v>
      </c>
      <c r="E262" s="36" t="s">
        <v>932</v>
      </c>
      <c r="F262" s="36" t="s">
        <v>930</v>
      </c>
      <c r="G262" s="36"/>
      <c r="H262" s="36">
        <v>20901.63</v>
      </c>
      <c r="I262" s="36">
        <f t="shared" si="8"/>
        <v>3344.2608</v>
      </c>
      <c r="J262" s="36"/>
      <c r="K262" s="39">
        <f t="shared" si="9"/>
        <v>24245.890800000001</v>
      </c>
      <c r="L262" s="36"/>
      <c r="M262" s="36" t="s">
        <v>663</v>
      </c>
      <c r="N262" s="36"/>
    </row>
    <row r="263" spans="1:17" x14ac:dyDescent="0.2">
      <c r="A263" s="36" t="s">
        <v>930</v>
      </c>
      <c r="B263" s="37">
        <v>40117</v>
      </c>
      <c r="C263" s="38">
        <v>2632</v>
      </c>
      <c r="D263" s="36" t="s">
        <v>931</v>
      </c>
      <c r="E263" s="36" t="s">
        <v>932</v>
      </c>
      <c r="F263" s="36" t="s">
        <v>930</v>
      </c>
      <c r="G263" s="36"/>
      <c r="H263" s="36">
        <v>65504.91</v>
      </c>
      <c r="I263" s="36">
        <f>H263*0.16</f>
        <v>10480.785600000001</v>
      </c>
      <c r="J263" s="36"/>
      <c r="K263" s="39">
        <f t="shared" si="9"/>
        <v>75985.695600000006</v>
      </c>
      <c r="L263" s="36"/>
      <c r="M263" s="36" t="s">
        <v>663</v>
      </c>
      <c r="N263" s="36"/>
    </row>
    <row r="264" spans="1:17" x14ac:dyDescent="0.2">
      <c r="A264" s="36" t="s">
        <v>930</v>
      </c>
      <c r="B264" s="37">
        <v>40177</v>
      </c>
      <c r="C264" s="38">
        <v>2009000032</v>
      </c>
      <c r="D264" s="36" t="s">
        <v>933</v>
      </c>
      <c r="E264" s="36" t="s">
        <v>934</v>
      </c>
      <c r="F264" s="36" t="s">
        <v>930</v>
      </c>
      <c r="G264" s="36"/>
      <c r="H264" s="36">
        <v>32706.9</v>
      </c>
      <c r="I264" s="36">
        <f t="shared" si="8"/>
        <v>5233.1040000000003</v>
      </c>
      <c r="J264" s="36"/>
      <c r="K264" s="39">
        <f t="shared" si="9"/>
        <v>37940.004000000001</v>
      </c>
      <c r="L264" s="36"/>
      <c r="M264" s="36" t="s">
        <v>663</v>
      </c>
      <c r="N264" s="36"/>
    </row>
    <row r="265" spans="1:17" x14ac:dyDescent="0.2">
      <c r="A265" s="36" t="s">
        <v>930</v>
      </c>
      <c r="B265" s="37">
        <v>40133</v>
      </c>
      <c r="C265" s="38">
        <v>471</v>
      </c>
      <c r="D265" s="36" t="s">
        <v>935</v>
      </c>
      <c r="E265" s="36" t="s">
        <v>936</v>
      </c>
      <c r="F265" s="36" t="s">
        <v>930</v>
      </c>
      <c r="G265" s="36"/>
      <c r="H265" s="36">
        <v>43103.45</v>
      </c>
      <c r="I265" s="36">
        <f t="shared" si="8"/>
        <v>6896.5519999999997</v>
      </c>
      <c r="J265" s="36"/>
      <c r="K265" s="39">
        <f t="shared" si="9"/>
        <v>50000.001999999993</v>
      </c>
      <c r="L265" s="36"/>
      <c r="M265" s="36" t="s">
        <v>663</v>
      </c>
      <c r="N265" s="36"/>
    </row>
    <row r="266" spans="1:17" ht="15" x14ac:dyDescent="0.25">
      <c r="A266" s="36" t="s">
        <v>930</v>
      </c>
      <c r="B266" s="37">
        <v>40081</v>
      </c>
      <c r="C266" s="38">
        <v>98</v>
      </c>
      <c r="D266" s="57" t="s">
        <v>937</v>
      </c>
      <c r="E266" s="57" t="s">
        <v>938</v>
      </c>
      <c r="F266" s="58" t="s">
        <v>930</v>
      </c>
      <c r="G266" s="36"/>
      <c r="H266" s="36">
        <v>3448</v>
      </c>
      <c r="I266" s="36">
        <f t="shared" si="8"/>
        <v>551.68000000000006</v>
      </c>
      <c r="J266" s="36"/>
      <c r="K266" s="39">
        <f t="shared" si="9"/>
        <v>3999.6800000000003</v>
      </c>
      <c r="L266" s="36"/>
      <c r="M266" s="36" t="s">
        <v>663</v>
      </c>
      <c r="N266" s="36"/>
    </row>
    <row r="267" spans="1:17" ht="15" x14ac:dyDescent="0.25">
      <c r="A267" s="36" t="s">
        <v>930</v>
      </c>
      <c r="B267" s="37">
        <v>40092</v>
      </c>
      <c r="C267" s="38">
        <v>106</v>
      </c>
      <c r="D267" s="57" t="s">
        <v>937</v>
      </c>
      <c r="E267" s="57" t="s">
        <v>938</v>
      </c>
      <c r="F267" s="58" t="s">
        <v>930</v>
      </c>
      <c r="G267" s="36"/>
      <c r="H267" s="36">
        <v>3642</v>
      </c>
      <c r="I267" s="36">
        <f t="shared" si="8"/>
        <v>582.72</v>
      </c>
      <c r="J267" s="36"/>
      <c r="K267" s="39">
        <f t="shared" si="9"/>
        <v>4224.72</v>
      </c>
      <c r="L267" s="36"/>
      <c r="M267" s="36" t="s">
        <v>663</v>
      </c>
      <c r="N267" s="36"/>
    </row>
    <row r="268" spans="1:17" ht="15" x14ac:dyDescent="0.25">
      <c r="A268" s="36" t="s">
        <v>930</v>
      </c>
      <c r="B268" s="37">
        <v>40162</v>
      </c>
      <c r="C268" s="38">
        <v>148</v>
      </c>
      <c r="D268" s="57" t="s">
        <v>937</v>
      </c>
      <c r="E268" s="57" t="s">
        <v>938</v>
      </c>
      <c r="F268" s="58" t="s">
        <v>930</v>
      </c>
      <c r="G268" s="36"/>
      <c r="H268" s="36">
        <v>3642</v>
      </c>
      <c r="I268" s="36">
        <f t="shared" si="8"/>
        <v>582.72</v>
      </c>
      <c r="J268" s="36"/>
      <c r="K268" s="39">
        <f t="shared" si="9"/>
        <v>4224.72</v>
      </c>
      <c r="L268" s="36"/>
      <c r="M268" s="36" t="s">
        <v>663</v>
      </c>
      <c r="N268" s="36"/>
    </row>
    <row r="269" spans="1:17" x14ac:dyDescent="0.2">
      <c r="A269" s="36" t="s">
        <v>408</v>
      </c>
      <c r="B269" s="37">
        <v>40087</v>
      </c>
      <c r="C269" s="38" t="s">
        <v>151</v>
      </c>
      <c r="D269" s="36" t="s">
        <v>939</v>
      </c>
      <c r="E269" s="36" t="s">
        <v>940</v>
      </c>
      <c r="F269" s="36" t="s">
        <v>390</v>
      </c>
      <c r="G269" s="36" t="s">
        <v>391</v>
      </c>
      <c r="H269" s="36">
        <v>3965.52</v>
      </c>
      <c r="I269" s="36">
        <f t="shared" si="8"/>
        <v>634.48320000000001</v>
      </c>
      <c r="J269" s="36"/>
      <c r="K269" s="39">
        <f t="shared" si="9"/>
        <v>4600.0032000000001</v>
      </c>
      <c r="L269" s="37">
        <v>40014</v>
      </c>
      <c r="M269" s="36" t="s">
        <v>663</v>
      </c>
      <c r="N269" s="36"/>
    </row>
    <row r="270" spans="1:17" x14ac:dyDescent="0.2">
      <c r="A270" s="36" t="s">
        <v>649</v>
      </c>
      <c r="B270" s="59">
        <v>40101</v>
      </c>
      <c r="C270" s="60" t="s">
        <v>941</v>
      </c>
      <c r="D270" s="36" t="s">
        <v>651</v>
      </c>
      <c r="E270" s="36" t="s">
        <v>652</v>
      </c>
      <c r="F270" s="36" t="s">
        <v>649</v>
      </c>
      <c r="G270" s="61">
        <v>-830.95</v>
      </c>
      <c r="H270" s="61">
        <v>54565.73</v>
      </c>
      <c r="I270" s="61">
        <v>8730.52</v>
      </c>
      <c r="J270" s="61">
        <v>-2769.83</v>
      </c>
      <c r="K270" s="61">
        <v>60526.42</v>
      </c>
      <c r="L270" s="61"/>
      <c r="M270" s="36" t="s">
        <v>663</v>
      </c>
      <c r="N270" s="61"/>
      <c r="O270" s="29"/>
      <c r="P270" s="29"/>
      <c r="Q270" s="29"/>
    </row>
    <row r="271" spans="1:17" x14ac:dyDescent="0.2">
      <c r="A271" s="36" t="s">
        <v>649</v>
      </c>
      <c r="B271" s="59">
        <v>40132</v>
      </c>
      <c r="C271" s="60" t="s">
        <v>942</v>
      </c>
      <c r="D271" s="36" t="s">
        <v>651</v>
      </c>
      <c r="E271" s="36" t="s">
        <v>652</v>
      </c>
      <c r="F271" s="36" t="s">
        <v>649</v>
      </c>
      <c r="G271" s="61">
        <v>-974.16</v>
      </c>
      <c r="H271" s="61">
        <v>63969.82</v>
      </c>
      <c r="I271" s="61">
        <v>10235.17</v>
      </c>
      <c r="J271" s="61">
        <v>-3247.2</v>
      </c>
      <c r="K271" s="61">
        <v>70957.789999999994</v>
      </c>
      <c r="L271" s="61"/>
      <c r="M271" s="36" t="s">
        <v>663</v>
      </c>
      <c r="N271" s="61"/>
      <c r="O271" s="29"/>
      <c r="P271" s="29"/>
      <c r="Q271" s="29"/>
    </row>
    <row r="272" spans="1:17" x14ac:dyDescent="0.2">
      <c r="A272" s="36" t="s">
        <v>649</v>
      </c>
      <c r="B272" s="59">
        <v>40162</v>
      </c>
      <c r="C272" s="62" t="s">
        <v>943</v>
      </c>
      <c r="D272" s="36" t="s">
        <v>651</v>
      </c>
      <c r="E272" s="36" t="s">
        <v>652</v>
      </c>
      <c r="F272" s="36" t="s">
        <v>649</v>
      </c>
      <c r="G272" s="61">
        <v>-966.44</v>
      </c>
      <c r="H272" s="61">
        <v>63462.720000000001</v>
      </c>
      <c r="I272" s="61">
        <v>10154.030000000001</v>
      </c>
      <c r="J272" s="61">
        <v>-3221.46</v>
      </c>
      <c r="K272" s="61">
        <v>70395.289999999994</v>
      </c>
      <c r="L272" s="61"/>
      <c r="M272" s="36" t="s">
        <v>663</v>
      </c>
      <c r="N272" s="61"/>
      <c r="O272" s="29"/>
      <c r="P272" s="29"/>
      <c r="Q272" s="29"/>
    </row>
    <row r="273" spans="1:14" x14ac:dyDescent="0.2">
      <c r="A273" s="36" t="s">
        <v>12</v>
      </c>
      <c r="B273" s="37">
        <v>40113</v>
      </c>
      <c r="C273" s="38">
        <v>9000110</v>
      </c>
      <c r="D273" s="36" t="s">
        <v>28</v>
      </c>
      <c r="E273" s="36" t="s">
        <v>29</v>
      </c>
      <c r="F273" s="48" t="s">
        <v>770</v>
      </c>
      <c r="G273" s="48" t="s">
        <v>847</v>
      </c>
      <c r="H273" s="36">
        <v>16810.349999999999</v>
      </c>
      <c r="I273" s="39">
        <f>H273*0.16</f>
        <v>2689.6559999999999</v>
      </c>
      <c r="J273" s="39"/>
      <c r="K273" s="39">
        <f>+H273+I273</f>
        <v>19500.005999999998</v>
      </c>
      <c r="L273" s="36"/>
      <c r="M273" s="36" t="s">
        <v>663</v>
      </c>
      <c r="N273" s="36" t="s">
        <v>30</v>
      </c>
    </row>
    <row r="274" spans="1:14" x14ac:dyDescent="0.2">
      <c r="A274" s="36" t="s">
        <v>12</v>
      </c>
      <c r="B274" s="37">
        <v>40122</v>
      </c>
      <c r="C274" s="38" t="s">
        <v>944</v>
      </c>
      <c r="D274" s="36" t="s">
        <v>945</v>
      </c>
      <c r="E274" s="36" t="s">
        <v>946</v>
      </c>
      <c r="F274" s="48" t="s">
        <v>787</v>
      </c>
      <c r="G274" s="48" t="s">
        <v>788</v>
      </c>
      <c r="H274" s="36">
        <v>3000</v>
      </c>
      <c r="I274" s="36"/>
      <c r="J274" s="36"/>
      <c r="K274" s="36">
        <v>3000</v>
      </c>
      <c r="L274" s="36"/>
      <c r="M274" s="36" t="s">
        <v>663</v>
      </c>
      <c r="N274" s="36" t="s">
        <v>30</v>
      </c>
    </row>
    <row r="275" spans="1:14" x14ac:dyDescent="0.2">
      <c r="A275" s="36" t="s">
        <v>930</v>
      </c>
      <c r="B275" s="37">
        <v>40147</v>
      </c>
      <c r="C275" s="38">
        <v>2772</v>
      </c>
      <c r="D275" s="36" t="s">
        <v>931</v>
      </c>
      <c r="E275" s="36" t="s">
        <v>932</v>
      </c>
      <c r="F275" s="36" t="s">
        <v>930</v>
      </c>
      <c r="G275" s="36"/>
      <c r="H275" s="36">
        <v>12.32</v>
      </c>
      <c r="I275" s="36">
        <f>H275*0.16</f>
        <v>1.9712000000000001</v>
      </c>
      <c r="J275" s="36"/>
      <c r="K275" s="39">
        <f>+H275+I275</f>
        <v>14.2912</v>
      </c>
      <c r="L275" s="36"/>
      <c r="M275" s="36" t="s">
        <v>663</v>
      </c>
      <c r="N275" s="36" t="s">
        <v>30</v>
      </c>
    </row>
    <row r="276" spans="1:14" x14ac:dyDescent="0.2">
      <c r="A276" s="36" t="s">
        <v>408</v>
      </c>
      <c r="B276" s="37">
        <v>40177</v>
      </c>
      <c r="C276" s="38" t="s">
        <v>947</v>
      </c>
      <c r="D276" s="36" t="s">
        <v>948</v>
      </c>
      <c r="E276" s="36" t="s">
        <v>949</v>
      </c>
      <c r="F276" s="36" t="s">
        <v>355</v>
      </c>
      <c r="G276" s="36" t="s">
        <v>888</v>
      </c>
      <c r="H276" s="36">
        <v>5172.5</v>
      </c>
      <c r="I276" s="36">
        <f>H276*0.16</f>
        <v>827.6</v>
      </c>
      <c r="J276" s="36"/>
      <c r="K276" s="39">
        <f>+H276+I276</f>
        <v>6000.1</v>
      </c>
      <c r="L276" s="36" t="s">
        <v>950</v>
      </c>
      <c r="M276" s="36" t="s">
        <v>663</v>
      </c>
      <c r="N276" s="36" t="s">
        <v>30</v>
      </c>
    </row>
  </sheetData>
  <autoFilter ref="A1:Q276" xr:uid="{00000000-0009-0000-0000-00000B000000}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1"/>
  <dimension ref="A1:N8"/>
  <sheetViews>
    <sheetView workbookViewId="0">
      <selection activeCell="D36" sqref="D36"/>
    </sheetView>
  </sheetViews>
  <sheetFormatPr baseColWidth="10" defaultRowHeight="15" x14ac:dyDescent="0.25"/>
  <cols>
    <col min="2" max="2" width="11.85546875" bestFit="1" customWidth="1"/>
    <col min="3" max="3" width="12.5703125" bestFit="1" customWidth="1"/>
    <col min="4" max="4" width="40" bestFit="1" customWidth="1"/>
    <col min="5" max="5" width="14" customWidth="1"/>
    <col min="6" max="6" width="35.5703125" bestFit="1" customWidth="1"/>
  </cols>
  <sheetData>
    <row r="1" spans="1:14" x14ac:dyDescent="0.25">
      <c r="A1" s="7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2" t="s">
        <v>5</v>
      </c>
      <c r="G1" s="12" t="s">
        <v>27</v>
      </c>
      <c r="H1" s="12" t="s">
        <v>7</v>
      </c>
      <c r="I1" s="12" t="s">
        <v>8</v>
      </c>
      <c r="J1" s="12" t="s">
        <v>22</v>
      </c>
      <c r="K1" s="12" t="s">
        <v>9</v>
      </c>
      <c r="L1" s="14" t="s">
        <v>10</v>
      </c>
      <c r="M1" s="5" t="s">
        <v>11</v>
      </c>
      <c r="N1" s="1" t="s">
        <v>30</v>
      </c>
    </row>
    <row r="2" spans="1:14" x14ac:dyDescent="0.25">
      <c r="A2" s="1" t="s">
        <v>12</v>
      </c>
      <c r="B2" s="4"/>
      <c r="C2" s="8"/>
      <c r="D2" s="1" t="s">
        <v>17</v>
      </c>
      <c r="E2" s="1" t="s">
        <v>18</v>
      </c>
      <c r="F2" s="1"/>
      <c r="G2" s="1"/>
      <c r="H2" s="1"/>
      <c r="I2" s="2"/>
      <c r="J2" s="1"/>
      <c r="K2" s="2"/>
      <c r="L2" s="1"/>
      <c r="M2" s="1"/>
      <c r="N2" s="1"/>
    </row>
    <row r="3" spans="1:14" x14ac:dyDescent="0.25">
      <c r="A3" s="1" t="s">
        <v>12</v>
      </c>
      <c r="B3" s="4"/>
      <c r="C3" s="8"/>
      <c r="D3" s="1" t="s">
        <v>19</v>
      </c>
      <c r="E3" s="1" t="s">
        <v>20</v>
      </c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 t="s">
        <v>12</v>
      </c>
      <c r="B4" s="4"/>
      <c r="C4" s="8"/>
      <c r="D4" s="1" t="s">
        <v>25</v>
      </c>
      <c r="E4" s="1" t="s">
        <v>26</v>
      </c>
      <c r="F4" s="1"/>
      <c r="G4" s="1"/>
      <c r="H4" s="1"/>
      <c r="I4" s="2"/>
      <c r="J4" s="1"/>
      <c r="K4" s="2"/>
      <c r="L4" s="1"/>
      <c r="M4" s="1"/>
      <c r="N4" s="1"/>
    </row>
    <row r="5" spans="1:14" x14ac:dyDescent="0.25">
      <c r="A5" s="1" t="s">
        <v>12</v>
      </c>
      <c r="B5" s="4"/>
      <c r="C5" s="8"/>
      <c r="D5" s="1" t="s">
        <v>28</v>
      </c>
      <c r="E5" s="1" t="s">
        <v>29</v>
      </c>
      <c r="F5" s="3"/>
      <c r="G5" s="3"/>
      <c r="H5" s="1"/>
      <c r="I5" s="2"/>
      <c r="J5" s="2"/>
      <c r="K5" s="2"/>
      <c r="L5" s="1"/>
      <c r="M5" s="1"/>
      <c r="N5" s="1" t="s">
        <v>30</v>
      </c>
    </row>
    <row r="6" spans="1:14" x14ac:dyDescent="0.25">
      <c r="A6" s="1" t="s">
        <v>12</v>
      </c>
      <c r="B6" s="4"/>
      <c r="C6" s="9"/>
      <c r="D6" s="1" t="s">
        <v>23</v>
      </c>
      <c r="E6" s="1" t="s">
        <v>24</v>
      </c>
      <c r="F6" s="1"/>
      <c r="G6" s="1"/>
      <c r="H6" s="1"/>
      <c r="I6" s="2"/>
      <c r="J6" s="1"/>
      <c r="K6" s="2"/>
      <c r="L6" s="1"/>
      <c r="M6" s="1"/>
      <c r="N6" s="1"/>
    </row>
    <row r="7" spans="1:14" x14ac:dyDescent="0.25">
      <c r="A7" s="1" t="s">
        <v>12</v>
      </c>
      <c r="B7" s="4"/>
      <c r="C7" s="8"/>
      <c r="D7" s="1" t="s">
        <v>14</v>
      </c>
      <c r="E7" s="1" t="s">
        <v>13</v>
      </c>
      <c r="F7" s="1"/>
      <c r="G7" s="1"/>
      <c r="H7" s="1"/>
      <c r="I7" s="2"/>
      <c r="J7" s="1"/>
      <c r="K7" s="2"/>
      <c r="L7" s="1"/>
      <c r="M7" s="1"/>
      <c r="N7" s="1"/>
    </row>
    <row r="8" spans="1:14" x14ac:dyDescent="0.25">
      <c r="A8" s="1" t="s">
        <v>12</v>
      </c>
      <c r="B8" s="4"/>
      <c r="C8" s="8"/>
      <c r="D8" s="1" t="s">
        <v>15</v>
      </c>
      <c r="E8" s="1" t="s">
        <v>16</v>
      </c>
      <c r="F8" s="1"/>
      <c r="G8" s="1"/>
      <c r="H8" s="2"/>
      <c r="I8" s="2"/>
      <c r="J8" s="1"/>
      <c r="K8" s="1"/>
      <c r="L8" s="1"/>
      <c r="M8" s="1"/>
      <c r="N8" s="1"/>
    </row>
  </sheetData>
  <autoFilter ref="A1:N8" xr:uid="{00000000-0009-0000-0000-00000C000000}">
    <sortState xmlns:xlrd2="http://schemas.microsoft.com/office/spreadsheetml/2017/richdata2" ref="A2:N152">
      <sortCondition ref="D2:D152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2"/>
  <dimension ref="A1:L18"/>
  <sheetViews>
    <sheetView workbookViewId="0">
      <selection activeCell="D20" sqref="D20"/>
    </sheetView>
  </sheetViews>
  <sheetFormatPr baseColWidth="10" defaultRowHeight="15" x14ac:dyDescent="0.25"/>
  <sheetData>
    <row r="1" spans="1:12" x14ac:dyDescent="0.25">
      <c r="A1" s="83"/>
      <c r="B1" s="83"/>
      <c r="C1" s="83"/>
      <c r="D1" s="84" t="s">
        <v>1284</v>
      </c>
      <c r="E1" s="83"/>
      <c r="F1" s="83"/>
      <c r="G1" s="83"/>
      <c r="H1" s="83"/>
      <c r="I1" s="83"/>
      <c r="J1" s="83"/>
      <c r="K1" s="83"/>
      <c r="L1" s="83"/>
    </row>
    <row r="2" spans="1:12" x14ac:dyDescent="0.25">
      <c r="A2" s="85" t="s">
        <v>0</v>
      </c>
      <c r="B2" s="86" t="s">
        <v>1</v>
      </c>
      <c r="C2" s="85" t="s">
        <v>2</v>
      </c>
      <c r="D2" s="85" t="s">
        <v>3</v>
      </c>
      <c r="E2" s="85" t="s">
        <v>4</v>
      </c>
      <c r="F2" s="85" t="s">
        <v>5</v>
      </c>
      <c r="G2" s="85" t="s">
        <v>6</v>
      </c>
      <c r="H2" s="85" t="s">
        <v>7</v>
      </c>
      <c r="I2" s="85" t="s">
        <v>34</v>
      </c>
      <c r="J2" s="85" t="s">
        <v>9</v>
      </c>
      <c r="K2" s="83"/>
      <c r="L2" s="83"/>
    </row>
    <row r="3" spans="1:12" x14ac:dyDescent="0.25">
      <c r="A3" s="87" t="s">
        <v>126</v>
      </c>
      <c r="B3" s="88">
        <v>40203</v>
      </c>
      <c r="C3" s="89" t="s">
        <v>203</v>
      </c>
      <c r="D3" s="90" t="s">
        <v>204</v>
      </c>
      <c r="E3" s="91" t="s">
        <v>205</v>
      </c>
      <c r="F3" s="92" t="s">
        <v>206</v>
      </c>
      <c r="G3" s="92" t="s">
        <v>207</v>
      </c>
      <c r="H3" s="87">
        <v>1508.62</v>
      </c>
      <c r="I3" s="93">
        <v>241.3792</v>
      </c>
      <c r="J3" s="93">
        <v>1749.9992</v>
      </c>
      <c r="K3" s="83"/>
      <c r="L3" s="83"/>
    </row>
    <row r="4" spans="1:12" x14ac:dyDescent="0.25">
      <c r="A4" s="87" t="s">
        <v>126</v>
      </c>
      <c r="B4" s="88">
        <v>40259</v>
      </c>
      <c r="C4" s="87" t="s">
        <v>162</v>
      </c>
      <c r="D4" s="90" t="s">
        <v>296</v>
      </c>
      <c r="E4" s="91" t="s">
        <v>297</v>
      </c>
      <c r="F4" s="92" t="s">
        <v>230</v>
      </c>
      <c r="G4" s="92" t="s">
        <v>298</v>
      </c>
      <c r="H4" s="87">
        <v>1508.62</v>
      </c>
      <c r="I4" s="93">
        <v>241.3792</v>
      </c>
      <c r="J4" s="93">
        <v>1749.9992</v>
      </c>
      <c r="K4" s="83"/>
      <c r="L4" s="83"/>
    </row>
    <row r="5" spans="1:12" x14ac:dyDescent="0.25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</row>
    <row r="6" spans="1:12" x14ac:dyDescent="0.25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</row>
    <row r="7" spans="1:12" x14ac:dyDescent="0.25">
      <c r="A7" s="83"/>
      <c r="B7" s="83"/>
      <c r="C7" s="83"/>
      <c r="D7" s="84" t="s">
        <v>1285</v>
      </c>
      <c r="E7" s="83"/>
      <c r="F7" s="83"/>
      <c r="G7" s="83"/>
      <c r="H7" s="83"/>
      <c r="I7" s="83"/>
      <c r="J7" s="83"/>
      <c r="K7" s="83"/>
      <c r="L7" s="83"/>
    </row>
    <row r="8" spans="1:12" x14ac:dyDescent="0.25">
      <c r="A8" s="94" t="s">
        <v>0</v>
      </c>
      <c r="B8" s="95" t="s">
        <v>1</v>
      </c>
      <c r="C8" s="96" t="s">
        <v>2</v>
      </c>
      <c r="D8" s="85" t="s">
        <v>3</v>
      </c>
      <c r="E8" s="97" t="s">
        <v>4</v>
      </c>
      <c r="F8" s="85" t="s">
        <v>5</v>
      </c>
      <c r="G8" s="85" t="s">
        <v>6</v>
      </c>
      <c r="H8" s="85" t="s">
        <v>7</v>
      </c>
      <c r="I8" s="85" t="s">
        <v>34</v>
      </c>
      <c r="J8" s="85" t="s">
        <v>9</v>
      </c>
      <c r="K8" s="83"/>
      <c r="L8" s="83"/>
    </row>
    <row r="9" spans="1:12" ht="22.5" x14ac:dyDescent="0.25">
      <c r="A9" s="98" t="s">
        <v>408</v>
      </c>
      <c r="B9" s="99">
        <v>40311</v>
      </c>
      <c r="C9" s="100" t="s">
        <v>703</v>
      </c>
      <c r="D9" s="94" t="s">
        <v>1118</v>
      </c>
      <c r="E9" s="101" t="s">
        <v>1119</v>
      </c>
      <c r="F9" s="102" t="s">
        <v>1120</v>
      </c>
      <c r="G9" s="102" t="s">
        <v>1121</v>
      </c>
      <c r="H9" s="103">
        <v>2284.4850000000001</v>
      </c>
      <c r="I9" s="103">
        <v>365.51760000000002</v>
      </c>
      <c r="J9" s="103">
        <v>2650.0026000000003</v>
      </c>
      <c r="K9" s="83"/>
      <c r="L9" s="83"/>
    </row>
    <row r="10" spans="1:12" x14ac:dyDescent="0.25">
      <c r="A10" s="98" t="s">
        <v>408</v>
      </c>
      <c r="B10" s="99">
        <v>40330</v>
      </c>
      <c r="C10" s="100" t="s">
        <v>764</v>
      </c>
      <c r="D10" s="94" t="s">
        <v>1165</v>
      </c>
      <c r="E10" s="101" t="s">
        <v>1166</v>
      </c>
      <c r="F10" s="102" t="s">
        <v>1167</v>
      </c>
      <c r="G10" s="102" t="s">
        <v>1168</v>
      </c>
      <c r="H10" s="103">
        <v>1508.62</v>
      </c>
      <c r="I10" s="103">
        <v>241.3792</v>
      </c>
      <c r="J10" s="103">
        <v>1749.9992</v>
      </c>
      <c r="K10" s="83"/>
      <c r="L10" s="83"/>
    </row>
    <row r="11" spans="1:12" x14ac:dyDescent="0.25">
      <c r="A11" s="98" t="s">
        <v>408</v>
      </c>
      <c r="B11" s="104">
        <v>40358</v>
      </c>
      <c r="C11" s="105">
        <v>300</v>
      </c>
      <c r="D11" s="98" t="s">
        <v>1281</v>
      </c>
      <c r="E11" s="98" t="s">
        <v>1282</v>
      </c>
      <c r="F11" s="98" t="s">
        <v>1045</v>
      </c>
      <c r="G11" s="98" t="s">
        <v>1283</v>
      </c>
      <c r="H11" s="103">
        <v>3275.86</v>
      </c>
      <c r="I11" s="103">
        <v>524.13760000000002</v>
      </c>
      <c r="J11" s="103">
        <v>3799.9976000000001</v>
      </c>
      <c r="K11" s="83"/>
      <c r="L11" s="83"/>
    </row>
    <row r="12" spans="1:12" x14ac:dyDescent="0.25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spans="1:12" x14ac:dyDescent="0.25">
      <c r="A13" s="83"/>
      <c r="B13" s="83"/>
      <c r="C13" s="83"/>
      <c r="D13" s="84" t="s">
        <v>1286</v>
      </c>
      <c r="E13" s="84"/>
      <c r="F13" s="83"/>
      <c r="G13" s="83"/>
      <c r="H13" s="83"/>
      <c r="I13" s="83"/>
      <c r="J13" s="83"/>
      <c r="K13" s="83"/>
      <c r="L13" s="83"/>
    </row>
    <row r="14" spans="1:12" x14ac:dyDescent="0.25">
      <c r="A14" s="94" t="s">
        <v>0</v>
      </c>
      <c r="B14" s="95" t="s">
        <v>1</v>
      </c>
      <c r="C14" s="96" t="s">
        <v>2</v>
      </c>
      <c r="D14" s="85" t="s">
        <v>3</v>
      </c>
      <c r="E14" s="97" t="s">
        <v>4</v>
      </c>
      <c r="F14" s="85" t="s">
        <v>5</v>
      </c>
      <c r="G14" s="85" t="s">
        <v>6</v>
      </c>
      <c r="H14" s="85" t="s">
        <v>7</v>
      </c>
      <c r="I14" s="85" t="s">
        <v>34</v>
      </c>
      <c r="J14" s="85" t="s">
        <v>9</v>
      </c>
      <c r="K14" s="106"/>
      <c r="L14" s="83"/>
    </row>
    <row r="15" spans="1:12" x14ac:dyDescent="0.25">
      <c r="A15" s="98" t="s">
        <v>408</v>
      </c>
      <c r="B15" s="99">
        <v>40284</v>
      </c>
      <c r="C15" s="100" t="s">
        <v>633</v>
      </c>
      <c r="D15" s="94" t="s">
        <v>1077</v>
      </c>
      <c r="E15" s="101" t="s">
        <v>1078</v>
      </c>
      <c r="F15" s="102" t="s">
        <v>1079</v>
      </c>
      <c r="G15" s="102" t="s">
        <v>1080</v>
      </c>
      <c r="H15" s="103">
        <v>6200</v>
      </c>
      <c r="I15" s="103"/>
      <c r="J15" s="103">
        <v>6200</v>
      </c>
      <c r="K15" s="98" t="s">
        <v>303</v>
      </c>
      <c r="L15" s="83"/>
    </row>
    <row r="16" spans="1:12" x14ac:dyDescent="0.25">
      <c r="A16" s="98" t="s">
        <v>408</v>
      </c>
      <c r="B16" s="99">
        <v>40312</v>
      </c>
      <c r="C16" s="100" t="s">
        <v>725</v>
      </c>
      <c r="D16" s="94" t="s">
        <v>1136</v>
      </c>
      <c r="E16" s="101" t="s">
        <v>1137</v>
      </c>
      <c r="F16" s="102" t="s">
        <v>1138</v>
      </c>
      <c r="G16" s="102" t="s">
        <v>1139</v>
      </c>
      <c r="H16" s="103">
        <v>3000</v>
      </c>
      <c r="I16" s="103"/>
      <c r="J16" s="103">
        <v>3000</v>
      </c>
      <c r="K16" s="98" t="s">
        <v>303</v>
      </c>
      <c r="L16" s="83"/>
    </row>
    <row r="17" spans="1:12" x14ac:dyDescent="0.25">
      <c r="A17" s="98" t="s">
        <v>408</v>
      </c>
      <c r="B17" s="99">
        <v>40312</v>
      </c>
      <c r="C17" s="100" t="s">
        <v>731</v>
      </c>
      <c r="D17" s="94" t="s">
        <v>1143</v>
      </c>
      <c r="E17" s="101" t="s">
        <v>1144</v>
      </c>
      <c r="F17" s="102" t="s">
        <v>1145</v>
      </c>
      <c r="G17" s="102" t="s">
        <v>1146</v>
      </c>
      <c r="H17" s="103">
        <v>4000</v>
      </c>
      <c r="I17" s="103"/>
      <c r="J17" s="103">
        <v>4000</v>
      </c>
      <c r="K17" s="98" t="s">
        <v>303</v>
      </c>
      <c r="L17" s="83"/>
    </row>
    <row r="18" spans="1:12" x14ac:dyDescent="0.25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3"/>
  <dimension ref="B2:C4"/>
  <sheetViews>
    <sheetView workbookViewId="0">
      <selection activeCell="C6" sqref="C6"/>
    </sheetView>
  </sheetViews>
  <sheetFormatPr baseColWidth="10" defaultRowHeight="15" x14ac:dyDescent="0.25"/>
  <sheetData>
    <row r="2" spans="2:3" x14ac:dyDescent="0.25">
      <c r="B2" t="s">
        <v>3183</v>
      </c>
      <c r="C2">
        <v>503.39</v>
      </c>
    </row>
    <row r="3" spans="2:3" x14ac:dyDescent="0.25">
      <c r="B3" t="s">
        <v>3184</v>
      </c>
      <c r="C3">
        <v>854.24</v>
      </c>
    </row>
    <row r="4" spans="2:3" x14ac:dyDescent="0.25">
      <c r="C4">
        <f>SUM(C1:C3)</f>
        <v>1357.63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6B1E6-7242-4D0B-A32B-737FEA103D74}">
  <dimension ref="A1:B1"/>
  <sheetViews>
    <sheetView workbookViewId="0"/>
  </sheetViews>
  <sheetFormatPr baseColWidth="10" defaultRowHeight="15" x14ac:dyDescent="0.25"/>
  <cols>
    <col min="1" max="1" width="6.7109375" bestFit="1" customWidth="1"/>
    <col min="2" max="2" width="9.85546875" bestFit="1" customWidth="1"/>
  </cols>
  <sheetData>
    <row r="1" spans="1:2" x14ac:dyDescent="0.25">
      <c r="A1" s="233" t="s">
        <v>1</v>
      </c>
      <c r="B1" t="s">
        <v>7099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AD4A5-7509-45F6-B41A-3A7AB33F8FDE}">
  <dimension ref="A1:S1048568"/>
  <sheetViews>
    <sheetView tabSelected="1" workbookViewId="0">
      <pane ySplit="1" topLeftCell="A248" activePane="bottomLeft" state="frozen"/>
      <selection pane="bottomLeft" activeCell="C274" sqref="C274"/>
    </sheetView>
  </sheetViews>
  <sheetFormatPr baseColWidth="10" defaultRowHeight="15" x14ac:dyDescent="0.25"/>
  <cols>
    <col min="1" max="1" width="8.85546875" bestFit="1" customWidth="1"/>
    <col min="2" max="2" width="12.7109375" customWidth="1"/>
    <col min="3" max="3" width="19.5703125" style="200" customWidth="1"/>
    <col min="4" max="4" width="30" customWidth="1"/>
    <col min="5" max="5" width="13.5703125" customWidth="1"/>
    <col min="6" max="6" width="19.42578125" customWidth="1"/>
    <col min="7" max="7" width="11.28515625" bestFit="1" customWidth="1"/>
    <col min="8" max="8" width="9.5703125" customWidth="1"/>
    <col min="9" max="9" width="8.5703125" customWidth="1"/>
    <col min="10" max="10" width="8" bestFit="1" customWidth="1"/>
    <col min="11" max="11" width="11.85546875" style="237" customWidth="1"/>
    <col min="12" max="12" width="18.85546875" customWidth="1"/>
    <col min="13" max="13" width="20.5703125" customWidth="1"/>
    <col min="14" max="14" width="4.7109375" customWidth="1"/>
    <col min="15" max="15" width="4.42578125" customWidth="1"/>
    <col min="16" max="16" width="8.5703125" customWidth="1"/>
    <col min="17" max="17" width="11" customWidth="1"/>
    <col min="18" max="18" width="7.85546875" bestFit="1" customWidth="1"/>
    <col min="19" max="19" width="4" bestFit="1" customWidth="1"/>
  </cols>
  <sheetData>
    <row r="1" spans="1:19" x14ac:dyDescent="0.25">
      <c r="A1" s="228" t="s">
        <v>12</v>
      </c>
      <c r="B1" s="229" t="s">
        <v>1</v>
      </c>
      <c r="C1" s="230" t="s">
        <v>2</v>
      </c>
      <c r="D1" s="228" t="s">
        <v>3</v>
      </c>
      <c r="E1" s="228" t="s">
        <v>4</v>
      </c>
      <c r="F1" s="228" t="s">
        <v>5</v>
      </c>
      <c r="G1" s="228" t="s">
        <v>6</v>
      </c>
      <c r="H1" s="228" t="s">
        <v>7</v>
      </c>
      <c r="I1" s="228" t="s">
        <v>3503</v>
      </c>
      <c r="J1" s="228" t="s">
        <v>1630</v>
      </c>
      <c r="K1" s="234" t="s">
        <v>9</v>
      </c>
      <c r="L1" s="228" t="s">
        <v>3508</v>
      </c>
      <c r="M1" s="228" t="s">
        <v>83</v>
      </c>
      <c r="N1" s="228" t="s">
        <v>85</v>
      </c>
      <c r="O1" s="228" t="s">
        <v>86</v>
      </c>
      <c r="P1" s="228" t="s">
        <v>11</v>
      </c>
      <c r="Q1" s="228" t="s">
        <v>30</v>
      </c>
      <c r="R1" s="228" t="s">
        <v>3784</v>
      </c>
      <c r="S1" s="228">
        <v>347</v>
      </c>
    </row>
    <row r="2" spans="1:19" x14ac:dyDescent="0.25">
      <c r="A2" s="185" t="s">
        <v>12</v>
      </c>
      <c r="B2" s="183">
        <v>43679</v>
      </c>
      <c r="C2" s="199" t="s">
        <v>6125</v>
      </c>
      <c r="D2" s="185" t="s">
        <v>6338</v>
      </c>
      <c r="E2" s="185" t="s">
        <v>4800</v>
      </c>
      <c r="F2" s="185" t="s">
        <v>3210</v>
      </c>
      <c r="G2" s="185" t="s">
        <v>6126</v>
      </c>
      <c r="H2" s="185"/>
      <c r="I2" s="185"/>
      <c r="J2" s="185" t="s">
        <v>21</v>
      </c>
      <c r="K2" s="186">
        <v>1000</v>
      </c>
      <c r="L2" s="185" t="s">
        <v>6972</v>
      </c>
      <c r="M2" s="185" t="s">
        <v>6212</v>
      </c>
      <c r="N2" s="185"/>
      <c r="O2" s="185"/>
      <c r="P2" s="185" t="s">
        <v>7069</v>
      </c>
      <c r="Q2" s="183">
        <v>43746</v>
      </c>
      <c r="R2" s="173" t="s">
        <v>3186</v>
      </c>
      <c r="S2" s="173"/>
    </row>
    <row r="3" spans="1:19" x14ac:dyDescent="0.25">
      <c r="A3" s="173" t="s">
        <v>12</v>
      </c>
      <c r="B3" s="174">
        <v>44011</v>
      </c>
      <c r="C3" s="197" t="s">
        <v>6346</v>
      </c>
      <c r="D3" s="173" t="s">
        <v>6338</v>
      </c>
      <c r="E3" s="173" t="s">
        <v>4800</v>
      </c>
      <c r="F3" s="173" t="s">
        <v>6347</v>
      </c>
      <c r="G3" s="173" t="s">
        <v>6348</v>
      </c>
      <c r="H3" s="173"/>
      <c r="I3" s="173"/>
      <c r="J3" s="173" t="s">
        <v>21</v>
      </c>
      <c r="K3" s="173">
        <v>800</v>
      </c>
      <c r="L3" s="173" t="s">
        <v>6782</v>
      </c>
      <c r="M3" s="173"/>
      <c r="N3" s="173"/>
      <c r="O3" s="173"/>
      <c r="P3" s="173" t="s">
        <v>6383</v>
      </c>
      <c r="Q3" s="173" t="s">
        <v>6955</v>
      </c>
      <c r="R3" s="173"/>
      <c r="S3" s="173"/>
    </row>
    <row r="4" spans="1:19" x14ac:dyDescent="0.25">
      <c r="A4" s="173" t="s">
        <v>12</v>
      </c>
      <c r="B4" s="174">
        <v>44010</v>
      </c>
      <c r="C4" s="197" t="s">
        <v>6354</v>
      </c>
      <c r="D4" s="173" t="s">
        <v>6338</v>
      </c>
      <c r="E4" s="173" t="s">
        <v>4800</v>
      </c>
      <c r="F4" s="173" t="s">
        <v>6355</v>
      </c>
      <c r="G4" s="173" t="s">
        <v>6356</v>
      </c>
      <c r="H4" s="173"/>
      <c r="I4" s="173"/>
      <c r="J4" s="173" t="s">
        <v>21</v>
      </c>
      <c r="K4" s="173">
        <v>250</v>
      </c>
      <c r="L4" s="173" t="s">
        <v>6782</v>
      </c>
      <c r="M4" s="173"/>
      <c r="N4" s="173"/>
      <c r="O4" s="173"/>
      <c r="P4" s="173" t="s">
        <v>6383</v>
      </c>
      <c r="Q4" s="173" t="s">
        <v>6955</v>
      </c>
      <c r="R4" s="173"/>
      <c r="S4" s="173"/>
    </row>
    <row r="5" spans="1:19" x14ac:dyDescent="0.25">
      <c r="A5" s="173" t="s">
        <v>12</v>
      </c>
      <c r="B5" s="174">
        <v>44010</v>
      </c>
      <c r="C5" s="197" t="s">
        <v>6357</v>
      </c>
      <c r="D5" s="173" t="s">
        <v>6338</v>
      </c>
      <c r="E5" s="173" t="s">
        <v>4800</v>
      </c>
      <c r="F5" s="173" t="s">
        <v>3344</v>
      </c>
      <c r="G5" s="173" t="s">
        <v>6358</v>
      </c>
      <c r="H5" s="173"/>
      <c r="I5" s="173"/>
      <c r="J5" s="173" t="s">
        <v>21</v>
      </c>
      <c r="K5" s="173">
        <v>1300</v>
      </c>
      <c r="L5" s="173" t="s">
        <v>6782</v>
      </c>
      <c r="M5" s="173"/>
      <c r="N5" s="173"/>
      <c r="O5" s="173"/>
      <c r="P5" s="173" t="s">
        <v>6383</v>
      </c>
      <c r="Q5" s="173" t="s">
        <v>6955</v>
      </c>
      <c r="R5" s="173"/>
      <c r="S5" s="173"/>
    </row>
    <row r="6" spans="1:19" x14ac:dyDescent="0.25">
      <c r="A6" s="173" t="s">
        <v>12</v>
      </c>
      <c r="B6" s="174">
        <v>44071</v>
      </c>
      <c r="C6" s="197" t="s">
        <v>6390</v>
      </c>
      <c r="D6" s="173" t="s">
        <v>6338</v>
      </c>
      <c r="E6" s="173" t="s">
        <v>4800</v>
      </c>
      <c r="F6" s="173" t="s">
        <v>6391</v>
      </c>
      <c r="G6" s="173" t="s">
        <v>6392</v>
      </c>
      <c r="H6" s="173"/>
      <c r="I6" s="173"/>
      <c r="J6" s="173" t="s">
        <v>21</v>
      </c>
      <c r="K6" s="173">
        <v>150</v>
      </c>
      <c r="L6" s="173" t="s">
        <v>6782</v>
      </c>
      <c r="M6" s="173"/>
      <c r="N6" s="173"/>
      <c r="O6" s="173"/>
      <c r="P6" s="173" t="s">
        <v>6457</v>
      </c>
      <c r="Q6" s="173" t="s">
        <v>6955</v>
      </c>
      <c r="R6" s="173"/>
      <c r="S6" s="173"/>
    </row>
    <row r="7" spans="1:19" x14ac:dyDescent="0.25">
      <c r="A7" s="173" t="s">
        <v>12</v>
      </c>
      <c r="B7" s="174">
        <v>44021</v>
      </c>
      <c r="C7" s="197" t="s">
        <v>6396</v>
      </c>
      <c r="D7" s="173" t="s">
        <v>6338</v>
      </c>
      <c r="E7" s="173" t="s">
        <v>4800</v>
      </c>
      <c r="F7" s="173" t="s">
        <v>6397</v>
      </c>
      <c r="G7" s="173" t="s">
        <v>6398</v>
      </c>
      <c r="H7" s="173"/>
      <c r="I7" s="173"/>
      <c r="J7" s="173" t="s">
        <v>21</v>
      </c>
      <c r="K7" s="173">
        <v>2000</v>
      </c>
      <c r="L7" s="173"/>
      <c r="M7" s="173"/>
      <c r="N7" s="173"/>
      <c r="O7" s="173"/>
      <c r="P7" s="173" t="s">
        <v>6457</v>
      </c>
      <c r="Q7" s="173" t="s">
        <v>6955</v>
      </c>
      <c r="R7" s="173"/>
      <c r="S7" s="173"/>
    </row>
    <row r="8" spans="1:19" x14ac:dyDescent="0.25">
      <c r="A8" s="173" t="s">
        <v>12</v>
      </c>
      <c r="B8" s="174">
        <v>44071</v>
      </c>
      <c r="C8" s="197" t="s">
        <v>6405</v>
      </c>
      <c r="D8" s="173" t="s">
        <v>6338</v>
      </c>
      <c r="E8" s="173" t="s">
        <v>4800</v>
      </c>
      <c r="F8" s="173" t="s">
        <v>6406</v>
      </c>
      <c r="G8" s="173" t="s">
        <v>6407</v>
      </c>
      <c r="H8" s="173"/>
      <c r="I8" s="173"/>
      <c r="J8" s="173" t="s">
        <v>21</v>
      </c>
      <c r="K8" s="173">
        <v>150</v>
      </c>
      <c r="L8" s="173"/>
      <c r="M8" s="173"/>
      <c r="N8" s="173"/>
      <c r="O8" s="173"/>
      <c r="P8" s="173" t="s">
        <v>6457</v>
      </c>
      <c r="Q8" s="173" t="s">
        <v>6955</v>
      </c>
      <c r="R8" s="173"/>
      <c r="S8" s="173"/>
    </row>
    <row r="9" spans="1:19" x14ac:dyDescent="0.25">
      <c r="A9" s="173" t="s">
        <v>12</v>
      </c>
      <c r="B9" s="174">
        <v>44071</v>
      </c>
      <c r="C9" s="197" t="s">
        <v>6410</v>
      </c>
      <c r="D9" s="173" t="s">
        <v>6338</v>
      </c>
      <c r="E9" s="173" t="s">
        <v>4800</v>
      </c>
      <c r="F9" s="173" t="s">
        <v>6412</v>
      </c>
      <c r="G9" s="173" t="s">
        <v>6411</v>
      </c>
      <c r="H9" s="173"/>
      <c r="I9" s="173"/>
      <c r="J9" s="173" t="s">
        <v>21</v>
      </c>
      <c r="K9" s="173">
        <v>150</v>
      </c>
      <c r="L9" s="173" t="s">
        <v>6782</v>
      </c>
      <c r="M9" s="173"/>
      <c r="N9" s="173"/>
      <c r="O9" s="173"/>
      <c r="P9" s="173" t="s">
        <v>6457</v>
      </c>
      <c r="Q9" s="173" t="s">
        <v>6955</v>
      </c>
      <c r="R9" s="173"/>
      <c r="S9" s="173"/>
    </row>
    <row r="10" spans="1:19" x14ac:dyDescent="0.25">
      <c r="A10" s="173" t="s">
        <v>12</v>
      </c>
      <c r="B10" s="174">
        <v>44153</v>
      </c>
      <c r="C10" s="197" t="s">
        <v>6479</v>
      </c>
      <c r="D10" s="173" t="s">
        <v>6338</v>
      </c>
      <c r="E10" s="173" t="s">
        <v>4800</v>
      </c>
      <c r="F10" s="173" t="s">
        <v>6480</v>
      </c>
      <c r="G10" s="173" t="s">
        <v>6478</v>
      </c>
      <c r="H10" s="173"/>
      <c r="I10" s="173"/>
      <c r="J10" s="173" t="s">
        <v>21</v>
      </c>
      <c r="K10" s="173">
        <v>1500</v>
      </c>
      <c r="L10" s="173" t="s">
        <v>6782</v>
      </c>
      <c r="M10" s="173"/>
      <c r="N10" s="173"/>
      <c r="O10" s="173"/>
      <c r="P10" s="173" t="s">
        <v>6495</v>
      </c>
      <c r="Q10" s="174">
        <v>44207</v>
      </c>
      <c r="R10" s="173"/>
      <c r="S10" s="173"/>
    </row>
    <row r="11" spans="1:19" x14ac:dyDescent="0.25">
      <c r="A11" s="173" t="s">
        <v>12</v>
      </c>
      <c r="B11" s="174">
        <v>44363</v>
      </c>
      <c r="C11" s="197" t="s">
        <v>6617</v>
      </c>
      <c r="D11" s="173" t="s">
        <v>6338</v>
      </c>
      <c r="E11" s="173" t="s">
        <v>4800</v>
      </c>
      <c r="F11" s="173" t="s">
        <v>6618</v>
      </c>
      <c r="G11" s="173" t="s">
        <v>6664</v>
      </c>
      <c r="H11" s="173"/>
      <c r="I11" s="173"/>
      <c r="J11" s="173" t="s">
        <v>21</v>
      </c>
      <c r="K11" s="173">
        <v>1400</v>
      </c>
      <c r="L11" s="173" t="s">
        <v>6782</v>
      </c>
      <c r="M11" s="173" t="s">
        <v>6647</v>
      </c>
      <c r="N11" s="173"/>
      <c r="O11" s="173"/>
      <c r="P11" s="173" t="s">
        <v>6669</v>
      </c>
      <c r="Q11" s="174">
        <v>44377</v>
      </c>
      <c r="R11" s="173" t="s">
        <v>3186</v>
      </c>
      <c r="S11" s="173"/>
    </row>
    <row r="12" spans="1:19" x14ac:dyDescent="0.25">
      <c r="A12" s="173" t="s">
        <v>12</v>
      </c>
      <c r="B12" s="174">
        <v>44377</v>
      </c>
      <c r="C12" s="197" t="s">
        <v>6662</v>
      </c>
      <c r="D12" s="173" t="s">
        <v>6338</v>
      </c>
      <c r="E12" s="173" t="s">
        <v>4800</v>
      </c>
      <c r="F12" s="174" t="s">
        <v>6663</v>
      </c>
      <c r="G12" s="173" t="s">
        <v>6667</v>
      </c>
      <c r="H12" s="173"/>
      <c r="I12" s="173"/>
      <c r="J12" s="173" t="s">
        <v>21</v>
      </c>
      <c r="K12" s="173">
        <v>4800</v>
      </c>
      <c r="L12" s="173" t="s">
        <v>6782</v>
      </c>
      <c r="M12" s="173" t="s">
        <v>6668</v>
      </c>
      <c r="N12" s="173"/>
      <c r="O12" s="173"/>
      <c r="P12" s="173" t="s">
        <v>6669</v>
      </c>
      <c r="Q12" s="174">
        <v>44377</v>
      </c>
      <c r="R12" s="173" t="s">
        <v>3186</v>
      </c>
      <c r="S12" s="173"/>
    </row>
    <row r="13" spans="1:19" x14ac:dyDescent="0.25">
      <c r="A13" s="173" t="s">
        <v>12</v>
      </c>
      <c r="B13" s="174">
        <v>44397</v>
      </c>
      <c r="C13" s="197" t="s">
        <v>6674</v>
      </c>
      <c r="D13" s="173" t="s">
        <v>6338</v>
      </c>
      <c r="E13" s="173" t="s">
        <v>4800</v>
      </c>
      <c r="F13" s="173" t="s">
        <v>5193</v>
      </c>
      <c r="G13" s="173" t="s">
        <v>6675</v>
      </c>
      <c r="H13" s="173"/>
      <c r="I13" s="173"/>
      <c r="J13" s="173" t="s">
        <v>21</v>
      </c>
      <c r="K13" s="173">
        <v>11500</v>
      </c>
      <c r="L13" s="173" t="s">
        <v>6782</v>
      </c>
      <c r="M13" s="173" t="s">
        <v>6706</v>
      </c>
      <c r="N13" s="173"/>
      <c r="O13" s="173"/>
      <c r="P13" s="173" t="s">
        <v>6709</v>
      </c>
      <c r="Q13" s="174">
        <v>44474</v>
      </c>
      <c r="R13" s="173" t="s">
        <v>3186</v>
      </c>
      <c r="S13" s="173"/>
    </row>
    <row r="14" spans="1:19" x14ac:dyDescent="0.25">
      <c r="A14" s="173" t="s">
        <v>12</v>
      </c>
      <c r="B14" s="174">
        <v>44449</v>
      </c>
      <c r="C14" s="197" t="s">
        <v>6676</v>
      </c>
      <c r="D14" s="173" t="s">
        <v>6338</v>
      </c>
      <c r="E14" s="173" t="s">
        <v>4800</v>
      </c>
      <c r="F14" s="173" t="s">
        <v>4054</v>
      </c>
      <c r="G14" s="173" t="s">
        <v>6677</v>
      </c>
      <c r="H14" s="173"/>
      <c r="I14" s="173"/>
      <c r="J14" s="173" t="s">
        <v>21</v>
      </c>
      <c r="K14" s="173">
        <v>3000</v>
      </c>
      <c r="L14" s="173" t="s">
        <v>6782</v>
      </c>
      <c r="M14" s="173" t="s">
        <v>6707</v>
      </c>
      <c r="N14" s="173"/>
      <c r="O14" s="173"/>
      <c r="P14" s="173" t="s">
        <v>6709</v>
      </c>
      <c r="Q14" s="174">
        <v>44474</v>
      </c>
      <c r="R14" s="173" t="s">
        <v>3186</v>
      </c>
      <c r="S14" s="173"/>
    </row>
    <row r="15" spans="1:19" x14ac:dyDescent="0.25">
      <c r="A15" s="173" t="s">
        <v>12</v>
      </c>
      <c r="B15" s="174">
        <v>44427</v>
      </c>
      <c r="C15" s="197" t="s">
        <v>6678</v>
      </c>
      <c r="D15" s="173" t="s">
        <v>6680</v>
      </c>
      <c r="E15" s="173" t="s">
        <v>6681</v>
      </c>
      <c r="F15" s="173" t="s">
        <v>5404</v>
      </c>
      <c r="G15" s="173" t="s">
        <v>6679</v>
      </c>
      <c r="H15" s="173"/>
      <c r="I15" s="173"/>
      <c r="J15" s="173" t="s">
        <v>21</v>
      </c>
      <c r="K15" s="173">
        <v>6850</v>
      </c>
      <c r="L15" s="173"/>
      <c r="M15" s="173" t="s">
        <v>6719</v>
      </c>
      <c r="N15" s="173"/>
      <c r="O15" s="173"/>
      <c r="P15" s="173" t="s">
        <v>6709</v>
      </c>
      <c r="Q15" s="174">
        <v>44474</v>
      </c>
      <c r="R15" s="173"/>
      <c r="S15" s="173"/>
    </row>
    <row r="16" spans="1:19" x14ac:dyDescent="0.25">
      <c r="A16" s="173" t="s">
        <v>12</v>
      </c>
      <c r="B16" s="174">
        <v>44489</v>
      </c>
      <c r="C16" s="197" t="s">
        <v>6723</v>
      </c>
      <c r="D16" s="173" t="s">
        <v>6338</v>
      </c>
      <c r="E16" s="173" t="s">
        <v>4800</v>
      </c>
      <c r="F16" s="173" t="s">
        <v>6724</v>
      </c>
      <c r="G16" s="173" t="s">
        <v>6725</v>
      </c>
      <c r="H16" s="173"/>
      <c r="I16" s="173"/>
      <c r="J16" s="173" t="s">
        <v>21</v>
      </c>
      <c r="K16" s="173">
        <v>1800</v>
      </c>
      <c r="L16" s="173" t="s">
        <v>6782</v>
      </c>
      <c r="M16" s="173" t="s">
        <v>6726</v>
      </c>
      <c r="N16" s="173"/>
      <c r="O16" s="173"/>
      <c r="P16" s="173" t="s">
        <v>6747</v>
      </c>
      <c r="Q16" s="174">
        <v>44533</v>
      </c>
      <c r="R16" s="173" t="s">
        <v>3186</v>
      </c>
      <c r="S16" s="173"/>
    </row>
    <row r="17" spans="1:19" x14ac:dyDescent="0.25">
      <c r="A17" s="173" t="s">
        <v>12</v>
      </c>
      <c r="B17" s="174">
        <v>44517</v>
      </c>
      <c r="C17" s="197" t="s">
        <v>6732</v>
      </c>
      <c r="D17" s="173" t="s">
        <v>6338</v>
      </c>
      <c r="E17" s="173" t="s">
        <v>4800</v>
      </c>
      <c r="F17" s="173" t="s">
        <v>6734</v>
      </c>
      <c r="G17" s="173" t="s">
        <v>6733</v>
      </c>
      <c r="H17" s="173"/>
      <c r="I17" s="173"/>
      <c r="J17" s="173" t="s">
        <v>21</v>
      </c>
      <c r="K17" s="173">
        <v>5600</v>
      </c>
      <c r="L17" s="173" t="s">
        <v>6782</v>
      </c>
      <c r="M17" s="173" t="s">
        <v>6761</v>
      </c>
      <c r="N17" s="173"/>
      <c r="O17" s="173"/>
      <c r="P17" s="173" t="s">
        <v>6747</v>
      </c>
      <c r="Q17" s="174">
        <v>44533</v>
      </c>
      <c r="R17" s="173" t="s">
        <v>3186</v>
      </c>
      <c r="S17" s="173"/>
    </row>
    <row r="18" spans="1:19" x14ac:dyDescent="0.25">
      <c r="A18" s="173" t="s">
        <v>12</v>
      </c>
      <c r="B18" s="174">
        <v>44511</v>
      </c>
      <c r="C18" s="197" t="s">
        <v>6735</v>
      </c>
      <c r="D18" s="173" t="s">
        <v>6338</v>
      </c>
      <c r="E18" s="173" t="s">
        <v>4800</v>
      </c>
      <c r="F18" s="173" t="s">
        <v>6737</v>
      </c>
      <c r="G18" s="173" t="s">
        <v>6736</v>
      </c>
      <c r="H18" s="173"/>
      <c r="I18" s="173"/>
      <c r="J18" s="173" t="s">
        <v>21</v>
      </c>
      <c r="K18" s="173">
        <v>6000</v>
      </c>
      <c r="L18" s="173" t="s">
        <v>6782</v>
      </c>
      <c r="M18" s="173" t="s">
        <v>6752</v>
      </c>
      <c r="N18" s="173"/>
      <c r="O18" s="173"/>
      <c r="P18" s="173" t="s">
        <v>6747</v>
      </c>
      <c r="Q18" s="174">
        <v>44533</v>
      </c>
      <c r="R18" s="173"/>
      <c r="S18" s="173"/>
    </row>
    <row r="19" spans="1:19" x14ac:dyDescent="0.25">
      <c r="A19" s="173" t="s">
        <v>12</v>
      </c>
      <c r="B19" s="174">
        <v>44496</v>
      </c>
      <c r="C19" s="197" t="s">
        <v>6738</v>
      </c>
      <c r="D19" s="173" t="s">
        <v>6338</v>
      </c>
      <c r="E19" s="173" t="s">
        <v>4800</v>
      </c>
      <c r="F19" s="173" t="s">
        <v>6739</v>
      </c>
      <c r="G19" s="173" t="s">
        <v>6740</v>
      </c>
      <c r="H19" s="173"/>
      <c r="I19" s="173"/>
      <c r="J19" s="173" t="s">
        <v>21</v>
      </c>
      <c r="K19" s="173">
        <v>2000</v>
      </c>
      <c r="L19" s="173" t="s">
        <v>6782</v>
      </c>
      <c r="M19" s="173" t="s">
        <v>6751</v>
      </c>
      <c r="N19" s="173"/>
      <c r="O19" s="173"/>
      <c r="P19" s="173" t="s">
        <v>6747</v>
      </c>
      <c r="Q19" s="174">
        <v>44533</v>
      </c>
      <c r="R19" s="173"/>
      <c r="S19" s="173"/>
    </row>
    <row r="20" spans="1:19" x14ac:dyDescent="0.25">
      <c r="A20" s="173" t="s">
        <v>12</v>
      </c>
      <c r="B20" s="174">
        <v>44483</v>
      </c>
      <c r="C20" s="197" t="s">
        <v>6741</v>
      </c>
      <c r="D20" s="173" t="s">
        <v>6338</v>
      </c>
      <c r="E20" s="173" t="s">
        <v>4800</v>
      </c>
      <c r="F20" s="173" t="s">
        <v>390</v>
      </c>
      <c r="G20" s="173" t="s">
        <v>6742</v>
      </c>
      <c r="H20" s="173"/>
      <c r="I20" s="173"/>
      <c r="J20" s="173" t="s">
        <v>21</v>
      </c>
      <c r="K20" s="173">
        <v>1500</v>
      </c>
      <c r="L20" s="173" t="s">
        <v>6782</v>
      </c>
      <c r="M20" s="173" t="s">
        <v>6756</v>
      </c>
      <c r="N20" s="173"/>
      <c r="O20" s="173"/>
      <c r="P20" s="173" t="s">
        <v>6747</v>
      </c>
      <c r="Q20" s="174">
        <v>44533</v>
      </c>
      <c r="R20" s="173" t="s">
        <v>3791</v>
      </c>
      <c r="S20" s="173"/>
    </row>
    <row r="21" spans="1:19" x14ac:dyDescent="0.25">
      <c r="A21" s="173" t="s">
        <v>12</v>
      </c>
      <c r="B21" s="174">
        <v>44483</v>
      </c>
      <c r="C21" s="197" t="s">
        <v>6757</v>
      </c>
      <c r="D21" s="173" t="s">
        <v>6338</v>
      </c>
      <c r="E21" s="173" t="s">
        <v>4800</v>
      </c>
      <c r="F21" s="173" t="s">
        <v>4406</v>
      </c>
      <c r="G21" s="173" t="s">
        <v>6758</v>
      </c>
      <c r="H21" s="173"/>
      <c r="I21" s="173"/>
      <c r="J21" s="173" t="s">
        <v>21</v>
      </c>
      <c r="K21" s="173">
        <v>2000</v>
      </c>
      <c r="L21" s="173" t="s">
        <v>6782</v>
      </c>
      <c r="M21" s="173"/>
      <c r="N21" s="173"/>
      <c r="O21" s="173"/>
      <c r="P21" s="173" t="s">
        <v>6747</v>
      </c>
      <c r="Q21" s="174">
        <v>44580</v>
      </c>
      <c r="R21" s="173"/>
      <c r="S21" s="173"/>
    </row>
    <row r="22" spans="1:19" x14ac:dyDescent="0.25">
      <c r="A22" s="173" t="s">
        <v>12</v>
      </c>
      <c r="B22" s="174">
        <v>44566</v>
      </c>
      <c r="C22" s="197" t="s">
        <v>6765</v>
      </c>
      <c r="D22" s="173" t="s">
        <v>6338</v>
      </c>
      <c r="E22" s="173" t="s">
        <v>4800</v>
      </c>
      <c r="F22" s="173" t="s">
        <v>6778</v>
      </c>
      <c r="G22" s="173" t="s">
        <v>6766</v>
      </c>
      <c r="H22" s="173"/>
      <c r="I22" s="173"/>
      <c r="J22" s="173" t="s">
        <v>21</v>
      </c>
      <c r="K22" s="173">
        <v>4000</v>
      </c>
      <c r="L22" s="173" t="s">
        <v>6782</v>
      </c>
      <c r="M22" s="173" t="s">
        <v>6982</v>
      </c>
      <c r="N22" s="173"/>
      <c r="O22" s="173"/>
      <c r="P22" s="173" t="s">
        <v>6809</v>
      </c>
      <c r="Q22" s="174">
        <v>44638</v>
      </c>
      <c r="R22" s="173" t="s">
        <v>3186</v>
      </c>
      <c r="S22" s="173"/>
    </row>
    <row r="23" spans="1:19" x14ac:dyDescent="0.25">
      <c r="A23" s="173" t="s">
        <v>12</v>
      </c>
      <c r="B23" s="174">
        <v>44566</v>
      </c>
      <c r="C23" s="197" t="s">
        <v>6767</v>
      </c>
      <c r="D23" s="173" t="s">
        <v>6338</v>
      </c>
      <c r="E23" s="173" t="s">
        <v>4800</v>
      </c>
      <c r="F23" s="173" t="s">
        <v>711</v>
      </c>
      <c r="G23" s="173" t="s">
        <v>6768</v>
      </c>
      <c r="H23" s="173"/>
      <c r="I23" s="173"/>
      <c r="J23" s="173" t="s">
        <v>21</v>
      </c>
      <c r="K23" s="173">
        <v>4700</v>
      </c>
      <c r="L23" s="173" t="s">
        <v>6782</v>
      </c>
      <c r="M23" s="173" t="s">
        <v>6982</v>
      </c>
      <c r="N23" s="173"/>
      <c r="O23" s="173"/>
      <c r="P23" s="173" t="s">
        <v>6809</v>
      </c>
      <c r="Q23" s="174">
        <v>44638</v>
      </c>
      <c r="R23" s="173"/>
      <c r="S23" s="173"/>
    </row>
    <row r="24" spans="1:19" x14ac:dyDescent="0.25">
      <c r="A24" s="173" t="s">
        <v>12</v>
      </c>
      <c r="B24" s="174">
        <v>44588</v>
      </c>
      <c r="C24" s="197" t="s">
        <v>6769</v>
      </c>
      <c r="D24" s="173" t="s">
        <v>6338</v>
      </c>
      <c r="E24" s="173" t="s">
        <v>4800</v>
      </c>
      <c r="F24" s="173" t="s">
        <v>2629</v>
      </c>
      <c r="G24" s="173" t="s">
        <v>6770</v>
      </c>
      <c r="H24" s="173"/>
      <c r="I24" s="173"/>
      <c r="J24" s="173" t="s">
        <v>21</v>
      </c>
      <c r="K24" s="173">
        <v>9500</v>
      </c>
      <c r="L24" s="173" t="s">
        <v>6782</v>
      </c>
      <c r="M24" s="173" t="s">
        <v>6903</v>
      </c>
      <c r="N24" s="173"/>
      <c r="O24" s="173"/>
      <c r="P24" s="173" t="s">
        <v>6809</v>
      </c>
      <c r="Q24" s="174">
        <v>44638</v>
      </c>
      <c r="R24" s="173"/>
      <c r="S24" s="173"/>
    </row>
    <row r="25" spans="1:19" x14ac:dyDescent="0.25">
      <c r="A25" s="173" t="s">
        <v>12</v>
      </c>
      <c r="B25" s="174">
        <v>44622</v>
      </c>
      <c r="C25" s="197" t="s">
        <v>6771</v>
      </c>
      <c r="D25" s="173" t="s">
        <v>6338</v>
      </c>
      <c r="E25" s="173" t="s">
        <v>4800</v>
      </c>
      <c r="F25" s="173" t="s">
        <v>6772</v>
      </c>
      <c r="G25" s="173" t="s">
        <v>6773</v>
      </c>
      <c r="H25" s="173"/>
      <c r="I25" s="173"/>
      <c r="J25" s="173" t="s">
        <v>21</v>
      </c>
      <c r="K25" s="173">
        <v>16500</v>
      </c>
      <c r="L25" s="173" t="s">
        <v>6782</v>
      </c>
      <c r="M25" s="173" t="s">
        <v>6983</v>
      </c>
      <c r="N25" s="173"/>
      <c r="O25" s="173"/>
      <c r="P25" s="173" t="s">
        <v>6809</v>
      </c>
      <c r="Q25" s="174">
        <v>44638</v>
      </c>
      <c r="R25" s="173" t="s">
        <v>3186</v>
      </c>
      <c r="S25" s="173"/>
    </row>
    <row r="26" spans="1:19" x14ac:dyDescent="0.25">
      <c r="A26" s="173" t="s">
        <v>12</v>
      </c>
      <c r="B26" s="174">
        <v>44603</v>
      </c>
      <c r="C26" s="175" t="s">
        <v>6774</v>
      </c>
      <c r="D26" s="173" t="s">
        <v>6777</v>
      </c>
      <c r="E26" s="173" t="s">
        <v>6775</v>
      </c>
      <c r="F26" s="173" t="s">
        <v>2740</v>
      </c>
      <c r="G26" s="173" t="s">
        <v>6776</v>
      </c>
      <c r="H26" s="173">
        <v>7190.08</v>
      </c>
      <c r="I26" s="173">
        <f>+H26*0.21</f>
        <v>1509.9168</v>
      </c>
      <c r="J26" s="173"/>
      <c r="K26" s="232">
        <f>+H26+I26</f>
        <v>8699.9968000000008</v>
      </c>
      <c r="L26" s="173" t="s">
        <v>7012</v>
      </c>
      <c r="M26" s="173" t="s">
        <v>6904</v>
      </c>
      <c r="N26" s="173"/>
      <c r="O26" s="173"/>
      <c r="P26" s="173" t="s">
        <v>6809</v>
      </c>
      <c r="Q26" s="174">
        <v>44638</v>
      </c>
      <c r="R26" s="173"/>
      <c r="S26" s="173"/>
    </row>
    <row r="27" spans="1:19" x14ac:dyDescent="0.25">
      <c r="A27" s="173" t="s">
        <v>408</v>
      </c>
      <c r="B27" s="174">
        <v>44565</v>
      </c>
      <c r="C27" s="173" t="s">
        <v>6779</v>
      </c>
      <c r="D27" s="173" t="s">
        <v>6780</v>
      </c>
      <c r="E27" s="173" t="s">
        <v>5313</v>
      </c>
      <c r="F27" s="173" t="s">
        <v>3344</v>
      </c>
      <c r="G27" s="173" t="s">
        <v>6358</v>
      </c>
      <c r="H27" s="173"/>
      <c r="I27" s="173"/>
      <c r="J27" s="173" t="s">
        <v>21</v>
      </c>
      <c r="K27" s="173">
        <v>3000</v>
      </c>
      <c r="L27" s="173" t="s">
        <v>6781</v>
      </c>
      <c r="M27" s="173"/>
      <c r="N27" s="173"/>
      <c r="O27" s="173"/>
      <c r="P27" s="173" t="s">
        <v>6809</v>
      </c>
      <c r="Q27" s="174">
        <v>44638</v>
      </c>
      <c r="R27" s="173"/>
      <c r="S27" s="173"/>
    </row>
    <row r="28" spans="1:19" x14ac:dyDescent="0.25">
      <c r="A28" s="173" t="s">
        <v>408</v>
      </c>
      <c r="B28" s="174">
        <v>44572</v>
      </c>
      <c r="C28" s="173" t="s">
        <v>6783</v>
      </c>
      <c r="D28" s="173" t="s">
        <v>6784</v>
      </c>
      <c r="E28" s="173" t="s">
        <v>6785</v>
      </c>
      <c r="F28" s="173" t="s">
        <v>5193</v>
      </c>
      <c r="G28" s="173" t="s">
        <v>6675</v>
      </c>
      <c r="H28" s="173"/>
      <c r="I28" s="173"/>
      <c r="J28" s="173" t="s">
        <v>21</v>
      </c>
      <c r="K28" s="173">
        <v>18495</v>
      </c>
      <c r="L28" s="173" t="s">
        <v>6786</v>
      </c>
      <c r="M28" s="173"/>
      <c r="N28" s="173"/>
      <c r="O28" s="173"/>
      <c r="P28" s="173" t="s">
        <v>6809</v>
      </c>
      <c r="Q28" s="174">
        <v>44638</v>
      </c>
      <c r="R28" s="173"/>
      <c r="S28" s="173"/>
    </row>
    <row r="29" spans="1:19" x14ac:dyDescent="0.25">
      <c r="A29" s="173" t="s">
        <v>408</v>
      </c>
      <c r="B29" s="174">
        <v>44573</v>
      </c>
      <c r="C29" s="173" t="s">
        <v>6787</v>
      </c>
      <c r="D29" s="173" t="s">
        <v>6788</v>
      </c>
      <c r="E29" s="173" t="s">
        <v>6789</v>
      </c>
      <c r="F29" s="174" t="s">
        <v>6663</v>
      </c>
      <c r="G29" s="173" t="s">
        <v>6667</v>
      </c>
      <c r="H29" s="173"/>
      <c r="I29" s="173"/>
      <c r="J29" s="173" t="s">
        <v>21</v>
      </c>
      <c r="K29" s="173">
        <v>9495</v>
      </c>
      <c r="L29" s="173" t="s">
        <v>6790</v>
      </c>
      <c r="M29" s="173"/>
      <c r="N29" s="173"/>
      <c r="O29" s="173"/>
      <c r="P29" s="173" t="s">
        <v>6809</v>
      </c>
      <c r="Q29" s="174">
        <v>44638</v>
      </c>
      <c r="R29" s="173"/>
      <c r="S29" s="173"/>
    </row>
    <row r="30" spans="1:19" x14ac:dyDescent="0.25">
      <c r="A30" s="173" t="s">
        <v>408</v>
      </c>
      <c r="B30" s="174">
        <v>44574</v>
      </c>
      <c r="C30" s="173" t="s">
        <v>6791</v>
      </c>
      <c r="D30" s="173" t="s">
        <v>6792</v>
      </c>
      <c r="E30" s="173" t="s">
        <v>6793</v>
      </c>
      <c r="F30" s="173" t="s">
        <v>6618</v>
      </c>
      <c r="G30" s="173" t="s">
        <v>6664</v>
      </c>
      <c r="H30" s="173"/>
      <c r="I30" s="173"/>
      <c r="J30" s="173" t="s">
        <v>21</v>
      </c>
      <c r="K30" s="173">
        <v>7995</v>
      </c>
      <c r="L30" s="173" t="s">
        <v>6794</v>
      </c>
      <c r="M30" s="173"/>
      <c r="N30" s="173"/>
      <c r="O30" s="173"/>
      <c r="P30" s="173" t="s">
        <v>6809</v>
      </c>
      <c r="Q30" s="174">
        <v>44638</v>
      </c>
      <c r="R30" s="173"/>
      <c r="S30" s="173"/>
    </row>
    <row r="31" spans="1:19" x14ac:dyDescent="0.25">
      <c r="A31" s="173" t="s">
        <v>408</v>
      </c>
      <c r="B31" s="174">
        <v>44581</v>
      </c>
      <c r="C31" s="173" t="s">
        <v>6795</v>
      </c>
      <c r="D31" s="173" t="s">
        <v>6796</v>
      </c>
      <c r="E31" s="173" t="s">
        <v>6797</v>
      </c>
      <c r="F31" s="173" t="s">
        <v>6412</v>
      </c>
      <c r="G31" s="173" t="s">
        <v>6411</v>
      </c>
      <c r="H31" s="173"/>
      <c r="I31" s="173"/>
      <c r="J31" s="173" t="s">
        <v>21</v>
      </c>
      <c r="K31" s="173">
        <v>800</v>
      </c>
      <c r="L31" s="173" t="s">
        <v>6468</v>
      </c>
      <c r="M31" s="173"/>
      <c r="N31" s="173"/>
      <c r="O31" s="173"/>
      <c r="P31" s="173" t="s">
        <v>6809</v>
      </c>
      <c r="Q31" s="174">
        <v>44638</v>
      </c>
      <c r="R31" s="173"/>
      <c r="S31" s="173"/>
    </row>
    <row r="32" spans="1:19" x14ac:dyDescent="0.25">
      <c r="A32" s="173" t="s">
        <v>408</v>
      </c>
      <c r="B32" s="174">
        <v>44594</v>
      </c>
      <c r="C32" s="173" t="s">
        <v>6798</v>
      </c>
      <c r="D32" s="173" t="s">
        <v>6799</v>
      </c>
      <c r="E32" s="173" t="s">
        <v>6800</v>
      </c>
      <c r="F32" s="173" t="s">
        <v>6355</v>
      </c>
      <c r="G32" s="173" t="s">
        <v>6356</v>
      </c>
      <c r="H32" s="173"/>
      <c r="I32" s="173"/>
      <c r="J32" s="173" t="s">
        <v>21</v>
      </c>
      <c r="K32" s="173">
        <v>100</v>
      </c>
      <c r="L32" s="173" t="s">
        <v>6781</v>
      </c>
      <c r="M32" s="173"/>
      <c r="N32" s="173"/>
      <c r="O32" s="173"/>
      <c r="P32" s="173" t="s">
        <v>6809</v>
      </c>
      <c r="Q32" s="174">
        <v>44638</v>
      </c>
      <c r="R32" s="173"/>
      <c r="S32" s="173"/>
    </row>
    <row r="33" spans="1:19" x14ac:dyDescent="0.25">
      <c r="A33" s="173" t="s">
        <v>408</v>
      </c>
      <c r="B33" s="174">
        <v>44594</v>
      </c>
      <c r="C33" s="173" t="s">
        <v>6801</v>
      </c>
      <c r="D33" s="173" t="s">
        <v>6799</v>
      </c>
      <c r="E33" s="173" t="s">
        <v>6800</v>
      </c>
      <c r="F33" s="173" t="s">
        <v>6391</v>
      </c>
      <c r="G33" s="173" t="s">
        <v>6392</v>
      </c>
      <c r="H33" s="173"/>
      <c r="I33" s="173"/>
      <c r="J33" s="173" t="s">
        <v>21</v>
      </c>
      <c r="K33" s="173">
        <v>100</v>
      </c>
      <c r="L33" s="173" t="s">
        <v>6802</v>
      </c>
      <c r="M33" s="173"/>
      <c r="N33" s="173"/>
      <c r="O33" s="173"/>
      <c r="P33" s="173" t="s">
        <v>6809</v>
      </c>
      <c r="Q33" s="174">
        <v>44638</v>
      </c>
      <c r="R33" s="173"/>
      <c r="S33" s="173"/>
    </row>
    <row r="34" spans="1:19" x14ac:dyDescent="0.25">
      <c r="A34" s="173" t="s">
        <v>408</v>
      </c>
      <c r="B34" s="174">
        <v>44617</v>
      </c>
      <c r="C34" s="173" t="s">
        <v>6806</v>
      </c>
      <c r="D34" s="173" t="s">
        <v>6803</v>
      </c>
      <c r="E34" s="173" t="s">
        <v>6804</v>
      </c>
      <c r="F34" s="173" t="s">
        <v>2629</v>
      </c>
      <c r="G34" s="173" t="s">
        <v>6770</v>
      </c>
      <c r="H34" s="173"/>
      <c r="I34" s="173"/>
      <c r="J34" s="173" t="s">
        <v>21</v>
      </c>
      <c r="K34" s="173">
        <v>13995</v>
      </c>
      <c r="L34" s="173" t="s">
        <v>6805</v>
      </c>
      <c r="M34" s="173" t="s">
        <v>6910</v>
      </c>
      <c r="N34" s="173"/>
      <c r="O34" s="173"/>
      <c r="P34" s="173" t="s">
        <v>6809</v>
      </c>
      <c r="Q34" s="174">
        <v>44638</v>
      </c>
      <c r="R34" s="173"/>
      <c r="S34" s="173"/>
    </row>
    <row r="35" spans="1:19" x14ac:dyDescent="0.25">
      <c r="A35" s="173" t="s">
        <v>408</v>
      </c>
      <c r="B35" s="174">
        <v>44599</v>
      </c>
      <c r="C35" s="173" t="s">
        <v>6807</v>
      </c>
      <c r="D35" s="173" t="s">
        <v>2931</v>
      </c>
      <c r="E35" s="173" t="s">
        <v>2352</v>
      </c>
      <c r="F35" s="173" t="s">
        <v>6724</v>
      </c>
      <c r="G35" s="173" t="s">
        <v>6725</v>
      </c>
      <c r="H35" s="173"/>
      <c r="I35" s="173"/>
      <c r="J35" s="173" t="s">
        <v>21</v>
      </c>
      <c r="K35" s="173">
        <v>2800</v>
      </c>
      <c r="L35" s="173" t="s">
        <v>6808</v>
      </c>
      <c r="M35" s="173"/>
      <c r="N35" s="173"/>
      <c r="O35" s="173"/>
      <c r="P35" s="173" t="s">
        <v>6809</v>
      </c>
      <c r="Q35" s="174">
        <v>44638</v>
      </c>
      <c r="R35" s="173"/>
      <c r="S35" s="173"/>
    </row>
    <row r="36" spans="1:19" x14ac:dyDescent="0.25">
      <c r="A36" s="173" t="s">
        <v>408</v>
      </c>
      <c r="B36" s="174">
        <v>44652</v>
      </c>
      <c r="C36" s="173" t="s">
        <v>6883</v>
      </c>
      <c r="D36" s="173" t="s">
        <v>6810</v>
      </c>
      <c r="E36" s="173" t="s">
        <v>6811</v>
      </c>
      <c r="F36" s="173" t="s">
        <v>6772</v>
      </c>
      <c r="G36" s="173" t="s">
        <v>6773</v>
      </c>
      <c r="H36" s="173"/>
      <c r="I36" s="173"/>
      <c r="J36" s="173" t="s">
        <v>21</v>
      </c>
      <c r="K36" s="173">
        <v>27900</v>
      </c>
      <c r="L36" s="173" t="s">
        <v>6812</v>
      </c>
      <c r="M36" s="173"/>
      <c r="N36" s="173"/>
      <c r="O36" s="173"/>
      <c r="P36" s="173" t="s">
        <v>6884</v>
      </c>
      <c r="Q36" s="173" t="s">
        <v>6885</v>
      </c>
      <c r="R36" s="173"/>
      <c r="S36" s="173"/>
    </row>
    <row r="37" spans="1:19" x14ac:dyDescent="0.25">
      <c r="A37" s="173" t="s">
        <v>12</v>
      </c>
      <c r="B37" s="174">
        <v>44643</v>
      </c>
      <c r="C37" s="197" t="s">
        <v>6813</v>
      </c>
      <c r="D37" s="173" t="s">
        <v>6338</v>
      </c>
      <c r="E37" s="173" t="s">
        <v>4800</v>
      </c>
      <c r="F37" s="173" t="s">
        <v>6814</v>
      </c>
      <c r="G37" s="173" t="s">
        <v>6815</v>
      </c>
      <c r="H37" s="173"/>
      <c r="I37" s="173"/>
      <c r="J37" s="173" t="s">
        <v>21</v>
      </c>
      <c r="K37" s="173">
        <v>11000</v>
      </c>
      <c r="L37" s="173" t="s">
        <v>6782</v>
      </c>
      <c r="M37" s="173" t="s">
        <v>6903</v>
      </c>
      <c r="N37" s="173"/>
      <c r="O37" s="173"/>
      <c r="P37" s="173" t="s">
        <v>6884</v>
      </c>
      <c r="Q37" s="173" t="s">
        <v>6885</v>
      </c>
      <c r="R37" s="173"/>
      <c r="S37" s="173"/>
    </row>
    <row r="38" spans="1:19" x14ac:dyDescent="0.25">
      <c r="A38" s="173" t="s">
        <v>12</v>
      </c>
      <c r="B38" s="174">
        <v>44580</v>
      </c>
      <c r="C38" s="197" t="s">
        <v>6816</v>
      </c>
      <c r="D38" s="173" t="s">
        <v>6338</v>
      </c>
      <c r="E38" s="173" t="s">
        <v>4800</v>
      </c>
      <c r="F38" s="173" t="s">
        <v>908</v>
      </c>
      <c r="G38" s="173" t="s">
        <v>6867</v>
      </c>
      <c r="H38" s="173"/>
      <c r="I38" s="173"/>
      <c r="J38" s="173" t="s">
        <v>21</v>
      </c>
      <c r="K38" s="173">
        <v>6100</v>
      </c>
      <c r="L38" s="173" t="s">
        <v>6782</v>
      </c>
      <c r="M38" s="173" t="s">
        <v>6903</v>
      </c>
      <c r="N38" s="173"/>
      <c r="O38" s="173"/>
      <c r="P38" s="173" t="s">
        <v>6884</v>
      </c>
      <c r="Q38" s="173" t="s">
        <v>6885</v>
      </c>
      <c r="R38" s="173"/>
      <c r="S38" s="173"/>
    </row>
    <row r="39" spans="1:19" x14ac:dyDescent="0.25">
      <c r="A39" s="173" t="s">
        <v>12</v>
      </c>
      <c r="B39" s="174">
        <v>44378</v>
      </c>
      <c r="C39" s="173" t="s">
        <v>951</v>
      </c>
      <c r="D39" s="173" t="s">
        <v>6823</v>
      </c>
      <c r="E39" s="173" t="s">
        <v>6824</v>
      </c>
      <c r="F39" s="173" t="s">
        <v>6825</v>
      </c>
      <c r="G39" s="173" t="s">
        <v>6826</v>
      </c>
      <c r="H39" s="173"/>
      <c r="I39" s="173"/>
      <c r="J39" s="173" t="s">
        <v>21</v>
      </c>
      <c r="K39" s="173">
        <v>1300</v>
      </c>
      <c r="L39" s="173" t="s">
        <v>6782</v>
      </c>
      <c r="M39" s="173"/>
      <c r="N39" s="173"/>
      <c r="O39" s="173"/>
      <c r="P39" s="173" t="s">
        <v>6884</v>
      </c>
      <c r="Q39" s="173" t="s">
        <v>6885</v>
      </c>
      <c r="R39" s="173"/>
      <c r="S39" s="173"/>
    </row>
    <row r="40" spans="1:19" x14ac:dyDescent="0.25">
      <c r="A40" s="173" t="s">
        <v>12</v>
      </c>
      <c r="B40" s="174">
        <v>44617</v>
      </c>
      <c r="C40" s="173" t="s">
        <v>951</v>
      </c>
      <c r="D40" s="173" t="s">
        <v>6827</v>
      </c>
      <c r="E40" s="173" t="s">
        <v>6828</v>
      </c>
      <c r="F40" s="173" t="s">
        <v>6156</v>
      </c>
      <c r="G40" s="173" t="s">
        <v>6829</v>
      </c>
      <c r="H40" s="173"/>
      <c r="I40" s="173"/>
      <c r="J40" s="173" t="s">
        <v>21</v>
      </c>
      <c r="K40" s="173">
        <v>4000</v>
      </c>
      <c r="L40" s="173" t="s">
        <v>6782</v>
      </c>
      <c r="M40" s="173"/>
      <c r="N40" s="173"/>
      <c r="O40" s="173"/>
      <c r="P40" s="173" t="s">
        <v>6884</v>
      </c>
      <c r="Q40" s="173" t="s">
        <v>6885</v>
      </c>
      <c r="R40" s="173"/>
      <c r="S40" s="173"/>
    </row>
    <row r="41" spans="1:19" x14ac:dyDescent="0.25">
      <c r="A41" s="173" t="s">
        <v>12</v>
      </c>
      <c r="B41" s="174">
        <v>44655</v>
      </c>
      <c r="C41" s="241" t="s">
        <v>6830</v>
      </c>
      <c r="D41" s="173" t="s">
        <v>6338</v>
      </c>
      <c r="E41" s="173" t="s">
        <v>4800</v>
      </c>
      <c r="F41" s="173" t="s">
        <v>6059</v>
      </c>
      <c r="G41" s="173" t="s">
        <v>6831</v>
      </c>
      <c r="H41" s="173"/>
      <c r="I41" s="173"/>
      <c r="J41" s="173" t="s">
        <v>21</v>
      </c>
      <c r="K41" s="173">
        <v>5000</v>
      </c>
      <c r="L41" s="173" t="s">
        <v>6782</v>
      </c>
      <c r="M41" s="173" t="s">
        <v>6903</v>
      </c>
      <c r="N41" s="173"/>
      <c r="O41" s="173"/>
      <c r="P41" s="173" t="s">
        <v>6884</v>
      </c>
      <c r="Q41" s="173" t="s">
        <v>6885</v>
      </c>
      <c r="R41" s="173"/>
      <c r="S41" s="173"/>
    </row>
    <row r="42" spans="1:19" x14ac:dyDescent="0.25">
      <c r="A42" s="173" t="s">
        <v>12</v>
      </c>
      <c r="B42" s="174">
        <v>44706</v>
      </c>
      <c r="C42" s="197" t="s">
        <v>6832</v>
      </c>
      <c r="D42" s="173" t="s">
        <v>6338</v>
      </c>
      <c r="E42" s="173" t="s">
        <v>4800</v>
      </c>
      <c r="F42" s="173" t="s">
        <v>6833</v>
      </c>
      <c r="G42" s="173" t="s">
        <v>6834</v>
      </c>
      <c r="H42" s="173"/>
      <c r="I42" s="173"/>
      <c r="J42" s="173" t="s">
        <v>21</v>
      </c>
      <c r="K42" s="173">
        <v>2200</v>
      </c>
      <c r="L42" s="173" t="s">
        <v>7012</v>
      </c>
      <c r="M42" s="173" t="s">
        <v>6984</v>
      </c>
      <c r="N42" s="173"/>
      <c r="O42" s="173"/>
      <c r="P42" s="173" t="s">
        <v>6884</v>
      </c>
      <c r="Q42" s="173" t="s">
        <v>6885</v>
      </c>
      <c r="R42" s="173" t="s">
        <v>3186</v>
      </c>
      <c r="S42" s="173"/>
    </row>
    <row r="43" spans="1:19" x14ac:dyDescent="0.25">
      <c r="A43" s="173" t="s">
        <v>12</v>
      </c>
      <c r="B43" s="174">
        <v>44706</v>
      </c>
      <c r="C43" s="174" t="s">
        <v>6835</v>
      </c>
      <c r="D43" s="173" t="s">
        <v>6338</v>
      </c>
      <c r="E43" s="173" t="s">
        <v>4800</v>
      </c>
      <c r="F43" s="173" t="s">
        <v>6836</v>
      </c>
      <c r="G43" s="173" t="s">
        <v>6837</v>
      </c>
      <c r="H43" s="173"/>
      <c r="I43" s="173"/>
      <c r="J43" s="173" t="s">
        <v>21</v>
      </c>
      <c r="K43" s="173">
        <v>3500</v>
      </c>
      <c r="L43" s="173" t="s">
        <v>6782</v>
      </c>
      <c r="M43" s="173" t="s">
        <v>6908</v>
      </c>
      <c r="N43" s="173"/>
      <c r="O43" s="173"/>
      <c r="P43" s="173" t="s">
        <v>6884</v>
      </c>
      <c r="Q43" s="173" t="s">
        <v>6885</v>
      </c>
      <c r="R43" s="173"/>
      <c r="S43" s="173"/>
    </row>
    <row r="44" spans="1:19" x14ac:dyDescent="0.25">
      <c r="A44" s="173" t="s">
        <v>12</v>
      </c>
      <c r="B44" s="174">
        <v>44706</v>
      </c>
      <c r="C44" s="197" t="s">
        <v>6838</v>
      </c>
      <c r="D44" s="173" t="s">
        <v>6338</v>
      </c>
      <c r="E44" s="173" t="s">
        <v>4800</v>
      </c>
      <c r="F44" s="173" t="s">
        <v>6839</v>
      </c>
      <c r="G44" s="173" t="s">
        <v>6840</v>
      </c>
      <c r="H44" s="173"/>
      <c r="I44" s="173"/>
      <c r="J44" s="173" t="s">
        <v>21</v>
      </c>
      <c r="K44" s="173">
        <v>11500</v>
      </c>
      <c r="L44" s="173" t="s">
        <v>6782</v>
      </c>
      <c r="M44" s="173" t="s">
        <v>6908</v>
      </c>
      <c r="N44" s="173"/>
      <c r="O44" s="173"/>
      <c r="P44" s="173" t="s">
        <v>6884</v>
      </c>
      <c r="Q44" s="173" t="s">
        <v>6885</v>
      </c>
      <c r="R44" s="173"/>
      <c r="S44" s="173"/>
    </row>
    <row r="45" spans="1:19" x14ac:dyDescent="0.25">
      <c r="A45" s="173" t="s">
        <v>12</v>
      </c>
      <c r="B45" s="174">
        <v>44713</v>
      </c>
      <c r="C45" s="197" t="s">
        <v>6841</v>
      </c>
      <c r="D45" s="173" t="s">
        <v>6338</v>
      </c>
      <c r="E45" s="173" t="s">
        <v>4800</v>
      </c>
      <c r="F45" s="173" t="s">
        <v>6842</v>
      </c>
      <c r="G45" s="173" t="s">
        <v>6843</v>
      </c>
      <c r="H45" s="173"/>
      <c r="I45" s="173"/>
      <c r="J45" s="173" t="s">
        <v>21</v>
      </c>
      <c r="K45" s="173">
        <v>2000</v>
      </c>
      <c r="L45" s="173" t="s">
        <v>6782</v>
      </c>
      <c r="M45" s="173" t="s">
        <v>6903</v>
      </c>
      <c r="N45" s="173"/>
      <c r="O45" s="173"/>
      <c r="P45" s="173" t="s">
        <v>6884</v>
      </c>
      <c r="Q45" s="173" t="s">
        <v>6885</v>
      </c>
      <c r="R45" s="173"/>
      <c r="S45" s="173"/>
    </row>
    <row r="46" spans="1:19" x14ac:dyDescent="0.25">
      <c r="A46" s="173" t="s">
        <v>12</v>
      </c>
      <c r="B46" s="174">
        <v>44727</v>
      </c>
      <c r="C46" s="197" t="s">
        <v>6844</v>
      </c>
      <c r="D46" s="173" t="s">
        <v>6338</v>
      </c>
      <c r="E46" s="173" t="s">
        <v>4800</v>
      </c>
      <c r="F46" s="173" t="s">
        <v>6845</v>
      </c>
      <c r="G46" s="173" t="s">
        <v>6846</v>
      </c>
      <c r="H46" s="173"/>
      <c r="I46" s="173"/>
      <c r="J46" s="173" t="s">
        <v>21</v>
      </c>
      <c r="K46" s="173">
        <v>11000</v>
      </c>
      <c r="L46" s="173" t="s">
        <v>6782</v>
      </c>
      <c r="M46" s="173" t="s">
        <v>6985</v>
      </c>
      <c r="N46" s="173"/>
      <c r="O46" s="173"/>
      <c r="P46" s="173" t="s">
        <v>6884</v>
      </c>
      <c r="Q46" s="173" t="s">
        <v>6885</v>
      </c>
      <c r="R46" s="173"/>
      <c r="S46" s="173"/>
    </row>
    <row r="47" spans="1:19" x14ac:dyDescent="0.25">
      <c r="A47" s="173" t="s">
        <v>408</v>
      </c>
      <c r="B47" s="174">
        <v>44656</v>
      </c>
      <c r="C47" s="197" t="s">
        <v>6847</v>
      </c>
      <c r="D47" s="173" t="s">
        <v>6848</v>
      </c>
      <c r="E47" s="173" t="s">
        <v>6849</v>
      </c>
      <c r="F47" s="173" t="s">
        <v>3344</v>
      </c>
      <c r="G47" s="173" t="s">
        <v>6740</v>
      </c>
      <c r="H47" s="173"/>
      <c r="I47" s="173"/>
      <c r="J47" s="173" t="s">
        <v>21</v>
      </c>
      <c r="K47" s="173">
        <v>2500</v>
      </c>
      <c r="L47" s="173" t="s">
        <v>6850</v>
      </c>
      <c r="M47" s="173" t="s">
        <v>6902</v>
      </c>
      <c r="N47" s="173"/>
      <c r="O47" s="173"/>
      <c r="P47" s="173" t="s">
        <v>6884</v>
      </c>
      <c r="Q47" s="173" t="s">
        <v>6885</v>
      </c>
      <c r="R47" s="173"/>
      <c r="S47" s="173"/>
    </row>
    <row r="48" spans="1:19" x14ac:dyDescent="0.25">
      <c r="A48" s="173" t="s">
        <v>408</v>
      </c>
      <c r="B48" s="174">
        <v>44658</v>
      </c>
      <c r="C48" s="173" t="s">
        <v>6851</v>
      </c>
      <c r="D48" s="173" t="s">
        <v>6852</v>
      </c>
      <c r="E48" s="173" t="s">
        <v>6853</v>
      </c>
      <c r="F48" s="173" t="s">
        <v>6734</v>
      </c>
      <c r="G48" s="173" t="s">
        <v>6733</v>
      </c>
      <c r="H48" s="173"/>
      <c r="I48" s="173"/>
      <c r="J48" s="173" t="s">
        <v>21</v>
      </c>
      <c r="K48" s="173">
        <v>8995</v>
      </c>
      <c r="L48" s="173" t="s">
        <v>6854</v>
      </c>
      <c r="M48" s="173" t="s">
        <v>6911</v>
      </c>
      <c r="N48" s="173"/>
      <c r="O48" s="173"/>
      <c r="P48" s="173" t="s">
        <v>6884</v>
      </c>
      <c r="Q48" s="173" t="s">
        <v>6885</v>
      </c>
      <c r="R48" s="173"/>
      <c r="S48" s="173"/>
    </row>
    <row r="49" spans="1:19" x14ac:dyDescent="0.25">
      <c r="A49" s="173" t="s">
        <v>408</v>
      </c>
      <c r="B49" s="174">
        <v>44663</v>
      </c>
      <c r="C49" s="173" t="s">
        <v>6855</v>
      </c>
      <c r="D49" s="173" t="s">
        <v>2931</v>
      </c>
      <c r="E49" s="173" t="s">
        <v>2352</v>
      </c>
      <c r="F49" s="173" t="s">
        <v>4406</v>
      </c>
      <c r="G49" s="173" t="s">
        <v>6758</v>
      </c>
      <c r="H49" s="173"/>
      <c r="I49" s="173"/>
      <c r="J49" s="173" t="s">
        <v>21</v>
      </c>
      <c r="K49" s="173">
        <v>5500</v>
      </c>
      <c r="L49" s="173" t="s">
        <v>6968</v>
      </c>
      <c r="M49" s="173"/>
      <c r="N49" s="173"/>
      <c r="O49" s="173"/>
      <c r="P49" s="173" t="s">
        <v>6884</v>
      </c>
      <c r="Q49" s="173" t="s">
        <v>6885</v>
      </c>
      <c r="R49" s="173"/>
      <c r="S49" s="173"/>
    </row>
    <row r="50" spans="1:19" x14ac:dyDescent="0.25">
      <c r="A50" s="173" t="s">
        <v>408</v>
      </c>
      <c r="B50" s="174">
        <v>44678</v>
      </c>
      <c r="C50" s="173" t="s">
        <v>6856</v>
      </c>
      <c r="D50" s="173" t="s">
        <v>6857</v>
      </c>
      <c r="E50" s="173" t="s">
        <v>6572</v>
      </c>
      <c r="F50" s="173" t="s">
        <v>6825</v>
      </c>
      <c r="G50" s="173" t="s">
        <v>6826</v>
      </c>
      <c r="H50" s="173"/>
      <c r="I50" s="173"/>
      <c r="J50" s="173" t="s">
        <v>21</v>
      </c>
      <c r="K50" s="173">
        <v>3500</v>
      </c>
      <c r="L50" s="173" t="s">
        <v>6858</v>
      </c>
      <c r="M50" s="173" t="s">
        <v>6906</v>
      </c>
      <c r="N50" s="173"/>
      <c r="O50" s="173"/>
      <c r="P50" s="173" t="s">
        <v>6884</v>
      </c>
      <c r="Q50" s="173" t="s">
        <v>6885</v>
      </c>
      <c r="R50" s="173"/>
      <c r="S50" s="173"/>
    </row>
    <row r="51" spans="1:19" x14ac:dyDescent="0.25">
      <c r="A51" s="173" t="s">
        <v>408</v>
      </c>
      <c r="B51" s="174">
        <v>44679</v>
      </c>
      <c r="C51" s="173" t="s">
        <v>6859</v>
      </c>
      <c r="D51" s="173" t="s">
        <v>6857</v>
      </c>
      <c r="E51" s="173" t="s">
        <v>6572</v>
      </c>
      <c r="F51" s="173" t="s">
        <v>6156</v>
      </c>
      <c r="G51" s="173" t="s">
        <v>6829</v>
      </c>
      <c r="H51" s="173"/>
      <c r="I51" s="173"/>
      <c r="J51" s="173" t="s">
        <v>21</v>
      </c>
      <c r="K51" s="173">
        <v>5000</v>
      </c>
      <c r="L51" s="173" t="s">
        <v>6860</v>
      </c>
      <c r="M51" s="173" t="s">
        <v>6907</v>
      </c>
      <c r="N51" s="173"/>
      <c r="O51" s="173"/>
      <c r="P51" s="173" t="s">
        <v>6884</v>
      </c>
      <c r="Q51" s="173" t="s">
        <v>6885</v>
      </c>
      <c r="R51" s="173"/>
      <c r="S51" s="173"/>
    </row>
    <row r="52" spans="1:19" x14ac:dyDescent="0.25">
      <c r="A52" s="173" t="s">
        <v>408</v>
      </c>
      <c r="B52" s="174">
        <v>44693</v>
      </c>
      <c r="C52" s="173" t="s">
        <v>6861</v>
      </c>
      <c r="D52" s="173" t="s">
        <v>6862</v>
      </c>
      <c r="E52" s="173" t="s">
        <v>4800</v>
      </c>
      <c r="F52" s="173" t="s">
        <v>6059</v>
      </c>
      <c r="G52" s="173" t="s">
        <v>6831</v>
      </c>
      <c r="H52" s="173"/>
      <c r="I52" s="173"/>
      <c r="J52" s="173" t="s">
        <v>21</v>
      </c>
      <c r="K52" s="173">
        <v>12995</v>
      </c>
      <c r="L52" s="173" t="s">
        <v>6863</v>
      </c>
      <c r="M52" s="173" t="s">
        <v>6905</v>
      </c>
      <c r="N52" s="173"/>
      <c r="O52" s="173"/>
      <c r="P52" s="173" t="s">
        <v>6884</v>
      </c>
      <c r="Q52" s="173" t="s">
        <v>6885</v>
      </c>
      <c r="R52" s="173"/>
      <c r="S52" s="173"/>
    </row>
    <row r="53" spans="1:19" x14ac:dyDescent="0.25">
      <c r="A53" s="173" t="s">
        <v>408</v>
      </c>
      <c r="B53" s="174">
        <v>44705</v>
      </c>
      <c r="C53" s="173" t="s">
        <v>6864</v>
      </c>
      <c r="D53" s="173" t="s">
        <v>6857</v>
      </c>
      <c r="E53" s="173" t="s">
        <v>6572</v>
      </c>
      <c r="F53" s="173" t="s">
        <v>6480</v>
      </c>
      <c r="G53" s="173" t="s">
        <v>6478</v>
      </c>
      <c r="H53" s="173"/>
      <c r="I53" s="173"/>
      <c r="J53" s="173" t="s">
        <v>21</v>
      </c>
      <c r="K53" s="173">
        <v>2000</v>
      </c>
      <c r="L53" s="173" t="s">
        <v>6865</v>
      </c>
      <c r="M53" s="173" t="s">
        <v>6908</v>
      </c>
      <c r="N53" s="173"/>
      <c r="O53" s="173"/>
      <c r="P53" s="173" t="s">
        <v>6884</v>
      </c>
      <c r="Q53" s="173" t="s">
        <v>6885</v>
      </c>
      <c r="R53" s="173"/>
      <c r="S53" s="173"/>
    </row>
    <row r="54" spans="1:19" x14ac:dyDescent="0.25">
      <c r="A54" s="173" t="s">
        <v>408</v>
      </c>
      <c r="B54" s="174">
        <v>44705</v>
      </c>
      <c r="C54" s="173" t="s">
        <v>6866</v>
      </c>
      <c r="D54" s="173" t="s">
        <v>6857</v>
      </c>
      <c r="E54" s="173" t="s">
        <v>6572</v>
      </c>
      <c r="F54" s="173" t="s">
        <v>908</v>
      </c>
      <c r="G54" s="173" t="s">
        <v>6867</v>
      </c>
      <c r="H54" s="173"/>
      <c r="I54" s="173"/>
      <c r="J54" s="173" t="s">
        <v>21</v>
      </c>
      <c r="K54" s="173">
        <v>8500</v>
      </c>
      <c r="L54" s="173" t="s">
        <v>6868</v>
      </c>
      <c r="M54" s="173" t="s">
        <v>6908</v>
      </c>
      <c r="N54" s="173"/>
      <c r="O54" s="173"/>
      <c r="P54" s="173" t="s">
        <v>6884</v>
      </c>
      <c r="Q54" s="173" t="s">
        <v>6885</v>
      </c>
      <c r="R54" s="173"/>
      <c r="S54" s="173"/>
    </row>
    <row r="55" spans="1:19" x14ac:dyDescent="0.25">
      <c r="A55" s="173" t="s">
        <v>408</v>
      </c>
      <c r="B55" s="174">
        <v>44705</v>
      </c>
      <c r="C55" s="173" t="s">
        <v>6869</v>
      </c>
      <c r="D55" s="173" t="s">
        <v>6870</v>
      </c>
      <c r="E55" s="173" t="s">
        <v>6871</v>
      </c>
      <c r="F55" s="173" t="s">
        <v>6347</v>
      </c>
      <c r="G55" s="173" t="s">
        <v>6348</v>
      </c>
      <c r="H55" s="173"/>
      <c r="I55" s="173"/>
      <c r="J55" s="173" t="s">
        <v>21</v>
      </c>
      <c r="K55" s="173">
        <v>1395</v>
      </c>
      <c r="L55" s="173" t="s">
        <v>6872</v>
      </c>
      <c r="M55" s="173"/>
      <c r="N55" s="173"/>
      <c r="O55" s="173"/>
      <c r="P55" s="173" t="s">
        <v>6884</v>
      </c>
      <c r="Q55" s="173" t="s">
        <v>6885</v>
      </c>
      <c r="R55" s="173"/>
      <c r="S55" s="173"/>
    </row>
    <row r="56" spans="1:19" x14ac:dyDescent="0.25">
      <c r="A56" s="173" t="s">
        <v>408</v>
      </c>
      <c r="B56" s="174">
        <v>44712</v>
      </c>
      <c r="C56" s="173" t="s">
        <v>6873</v>
      </c>
      <c r="D56" s="173" t="s">
        <v>6857</v>
      </c>
      <c r="E56" s="173" t="s">
        <v>6572</v>
      </c>
      <c r="F56" s="173" t="s">
        <v>6814</v>
      </c>
      <c r="G56" s="173" t="s">
        <v>6815</v>
      </c>
      <c r="H56" s="173"/>
      <c r="I56" s="173"/>
      <c r="J56" s="173" t="s">
        <v>21</v>
      </c>
      <c r="K56" s="173">
        <v>11500</v>
      </c>
      <c r="L56" s="173" t="s">
        <v>6874</v>
      </c>
      <c r="M56" s="173" t="s">
        <v>6901</v>
      </c>
      <c r="N56" s="173"/>
      <c r="O56" s="173"/>
      <c r="P56" s="173" t="s">
        <v>6884</v>
      </c>
      <c r="Q56" s="173" t="s">
        <v>6885</v>
      </c>
      <c r="R56" s="173"/>
      <c r="S56" s="173"/>
    </row>
    <row r="57" spans="1:19" x14ac:dyDescent="0.25">
      <c r="A57" s="173" t="s">
        <v>12</v>
      </c>
      <c r="B57" s="174">
        <v>44727</v>
      </c>
      <c r="C57" s="197" t="s">
        <v>6875</v>
      </c>
      <c r="D57" s="173" t="s">
        <v>6338</v>
      </c>
      <c r="E57" s="173" t="s">
        <v>4800</v>
      </c>
      <c r="F57" s="173" t="s">
        <v>6737</v>
      </c>
      <c r="G57" s="173" t="s">
        <v>6876</v>
      </c>
      <c r="H57" s="173"/>
      <c r="I57" s="173"/>
      <c r="J57" s="173" t="s">
        <v>21</v>
      </c>
      <c r="K57" s="173">
        <v>2300</v>
      </c>
      <c r="L57" s="173" t="s">
        <v>6782</v>
      </c>
      <c r="M57" s="173" t="s">
        <v>6986</v>
      </c>
      <c r="N57" s="173"/>
      <c r="O57" s="173"/>
      <c r="P57" s="173" t="s">
        <v>6884</v>
      </c>
      <c r="Q57" s="173" t="s">
        <v>6885</v>
      </c>
      <c r="R57" s="173"/>
      <c r="S57" s="173"/>
    </row>
    <row r="58" spans="1:19" x14ac:dyDescent="0.25">
      <c r="A58" s="173" t="s">
        <v>408</v>
      </c>
      <c r="B58" s="174">
        <v>44733</v>
      </c>
      <c r="C58" s="173" t="s">
        <v>6877</v>
      </c>
      <c r="D58" s="173" t="s">
        <v>6857</v>
      </c>
      <c r="E58" s="173" t="s">
        <v>6572</v>
      </c>
      <c r="F58" s="173" t="s">
        <v>6778</v>
      </c>
      <c r="G58" s="173" t="s">
        <v>6766</v>
      </c>
      <c r="H58" s="173"/>
      <c r="I58" s="173"/>
      <c r="J58" s="173" t="s">
        <v>21</v>
      </c>
      <c r="K58" s="173">
        <v>5000</v>
      </c>
      <c r="L58" s="173" t="s">
        <v>6878</v>
      </c>
      <c r="M58" s="173" t="s">
        <v>6900</v>
      </c>
      <c r="N58" s="173"/>
      <c r="O58" s="173"/>
      <c r="P58" s="173" t="s">
        <v>6884</v>
      </c>
      <c r="Q58" s="173" t="s">
        <v>6885</v>
      </c>
      <c r="R58" s="173"/>
      <c r="S58" s="173"/>
    </row>
    <row r="59" spans="1:19" x14ac:dyDescent="0.25">
      <c r="A59" s="173" t="s">
        <v>408</v>
      </c>
      <c r="B59" s="174">
        <v>44735</v>
      </c>
      <c r="C59" s="173" t="s">
        <v>6879</v>
      </c>
      <c r="D59" s="173" t="s">
        <v>6857</v>
      </c>
      <c r="E59" s="173" t="s">
        <v>6572</v>
      </c>
      <c r="F59" s="173" t="s">
        <v>6845</v>
      </c>
      <c r="G59" s="173" t="s">
        <v>6846</v>
      </c>
      <c r="H59" s="173"/>
      <c r="I59" s="173"/>
      <c r="J59" s="173" t="s">
        <v>21</v>
      </c>
      <c r="K59" s="173">
        <v>11500</v>
      </c>
      <c r="L59" s="173" t="s">
        <v>6880</v>
      </c>
      <c r="M59" s="173" t="s">
        <v>6909</v>
      </c>
      <c r="N59" s="173"/>
      <c r="O59" s="173"/>
      <c r="P59" s="173" t="s">
        <v>6884</v>
      </c>
      <c r="Q59" s="173" t="s">
        <v>6885</v>
      </c>
      <c r="R59" s="173"/>
      <c r="S59" s="173"/>
    </row>
    <row r="60" spans="1:19" x14ac:dyDescent="0.25">
      <c r="A60" s="173" t="s">
        <v>408</v>
      </c>
      <c r="B60" s="174">
        <v>44739</v>
      </c>
      <c r="C60" s="173" t="s">
        <v>6881</v>
      </c>
      <c r="D60" s="173" t="s">
        <v>6857</v>
      </c>
      <c r="E60" s="173" t="s">
        <v>6572</v>
      </c>
      <c r="F60" s="173" t="s">
        <v>711</v>
      </c>
      <c r="G60" s="173" t="s">
        <v>6768</v>
      </c>
      <c r="H60" s="173"/>
      <c r="I60" s="173"/>
      <c r="J60" s="173" t="s">
        <v>21</v>
      </c>
      <c r="K60" s="173">
        <v>7900</v>
      </c>
      <c r="L60" s="173" t="s">
        <v>6882</v>
      </c>
      <c r="M60" s="173" t="s">
        <v>6899</v>
      </c>
      <c r="N60" s="173"/>
      <c r="O60" s="173"/>
      <c r="P60" s="173" t="s">
        <v>6884</v>
      </c>
      <c r="Q60" s="173" t="s">
        <v>6885</v>
      </c>
      <c r="R60" s="173"/>
      <c r="S60" s="173"/>
    </row>
    <row r="61" spans="1:19" x14ac:dyDescent="0.25">
      <c r="A61" s="173" t="s">
        <v>12</v>
      </c>
      <c r="B61" s="174">
        <v>44783</v>
      </c>
      <c r="C61" s="197" t="s">
        <v>6886</v>
      </c>
      <c r="D61" s="173" t="s">
        <v>6338</v>
      </c>
      <c r="E61" s="173" t="s">
        <v>4800</v>
      </c>
      <c r="F61" s="173" t="s">
        <v>711</v>
      </c>
      <c r="G61" s="173" t="s">
        <v>6940</v>
      </c>
      <c r="H61" s="173"/>
      <c r="I61" s="173"/>
      <c r="J61" s="173" t="s">
        <v>21</v>
      </c>
      <c r="K61" s="173">
        <v>2500</v>
      </c>
      <c r="L61" s="173" t="s">
        <v>6782</v>
      </c>
      <c r="M61" s="173" t="s">
        <v>6903</v>
      </c>
      <c r="N61" s="173"/>
      <c r="O61" s="173"/>
      <c r="P61" s="173" t="s">
        <v>6921</v>
      </c>
      <c r="Q61" s="174">
        <v>44845</v>
      </c>
      <c r="R61" s="173"/>
      <c r="S61" s="173"/>
    </row>
    <row r="62" spans="1:19" x14ac:dyDescent="0.25">
      <c r="A62" s="173" t="s">
        <v>12</v>
      </c>
      <c r="B62" s="174">
        <v>44810</v>
      </c>
      <c r="C62" s="197" t="s">
        <v>6888</v>
      </c>
      <c r="D62" s="173" t="s">
        <v>6338</v>
      </c>
      <c r="E62" s="173" t="s">
        <v>4800</v>
      </c>
      <c r="F62" s="173" t="s">
        <v>6887</v>
      </c>
      <c r="G62" s="173" t="s">
        <v>6956</v>
      </c>
      <c r="H62" s="173"/>
      <c r="I62" s="173"/>
      <c r="J62" s="173" t="s">
        <v>21</v>
      </c>
      <c r="K62" s="173">
        <v>7000</v>
      </c>
      <c r="L62" s="173" t="s">
        <v>6782</v>
      </c>
      <c r="M62" s="173" t="s">
        <v>6903</v>
      </c>
      <c r="N62" s="173"/>
      <c r="O62" s="173"/>
      <c r="P62" s="173" t="s">
        <v>6921</v>
      </c>
      <c r="Q62" s="174">
        <v>44845</v>
      </c>
      <c r="R62" s="173"/>
      <c r="S62" s="173"/>
    </row>
    <row r="63" spans="1:19" x14ac:dyDescent="0.25">
      <c r="A63" s="173" t="s">
        <v>12</v>
      </c>
      <c r="B63" s="174">
        <v>44785</v>
      </c>
      <c r="C63" s="197" t="s">
        <v>6889</v>
      </c>
      <c r="D63" s="173" t="s">
        <v>6338</v>
      </c>
      <c r="E63" s="173" t="s">
        <v>4800</v>
      </c>
      <c r="F63" s="173" t="s">
        <v>5041</v>
      </c>
      <c r="G63" s="173" t="s">
        <v>6890</v>
      </c>
      <c r="H63" s="173"/>
      <c r="I63" s="173"/>
      <c r="J63" s="173" t="s">
        <v>21</v>
      </c>
      <c r="K63" s="173">
        <v>12000</v>
      </c>
      <c r="L63" s="173" t="s">
        <v>6782</v>
      </c>
      <c r="M63" s="173" t="s">
        <v>6903</v>
      </c>
      <c r="N63" s="173"/>
      <c r="O63" s="173"/>
      <c r="P63" s="173" t="s">
        <v>6921</v>
      </c>
      <c r="Q63" s="174">
        <v>44845</v>
      </c>
      <c r="R63" s="173"/>
      <c r="S63" s="173"/>
    </row>
    <row r="64" spans="1:19" x14ac:dyDescent="0.25">
      <c r="A64" s="173" t="s">
        <v>12</v>
      </c>
      <c r="B64" s="174">
        <v>44776</v>
      </c>
      <c r="C64" s="197" t="s">
        <v>6891</v>
      </c>
      <c r="D64" s="173" t="s">
        <v>6338</v>
      </c>
      <c r="E64" s="173" t="s">
        <v>4800</v>
      </c>
      <c r="F64" s="173" t="s">
        <v>6892</v>
      </c>
      <c r="G64" s="173" t="s">
        <v>6893</v>
      </c>
      <c r="H64" s="173"/>
      <c r="I64" s="173"/>
      <c r="J64" s="173" t="s">
        <v>21</v>
      </c>
      <c r="K64" s="173">
        <v>4500</v>
      </c>
      <c r="L64" s="173" t="s">
        <v>6782</v>
      </c>
      <c r="M64" s="173" t="s">
        <v>6903</v>
      </c>
      <c r="N64" s="173"/>
      <c r="O64" s="173"/>
      <c r="P64" s="173" t="s">
        <v>6921</v>
      </c>
      <c r="Q64" s="174">
        <v>44845</v>
      </c>
      <c r="R64" s="173"/>
      <c r="S64" s="173"/>
    </row>
    <row r="65" spans="1:19" x14ac:dyDescent="0.25">
      <c r="A65" s="173" t="s">
        <v>12</v>
      </c>
      <c r="B65" s="174">
        <v>44783</v>
      </c>
      <c r="C65" s="197" t="s">
        <v>6894</v>
      </c>
      <c r="D65" s="173" t="s">
        <v>6338</v>
      </c>
      <c r="E65" s="173" t="s">
        <v>4800</v>
      </c>
      <c r="F65" s="173" t="s">
        <v>3807</v>
      </c>
      <c r="G65" s="173" t="s">
        <v>6895</v>
      </c>
      <c r="H65" s="173"/>
      <c r="I65" s="173"/>
      <c r="J65" s="173" t="s">
        <v>21</v>
      </c>
      <c r="K65" s="173">
        <v>2000</v>
      </c>
      <c r="L65" s="173" t="s">
        <v>7188</v>
      </c>
      <c r="M65" s="173" t="s">
        <v>6903</v>
      </c>
      <c r="N65" s="173"/>
      <c r="O65" s="173"/>
      <c r="P65" s="173" t="s">
        <v>6921</v>
      </c>
      <c r="Q65" s="174">
        <v>44845</v>
      </c>
      <c r="R65" s="173"/>
      <c r="S65" s="173"/>
    </row>
    <row r="66" spans="1:19" x14ac:dyDescent="0.25">
      <c r="A66" s="173" t="s">
        <v>408</v>
      </c>
      <c r="B66" s="174">
        <v>44754</v>
      </c>
      <c r="C66" s="197" t="s">
        <v>6924</v>
      </c>
      <c r="D66" s="173" t="s">
        <v>6912</v>
      </c>
      <c r="E66" s="173" t="s">
        <v>6913</v>
      </c>
      <c r="F66" s="173" t="s">
        <v>6737</v>
      </c>
      <c r="G66" s="173" t="s">
        <v>6736</v>
      </c>
      <c r="H66" s="173"/>
      <c r="I66" s="173"/>
      <c r="J66" s="173" t="s">
        <v>21</v>
      </c>
      <c r="K66" s="173">
        <v>6500</v>
      </c>
      <c r="L66" s="173" t="s">
        <v>6914</v>
      </c>
      <c r="M66" s="173"/>
      <c r="N66" s="173"/>
      <c r="O66" s="173"/>
      <c r="P66" s="173" t="s">
        <v>6921</v>
      </c>
      <c r="Q66" s="174">
        <v>44845</v>
      </c>
      <c r="R66" s="173"/>
      <c r="S66" s="173"/>
    </row>
    <row r="67" spans="1:19" x14ac:dyDescent="0.25">
      <c r="A67" s="173" t="s">
        <v>408</v>
      </c>
      <c r="B67" s="174">
        <v>44803</v>
      </c>
      <c r="C67" s="197" t="s">
        <v>6925</v>
      </c>
      <c r="D67" s="173" t="s">
        <v>6857</v>
      </c>
      <c r="E67" s="173" t="s">
        <v>6572</v>
      </c>
      <c r="F67" s="173" t="s">
        <v>6842</v>
      </c>
      <c r="G67" s="173" t="s">
        <v>6843</v>
      </c>
      <c r="H67" s="173"/>
      <c r="I67" s="173"/>
      <c r="J67" s="173" t="s">
        <v>21</v>
      </c>
      <c r="K67" s="173">
        <v>6000</v>
      </c>
      <c r="L67" s="173" t="s">
        <v>6915</v>
      </c>
      <c r="M67" s="173"/>
      <c r="N67" s="173"/>
      <c r="O67" s="173"/>
      <c r="P67" s="173" t="s">
        <v>6921</v>
      </c>
      <c r="Q67" s="174">
        <v>44845</v>
      </c>
      <c r="R67" s="173"/>
      <c r="S67" s="173"/>
    </row>
    <row r="68" spans="1:19" x14ac:dyDescent="0.25">
      <c r="A68" s="173" t="s">
        <v>408</v>
      </c>
      <c r="B68" s="174">
        <v>44805</v>
      </c>
      <c r="C68" s="197" t="s">
        <v>6926</v>
      </c>
      <c r="D68" s="173" t="s">
        <v>6857</v>
      </c>
      <c r="E68" s="173" t="s">
        <v>6572</v>
      </c>
      <c r="F68" s="173" t="s">
        <v>6737</v>
      </c>
      <c r="G68" s="173" t="s">
        <v>6876</v>
      </c>
      <c r="H68" s="173"/>
      <c r="I68" s="173"/>
      <c r="J68" s="173" t="s">
        <v>21</v>
      </c>
      <c r="K68" s="173">
        <v>9300</v>
      </c>
      <c r="L68" s="173" t="s">
        <v>6880</v>
      </c>
      <c r="M68" s="173"/>
      <c r="N68" s="173"/>
      <c r="O68" s="173"/>
      <c r="P68" s="173" t="s">
        <v>6921</v>
      </c>
      <c r="Q68" s="174">
        <v>44845</v>
      </c>
      <c r="R68" s="173"/>
      <c r="S68" s="173"/>
    </row>
    <row r="69" spans="1:19" x14ac:dyDescent="0.25">
      <c r="A69" s="173" t="s">
        <v>408</v>
      </c>
      <c r="B69" s="174">
        <v>44805</v>
      </c>
      <c r="C69" s="197" t="s">
        <v>6927</v>
      </c>
      <c r="D69" s="173" t="s">
        <v>2931</v>
      </c>
      <c r="E69" s="173" t="s">
        <v>6061</v>
      </c>
      <c r="F69" s="173" t="s">
        <v>4054</v>
      </c>
      <c r="G69" s="173" t="s">
        <v>6677</v>
      </c>
      <c r="H69" s="173"/>
      <c r="I69" s="173"/>
      <c r="J69" s="173" t="s">
        <v>21</v>
      </c>
      <c r="K69" s="173">
        <v>8500</v>
      </c>
      <c r="L69" s="173" t="s">
        <v>6916</v>
      </c>
      <c r="M69" s="173"/>
      <c r="N69" s="173"/>
      <c r="O69" s="173"/>
      <c r="P69" s="173" t="s">
        <v>6921</v>
      </c>
      <c r="Q69" s="174">
        <v>44845</v>
      </c>
      <c r="R69" s="173"/>
      <c r="S69" s="173"/>
    </row>
    <row r="70" spans="1:19" x14ac:dyDescent="0.25">
      <c r="A70" s="173" t="s">
        <v>408</v>
      </c>
      <c r="B70" s="174">
        <v>44810</v>
      </c>
      <c r="C70" s="197" t="s">
        <v>6928</v>
      </c>
      <c r="D70" s="173" t="s">
        <v>6917</v>
      </c>
      <c r="E70" s="173" t="s">
        <v>6918</v>
      </c>
      <c r="F70" s="173" t="s">
        <v>6839</v>
      </c>
      <c r="G70" s="173" t="s">
        <v>6840</v>
      </c>
      <c r="H70" s="173"/>
      <c r="I70" s="173"/>
      <c r="J70" s="173" t="s">
        <v>21</v>
      </c>
      <c r="K70" s="173">
        <v>16495</v>
      </c>
      <c r="L70" s="173" t="s">
        <v>6920</v>
      </c>
      <c r="M70" s="173" t="s">
        <v>6919</v>
      </c>
      <c r="N70" s="173"/>
      <c r="O70" s="173"/>
      <c r="P70" s="173" t="s">
        <v>6921</v>
      </c>
      <c r="Q70" s="174">
        <v>44845</v>
      </c>
      <c r="R70" s="173"/>
      <c r="S70" s="173"/>
    </row>
    <row r="71" spans="1:19" x14ac:dyDescent="0.25">
      <c r="A71" s="173" t="s">
        <v>12</v>
      </c>
      <c r="B71" s="174">
        <v>44859</v>
      </c>
      <c r="C71" s="197" t="s">
        <v>6922</v>
      </c>
      <c r="D71" s="173" t="s">
        <v>6338</v>
      </c>
      <c r="E71" s="173" t="s">
        <v>4800</v>
      </c>
      <c r="F71" s="173" t="s">
        <v>5041</v>
      </c>
      <c r="G71" s="173" t="s">
        <v>6923</v>
      </c>
      <c r="H71" s="173">
        <v>5785.12</v>
      </c>
      <c r="I71" s="173">
        <f>+H71*0.21</f>
        <v>1214.8751999999999</v>
      </c>
      <c r="J71" s="173" t="s">
        <v>21</v>
      </c>
      <c r="K71" s="176">
        <f>+H71+I71</f>
        <v>6999.9951999999994</v>
      </c>
      <c r="L71" s="173" t="s">
        <v>7012</v>
      </c>
      <c r="M71" s="173" t="s">
        <v>6987</v>
      </c>
      <c r="N71" s="173"/>
      <c r="O71" s="173"/>
      <c r="P71" s="173" t="s">
        <v>6939</v>
      </c>
      <c r="Q71" s="174">
        <v>44892</v>
      </c>
      <c r="R71" s="173" t="s">
        <v>3791</v>
      </c>
      <c r="S71" s="173"/>
    </row>
    <row r="72" spans="1:19" x14ac:dyDescent="0.25">
      <c r="A72" s="173" t="s">
        <v>12</v>
      </c>
      <c r="B72" s="174">
        <v>44859</v>
      </c>
      <c r="C72" s="197" t="s">
        <v>6929</v>
      </c>
      <c r="D72" s="173" t="s">
        <v>6338</v>
      </c>
      <c r="E72" s="173" t="s">
        <v>4800</v>
      </c>
      <c r="F72" s="173" t="s">
        <v>377</v>
      </c>
      <c r="G72" s="173" t="s">
        <v>6930</v>
      </c>
      <c r="H72" s="173"/>
      <c r="I72" s="173"/>
      <c r="J72" s="173" t="s">
        <v>21</v>
      </c>
      <c r="K72" s="173">
        <v>4700</v>
      </c>
      <c r="L72" s="173" t="s">
        <v>6782</v>
      </c>
      <c r="M72" s="173" t="s">
        <v>6993</v>
      </c>
      <c r="N72" s="173"/>
      <c r="O72" s="173"/>
      <c r="P72" s="173" t="s">
        <v>6939</v>
      </c>
      <c r="Q72" s="174">
        <v>44892</v>
      </c>
      <c r="R72" s="173" t="s">
        <v>3186</v>
      </c>
      <c r="S72" s="173"/>
    </row>
    <row r="73" spans="1:19" x14ac:dyDescent="0.25">
      <c r="A73" s="173" t="s">
        <v>408</v>
      </c>
      <c r="B73" s="174">
        <v>44867</v>
      </c>
      <c r="C73" s="197" t="s">
        <v>6931</v>
      </c>
      <c r="D73" s="173" t="s">
        <v>6857</v>
      </c>
      <c r="E73" s="173" t="s">
        <v>6572</v>
      </c>
      <c r="F73" s="173" t="s">
        <v>377</v>
      </c>
      <c r="G73" s="173" t="s">
        <v>6930</v>
      </c>
      <c r="H73" s="173"/>
      <c r="I73" s="173"/>
      <c r="J73" s="173" t="s">
        <v>21</v>
      </c>
      <c r="K73" s="173">
        <v>6000</v>
      </c>
      <c r="L73" s="173" t="s">
        <v>6932</v>
      </c>
      <c r="M73" s="173" t="s">
        <v>6988</v>
      </c>
      <c r="N73" s="173"/>
      <c r="O73" s="173"/>
      <c r="P73" s="173" t="s">
        <v>6939</v>
      </c>
      <c r="Q73" s="174">
        <v>44892</v>
      </c>
      <c r="R73" s="173" t="s">
        <v>3186</v>
      </c>
      <c r="S73" s="173"/>
    </row>
    <row r="74" spans="1:19" x14ac:dyDescent="0.25">
      <c r="A74" s="173" t="s">
        <v>408</v>
      </c>
      <c r="B74" s="174">
        <v>44868</v>
      </c>
      <c r="C74" s="197" t="s">
        <v>6933</v>
      </c>
      <c r="D74" s="173" t="s">
        <v>6934</v>
      </c>
      <c r="E74" s="173" t="s">
        <v>6935</v>
      </c>
      <c r="F74" s="173" t="s">
        <v>711</v>
      </c>
      <c r="G74" s="173" t="s">
        <v>6940</v>
      </c>
      <c r="H74" s="173"/>
      <c r="I74" s="173"/>
      <c r="J74" s="173" t="s">
        <v>21</v>
      </c>
      <c r="K74" s="173">
        <v>5000</v>
      </c>
      <c r="L74" s="173" t="s">
        <v>6936</v>
      </c>
      <c r="M74" s="173"/>
      <c r="N74" s="173"/>
      <c r="O74" s="173"/>
      <c r="P74" s="173" t="s">
        <v>6939</v>
      </c>
      <c r="Q74" s="174">
        <v>44892</v>
      </c>
      <c r="R74" s="173" t="s">
        <v>3186</v>
      </c>
      <c r="S74" s="173"/>
    </row>
    <row r="75" spans="1:19" x14ac:dyDescent="0.25">
      <c r="A75" s="173" t="s">
        <v>408</v>
      </c>
      <c r="B75" s="174">
        <v>44881</v>
      </c>
      <c r="C75" s="197" t="s">
        <v>6937</v>
      </c>
      <c r="D75" s="173" t="s">
        <v>2931</v>
      </c>
      <c r="E75" s="173" t="s">
        <v>2352</v>
      </c>
      <c r="F75" s="173" t="s">
        <v>5041</v>
      </c>
      <c r="G75" s="173" t="s">
        <v>6890</v>
      </c>
      <c r="H75" s="173"/>
      <c r="I75" s="173"/>
      <c r="J75" s="173" t="s">
        <v>21</v>
      </c>
      <c r="K75" s="173">
        <v>12200</v>
      </c>
      <c r="L75" s="173" t="s">
        <v>6938</v>
      </c>
      <c r="M75" s="173" t="s">
        <v>6989</v>
      </c>
      <c r="N75" s="173"/>
      <c r="O75" s="173"/>
      <c r="P75" s="173" t="s">
        <v>6939</v>
      </c>
      <c r="Q75" s="174">
        <v>44892</v>
      </c>
      <c r="R75" s="173" t="s">
        <v>3186</v>
      </c>
      <c r="S75" s="173"/>
    </row>
    <row r="76" spans="1:19" x14ac:dyDescent="0.25">
      <c r="A76" s="173" t="s">
        <v>12</v>
      </c>
      <c r="B76" s="174">
        <v>44895</v>
      </c>
      <c r="C76" s="197" t="s">
        <v>6941</v>
      </c>
      <c r="D76" s="173" t="s">
        <v>6338</v>
      </c>
      <c r="E76" s="173" t="s">
        <v>4800</v>
      </c>
      <c r="F76" s="173" t="s">
        <v>6942</v>
      </c>
      <c r="G76" s="173" t="s">
        <v>6943</v>
      </c>
      <c r="H76" s="173"/>
      <c r="I76" s="173"/>
      <c r="J76" s="173" t="s">
        <v>21</v>
      </c>
      <c r="K76" s="173">
        <v>17000</v>
      </c>
      <c r="L76" s="173" t="s">
        <v>7012</v>
      </c>
      <c r="M76" s="173" t="s">
        <v>6994</v>
      </c>
      <c r="N76" s="173"/>
      <c r="O76" s="173"/>
      <c r="P76" s="173" t="s">
        <v>6954</v>
      </c>
      <c r="Q76" s="174">
        <v>44941</v>
      </c>
      <c r="R76" s="173" t="s">
        <v>3186</v>
      </c>
      <c r="S76" s="173"/>
    </row>
    <row r="77" spans="1:19" x14ac:dyDescent="0.25">
      <c r="A77" s="173" t="s">
        <v>12</v>
      </c>
      <c r="B77" s="174">
        <v>44900</v>
      </c>
      <c r="C77" s="197" t="s">
        <v>6944</v>
      </c>
      <c r="D77" s="173" t="s">
        <v>6338</v>
      </c>
      <c r="E77" s="173" t="s">
        <v>4800</v>
      </c>
      <c r="F77" s="173" t="s">
        <v>6945</v>
      </c>
      <c r="G77" s="173" t="s">
        <v>6946</v>
      </c>
      <c r="H77" s="173"/>
      <c r="I77" s="173"/>
      <c r="J77" s="173" t="s">
        <v>21</v>
      </c>
      <c r="K77" s="173">
        <v>800</v>
      </c>
      <c r="L77" s="173" t="s">
        <v>7012</v>
      </c>
      <c r="M77" s="173" t="s">
        <v>6996</v>
      </c>
      <c r="N77" s="173"/>
      <c r="O77" s="173"/>
      <c r="P77" s="173" t="s">
        <v>6954</v>
      </c>
      <c r="Q77" s="174">
        <v>44941</v>
      </c>
      <c r="R77" s="173" t="s">
        <v>3186</v>
      </c>
      <c r="S77" s="173"/>
    </row>
    <row r="78" spans="1:19" x14ac:dyDescent="0.25">
      <c r="A78" s="173" t="s">
        <v>408</v>
      </c>
      <c r="B78" s="174">
        <v>44902</v>
      </c>
      <c r="C78" s="197" t="s">
        <v>6947</v>
      </c>
      <c r="D78" s="173" t="s">
        <v>6948</v>
      </c>
      <c r="E78" s="173" t="s">
        <v>6949</v>
      </c>
      <c r="F78" s="173" t="s">
        <v>6892</v>
      </c>
      <c r="G78" s="173" t="s">
        <v>6893</v>
      </c>
      <c r="H78" s="173"/>
      <c r="I78" s="173"/>
      <c r="J78" s="173" t="s">
        <v>21</v>
      </c>
      <c r="K78" s="173">
        <v>10495</v>
      </c>
      <c r="L78" s="173" t="s">
        <v>6950</v>
      </c>
      <c r="M78" s="173" t="s">
        <v>6991</v>
      </c>
      <c r="N78" s="173"/>
      <c r="O78" s="173"/>
      <c r="P78" s="173" t="s">
        <v>6954</v>
      </c>
      <c r="Q78" s="174">
        <v>44941</v>
      </c>
      <c r="R78" s="173" t="s">
        <v>3186</v>
      </c>
      <c r="S78" s="173"/>
    </row>
    <row r="79" spans="1:19" x14ac:dyDescent="0.25">
      <c r="A79" s="173" t="s">
        <v>12</v>
      </c>
      <c r="B79" s="174">
        <v>44911</v>
      </c>
      <c r="C79" s="242" t="s">
        <v>6951</v>
      </c>
      <c r="D79" s="173" t="s">
        <v>6338</v>
      </c>
      <c r="E79" s="173" t="s">
        <v>4800</v>
      </c>
      <c r="F79" s="173" t="s">
        <v>6952</v>
      </c>
      <c r="G79" s="173" t="s">
        <v>6953</v>
      </c>
      <c r="H79" s="173"/>
      <c r="I79" s="173"/>
      <c r="J79" s="173" t="s">
        <v>21</v>
      </c>
      <c r="K79" s="173">
        <v>14300</v>
      </c>
      <c r="L79" s="173" t="s">
        <v>7012</v>
      </c>
      <c r="M79" s="173" t="s">
        <v>6995</v>
      </c>
      <c r="N79" s="173"/>
      <c r="O79" s="173"/>
      <c r="P79" s="173" t="s">
        <v>6954</v>
      </c>
      <c r="Q79" s="174">
        <v>44941</v>
      </c>
      <c r="R79" s="173" t="s">
        <v>3186</v>
      </c>
      <c r="S79" s="173"/>
    </row>
    <row r="80" spans="1:19" x14ac:dyDescent="0.25">
      <c r="A80" s="173" t="s">
        <v>408</v>
      </c>
      <c r="B80" s="174">
        <v>44909</v>
      </c>
      <c r="C80" s="197" t="s">
        <v>6957</v>
      </c>
      <c r="D80" s="173" t="s">
        <v>2931</v>
      </c>
      <c r="E80" s="173" t="s">
        <v>2352</v>
      </c>
      <c r="F80" s="173" t="s">
        <v>6887</v>
      </c>
      <c r="G80" s="173" t="s">
        <v>6956</v>
      </c>
      <c r="H80" s="173"/>
      <c r="I80" s="173"/>
      <c r="J80" s="173" t="s">
        <v>21</v>
      </c>
      <c r="K80" s="173">
        <v>11800</v>
      </c>
      <c r="L80" s="173" t="s">
        <v>6958</v>
      </c>
      <c r="M80" s="173" t="s">
        <v>6990</v>
      </c>
      <c r="N80" s="173"/>
      <c r="O80" s="173"/>
      <c r="P80" s="173" t="s">
        <v>6939</v>
      </c>
      <c r="Q80" s="174">
        <v>44943</v>
      </c>
      <c r="R80" s="173" t="s">
        <v>3186</v>
      </c>
      <c r="S80" s="173"/>
    </row>
    <row r="81" spans="1:19" x14ac:dyDescent="0.25">
      <c r="A81" s="173" t="s">
        <v>12</v>
      </c>
      <c r="B81" s="174">
        <v>44903</v>
      </c>
      <c r="C81" s="197" t="s">
        <v>951</v>
      </c>
      <c r="D81" s="173" t="s">
        <v>6959</v>
      </c>
      <c r="E81" s="173" t="s">
        <v>6960</v>
      </c>
      <c r="F81" s="173" t="s">
        <v>2718</v>
      </c>
      <c r="G81" s="173" t="s">
        <v>6961</v>
      </c>
      <c r="H81" s="173"/>
      <c r="I81" s="173"/>
      <c r="J81" s="173" t="s">
        <v>21</v>
      </c>
      <c r="K81" s="173">
        <v>200</v>
      </c>
      <c r="L81" s="173" t="s">
        <v>6782</v>
      </c>
      <c r="M81" s="173"/>
      <c r="N81" s="173"/>
      <c r="O81" s="173"/>
      <c r="P81" s="173" t="s">
        <v>6939</v>
      </c>
      <c r="Q81" s="174">
        <v>44943</v>
      </c>
      <c r="R81" s="173"/>
      <c r="S81" s="173"/>
    </row>
    <row r="82" spans="1:19" x14ac:dyDescent="0.25">
      <c r="A82" s="173" t="s">
        <v>408</v>
      </c>
      <c r="B82" s="174">
        <v>44903</v>
      </c>
      <c r="C82" s="197" t="s">
        <v>6962</v>
      </c>
      <c r="D82" s="173" t="s">
        <v>6963</v>
      </c>
      <c r="E82" s="173" t="s">
        <v>6964</v>
      </c>
      <c r="F82" s="173" t="s">
        <v>2718</v>
      </c>
      <c r="G82" s="173" t="s">
        <v>6961</v>
      </c>
      <c r="H82" s="173"/>
      <c r="I82" s="173"/>
      <c r="J82" s="173" t="s">
        <v>21</v>
      </c>
      <c r="K82" s="173">
        <v>250</v>
      </c>
      <c r="L82" s="173" t="s">
        <v>6965</v>
      </c>
      <c r="M82" s="173"/>
      <c r="N82" s="173"/>
      <c r="O82" s="173"/>
      <c r="P82" s="173" t="s">
        <v>6939</v>
      </c>
      <c r="Q82" s="174">
        <v>44943</v>
      </c>
      <c r="R82" s="173"/>
      <c r="S82" s="173"/>
    </row>
    <row r="83" spans="1:19" x14ac:dyDescent="0.25">
      <c r="A83" s="173" t="s">
        <v>12</v>
      </c>
      <c r="B83" s="174">
        <v>44895</v>
      </c>
      <c r="C83" s="197" t="s">
        <v>6966</v>
      </c>
      <c r="D83" s="173" t="s">
        <v>6338</v>
      </c>
      <c r="E83" s="173" t="s">
        <v>4800</v>
      </c>
      <c r="F83" s="173" t="s">
        <v>5041</v>
      </c>
      <c r="G83" s="173" t="s">
        <v>6967</v>
      </c>
      <c r="H83" s="173">
        <v>5785.12</v>
      </c>
      <c r="I83" s="173">
        <f>+H83*0.21</f>
        <v>1214.8751999999999</v>
      </c>
      <c r="J83" s="173"/>
      <c r="K83" s="176">
        <f>+H83+I83</f>
        <v>6999.9951999999994</v>
      </c>
      <c r="L83" s="173" t="s">
        <v>7012</v>
      </c>
      <c r="M83" s="173" t="s">
        <v>6995</v>
      </c>
      <c r="N83" s="173"/>
      <c r="O83" s="173"/>
      <c r="P83" s="173" t="s">
        <v>6939</v>
      </c>
      <c r="Q83" s="174">
        <v>44943</v>
      </c>
      <c r="R83" s="173" t="s">
        <v>3186</v>
      </c>
      <c r="S83" s="173"/>
    </row>
    <row r="84" spans="1:19" x14ac:dyDescent="0.25">
      <c r="A84" s="173" t="s">
        <v>12</v>
      </c>
      <c r="B84" s="174">
        <v>44873</v>
      </c>
      <c r="C84" s="197" t="s">
        <v>951</v>
      </c>
      <c r="D84" s="173" t="s">
        <v>6969</v>
      </c>
      <c r="E84" s="173" t="s">
        <v>6970</v>
      </c>
      <c r="F84" s="173" t="s">
        <v>368</v>
      </c>
      <c r="G84" s="173" t="s">
        <v>6971</v>
      </c>
      <c r="H84" s="173"/>
      <c r="I84" s="173"/>
      <c r="J84" s="173" t="s">
        <v>21</v>
      </c>
      <c r="K84" s="173">
        <v>8400</v>
      </c>
      <c r="L84" s="173" t="s">
        <v>7012</v>
      </c>
      <c r="M84" s="173" t="s">
        <v>6992</v>
      </c>
      <c r="N84" s="173"/>
      <c r="O84" s="173"/>
      <c r="P84" s="173" t="s">
        <v>6939</v>
      </c>
      <c r="Q84" s="174">
        <v>44943</v>
      </c>
      <c r="R84" s="173" t="s">
        <v>3186</v>
      </c>
      <c r="S84" s="173"/>
    </row>
    <row r="85" spans="1:19" x14ac:dyDescent="0.25">
      <c r="A85" s="173" t="s">
        <v>408</v>
      </c>
      <c r="B85" s="174">
        <v>44575</v>
      </c>
      <c r="C85" s="243" t="s">
        <v>6973</v>
      </c>
      <c r="D85" s="173" t="s">
        <v>6974</v>
      </c>
      <c r="E85" s="173" t="s">
        <v>6975</v>
      </c>
      <c r="F85" s="173" t="s">
        <v>390</v>
      </c>
      <c r="G85" s="173" t="s">
        <v>6742</v>
      </c>
      <c r="H85" s="173"/>
      <c r="I85" s="173"/>
      <c r="J85" s="173" t="s">
        <v>21</v>
      </c>
      <c r="K85" s="173">
        <v>5700</v>
      </c>
      <c r="L85" s="173" t="s">
        <v>6968</v>
      </c>
      <c r="M85" s="173"/>
      <c r="N85" s="173"/>
      <c r="O85" s="173"/>
      <c r="P85" s="173" t="s">
        <v>6939</v>
      </c>
      <c r="Q85" s="174">
        <v>44943</v>
      </c>
      <c r="R85" s="173"/>
      <c r="S85" s="173"/>
    </row>
    <row r="86" spans="1:19" x14ac:dyDescent="0.25">
      <c r="A86" s="173" t="s">
        <v>408</v>
      </c>
      <c r="B86" s="174">
        <v>44949</v>
      </c>
      <c r="C86" s="195" t="s">
        <v>7161</v>
      </c>
      <c r="D86" s="173" t="s">
        <v>6997</v>
      </c>
      <c r="E86" s="173" t="s">
        <v>6998</v>
      </c>
      <c r="F86" s="173" t="s">
        <v>6836</v>
      </c>
      <c r="G86" s="173" t="s">
        <v>6837</v>
      </c>
      <c r="H86" s="173"/>
      <c r="I86" s="173"/>
      <c r="J86" s="173" t="s">
        <v>21</v>
      </c>
      <c r="K86" s="235">
        <v>5800</v>
      </c>
      <c r="L86" s="173" t="s">
        <v>6920</v>
      </c>
      <c r="M86" s="173" t="s">
        <v>7162</v>
      </c>
      <c r="N86" s="173"/>
      <c r="O86" s="173"/>
      <c r="P86" s="173" t="s">
        <v>7016</v>
      </c>
      <c r="Q86" s="174">
        <v>45005</v>
      </c>
      <c r="R86" s="173" t="s">
        <v>3186</v>
      </c>
      <c r="S86" s="173"/>
    </row>
    <row r="87" spans="1:19" x14ac:dyDescent="0.25">
      <c r="A87" s="173" t="s">
        <v>12</v>
      </c>
      <c r="B87" s="174">
        <v>44981</v>
      </c>
      <c r="C87" s="197" t="s">
        <v>6999</v>
      </c>
      <c r="D87" s="173" t="s">
        <v>6338</v>
      </c>
      <c r="E87" s="173" t="s">
        <v>4800</v>
      </c>
      <c r="F87" s="173" t="s">
        <v>7000</v>
      </c>
      <c r="G87" s="173" t="s">
        <v>7001</v>
      </c>
      <c r="H87" s="173">
        <v>300</v>
      </c>
      <c r="I87" s="173"/>
      <c r="J87" s="173" t="s">
        <v>21</v>
      </c>
      <c r="K87" s="173">
        <v>300</v>
      </c>
      <c r="L87" s="173" t="s">
        <v>7012</v>
      </c>
      <c r="M87" s="173"/>
      <c r="N87" s="173"/>
      <c r="O87" s="173"/>
      <c r="P87" s="173" t="s">
        <v>7016</v>
      </c>
      <c r="Q87" s="174">
        <v>45005</v>
      </c>
      <c r="R87" s="173"/>
      <c r="S87" s="173"/>
    </row>
    <row r="88" spans="1:19" x14ac:dyDescent="0.25">
      <c r="A88" s="173" t="s">
        <v>12</v>
      </c>
      <c r="B88" s="174">
        <v>44957</v>
      </c>
      <c r="C88" s="197" t="s">
        <v>7002</v>
      </c>
      <c r="D88" s="173" t="s">
        <v>6338</v>
      </c>
      <c r="E88" s="173" t="s">
        <v>4800</v>
      </c>
      <c r="F88" s="173" t="s">
        <v>7004</v>
      </c>
      <c r="G88" s="173" t="s">
        <v>7003</v>
      </c>
      <c r="H88" s="173">
        <v>9400</v>
      </c>
      <c r="I88" s="173"/>
      <c r="J88" s="173" t="s">
        <v>21</v>
      </c>
      <c r="K88" s="173">
        <v>9400</v>
      </c>
      <c r="L88" s="173" t="s">
        <v>7012</v>
      </c>
      <c r="M88" s="173"/>
      <c r="N88" s="173"/>
      <c r="O88" s="173"/>
      <c r="P88" s="173" t="s">
        <v>7016</v>
      </c>
      <c r="Q88" s="174">
        <v>45005</v>
      </c>
      <c r="R88" s="173"/>
      <c r="S88" s="173"/>
    </row>
    <row r="89" spans="1:19" x14ac:dyDescent="0.25">
      <c r="A89" s="173" t="s">
        <v>12</v>
      </c>
      <c r="B89" s="174">
        <v>44980</v>
      </c>
      <c r="C89" s="197" t="s">
        <v>7005</v>
      </c>
      <c r="D89" s="173" t="s">
        <v>6338</v>
      </c>
      <c r="E89" s="173" t="s">
        <v>4800</v>
      </c>
      <c r="F89" s="173" t="s">
        <v>377</v>
      </c>
      <c r="G89" s="173" t="s">
        <v>7006</v>
      </c>
      <c r="H89" s="173">
        <v>3000</v>
      </c>
      <c r="I89" s="173"/>
      <c r="J89" s="173" t="s">
        <v>21</v>
      </c>
      <c r="K89" s="173">
        <v>3000</v>
      </c>
      <c r="L89" s="173" t="s">
        <v>7012</v>
      </c>
      <c r="M89" s="173"/>
      <c r="N89" s="173"/>
      <c r="O89" s="173"/>
      <c r="P89" s="173" t="s">
        <v>7016</v>
      </c>
      <c r="Q89" s="174">
        <v>45005</v>
      </c>
      <c r="R89" s="173"/>
      <c r="S89" s="173"/>
    </row>
    <row r="90" spans="1:19" x14ac:dyDescent="0.25">
      <c r="A90" s="173" t="s">
        <v>12</v>
      </c>
      <c r="B90" s="174">
        <v>44983</v>
      </c>
      <c r="C90" s="197" t="s">
        <v>7007</v>
      </c>
      <c r="D90" s="173" t="s">
        <v>6338</v>
      </c>
      <c r="E90" s="173" t="s">
        <v>4800</v>
      </c>
      <c r="F90" s="173" t="s">
        <v>394</v>
      </c>
      <c r="G90" s="173" t="s">
        <v>7008</v>
      </c>
      <c r="H90" s="173">
        <v>8500</v>
      </c>
      <c r="I90" s="173"/>
      <c r="J90" s="173" t="s">
        <v>21</v>
      </c>
      <c r="K90" s="173">
        <v>8500</v>
      </c>
      <c r="L90" s="173" t="s">
        <v>7012</v>
      </c>
      <c r="M90" s="173"/>
      <c r="N90" s="173"/>
      <c r="O90" s="173"/>
      <c r="P90" s="173" t="s">
        <v>7016</v>
      </c>
      <c r="Q90" s="174">
        <v>45005</v>
      </c>
      <c r="R90" s="173"/>
      <c r="S90" s="173"/>
    </row>
    <row r="91" spans="1:19" x14ac:dyDescent="0.25">
      <c r="A91" s="173" t="s">
        <v>408</v>
      </c>
      <c r="B91" s="174">
        <v>44978</v>
      </c>
      <c r="C91" s="197">
        <v>23011</v>
      </c>
      <c r="D91" s="173" t="s">
        <v>7009</v>
      </c>
      <c r="E91" s="173" t="s">
        <v>7010</v>
      </c>
      <c r="F91" s="173" t="s">
        <v>2740</v>
      </c>
      <c r="G91" s="173" t="s">
        <v>6776</v>
      </c>
      <c r="H91" s="176">
        <f>10175/1.21</f>
        <v>8409.0909090909099</v>
      </c>
      <c r="I91" s="173">
        <f>+H91*0.21</f>
        <v>1765.909090909091</v>
      </c>
      <c r="J91" s="173"/>
      <c r="K91" s="235">
        <f>+H91+I91</f>
        <v>10175</v>
      </c>
      <c r="L91" s="173" t="s">
        <v>7011</v>
      </c>
      <c r="M91" s="173"/>
      <c r="N91" s="173"/>
      <c r="O91" s="173"/>
      <c r="P91" s="173" t="s">
        <v>7016</v>
      </c>
      <c r="Q91" s="174">
        <v>45005</v>
      </c>
      <c r="R91" s="173"/>
      <c r="S91" s="173"/>
    </row>
    <row r="92" spans="1:19" x14ac:dyDescent="0.25">
      <c r="A92" s="173" t="s">
        <v>408</v>
      </c>
      <c r="B92" s="174">
        <v>45002</v>
      </c>
      <c r="C92" s="197">
        <v>23012</v>
      </c>
      <c r="D92" s="173" t="s">
        <v>7013</v>
      </c>
      <c r="E92" s="173" t="s">
        <v>7014</v>
      </c>
      <c r="F92" s="173" t="s">
        <v>5041</v>
      </c>
      <c r="G92" s="173" t="s">
        <v>6967</v>
      </c>
      <c r="H92" s="176">
        <f>7500/1.21</f>
        <v>6198.3471074380168</v>
      </c>
      <c r="I92" s="173">
        <f>+H92*0.21</f>
        <v>1301.6528925619834</v>
      </c>
      <c r="J92" s="173"/>
      <c r="K92" s="235">
        <f>+H92+I92</f>
        <v>7500</v>
      </c>
      <c r="L92" s="173" t="s">
        <v>7015</v>
      </c>
      <c r="M92" s="173" t="s">
        <v>7028</v>
      </c>
      <c r="N92" s="173"/>
      <c r="O92" s="173"/>
      <c r="P92" s="173" t="s">
        <v>7016</v>
      </c>
      <c r="Q92" s="174">
        <v>45005</v>
      </c>
      <c r="R92" s="173" t="s">
        <v>3791</v>
      </c>
      <c r="S92" s="173"/>
    </row>
    <row r="93" spans="1:19" x14ac:dyDescent="0.25">
      <c r="A93" s="173" t="s">
        <v>12</v>
      </c>
      <c r="B93" s="174">
        <v>45006</v>
      </c>
      <c r="C93" s="197" t="s">
        <v>7017</v>
      </c>
      <c r="D93" s="173" t="s">
        <v>6338</v>
      </c>
      <c r="E93" s="173" t="s">
        <v>4800</v>
      </c>
      <c r="F93" s="173" t="s">
        <v>5193</v>
      </c>
      <c r="G93" s="173" t="s">
        <v>7018</v>
      </c>
      <c r="H93" s="173">
        <v>10500</v>
      </c>
      <c r="I93" s="173"/>
      <c r="J93" s="173" t="s">
        <v>21</v>
      </c>
      <c r="K93" s="173">
        <v>10500</v>
      </c>
      <c r="L93" s="173" t="s">
        <v>7012</v>
      </c>
      <c r="M93" s="173" t="s">
        <v>7024</v>
      </c>
      <c r="N93" s="173"/>
      <c r="O93" s="173"/>
      <c r="P93" s="173" t="s">
        <v>7016</v>
      </c>
      <c r="Q93" s="174">
        <v>45026</v>
      </c>
      <c r="R93" s="173" t="s">
        <v>3186</v>
      </c>
      <c r="S93" s="173"/>
    </row>
    <row r="94" spans="1:19" x14ac:dyDescent="0.25">
      <c r="A94" s="173" t="s">
        <v>12</v>
      </c>
      <c r="B94" s="174">
        <v>45014</v>
      </c>
      <c r="C94" s="197" t="s">
        <v>7021</v>
      </c>
      <c r="D94" s="173" t="s">
        <v>6338</v>
      </c>
      <c r="E94" s="173" t="s">
        <v>4800</v>
      </c>
      <c r="F94" s="173" t="s">
        <v>7022</v>
      </c>
      <c r="G94" s="173" t="s">
        <v>7023</v>
      </c>
      <c r="H94" s="173">
        <v>850</v>
      </c>
      <c r="I94" s="173"/>
      <c r="J94" s="173" t="s">
        <v>21</v>
      </c>
      <c r="K94" s="173">
        <v>850</v>
      </c>
      <c r="L94" s="173" t="s">
        <v>7188</v>
      </c>
      <c r="M94" s="173" t="s">
        <v>6259</v>
      </c>
      <c r="N94" s="173"/>
      <c r="O94" s="173"/>
      <c r="P94" s="173" t="s">
        <v>7016</v>
      </c>
      <c r="Q94" s="174">
        <v>45026</v>
      </c>
      <c r="R94" s="173"/>
      <c r="S94" s="173"/>
    </row>
    <row r="95" spans="1:19" x14ac:dyDescent="0.25">
      <c r="A95" s="173" t="s">
        <v>408</v>
      </c>
      <c r="B95" s="174">
        <v>45006</v>
      </c>
      <c r="C95" s="197">
        <v>23013</v>
      </c>
      <c r="D95" s="173" t="s">
        <v>7025</v>
      </c>
      <c r="E95" s="173" t="s">
        <v>7026</v>
      </c>
      <c r="F95" s="173" t="s">
        <v>368</v>
      </c>
      <c r="G95" s="173" t="s">
        <v>6971</v>
      </c>
      <c r="H95" s="173"/>
      <c r="I95" s="173"/>
      <c r="J95" s="173" t="s">
        <v>21</v>
      </c>
      <c r="K95" s="235">
        <v>12175</v>
      </c>
      <c r="L95" s="173" t="s">
        <v>7142</v>
      </c>
      <c r="M95" s="173" t="s">
        <v>7027</v>
      </c>
      <c r="N95" s="173"/>
      <c r="O95" s="173"/>
      <c r="P95" s="173" t="s">
        <v>7016</v>
      </c>
      <c r="Q95" s="174">
        <v>45026</v>
      </c>
      <c r="R95" s="173"/>
      <c r="S95" s="173"/>
    </row>
    <row r="96" spans="1:19" x14ac:dyDescent="0.25">
      <c r="A96" s="173" t="s">
        <v>12</v>
      </c>
      <c r="B96" s="174">
        <v>45014</v>
      </c>
      <c r="C96" s="197" t="s">
        <v>7029</v>
      </c>
      <c r="D96" s="173" t="s">
        <v>6338</v>
      </c>
      <c r="E96" s="173" t="s">
        <v>4800</v>
      </c>
      <c r="F96" s="173" t="s">
        <v>7030</v>
      </c>
      <c r="G96" s="173" t="s">
        <v>7031</v>
      </c>
      <c r="H96" s="173">
        <v>750</v>
      </c>
      <c r="I96" s="173"/>
      <c r="J96" s="173" t="s">
        <v>21</v>
      </c>
      <c r="K96" s="173">
        <v>750</v>
      </c>
      <c r="L96" s="173" t="s">
        <v>7012</v>
      </c>
      <c r="M96" s="173"/>
      <c r="N96" s="173"/>
      <c r="O96" s="173"/>
      <c r="P96" s="173" t="s">
        <v>7016</v>
      </c>
      <c r="Q96" s="174">
        <v>45026</v>
      </c>
      <c r="R96" s="173"/>
      <c r="S96" s="173"/>
    </row>
    <row r="97" spans="1:19" x14ac:dyDescent="0.25">
      <c r="A97" s="173" t="s">
        <v>12</v>
      </c>
      <c r="B97" s="174">
        <v>45028</v>
      </c>
      <c r="C97" s="197" t="s">
        <v>7032</v>
      </c>
      <c r="D97" s="173" t="s">
        <v>6338</v>
      </c>
      <c r="E97" s="173" t="s">
        <v>4800</v>
      </c>
      <c r="F97" s="173" t="s">
        <v>7022</v>
      </c>
      <c r="G97" s="173" t="s">
        <v>7033</v>
      </c>
      <c r="H97" s="173">
        <v>650</v>
      </c>
      <c r="I97" s="173"/>
      <c r="J97" s="173" t="s">
        <v>21</v>
      </c>
      <c r="K97" s="173">
        <v>650</v>
      </c>
      <c r="L97" s="173" t="s">
        <v>7188</v>
      </c>
      <c r="M97" s="173"/>
      <c r="N97" s="173"/>
      <c r="O97" s="173"/>
      <c r="P97" s="173" t="s">
        <v>7070</v>
      </c>
      <c r="Q97" s="174">
        <v>45115</v>
      </c>
      <c r="R97" s="173"/>
      <c r="S97" s="173"/>
    </row>
    <row r="98" spans="1:19" x14ac:dyDescent="0.25">
      <c r="A98" s="173" t="s">
        <v>12</v>
      </c>
      <c r="B98" s="174">
        <v>45036</v>
      </c>
      <c r="C98" s="197" t="s">
        <v>7034</v>
      </c>
      <c r="D98" s="173" t="s">
        <v>6338</v>
      </c>
      <c r="E98" s="173" t="s">
        <v>4800</v>
      </c>
      <c r="F98" s="173" t="s">
        <v>7020</v>
      </c>
      <c r="G98" s="173" t="s">
        <v>7019</v>
      </c>
      <c r="H98" s="173">
        <v>2300</v>
      </c>
      <c r="I98" s="173"/>
      <c r="J98" s="173" t="s">
        <v>21</v>
      </c>
      <c r="K98" s="173">
        <v>2300</v>
      </c>
      <c r="L98" s="173" t="s">
        <v>7012</v>
      </c>
      <c r="M98" s="173"/>
      <c r="N98" s="173"/>
      <c r="O98" s="173"/>
      <c r="P98" s="173" t="s">
        <v>7070</v>
      </c>
      <c r="Q98" s="174">
        <v>45115</v>
      </c>
      <c r="R98" s="173"/>
      <c r="S98" s="173"/>
    </row>
    <row r="99" spans="1:19" x14ac:dyDescent="0.25">
      <c r="A99" s="173" t="s">
        <v>12</v>
      </c>
      <c r="B99" s="174">
        <v>45041</v>
      </c>
      <c r="C99" s="197" t="s">
        <v>7035</v>
      </c>
      <c r="D99" s="173" t="s">
        <v>6338</v>
      </c>
      <c r="E99" s="173" t="s">
        <v>4800</v>
      </c>
      <c r="F99" s="173" t="s">
        <v>7037</v>
      </c>
      <c r="G99" s="173" t="s">
        <v>7036</v>
      </c>
      <c r="H99" s="173">
        <v>2000</v>
      </c>
      <c r="I99" s="173"/>
      <c r="J99" s="173" t="s">
        <v>21</v>
      </c>
      <c r="K99" s="173">
        <v>2000</v>
      </c>
      <c r="L99" s="173"/>
      <c r="M99" s="173"/>
      <c r="N99" s="173"/>
      <c r="O99" s="173"/>
      <c r="P99" s="173" t="s">
        <v>7070</v>
      </c>
      <c r="Q99" s="174">
        <v>45115</v>
      </c>
      <c r="R99" s="173"/>
      <c r="S99" s="173"/>
    </row>
    <row r="100" spans="1:19" x14ac:dyDescent="0.25">
      <c r="A100" s="173" t="s">
        <v>12</v>
      </c>
      <c r="B100" s="174">
        <v>45071</v>
      </c>
      <c r="C100" s="197">
        <v>2307842</v>
      </c>
      <c r="D100" s="173" t="s">
        <v>7038</v>
      </c>
      <c r="E100" s="173" t="s">
        <v>7039</v>
      </c>
      <c r="F100" s="173" t="s">
        <v>900</v>
      </c>
      <c r="G100" s="173" t="s">
        <v>7040</v>
      </c>
      <c r="H100" s="173">
        <v>4297.5200000000004</v>
      </c>
      <c r="I100" s="176">
        <f>+H100*0.21</f>
        <v>902.47920000000011</v>
      </c>
      <c r="J100" s="173"/>
      <c r="K100" s="176">
        <f>+H100+I100</f>
        <v>5199.9992000000002</v>
      </c>
      <c r="L100" s="173" t="s">
        <v>7012</v>
      </c>
      <c r="M100" s="173" t="s">
        <v>7153</v>
      </c>
      <c r="N100" s="173"/>
      <c r="O100" s="173"/>
      <c r="P100" s="173" t="s">
        <v>7070</v>
      </c>
      <c r="Q100" s="174">
        <v>45115</v>
      </c>
      <c r="R100" s="173"/>
      <c r="S100" s="173"/>
    </row>
    <row r="101" spans="1:19" x14ac:dyDescent="0.25">
      <c r="A101" s="173" t="s">
        <v>12</v>
      </c>
      <c r="B101" s="174">
        <v>45110</v>
      </c>
      <c r="C101" s="197">
        <v>2310305528</v>
      </c>
      <c r="D101" s="173" t="s">
        <v>7041</v>
      </c>
      <c r="E101" s="173" t="s">
        <v>18</v>
      </c>
      <c r="F101" s="173" t="s">
        <v>6156</v>
      </c>
      <c r="G101" s="173" t="s">
        <v>7042</v>
      </c>
      <c r="H101" s="173">
        <v>4826.45</v>
      </c>
      <c r="I101" s="176">
        <f>+H101*0.21</f>
        <v>1013.5545</v>
      </c>
      <c r="J101" s="173"/>
      <c r="K101" s="176">
        <f>+H101+I101</f>
        <v>5840.0045</v>
      </c>
      <c r="L101" s="173" t="s">
        <v>7012</v>
      </c>
      <c r="M101" s="173"/>
      <c r="N101" s="173"/>
      <c r="O101" s="173"/>
      <c r="P101" s="173" t="s">
        <v>7070</v>
      </c>
      <c r="Q101" s="174">
        <v>45115</v>
      </c>
      <c r="R101" s="173"/>
      <c r="S101" s="173"/>
    </row>
    <row r="102" spans="1:19" x14ac:dyDescent="0.25">
      <c r="A102" s="173" t="s">
        <v>408</v>
      </c>
      <c r="B102" s="174">
        <v>45078</v>
      </c>
      <c r="C102" s="197">
        <v>23019</v>
      </c>
      <c r="D102" s="173" t="s">
        <v>6963</v>
      </c>
      <c r="E102" s="173" t="s">
        <v>7059</v>
      </c>
      <c r="F102" s="173" t="s">
        <v>7000</v>
      </c>
      <c r="G102" s="173" t="s">
        <v>7001</v>
      </c>
      <c r="H102" s="173">
        <v>350</v>
      </c>
      <c r="I102" s="173"/>
      <c r="J102" s="173" t="s">
        <v>21</v>
      </c>
      <c r="K102" s="235">
        <v>350</v>
      </c>
      <c r="L102" s="173" t="s">
        <v>7043</v>
      </c>
      <c r="M102" s="173"/>
      <c r="N102" s="173"/>
      <c r="O102" s="173"/>
      <c r="P102" s="173" t="s">
        <v>7070</v>
      </c>
      <c r="Q102" s="174">
        <v>45115</v>
      </c>
      <c r="R102" s="173"/>
      <c r="S102" s="173"/>
    </row>
    <row r="103" spans="1:19" x14ac:dyDescent="0.25">
      <c r="A103" s="173" t="s">
        <v>408</v>
      </c>
      <c r="B103" s="174">
        <v>45056</v>
      </c>
      <c r="C103" s="197">
        <v>23016</v>
      </c>
      <c r="D103" s="173" t="s">
        <v>7046</v>
      </c>
      <c r="E103" s="173" t="s">
        <v>7047</v>
      </c>
      <c r="F103" s="173" t="s">
        <v>6945</v>
      </c>
      <c r="G103" s="173" t="s">
        <v>7044</v>
      </c>
      <c r="H103" s="173"/>
      <c r="I103" s="173"/>
      <c r="J103" s="173" t="s">
        <v>21</v>
      </c>
      <c r="K103" s="235">
        <v>2000</v>
      </c>
      <c r="L103" s="173" t="s">
        <v>7045</v>
      </c>
      <c r="M103" s="173" t="s">
        <v>7152</v>
      </c>
      <c r="N103" s="173"/>
      <c r="O103" s="173"/>
      <c r="P103" s="173" t="s">
        <v>7070</v>
      </c>
      <c r="Q103" s="174">
        <v>45115</v>
      </c>
      <c r="R103" s="173" t="s">
        <v>3186</v>
      </c>
      <c r="S103" s="173"/>
    </row>
    <row r="104" spans="1:19" x14ac:dyDescent="0.25">
      <c r="A104" s="173" t="s">
        <v>408</v>
      </c>
      <c r="B104" s="174">
        <v>45104</v>
      </c>
      <c r="C104" s="197">
        <v>23017</v>
      </c>
      <c r="D104" s="173" t="s">
        <v>7048</v>
      </c>
      <c r="E104" s="173" t="s">
        <v>7049</v>
      </c>
      <c r="F104" s="173" t="s">
        <v>900</v>
      </c>
      <c r="G104" s="173" t="s">
        <v>7040</v>
      </c>
      <c r="H104" s="173">
        <v>7900</v>
      </c>
      <c r="I104" s="176">
        <f>+H104*0.21</f>
        <v>1659</v>
      </c>
      <c r="J104" s="173"/>
      <c r="K104" s="235">
        <f>+H104+I104</f>
        <v>9559</v>
      </c>
      <c r="L104" s="173" t="s">
        <v>7050</v>
      </c>
      <c r="M104" s="173" t="s">
        <v>7154</v>
      </c>
      <c r="N104" s="173"/>
      <c r="O104" s="173"/>
      <c r="P104" s="173" t="s">
        <v>7070</v>
      </c>
      <c r="Q104" s="174">
        <v>45115</v>
      </c>
      <c r="R104" s="173" t="s">
        <v>3186</v>
      </c>
      <c r="S104" s="173"/>
    </row>
    <row r="105" spans="1:19" x14ac:dyDescent="0.25">
      <c r="A105" s="173" t="s">
        <v>408</v>
      </c>
      <c r="B105" s="174">
        <v>45020</v>
      </c>
      <c r="C105" s="197" t="s">
        <v>7051</v>
      </c>
      <c r="D105" s="173" t="s">
        <v>7052</v>
      </c>
      <c r="E105" s="173" t="s">
        <v>7053</v>
      </c>
      <c r="F105" s="173" t="s">
        <v>6833</v>
      </c>
      <c r="G105" s="173" t="s">
        <v>6834</v>
      </c>
      <c r="H105" s="173"/>
      <c r="I105" s="173"/>
      <c r="J105" s="173" t="s">
        <v>21</v>
      </c>
      <c r="K105" s="235">
        <v>6000</v>
      </c>
      <c r="L105" s="173" t="s">
        <v>7054</v>
      </c>
      <c r="M105" s="173" t="s">
        <v>7166</v>
      </c>
      <c r="N105" s="173"/>
      <c r="O105" s="173"/>
      <c r="P105" s="173" t="s">
        <v>7070</v>
      </c>
      <c r="Q105" s="174">
        <v>45115</v>
      </c>
      <c r="R105" s="173" t="s">
        <v>3186</v>
      </c>
      <c r="S105" s="173"/>
    </row>
    <row r="106" spans="1:19" x14ac:dyDescent="0.25">
      <c r="A106" s="173" t="s">
        <v>408</v>
      </c>
      <c r="B106" s="174">
        <v>45043</v>
      </c>
      <c r="C106" s="197">
        <v>23014</v>
      </c>
      <c r="D106" s="173" t="s">
        <v>7055</v>
      </c>
      <c r="E106" s="173" t="s">
        <v>3144</v>
      </c>
      <c r="F106" s="173" t="s">
        <v>377</v>
      </c>
      <c r="G106" s="173" t="s">
        <v>7006</v>
      </c>
      <c r="H106" s="173">
        <v>3000</v>
      </c>
      <c r="I106" s="173"/>
      <c r="J106" s="173" t="s">
        <v>21</v>
      </c>
      <c r="K106" s="235">
        <v>9300</v>
      </c>
      <c r="L106" s="173" t="s">
        <v>7056</v>
      </c>
      <c r="M106" s="173" t="s">
        <v>7151</v>
      </c>
      <c r="N106" s="173"/>
      <c r="O106" s="173"/>
      <c r="P106" s="173" t="s">
        <v>7070</v>
      </c>
      <c r="Q106" s="174">
        <v>45115</v>
      </c>
      <c r="R106" s="173" t="s">
        <v>3186</v>
      </c>
      <c r="S106" s="173"/>
    </row>
    <row r="107" spans="1:19" x14ac:dyDescent="0.25">
      <c r="A107" s="173" t="s">
        <v>408</v>
      </c>
      <c r="B107" s="174">
        <v>45043</v>
      </c>
      <c r="C107" s="197">
        <v>23015</v>
      </c>
      <c r="D107" s="173" t="s">
        <v>7057</v>
      </c>
      <c r="E107" s="173" t="s">
        <v>7058</v>
      </c>
      <c r="F107" s="173" t="s">
        <v>6942</v>
      </c>
      <c r="G107" s="173" t="s">
        <v>6943</v>
      </c>
      <c r="H107" s="173"/>
      <c r="I107" s="173"/>
      <c r="J107" s="173" t="s">
        <v>21</v>
      </c>
      <c r="K107" s="235">
        <v>25500</v>
      </c>
      <c r="L107" s="173" t="s">
        <v>7015</v>
      </c>
      <c r="M107" s="173" t="s">
        <v>7167</v>
      </c>
      <c r="N107" s="173"/>
      <c r="O107" s="173"/>
      <c r="P107" s="173" t="s">
        <v>7070</v>
      </c>
      <c r="Q107" s="174">
        <v>45115</v>
      </c>
      <c r="R107" s="173" t="s">
        <v>3186</v>
      </c>
      <c r="S107" s="173"/>
    </row>
    <row r="108" spans="1:19" x14ac:dyDescent="0.25">
      <c r="A108" s="173" t="s">
        <v>12</v>
      </c>
      <c r="B108" s="174">
        <v>45043</v>
      </c>
      <c r="C108" s="197" t="s">
        <v>7060</v>
      </c>
      <c r="D108" s="173" t="s">
        <v>6338</v>
      </c>
      <c r="E108" s="173" t="s">
        <v>4800</v>
      </c>
      <c r="F108" s="173" t="s">
        <v>7061</v>
      </c>
      <c r="G108" s="173" t="s">
        <v>7062</v>
      </c>
      <c r="H108" s="173">
        <v>13000</v>
      </c>
      <c r="I108" s="173"/>
      <c r="J108" s="173" t="s">
        <v>21</v>
      </c>
      <c r="K108" s="173">
        <v>13000</v>
      </c>
      <c r="L108" s="173" t="s">
        <v>7012</v>
      </c>
      <c r="M108" s="173"/>
      <c r="N108" s="173"/>
      <c r="O108" s="173"/>
      <c r="P108" s="173" t="s">
        <v>7070</v>
      </c>
      <c r="Q108" s="174">
        <v>45115</v>
      </c>
      <c r="R108" s="173"/>
      <c r="S108" s="173"/>
    </row>
    <row r="109" spans="1:19" x14ac:dyDescent="0.25">
      <c r="A109" s="173" t="s">
        <v>408</v>
      </c>
      <c r="B109" s="174">
        <v>45104</v>
      </c>
      <c r="C109" s="197">
        <v>23018</v>
      </c>
      <c r="D109" s="173" t="s">
        <v>7063</v>
      </c>
      <c r="E109" s="173" t="s">
        <v>7064</v>
      </c>
      <c r="F109" s="173" t="s">
        <v>7061</v>
      </c>
      <c r="G109" s="173" t="s">
        <v>7062</v>
      </c>
      <c r="H109" s="173">
        <v>20350</v>
      </c>
      <c r="I109" s="173"/>
      <c r="J109" s="173" t="s">
        <v>21</v>
      </c>
      <c r="K109" s="235">
        <v>20350</v>
      </c>
      <c r="L109" s="173" t="s">
        <v>7065</v>
      </c>
      <c r="M109" s="173" t="s">
        <v>7168</v>
      </c>
      <c r="N109" s="173"/>
      <c r="O109" s="173"/>
      <c r="P109" s="173" t="s">
        <v>7070</v>
      </c>
      <c r="Q109" s="174">
        <v>45115</v>
      </c>
      <c r="R109" s="173" t="s">
        <v>3186</v>
      </c>
      <c r="S109" s="173"/>
    </row>
    <row r="110" spans="1:19" x14ac:dyDescent="0.25">
      <c r="A110" s="173" t="s">
        <v>12</v>
      </c>
      <c r="B110" s="174">
        <v>45043</v>
      </c>
      <c r="C110" s="197" t="s">
        <v>7066</v>
      </c>
      <c r="D110" s="173" t="s">
        <v>6338</v>
      </c>
      <c r="E110" s="173" t="s">
        <v>4800</v>
      </c>
      <c r="F110" s="173" t="s">
        <v>7067</v>
      </c>
      <c r="G110" s="173" t="s">
        <v>7078</v>
      </c>
      <c r="H110" s="173">
        <v>4545.45</v>
      </c>
      <c r="I110" s="173">
        <f>+H110*0.21</f>
        <v>954.54449999999997</v>
      </c>
      <c r="J110" s="173"/>
      <c r="K110" s="176">
        <f>+H110+I110</f>
        <v>5499.9944999999998</v>
      </c>
      <c r="L110" s="173" t="s">
        <v>7012</v>
      </c>
      <c r="M110" s="173"/>
      <c r="N110" s="173"/>
      <c r="O110" s="173"/>
      <c r="P110" s="173" t="s">
        <v>7070</v>
      </c>
      <c r="Q110" s="174">
        <v>45115</v>
      </c>
      <c r="R110" s="173"/>
      <c r="S110" s="173"/>
    </row>
    <row r="111" spans="1:19" x14ac:dyDescent="0.25">
      <c r="A111" s="173" t="s">
        <v>12</v>
      </c>
      <c r="B111" s="174">
        <v>45098</v>
      </c>
      <c r="C111" s="197" t="s">
        <v>7068</v>
      </c>
      <c r="D111" s="173" t="s">
        <v>6338</v>
      </c>
      <c r="E111" s="173" t="s">
        <v>4800</v>
      </c>
      <c r="F111" s="173" t="s">
        <v>7067</v>
      </c>
      <c r="G111" s="173" t="s">
        <v>7077</v>
      </c>
      <c r="H111" s="173">
        <v>4545.45</v>
      </c>
      <c r="I111" s="173">
        <f>+H111*0.21</f>
        <v>954.54449999999997</v>
      </c>
      <c r="J111" s="173"/>
      <c r="K111" s="176">
        <f>+H111+I111</f>
        <v>5499.9944999999998</v>
      </c>
      <c r="L111" s="173" t="s">
        <v>7012</v>
      </c>
      <c r="M111" s="173"/>
      <c r="N111" s="173"/>
      <c r="O111" s="173"/>
      <c r="P111" s="173" t="s">
        <v>7070</v>
      </c>
      <c r="Q111" s="174">
        <v>45115</v>
      </c>
      <c r="R111" s="173"/>
      <c r="S111" s="173"/>
    </row>
    <row r="112" spans="1:19" x14ac:dyDescent="0.25">
      <c r="A112" s="173" t="s">
        <v>12</v>
      </c>
      <c r="B112" s="174">
        <v>45058</v>
      </c>
      <c r="C112" s="197" t="s">
        <v>7071</v>
      </c>
      <c r="D112" s="173" t="s">
        <v>6338</v>
      </c>
      <c r="E112" s="173" t="s">
        <v>4800</v>
      </c>
      <c r="F112" s="173" t="s">
        <v>6299</v>
      </c>
      <c r="G112" s="173" t="s">
        <v>7076</v>
      </c>
      <c r="H112" s="173">
        <v>200</v>
      </c>
      <c r="I112" s="173"/>
      <c r="J112" s="173" t="s">
        <v>21</v>
      </c>
      <c r="K112" s="173">
        <v>200</v>
      </c>
      <c r="L112" s="173" t="s">
        <v>7188</v>
      </c>
      <c r="M112" s="173"/>
      <c r="N112" s="173"/>
      <c r="O112" s="173"/>
      <c r="P112" s="173" t="s">
        <v>7070</v>
      </c>
      <c r="Q112" s="174">
        <v>45115</v>
      </c>
      <c r="R112" s="173"/>
      <c r="S112" s="173"/>
    </row>
    <row r="113" spans="1:19" x14ac:dyDescent="0.25">
      <c r="A113" s="173" t="s">
        <v>12</v>
      </c>
      <c r="B113" s="174">
        <v>45138</v>
      </c>
      <c r="C113" s="197">
        <v>2312239</v>
      </c>
      <c r="D113" s="173" t="s">
        <v>7038</v>
      </c>
      <c r="E113" s="173" t="s">
        <v>7039</v>
      </c>
      <c r="F113" s="173" t="s">
        <v>5271</v>
      </c>
      <c r="G113" s="173" t="s">
        <v>7072</v>
      </c>
      <c r="H113" s="173">
        <v>15454.55</v>
      </c>
      <c r="I113" s="176">
        <f t="shared" ref="I113:I118" si="0">+H113*0.21</f>
        <v>3245.4554999999996</v>
      </c>
      <c r="J113" s="173"/>
      <c r="K113" s="176">
        <f>+H113+I113-0.01</f>
        <v>18699.995500000001</v>
      </c>
      <c r="L113" s="173" t="s">
        <v>7012</v>
      </c>
      <c r="M113" s="173" t="s">
        <v>7157</v>
      </c>
      <c r="N113" s="173"/>
      <c r="O113" s="173"/>
      <c r="P113" s="173" t="s">
        <v>7103</v>
      </c>
      <c r="Q113" s="174">
        <v>45201</v>
      </c>
      <c r="R113" s="173" t="s">
        <v>3186</v>
      </c>
      <c r="S113" s="173"/>
    </row>
    <row r="114" spans="1:19" x14ac:dyDescent="0.25">
      <c r="A114" s="173" t="s">
        <v>12</v>
      </c>
      <c r="B114" s="174">
        <v>45166</v>
      </c>
      <c r="C114" s="195" t="s">
        <v>7074</v>
      </c>
      <c r="D114" s="240" t="s">
        <v>7073</v>
      </c>
      <c r="E114" s="240" t="s">
        <v>2106</v>
      </c>
      <c r="F114" s="173" t="s">
        <v>406</v>
      </c>
      <c r="G114" s="173" t="s">
        <v>7075</v>
      </c>
      <c r="H114" s="176">
        <f>5700/1.21</f>
        <v>4710.7438016528931</v>
      </c>
      <c r="I114" s="176">
        <f t="shared" si="0"/>
        <v>989.25619834710756</v>
      </c>
      <c r="J114" s="173"/>
      <c r="K114" s="176">
        <f>+H114+I114</f>
        <v>5700.0000000000009</v>
      </c>
      <c r="L114" s="173" t="s">
        <v>7012</v>
      </c>
      <c r="M114" s="173"/>
      <c r="N114" s="173"/>
      <c r="O114" s="173"/>
      <c r="P114" s="173" t="s">
        <v>7103</v>
      </c>
      <c r="Q114" s="174">
        <v>45201</v>
      </c>
      <c r="R114" s="173"/>
      <c r="S114" s="173"/>
    </row>
    <row r="115" spans="1:19" x14ac:dyDescent="0.25">
      <c r="A115" s="173" t="s">
        <v>12</v>
      </c>
      <c r="B115" s="174">
        <v>45166</v>
      </c>
      <c r="C115" s="197">
        <v>2310404238</v>
      </c>
      <c r="D115" s="173" t="s">
        <v>7041</v>
      </c>
      <c r="E115" s="173" t="s">
        <v>18</v>
      </c>
      <c r="F115" s="173" t="s">
        <v>5463</v>
      </c>
      <c r="G115" s="173" t="s">
        <v>7079</v>
      </c>
      <c r="H115" s="176">
        <v>4921.4849999999997</v>
      </c>
      <c r="I115" s="176">
        <f t="shared" si="0"/>
        <v>1033.5118499999999</v>
      </c>
      <c r="J115" s="173"/>
      <c r="K115" s="176">
        <f>+H115+I115</f>
        <v>5954.9968499999995</v>
      </c>
      <c r="L115" s="173" t="s">
        <v>7188</v>
      </c>
      <c r="M115" s="173"/>
      <c r="N115" s="173"/>
      <c r="O115" s="173"/>
      <c r="P115" s="173" t="s">
        <v>7103</v>
      </c>
      <c r="Q115" s="174">
        <v>45201</v>
      </c>
      <c r="R115" s="173"/>
      <c r="S115" s="173"/>
    </row>
    <row r="116" spans="1:19" x14ac:dyDescent="0.25">
      <c r="A116" s="173" t="s">
        <v>12</v>
      </c>
      <c r="B116" s="174">
        <v>45191</v>
      </c>
      <c r="C116" s="197">
        <v>1230309244</v>
      </c>
      <c r="D116" s="173" t="s">
        <v>7080</v>
      </c>
      <c r="E116" s="173" t="s">
        <v>7081</v>
      </c>
      <c r="F116" s="173" t="s">
        <v>373</v>
      </c>
      <c r="G116" s="173" t="s">
        <v>7082</v>
      </c>
      <c r="H116" s="173">
        <v>10282.64</v>
      </c>
      <c r="I116" s="176">
        <f t="shared" si="0"/>
        <v>2159.3543999999997</v>
      </c>
      <c r="J116" s="173"/>
      <c r="K116" s="176">
        <f>+H116+I116+0.01</f>
        <v>12442.0044</v>
      </c>
      <c r="L116" s="173" t="s">
        <v>7188</v>
      </c>
      <c r="M116" s="173" t="s">
        <v>7158</v>
      </c>
      <c r="N116" s="173"/>
      <c r="O116" s="173"/>
      <c r="P116" s="173" t="s">
        <v>7103</v>
      </c>
      <c r="Q116" s="174">
        <v>45201</v>
      </c>
      <c r="R116" s="173" t="s">
        <v>3186</v>
      </c>
      <c r="S116" s="173"/>
    </row>
    <row r="117" spans="1:19" x14ac:dyDescent="0.25">
      <c r="A117" s="173" t="s">
        <v>12</v>
      </c>
      <c r="B117" s="174">
        <v>45191</v>
      </c>
      <c r="C117" s="197">
        <v>1230309240</v>
      </c>
      <c r="D117" s="173" t="s">
        <v>7080</v>
      </c>
      <c r="E117" s="173" t="s">
        <v>7081</v>
      </c>
      <c r="F117" s="173" t="s">
        <v>368</v>
      </c>
      <c r="G117" s="173" t="s">
        <v>7083</v>
      </c>
      <c r="H117" s="173">
        <v>5076.03</v>
      </c>
      <c r="I117" s="176">
        <f t="shared" si="0"/>
        <v>1065.9662999999998</v>
      </c>
      <c r="J117" s="173"/>
      <c r="K117" s="176">
        <f>+H117+I117</f>
        <v>6141.9962999999998</v>
      </c>
      <c r="L117" s="173" t="s">
        <v>7012</v>
      </c>
      <c r="M117" s="173" t="s">
        <v>7159</v>
      </c>
      <c r="N117" s="173"/>
      <c r="O117" s="173"/>
      <c r="P117" s="173" t="s">
        <v>7103</v>
      </c>
      <c r="Q117" s="174">
        <v>45201</v>
      </c>
      <c r="R117" s="173" t="s">
        <v>3186</v>
      </c>
      <c r="S117" s="173"/>
    </row>
    <row r="118" spans="1:19" x14ac:dyDescent="0.25">
      <c r="A118" s="173" t="s">
        <v>12</v>
      </c>
      <c r="B118" s="174">
        <v>45188</v>
      </c>
      <c r="C118" s="197">
        <v>2310452410</v>
      </c>
      <c r="D118" s="173" t="s">
        <v>7041</v>
      </c>
      <c r="E118" s="173" t="s">
        <v>18</v>
      </c>
      <c r="F118" s="173" t="s">
        <v>400</v>
      </c>
      <c r="G118" s="173" t="s">
        <v>7084</v>
      </c>
      <c r="H118" s="173">
        <v>6243.8</v>
      </c>
      <c r="I118" s="176">
        <f t="shared" si="0"/>
        <v>1311.1980000000001</v>
      </c>
      <c r="J118" s="173"/>
      <c r="K118" s="176">
        <f>+H118+I118</f>
        <v>7554.9980000000005</v>
      </c>
      <c r="L118" s="173" t="s">
        <v>7188</v>
      </c>
      <c r="M118" s="173"/>
      <c r="N118" s="173"/>
      <c r="O118" s="173"/>
      <c r="P118" s="173" t="s">
        <v>7103</v>
      </c>
      <c r="Q118" s="174">
        <v>45201</v>
      </c>
      <c r="R118" s="173"/>
      <c r="S118" s="173"/>
    </row>
    <row r="119" spans="1:19" x14ac:dyDescent="0.25">
      <c r="A119" s="173" t="s">
        <v>408</v>
      </c>
      <c r="B119" s="174">
        <v>45131</v>
      </c>
      <c r="C119" s="197">
        <v>23020</v>
      </c>
      <c r="D119" s="173" t="s">
        <v>7085</v>
      </c>
      <c r="E119" s="173" t="s">
        <v>7086</v>
      </c>
      <c r="F119" s="173" t="s">
        <v>7020</v>
      </c>
      <c r="G119" s="173" t="s">
        <v>7019</v>
      </c>
      <c r="H119" s="173">
        <v>7900</v>
      </c>
      <c r="I119" s="173"/>
      <c r="J119" s="173" t="s">
        <v>21</v>
      </c>
      <c r="K119" s="235">
        <v>7900</v>
      </c>
      <c r="L119" s="173" t="s">
        <v>7087</v>
      </c>
      <c r="M119" s="173" t="s">
        <v>7155</v>
      </c>
      <c r="N119" s="173"/>
      <c r="O119" s="173"/>
      <c r="P119" s="173" t="s">
        <v>7103</v>
      </c>
      <c r="Q119" s="174">
        <v>45201</v>
      </c>
      <c r="R119" s="173" t="s">
        <v>3186</v>
      </c>
      <c r="S119" s="173"/>
    </row>
    <row r="120" spans="1:19" x14ac:dyDescent="0.25">
      <c r="A120" s="173" t="s">
        <v>408</v>
      </c>
      <c r="B120" s="174">
        <v>45134</v>
      </c>
      <c r="C120" s="197">
        <v>23021</v>
      </c>
      <c r="D120" s="173" t="s">
        <v>7100</v>
      </c>
      <c r="E120" s="173" t="s">
        <v>7101</v>
      </c>
      <c r="F120" s="173" t="s">
        <v>7030</v>
      </c>
      <c r="G120" s="173" t="s">
        <v>7031</v>
      </c>
      <c r="H120" s="173">
        <v>1725</v>
      </c>
      <c r="I120" s="173"/>
      <c r="J120" s="173" t="s">
        <v>21</v>
      </c>
      <c r="K120" s="235">
        <v>1725</v>
      </c>
      <c r="L120" s="173" t="s">
        <v>7102</v>
      </c>
      <c r="M120" s="173" t="s">
        <v>7156</v>
      </c>
      <c r="N120" s="173"/>
      <c r="O120" s="173"/>
      <c r="P120" s="173" t="s">
        <v>7103</v>
      </c>
      <c r="Q120" s="174">
        <v>45201</v>
      </c>
      <c r="R120" s="173" t="s">
        <v>3186</v>
      </c>
      <c r="S120" s="173"/>
    </row>
    <row r="121" spans="1:19" x14ac:dyDescent="0.25">
      <c r="A121" s="173" t="s">
        <v>408</v>
      </c>
      <c r="B121" s="174">
        <v>45141</v>
      </c>
      <c r="C121" s="197">
        <v>23022</v>
      </c>
      <c r="D121" s="173" t="s">
        <v>7088</v>
      </c>
      <c r="E121" s="173" t="s">
        <v>7089</v>
      </c>
      <c r="F121" s="173" t="s">
        <v>5193</v>
      </c>
      <c r="G121" s="173" t="s">
        <v>7018</v>
      </c>
      <c r="H121" s="173">
        <v>17175</v>
      </c>
      <c r="I121" s="173"/>
      <c r="J121" s="173" t="s">
        <v>21</v>
      </c>
      <c r="K121" s="235">
        <v>17175</v>
      </c>
      <c r="L121" s="173" t="s">
        <v>7090</v>
      </c>
      <c r="M121" s="173" t="s">
        <v>7169</v>
      </c>
      <c r="N121" s="173"/>
      <c r="O121" s="173"/>
      <c r="P121" s="173" t="s">
        <v>7103</v>
      </c>
      <c r="Q121" s="174">
        <v>45201</v>
      </c>
      <c r="R121" s="173" t="s">
        <v>3186</v>
      </c>
      <c r="S121" s="173"/>
    </row>
    <row r="122" spans="1:19" x14ac:dyDescent="0.25">
      <c r="A122" s="173" t="s">
        <v>408</v>
      </c>
      <c r="B122" s="174">
        <v>45163</v>
      </c>
      <c r="C122" s="197">
        <v>23023</v>
      </c>
      <c r="D122" s="173" t="s">
        <v>7048</v>
      </c>
      <c r="E122" s="173" t="s">
        <v>7049</v>
      </c>
      <c r="F122" s="173" t="s">
        <v>7067</v>
      </c>
      <c r="G122" s="173" t="s">
        <v>7077</v>
      </c>
      <c r="H122" s="173">
        <f>7995/1.21</f>
        <v>6607.4380165289258</v>
      </c>
      <c r="I122" s="173">
        <f>+H122*0.21</f>
        <v>1387.5619834710744</v>
      </c>
      <c r="J122" s="173"/>
      <c r="K122" s="235">
        <f>+H122+I122</f>
        <v>7995</v>
      </c>
      <c r="L122" s="173" t="s">
        <v>7091</v>
      </c>
      <c r="M122" s="173"/>
      <c r="N122" s="173"/>
      <c r="O122" s="173"/>
      <c r="P122" s="173" t="s">
        <v>7103</v>
      </c>
      <c r="Q122" s="174">
        <v>45201</v>
      </c>
      <c r="R122" s="173"/>
      <c r="S122" s="173"/>
    </row>
    <row r="123" spans="1:19" x14ac:dyDescent="0.25">
      <c r="A123" s="173" t="s">
        <v>408</v>
      </c>
      <c r="B123" s="174">
        <v>45169</v>
      </c>
      <c r="C123" s="197">
        <v>23024</v>
      </c>
      <c r="D123" s="173" t="s">
        <v>7092</v>
      </c>
      <c r="E123" s="173" t="s">
        <v>7093</v>
      </c>
      <c r="F123" s="173" t="s">
        <v>394</v>
      </c>
      <c r="G123" s="173" t="s">
        <v>7008</v>
      </c>
      <c r="H123" s="173">
        <v>18900</v>
      </c>
      <c r="I123" s="173"/>
      <c r="J123" s="173" t="s">
        <v>21</v>
      </c>
      <c r="K123" s="235">
        <f>H123</f>
        <v>18900</v>
      </c>
      <c r="L123" s="173" t="s">
        <v>7094</v>
      </c>
      <c r="M123" s="173"/>
      <c r="N123" s="173"/>
      <c r="O123" s="173"/>
      <c r="P123" s="173" t="s">
        <v>7103</v>
      </c>
      <c r="Q123" s="174">
        <v>45201</v>
      </c>
      <c r="R123" s="173"/>
      <c r="S123" s="173"/>
    </row>
    <row r="124" spans="1:19" x14ac:dyDescent="0.25">
      <c r="A124" s="173" t="s">
        <v>12</v>
      </c>
      <c r="B124" s="174">
        <v>45112</v>
      </c>
      <c r="C124" s="197">
        <v>2310306103</v>
      </c>
      <c r="D124" s="173" t="s">
        <v>7041</v>
      </c>
      <c r="E124" s="173" t="s">
        <v>18</v>
      </c>
      <c r="F124" s="173" t="s">
        <v>394</v>
      </c>
      <c r="G124" s="173" t="s">
        <v>7095</v>
      </c>
      <c r="H124" s="173">
        <v>4838.84</v>
      </c>
      <c r="I124" s="176">
        <f t="shared" ref="I124:I134" si="1">+H124*0.21</f>
        <v>1016.1564</v>
      </c>
      <c r="J124" s="173"/>
      <c r="K124" s="176">
        <f>+H124+I124</f>
        <v>5854.9964</v>
      </c>
      <c r="L124" s="173" t="s">
        <v>7012</v>
      </c>
      <c r="M124" s="173"/>
      <c r="N124" s="173"/>
      <c r="O124" s="173"/>
      <c r="P124" s="173" t="s">
        <v>7103</v>
      </c>
      <c r="Q124" s="174">
        <v>45201</v>
      </c>
      <c r="R124" s="173"/>
      <c r="S124" s="173"/>
    </row>
    <row r="125" spans="1:19" x14ac:dyDescent="0.25">
      <c r="A125" s="173" t="s">
        <v>408</v>
      </c>
      <c r="B125" s="174">
        <v>45189</v>
      </c>
      <c r="C125" s="197">
        <v>23025</v>
      </c>
      <c r="D125" s="173" t="s">
        <v>7096</v>
      </c>
      <c r="E125" s="173" t="s">
        <v>7097</v>
      </c>
      <c r="F125" s="173" t="s">
        <v>394</v>
      </c>
      <c r="G125" s="173" t="s">
        <v>7095</v>
      </c>
      <c r="H125" s="173">
        <f>7995/1.21</f>
        <v>6607.4380165289258</v>
      </c>
      <c r="I125" s="176">
        <f t="shared" si="1"/>
        <v>1387.5619834710744</v>
      </c>
      <c r="J125" s="173"/>
      <c r="K125" s="235">
        <f>+H125+I125</f>
        <v>7995</v>
      </c>
      <c r="L125" s="173" t="s">
        <v>7098</v>
      </c>
      <c r="M125" s="173"/>
      <c r="N125" s="173"/>
      <c r="O125" s="173"/>
      <c r="P125" s="173" t="s">
        <v>7103</v>
      </c>
      <c r="Q125" s="174">
        <v>45201</v>
      </c>
      <c r="R125" s="173" t="s">
        <v>3186</v>
      </c>
      <c r="S125" s="173"/>
    </row>
    <row r="126" spans="1:19" x14ac:dyDescent="0.25">
      <c r="A126" s="173" t="s">
        <v>12</v>
      </c>
      <c r="B126" s="174">
        <v>45223</v>
      </c>
      <c r="C126" s="197">
        <v>1230344344</v>
      </c>
      <c r="D126" s="173" t="s">
        <v>7080</v>
      </c>
      <c r="E126" s="173" t="s">
        <v>7081</v>
      </c>
      <c r="F126" s="173" t="s">
        <v>377</v>
      </c>
      <c r="G126" s="173" t="s">
        <v>7104</v>
      </c>
      <c r="H126" s="173">
        <v>5323.97</v>
      </c>
      <c r="I126" s="176">
        <f t="shared" si="1"/>
        <v>1118.0337</v>
      </c>
      <c r="J126" s="173"/>
      <c r="K126" s="176">
        <f t="shared" ref="K126:K134" si="2">+H126+I126</f>
        <v>6442.0037000000002</v>
      </c>
      <c r="L126" s="173" t="s">
        <v>7188</v>
      </c>
      <c r="M126" s="173"/>
      <c r="N126" s="173"/>
      <c r="O126" s="173"/>
      <c r="P126" s="173" t="s">
        <v>7141</v>
      </c>
      <c r="Q126" s="174">
        <v>44944</v>
      </c>
      <c r="R126" s="173"/>
      <c r="S126" s="173"/>
    </row>
    <row r="127" spans="1:19" x14ac:dyDescent="0.25">
      <c r="A127" s="173" t="s">
        <v>12</v>
      </c>
      <c r="B127" s="174">
        <v>45229</v>
      </c>
      <c r="C127" s="197">
        <v>1230345912</v>
      </c>
      <c r="D127" s="173" t="s">
        <v>7080</v>
      </c>
      <c r="E127" s="173" t="s">
        <v>7081</v>
      </c>
      <c r="F127" s="173" t="s">
        <v>377</v>
      </c>
      <c r="G127" s="173" t="s">
        <v>7105</v>
      </c>
      <c r="H127" s="173">
        <v>3671.07</v>
      </c>
      <c r="I127" s="176">
        <f t="shared" si="1"/>
        <v>770.92470000000003</v>
      </c>
      <c r="J127" s="173"/>
      <c r="K127" s="176">
        <f t="shared" si="2"/>
        <v>4441.9947000000002</v>
      </c>
      <c r="L127" s="173" t="s">
        <v>7188</v>
      </c>
      <c r="M127" s="173"/>
      <c r="N127" s="173"/>
      <c r="O127" s="173"/>
      <c r="P127" s="173" t="s">
        <v>7141</v>
      </c>
      <c r="Q127" s="174">
        <v>44944</v>
      </c>
      <c r="R127" s="173"/>
      <c r="S127" s="173"/>
    </row>
    <row r="128" spans="1:19" x14ac:dyDescent="0.25">
      <c r="A128" s="173" t="s">
        <v>12</v>
      </c>
      <c r="B128" s="174">
        <v>45229</v>
      </c>
      <c r="C128" s="197">
        <v>1230346001</v>
      </c>
      <c r="D128" s="173" t="s">
        <v>7080</v>
      </c>
      <c r="E128" s="173" t="s">
        <v>7081</v>
      </c>
      <c r="F128" s="173" t="s">
        <v>368</v>
      </c>
      <c r="G128" s="173" t="s">
        <v>7106</v>
      </c>
      <c r="H128" s="173">
        <v>5489.26</v>
      </c>
      <c r="I128" s="176">
        <f t="shared" si="1"/>
        <v>1152.7446</v>
      </c>
      <c r="J128" s="173"/>
      <c r="K128" s="176">
        <f t="shared" si="2"/>
        <v>6642.0046000000002</v>
      </c>
      <c r="L128" s="173" t="s">
        <v>7188</v>
      </c>
      <c r="M128" s="173"/>
      <c r="N128" s="173"/>
      <c r="O128" s="173"/>
      <c r="P128" s="173" t="s">
        <v>7141</v>
      </c>
      <c r="Q128" s="174">
        <v>44944</v>
      </c>
      <c r="R128" s="173"/>
      <c r="S128" s="173"/>
    </row>
    <row r="129" spans="1:19" x14ac:dyDescent="0.25">
      <c r="A129" s="173" t="s">
        <v>12</v>
      </c>
      <c r="B129" s="174">
        <v>45232</v>
      </c>
      <c r="C129" s="197">
        <v>1230373708</v>
      </c>
      <c r="D129" s="173" t="s">
        <v>7080</v>
      </c>
      <c r="E129" s="173" t="s">
        <v>7081</v>
      </c>
      <c r="F129" s="173" t="s">
        <v>368</v>
      </c>
      <c r="G129" s="173" t="s">
        <v>7107</v>
      </c>
      <c r="H129" s="173">
        <v>4745.45</v>
      </c>
      <c r="I129" s="176">
        <f t="shared" si="1"/>
        <v>996.54449999999997</v>
      </c>
      <c r="J129" s="173"/>
      <c r="K129" s="176">
        <f>+H129+I129+0.01</f>
        <v>5742.0045</v>
      </c>
      <c r="L129" s="173" t="s">
        <v>7188</v>
      </c>
      <c r="M129" s="173" t="s">
        <v>7147</v>
      </c>
      <c r="N129" s="173"/>
      <c r="O129" s="173"/>
      <c r="P129" s="173" t="s">
        <v>7141</v>
      </c>
      <c r="Q129" s="174">
        <v>44944</v>
      </c>
      <c r="R129" s="173"/>
      <c r="S129" s="173"/>
    </row>
    <row r="130" spans="1:19" s="248" customFormat="1" x14ac:dyDescent="0.25">
      <c r="A130" s="244" t="s">
        <v>12</v>
      </c>
      <c r="B130" s="245">
        <v>45225</v>
      </c>
      <c r="C130" s="246">
        <v>1230345406</v>
      </c>
      <c r="D130" s="244" t="s">
        <v>7080</v>
      </c>
      <c r="E130" s="244" t="s">
        <v>7081</v>
      </c>
      <c r="F130" s="244" t="s">
        <v>377</v>
      </c>
      <c r="G130" s="244" t="s">
        <v>7144</v>
      </c>
      <c r="H130" s="244">
        <v>4497.5200000000004</v>
      </c>
      <c r="I130" s="247">
        <f t="shared" si="1"/>
        <v>944.47920000000011</v>
      </c>
      <c r="J130" s="244"/>
      <c r="K130" s="247">
        <f t="shared" si="2"/>
        <v>5441.9992000000002</v>
      </c>
      <c r="L130" s="244" t="s">
        <v>7188</v>
      </c>
      <c r="M130" s="244"/>
      <c r="N130" s="244"/>
      <c r="O130" s="244"/>
      <c r="P130" s="244" t="s">
        <v>7141</v>
      </c>
      <c r="Q130" s="245">
        <v>44944</v>
      </c>
      <c r="R130" s="244"/>
      <c r="S130" s="244"/>
    </row>
    <row r="131" spans="1:19" x14ac:dyDescent="0.25">
      <c r="A131" s="173" t="s">
        <v>12</v>
      </c>
      <c r="B131" s="174">
        <v>45195</v>
      </c>
      <c r="C131" s="197">
        <v>1230310154</v>
      </c>
      <c r="D131" s="173" t="s">
        <v>7080</v>
      </c>
      <c r="E131" s="173" t="s">
        <v>7081</v>
      </c>
      <c r="F131" s="173" t="s">
        <v>368</v>
      </c>
      <c r="G131" s="173" t="s">
        <v>7108</v>
      </c>
      <c r="H131" s="173">
        <v>4497.5200000000004</v>
      </c>
      <c r="I131" s="176">
        <f t="shared" si="1"/>
        <v>944.47920000000011</v>
      </c>
      <c r="J131" s="173"/>
      <c r="K131" s="176">
        <f t="shared" si="2"/>
        <v>5441.9992000000002</v>
      </c>
      <c r="L131" s="173" t="s">
        <v>7012</v>
      </c>
      <c r="M131" s="173" t="s">
        <v>7160</v>
      </c>
      <c r="N131" s="173"/>
      <c r="O131" s="173"/>
      <c r="P131" s="173" t="s">
        <v>7141</v>
      </c>
      <c r="Q131" s="174">
        <v>44944</v>
      </c>
      <c r="R131" s="173" t="s">
        <v>3186</v>
      </c>
      <c r="S131" s="173"/>
    </row>
    <row r="132" spans="1:19" x14ac:dyDescent="0.25">
      <c r="A132" s="173" t="s">
        <v>12</v>
      </c>
      <c r="B132" s="174">
        <v>45258</v>
      </c>
      <c r="C132" s="197">
        <v>1230380837</v>
      </c>
      <c r="D132" s="173" t="s">
        <v>7080</v>
      </c>
      <c r="E132" s="173" t="s">
        <v>7081</v>
      </c>
      <c r="F132" s="173" t="s">
        <v>368</v>
      </c>
      <c r="G132" s="173" t="s">
        <v>7109</v>
      </c>
      <c r="H132" s="173">
        <v>4414.88</v>
      </c>
      <c r="I132" s="176">
        <f t="shared" si="1"/>
        <v>927.12479999999994</v>
      </c>
      <c r="J132" s="173"/>
      <c r="K132" s="176">
        <f t="shared" si="2"/>
        <v>5342.0047999999997</v>
      </c>
      <c r="L132" s="173" t="s">
        <v>7188</v>
      </c>
      <c r="M132" s="173"/>
      <c r="N132" s="173"/>
      <c r="O132" s="173"/>
      <c r="P132" s="173" t="s">
        <v>7141</v>
      </c>
      <c r="Q132" s="174">
        <v>44944</v>
      </c>
      <c r="R132" s="173"/>
      <c r="S132" s="173"/>
    </row>
    <row r="133" spans="1:19" x14ac:dyDescent="0.25">
      <c r="A133" s="173" t="s">
        <v>12</v>
      </c>
      <c r="B133" s="174">
        <v>45252</v>
      </c>
      <c r="C133" s="197">
        <v>1230379110</v>
      </c>
      <c r="D133" s="173" t="s">
        <v>7080</v>
      </c>
      <c r="E133" s="173" t="s">
        <v>7081</v>
      </c>
      <c r="F133" s="173" t="s">
        <v>377</v>
      </c>
      <c r="G133" s="173" t="s">
        <v>7110</v>
      </c>
      <c r="H133" s="173">
        <v>4910.74</v>
      </c>
      <c r="I133" s="176">
        <f t="shared" si="1"/>
        <v>1031.2554</v>
      </c>
      <c r="J133" s="173"/>
      <c r="K133" s="176">
        <f t="shared" si="2"/>
        <v>5941.9953999999998</v>
      </c>
      <c r="L133" s="173" t="s">
        <v>7188</v>
      </c>
      <c r="M133" s="173"/>
      <c r="N133" s="173"/>
      <c r="O133" s="173"/>
      <c r="P133" s="173" t="s">
        <v>7141</v>
      </c>
      <c r="Q133" s="174">
        <v>44944</v>
      </c>
      <c r="R133" s="173"/>
      <c r="S133" s="173"/>
    </row>
    <row r="134" spans="1:19" x14ac:dyDescent="0.25">
      <c r="A134" s="173" t="s">
        <v>12</v>
      </c>
      <c r="B134" s="174">
        <v>45280</v>
      </c>
      <c r="C134" s="197">
        <v>1230414808</v>
      </c>
      <c r="D134" s="173" t="s">
        <v>7080</v>
      </c>
      <c r="E134" s="173" t="s">
        <v>7081</v>
      </c>
      <c r="F134" s="173" t="s">
        <v>400</v>
      </c>
      <c r="G134" s="173" t="s">
        <v>7111</v>
      </c>
      <c r="H134" s="173">
        <v>5571.9</v>
      </c>
      <c r="I134" s="176">
        <f t="shared" si="1"/>
        <v>1170.0989999999999</v>
      </c>
      <c r="J134" s="173"/>
      <c r="K134" s="176">
        <f t="shared" si="2"/>
        <v>6741.9989999999998</v>
      </c>
      <c r="L134" s="173" t="s">
        <v>7188</v>
      </c>
      <c r="M134" s="173"/>
      <c r="N134" s="173"/>
      <c r="O134" s="173"/>
      <c r="P134" s="173" t="s">
        <v>7141</v>
      </c>
      <c r="Q134" s="174">
        <v>44944</v>
      </c>
      <c r="R134" s="173"/>
      <c r="S134" s="173"/>
    </row>
    <row r="135" spans="1:19" x14ac:dyDescent="0.25">
      <c r="A135" s="173" t="s">
        <v>12</v>
      </c>
      <c r="B135" s="174">
        <v>45209</v>
      </c>
      <c r="C135" s="197">
        <v>22</v>
      </c>
      <c r="D135" s="173" t="s">
        <v>2931</v>
      </c>
      <c r="E135" s="173" t="s">
        <v>2352</v>
      </c>
      <c r="F135" s="173" t="s">
        <v>7112</v>
      </c>
      <c r="G135" s="173" t="s">
        <v>7113</v>
      </c>
      <c r="H135" s="173"/>
      <c r="I135" s="173"/>
      <c r="J135" s="173" t="s">
        <v>21</v>
      </c>
      <c r="K135" s="173">
        <v>3200</v>
      </c>
      <c r="L135" s="173" t="s">
        <v>7012</v>
      </c>
      <c r="M135" s="173"/>
      <c r="N135" s="173"/>
      <c r="O135" s="173"/>
      <c r="P135" s="173" t="s">
        <v>7141</v>
      </c>
      <c r="Q135" s="174">
        <v>44944</v>
      </c>
      <c r="R135" s="173"/>
      <c r="S135" s="173"/>
    </row>
    <row r="136" spans="1:19" x14ac:dyDescent="0.25">
      <c r="A136" s="173" t="s">
        <v>12</v>
      </c>
      <c r="B136" s="174">
        <v>45244</v>
      </c>
      <c r="C136" s="197">
        <v>2317991</v>
      </c>
      <c r="D136" s="173" t="s">
        <v>7038</v>
      </c>
      <c r="E136" s="173" t="s">
        <v>7039</v>
      </c>
      <c r="F136" s="173" t="s">
        <v>5271</v>
      </c>
      <c r="G136" s="173" t="s">
        <v>7114</v>
      </c>
      <c r="H136" s="173">
        <v>15619.84</v>
      </c>
      <c r="I136" s="176">
        <f>+H136*0.21</f>
        <v>3280.1664000000001</v>
      </c>
      <c r="J136" s="173"/>
      <c r="K136" s="176">
        <f>+H136+I136-0.01</f>
        <v>18899.9964</v>
      </c>
      <c r="L136" s="173" t="s">
        <v>7188</v>
      </c>
      <c r="M136" s="173"/>
      <c r="N136" s="173"/>
      <c r="O136" s="173"/>
      <c r="P136" s="173" t="s">
        <v>7141</v>
      </c>
      <c r="Q136" s="174">
        <v>44944</v>
      </c>
      <c r="R136" s="173"/>
      <c r="S136" s="173"/>
    </row>
    <row r="137" spans="1:19" x14ac:dyDescent="0.25">
      <c r="A137" s="173" t="s">
        <v>408</v>
      </c>
      <c r="B137" s="174">
        <v>45217</v>
      </c>
      <c r="C137" s="197">
        <v>23026</v>
      </c>
      <c r="D137" s="173" t="s">
        <v>7115</v>
      </c>
      <c r="E137" s="173" t="s">
        <v>6849</v>
      </c>
      <c r="F137" s="173" t="s">
        <v>7112</v>
      </c>
      <c r="G137" s="173" t="s">
        <v>7113</v>
      </c>
      <c r="H137" s="173"/>
      <c r="I137" s="173"/>
      <c r="J137" s="173" t="s">
        <v>21</v>
      </c>
      <c r="K137" s="235">
        <v>3400</v>
      </c>
      <c r="L137" s="173" t="s">
        <v>7116</v>
      </c>
      <c r="M137" s="173"/>
      <c r="N137" s="173"/>
      <c r="O137" s="173"/>
      <c r="P137" s="173" t="s">
        <v>7141</v>
      </c>
      <c r="Q137" s="174">
        <v>44944</v>
      </c>
      <c r="R137" s="173"/>
      <c r="S137" s="173"/>
    </row>
    <row r="138" spans="1:19" x14ac:dyDescent="0.25">
      <c r="A138" s="173" t="s">
        <v>408</v>
      </c>
      <c r="B138" s="174">
        <v>45229</v>
      </c>
      <c r="C138" s="197">
        <v>23027</v>
      </c>
      <c r="D138" s="173" t="s">
        <v>6857</v>
      </c>
      <c r="E138" s="173" t="s">
        <v>6572</v>
      </c>
      <c r="F138" s="173" t="s">
        <v>5041</v>
      </c>
      <c r="G138" s="173" t="s">
        <v>6923</v>
      </c>
      <c r="H138" s="173">
        <f>13500/1.21</f>
        <v>11157.024793388429</v>
      </c>
      <c r="I138" s="173">
        <f t="shared" ref="I138:I145" si="3">+H138*0.21</f>
        <v>2342.9752066115702</v>
      </c>
      <c r="J138" s="173" t="s">
        <v>21</v>
      </c>
      <c r="K138" s="235">
        <f>+H138+I138</f>
        <v>13500</v>
      </c>
      <c r="L138" s="173" t="s">
        <v>7117</v>
      </c>
      <c r="M138" s="173" t="s">
        <v>7145</v>
      </c>
      <c r="N138" s="173"/>
      <c r="O138" s="173"/>
      <c r="P138" s="173" t="s">
        <v>7141</v>
      </c>
      <c r="Q138" s="174">
        <v>44944</v>
      </c>
      <c r="R138" s="173"/>
      <c r="S138" s="173"/>
    </row>
    <row r="139" spans="1:19" x14ac:dyDescent="0.25">
      <c r="A139" s="173" t="s">
        <v>408</v>
      </c>
      <c r="B139" s="174">
        <v>45232</v>
      </c>
      <c r="C139" s="197">
        <v>23028</v>
      </c>
      <c r="D139" s="173" t="s">
        <v>7118</v>
      </c>
      <c r="E139" s="173" t="s">
        <v>7119</v>
      </c>
      <c r="F139" s="173" t="s">
        <v>7067</v>
      </c>
      <c r="G139" s="173" t="s">
        <v>7078</v>
      </c>
      <c r="H139" s="173">
        <v>6611.57</v>
      </c>
      <c r="I139" s="173">
        <f t="shared" si="3"/>
        <v>1388.4296999999999</v>
      </c>
      <c r="J139" s="173"/>
      <c r="K139" s="235">
        <f>+H139+I139</f>
        <v>7999.9996999999994</v>
      </c>
      <c r="L139" s="173" t="s">
        <v>7120</v>
      </c>
      <c r="M139" s="173"/>
      <c r="N139" s="173"/>
      <c r="O139" s="173"/>
      <c r="P139" s="173" t="s">
        <v>7141</v>
      </c>
      <c r="Q139" s="174">
        <v>44944</v>
      </c>
      <c r="R139" s="173"/>
      <c r="S139" s="173"/>
    </row>
    <row r="140" spans="1:19" x14ac:dyDescent="0.25">
      <c r="A140" s="173" t="s">
        <v>408</v>
      </c>
      <c r="B140" s="174">
        <v>45233</v>
      </c>
      <c r="C140" s="197">
        <v>23029</v>
      </c>
      <c r="D140" s="173" t="s">
        <v>6857</v>
      </c>
      <c r="E140" s="173" t="s">
        <v>6572</v>
      </c>
      <c r="F140" s="173" t="s">
        <v>5271</v>
      </c>
      <c r="G140" s="173" t="s">
        <v>7072</v>
      </c>
      <c r="H140" s="173">
        <v>15950.42</v>
      </c>
      <c r="I140" s="176">
        <f t="shared" si="3"/>
        <v>3349.5881999999997</v>
      </c>
      <c r="J140" s="173"/>
      <c r="K140" s="235">
        <f>+H140+I140-0.01</f>
        <v>19299.998200000002</v>
      </c>
      <c r="L140" s="173" t="s">
        <v>7121</v>
      </c>
      <c r="M140" s="173" t="s">
        <v>7146</v>
      </c>
      <c r="N140" s="173"/>
      <c r="O140" s="173"/>
      <c r="P140" s="173" t="s">
        <v>7141</v>
      </c>
      <c r="Q140" s="174">
        <v>44944</v>
      </c>
      <c r="R140" s="173" t="s">
        <v>3186</v>
      </c>
      <c r="S140" s="173"/>
    </row>
    <row r="141" spans="1:19" x14ac:dyDescent="0.25">
      <c r="A141" s="173" t="s">
        <v>408</v>
      </c>
      <c r="B141" s="174">
        <v>45243</v>
      </c>
      <c r="C141" s="197">
        <v>23030</v>
      </c>
      <c r="D141" s="173" t="s">
        <v>7048</v>
      </c>
      <c r="E141" s="173" t="s">
        <v>7049</v>
      </c>
      <c r="F141" s="173" t="s">
        <v>368</v>
      </c>
      <c r="G141" s="173" t="s">
        <v>7108</v>
      </c>
      <c r="H141" s="173">
        <v>7066.1149999999998</v>
      </c>
      <c r="I141" s="176">
        <f t="shared" si="3"/>
        <v>1483.8841499999999</v>
      </c>
      <c r="J141" s="173"/>
      <c r="K141" s="235">
        <f>+H141+I141</f>
        <v>8549.9991499999996</v>
      </c>
      <c r="L141" s="173" t="s">
        <v>7122</v>
      </c>
      <c r="M141" s="173"/>
      <c r="N141" s="173"/>
      <c r="O141" s="173"/>
      <c r="P141" s="173" t="s">
        <v>7141</v>
      </c>
      <c r="Q141" s="174">
        <v>44944</v>
      </c>
      <c r="R141" s="173"/>
      <c r="S141" s="173"/>
    </row>
    <row r="142" spans="1:19" x14ac:dyDescent="0.25">
      <c r="A142" s="173" t="s">
        <v>408</v>
      </c>
      <c r="B142" s="174">
        <v>45243</v>
      </c>
      <c r="C142" s="197">
        <v>23031</v>
      </c>
      <c r="D142" s="173" t="s">
        <v>7123</v>
      </c>
      <c r="E142" s="173" t="s">
        <v>7124</v>
      </c>
      <c r="F142" s="173" t="s">
        <v>406</v>
      </c>
      <c r="G142" s="173" t="s">
        <v>7075</v>
      </c>
      <c r="H142" s="176">
        <v>6926</v>
      </c>
      <c r="I142" s="176">
        <f t="shared" si="3"/>
        <v>1454.46</v>
      </c>
      <c r="J142" s="173"/>
      <c r="K142" s="235">
        <f>+H142+I142</f>
        <v>8380.4599999999991</v>
      </c>
      <c r="L142" s="173" t="s">
        <v>7125</v>
      </c>
      <c r="M142" s="173" t="s">
        <v>7163</v>
      </c>
      <c r="N142" s="173"/>
      <c r="O142" s="173"/>
      <c r="P142" s="173" t="s">
        <v>7141</v>
      </c>
      <c r="Q142" s="174">
        <v>44944</v>
      </c>
      <c r="R142" s="173" t="s">
        <v>3791</v>
      </c>
      <c r="S142" s="173"/>
    </row>
    <row r="143" spans="1:19" x14ac:dyDescent="0.25">
      <c r="A143" s="173" t="s">
        <v>408</v>
      </c>
      <c r="B143" s="174">
        <v>45244</v>
      </c>
      <c r="C143" s="197">
        <v>23032</v>
      </c>
      <c r="D143" s="173" t="s">
        <v>7126</v>
      </c>
      <c r="E143" s="173" t="s">
        <v>7127</v>
      </c>
      <c r="F143" s="173" t="s">
        <v>368</v>
      </c>
      <c r="G143" s="173" t="s">
        <v>7083</v>
      </c>
      <c r="H143" s="173">
        <f>8600/1.21</f>
        <v>7107.4380165289258</v>
      </c>
      <c r="I143" s="176">
        <f t="shared" si="3"/>
        <v>1492.5619834710744</v>
      </c>
      <c r="J143" s="173"/>
      <c r="K143" s="235">
        <f>+H143+I143</f>
        <v>8600</v>
      </c>
      <c r="L143" s="173" t="s">
        <v>7128</v>
      </c>
      <c r="M143" s="173" t="s">
        <v>7164</v>
      </c>
      <c r="N143" s="173"/>
      <c r="O143" s="173"/>
      <c r="P143" s="173" t="s">
        <v>7141</v>
      </c>
      <c r="Q143" s="174">
        <v>44944</v>
      </c>
      <c r="R143" s="173" t="s">
        <v>3791</v>
      </c>
      <c r="S143" s="173"/>
    </row>
    <row r="144" spans="1:19" x14ac:dyDescent="0.25">
      <c r="A144" s="173" t="s">
        <v>408</v>
      </c>
      <c r="B144" s="174">
        <v>45274</v>
      </c>
      <c r="C144" s="197">
        <v>23033</v>
      </c>
      <c r="D144" s="173" t="s">
        <v>7129</v>
      </c>
      <c r="E144" s="173" t="s">
        <v>7130</v>
      </c>
      <c r="F144" s="173" t="s">
        <v>6156</v>
      </c>
      <c r="G144" s="173" t="s">
        <v>7042</v>
      </c>
      <c r="H144" s="173">
        <v>6756.1949999999997</v>
      </c>
      <c r="I144" s="176">
        <f t="shared" si="3"/>
        <v>1418.8009499999998</v>
      </c>
      <c r="J144" s="173"/>
      <c r="K144" s="235">
        <f>+H144+I144</f>
        <v>8174.9959499999995</v>
      </c>
      <c r="L144" s="173" t="s">
        <v>7131</v>
      </c>
      <c r="M144" s="173"/>
      <c r="N144" s="173"/>
      <c r="O144" s="173"/>
      <c r="P144" s="173" t="s">
        <v>7141</v>
      </c>
      <c r="Q144" s="174">
        <v>44944</v>
      </c>
      <c r="R144" s="173"/>
      <c r="S144" s="173"/>
    </row>
    <row r="145" spans="1:19" x14ac:dyDescent="0.25">
      <c r="A145" s="206" t="s">
        <v>408</v>
      </c>
      <c r="B145" s="249">
        <v>45274</v>
      </c>
      <c r="C145" s="250">
        <v>23034</v>
      </c>
      <c r="D145" s="206" t="s">
        <v>7041</v>
      </c>
      <c r="E145" s="206" t="s">
        <v>18</v>
      </c>
      <c r="F145" s="206" t="s">
        <v>6156</v>
      </c>
      <c r="G145" s="206" t="s">
        <v>7132</v>
      </c>
      <c r="H145" s="206">
        <v>424.61</v>
      </c>
      <c r="I145" s="215">
        <f t="shared" si="3"/>
        <v>89.168099999999995</v>
      </c>
      <c r="J145" s="206"/>
      <c r="K145" s="236">
        <f>+H145+I145</f>
        <v>513.77809999999999</v>
      </c>
      <c r="L145" s="173" t="s">
        <v>7143</v>
      </c>
      <c r="M145" s="173"/>
      <c r="N145" s="173"/>
      <c r="O145" s="173"/>
      <c r="P145" s="173" t="s">
        <v>7141</v>
      </c>
      <c r="Q145" s="174">
        <v>44944</v>
      </c>
      <c r="R145" s="173"/>
      <c r="S145" s="173"/>
    </row>
    <row r="146" spans="1:19" x14ac:dyDescent="0.25">
      <c r="A146" s="173" t="s">
        <v>408</v>
      </c>
      <c r="B146" s="174">
        <v>45281</v>
      </c>
      <c r="C146" s="197">
        <v>23035</v>
      </c>
      <c r="D146" s="173" t="s">
        <v>7133</v>
      </c>
      <c r="E146" s="173" t="s">
        <v>7134</v>
      </c>
      <c r="F146" s="173" t="s">
        <v>6952</v>
      </c>
      <c r="G146" s="173" t="s">
        <v>6953</v>
      </c>
      <c r="H146" s="173"/>
      <c r="I146" s="173"/>
      <c r="J146" s="173" t="s">
        <v>21</v>
      </c>
      <c r="K146" s="235">
        <v>18625</v>
      </c>
      <c r="L146" s="173" t="s">
        <v>7135</v>
      </c>
      <c r="M146" s="173" t="s">
        <v>7150</v>
      </c>
      <c r="N146" s="173"/>
      <c r="O146" s="173"/>
      <c r="P146" s="173" t="s">
        <v>7141</v>
      </c>
      <c r="Q146" s="174">
        <v>44944</v>
      </c>
      <c r="R146" s="173" t="s">
        <v>3186</v>
      </c>
      <c r="S146" s="173"/>
    </row>
    <row r="147" spans="1:19" x14ac:dyDescent="0.25">
      <c r="A147" s="173" t="s">
        <v>12</v>
      </c>
      <c r="B147" s="174">
        <v>45250</v>
      </c>
      <c r="C147" s="197">
        <v>2310556106</v>
      </c>
      <c r="D147" s="173" t="s">
        <v>7041</v>
      </c>
      <c r="E147" s="173" t="s">
        <v>18</v>
      </c>
      <c r="F147" s="173" t="s">
        <v>6156</v>
      </c>
      <c r="G147" s="173" t="s">
        <v>7132</v>
      </c>
      <c r="H147" s="173">
        <v>4838.84</v>
      </c>
      <c r="I147" s="176">
        <f>+H147*0.21</f>
        <v>1016.1564</v>
      </c>
      <c r="J147" s="173"/>
      <c r="K147" s="176">
        <f>+H147+I147</f>
        <v>5854.9964</v>
      </c>
      <c r="L147" s="173" t="s">
        <v>7188</v>
      </c>
      <c r="M147" s="173"/>
      <c r="N147" s="173"/>
      <c r="O147" s="173"/>
      <c r="P147" s="173" t="s">
        <v>7141</v>
      </c>
      <c r="Q147" s="174">
        <v>44944</v>
      </c>
      <c r="R147" s="173"/>
      <c r="S147" s="173"/>
    </row>
    <row r="148" spans="1:19" x14ac:dyDescent="0.25">
      <c r="A148" s="173" t="s">
        <v>12</v>
      </c>
      <c r="B148" s="174">
        <v>45244</v>
      </c>
      <c r="C148" s="197">
        <v>2310511101</v>
      </c>
      <c r="D148" s="173" t="s">
        <v>7041</v>
      </c>
      <c r="E148" s="173" t="s">
        <v>18</v>
      </c>
      <c r="F148" s="173" t="s">
        <v>5193</v>
      </c>
      <c r="G148" s="173" t="s">
        <v>7195</v>
      </c>
      <c r="H148" s="173">
        <v>9797.52</v>
      </c>
      <c r="I148" s="176">
        <f>+H148*0.21</f>
        <v>2057.4792000000002</v>
      </c>
      <c r="J148" s="173"/>
      <c r="K148" s="176">
        <f>+H148+I148</f>
        <v>11854.9992</v>
      </c>
      <c r="L148" s="173" t="s">
        <v>7188</v>
      </c>
      <c r="M148" s="173" t="s">
        <v>7149</v>
      </c>
      <c r="N148" s="173"/>
      <c r="O148" s="173"/>
      <c r="P148" s="173" t="s">
        <v>7141</v>
      </c>
      <c r="Q148" s="174">
        <v>44944</v>
      </c>
      <c r="R148" s="173"/>
      <c r="S148" s="173"/>
    </row>
    <row r="149" spans="1:19" x14ac:dyDescent="0.25">
      <c r="A149" s="173" t="s">
        <v>12</v>
      </c>
      <c r="B149" s="174">
        <v>45240</v>
      </c>
      <c r="C149" s="197">
        <v>2310510590</v>
      </c>
      <c r="D149" s="173" t="s">
        <v>7041</v>
      </c>
      <c r="E149" s="173" t="s">
        <v>18</v>
      </c>
      <c r="F149" s="173" t="s">
        <v>400</v>
      </c>
      <c r="G149" s="173" t="s">
        <v>7136</v>
      </c>
      <c r="H149" s="173">
        <v>7235.53</v>
      </c>
      <c r="I149" s="176">
        <f>+H149*0.21</f>
        <v>1519.4612999999999</v>
      </c>
      <c r="J149" s="173"/>
      <c r="K149" s="176">
        <f>+H149+I149+0.01</f>
        <v>8755.0012999999999</v>
      </c>
      <c r="L149" s="173" t="s">
        <v>7012</v>
      </c>
      <c r="M149" s="173" t="s">
        <v>7148</v>
      </c>
      <c r="N149" s="173"/>
      <c r="O149" s="173"/>
      <c r="P149" s="173" t="s">
        <v>7141</v>
      </c>
      <c r="Q149" s="174">
        <v>44944</v>
      </c>
      <c r="R149" s="173" t="s">
        <v>3186</v>
      </c>
      <c r="S149" s="173"/>
    </row>
    <row r="150" spans="1:19" x14ac:dyDescent="0.25">
      <c r="A150" s="173" t="s">
        <v>408</v>
      </c>
      <c r="B150" s="174">
        <v>45282</v>
      </c>
      <c r="C150" s="197">
        <v>23036</v>
      </c>
      <c r="D150" s="173" t="s">
        <v>7137</v>
      </c>
      <c r="E150" s="173" t="s">
        <v>7138</v>
      </c>
      <c r="F150" s="173" t="s">
        <v>400</v>
      </c>
      <c r="G150" s="173" t="s">
        <v>7136</v>
      </c>
      <c r="H150" s="173">
        <f>11800/1.21</f>
        <v>9752.0661157024788</v>
      </c>
      <c r="I150" s="176">
        <f>+H150*0.21</f>
        <v>2047.9338842975205</v>
      </c>
      <c r="J150" s="173"/>
      <c r="K150" s="235">
        <f>+H150+I150</f>
        <v>11800</v>
      </c>
      <c r="L150" s="173" t="s">
        <v>7139</v>
      </c>
      <c r="M150" s="173" t="s">
        <v>7170</v>
      </c>
      <c r="N150" s="173"/>
      <c r="O150" s="173"/>
      <c r="P150" s="173" t="s">
        <v>7141</v>
      </c>
      <c r="Q150" s="174">
        <v>44944</v>
      </c>
      <c r="R150" s="173" t="s">
        <v>3186</v>
      </c>
      <c r="S150" s="173"/>
    </row>
    <row r="151" spans="1:19" x14ac:dyDescent="0.25">
      <c r="A151" s="173" t="s">
        <v>408</v>
      </c>
      <c r="B151" s="174">
        <v>45287</v>
      </c>
      <c r="C151" s="197">
        <v>23037</v>
      </c>
      <c r="D151" s="173" t="s">
        <v>7055</v>
      </c>
      <c r="E151" s="173" t="s">
        <v>3144</v>
      </c>
      <c r="F151" s="173" t="s">
        <v>7004</v>
      </c>
      <c r="G151" s="173" t="s">
        <v>7003</v>
      </c>
      <c r="H151" s="173">
        <v>14400</v>
      </c>
      <c r="I151" s="173"/>
      <c r="J151" s="173" t="s">
        <v>21</v>
      </c>
      <c r="K151" s="235">
        <v>14400</v>
      </c>
      <c r="L151" s="173" t="s">
        <v>7140</v>
      </c>
      <c r="M151" s="173" t="s">
        <v>7165</v>
      </c>
      <c r="N151" s="173"/>
      <c r="O151" s="173"/>
      <c r="P151" s="173" t="s">
        <v>7141</v>
      </c>
      <c r="Q151" s="174">
        <v>44944</v>
      </c>
      <c r="R151" s="173"/>
      <c r="S151" s="173"/>
    </row>
    <row r="152" spans="1:19" x14ac:dyDescent="0.25">
      <c r="A152" s="173" t="s">
        <v>12</v>
      </c>
      <c r="B152" s="174">
        <v>45295</v>
      </c>
      <c r="C152" s="197">
        <v>2400214</v>
      </c>
      <c r="D152" s="173" t="s">
        <v>7038</v>
      </c>
      <c r="E152" s="173" t="s">
        <v>7039</v>
      </c>
      <c r="F152" s="173" t="s">
        <v>2740</v>
      </c>
      <c r="G152" s="173" t="s">
        <v>7171</v>
      </c>
      <c r="H152" s="173">
        <v>7851.24</v>
      </c>
      <c r="I152" s="176">
        <f t="shared" ref="I152:I160" si="4">+H152*0.21</f>
        <v>1648.7603999999999</v>
      </c>
      <c r="J152" s="173"/>
      <c r="K152" s="176">
        <f>+H152+I152</f>
        <v>9500.000399999999</v>
      </c>
      <c r="L152" s="173" t="s">
        <v>7188</v>
      </c>
      <c r="M152" s="173"/>
      <c r="N152" s="173"/>
      <c r="O152" s="173"/>
      <c r="P152" s="173" t="s">
        <v>7231</v>
      </c>
      <c r="Q152" s="174">
        <v>45392</v>
      </c>
      <c r="R152" s="173"/>
      <c r="S152" s="173"/>
    </row>
    <row r="153" spans="1:19" x14ac:dyDescent="0.25">
      <c r="A153" s="173" t="s">
        <v>12</v>
      </c>
      <c r="B153" s="174">
        <v>45316</v>
      </c>
      <c r="C153" s="197" t="s">
        <v>7172</v>
      </c>
      <c r="D153" s="173" t="s">
        <v>7173</v>
      </c>
      <c r="E153" s="173" t="s">
        <v>7174</v>
      </c>
      <c r="F153" s="173" t="s">
        <v>368</v>
      </c>
      <c r="G153" s="173" t="s">
        <v>7175</v>
      </c>
      <c r="H153" s="173">
        <v>4409.09</v>
      </c>
      <c r="I153" s="176">
        <f t="shared" si="4"/>
        <v>925.90890000000002</v>
      </c>
      <c r="J153" s="173"/>
      <c r="K153" s="176">
        <f>+H153+I153</f>
        <v>5334.9989000000005</v>
      </c>
      <c r="L153" s="173" t="s">
        <v>7188</v>
      </c>
      <c r="M153" s="173"/>
      <c r="N153" s="173"/>
      <c r="O153" s="173"/>
      <c r="P153" s="173" t="s">
        <v>7231</v>
      </c>
      <c r="Q153" s="174">
        <v>45392</v>
      </c>
      <c r="R153" s="173"/>
      <c r="S153" s="173"/>
    </row>
    <row r="154" spans="1:19" x14ac:dyDescent="0.25">
      <c r="A154" s="173" t="s">
        <v>12</v>
      </c>
      <c r="B154" s="174">
        <v>45322</v>
      </c>
      <c r="C154" s="197" t="s">
        <v>7176</v>
      </c>
      <c r="D154" s="173" t="s">
        <v>7173</v>
      </c>
      <c r="E154" s="173" t="s">
        <v>7174</v>
      </c>
      <c r="F154" s="173" t="s">
        <v>400</v>
      </c>
      <c r="G154" s="173" t="s">
        <v>7177</v>
      </c>
      <c r="H154" s="173">
        <v>4657.0200000000004</v>
      </c>
      <c r="I154" s="176">
        <f t="shared" si="4"/>
        <v>977.97420000000011</v>
      </c>
      <c r="J154" s="173"/>
      <c r="K154" s="176">
        <f>+H154+I154</f>
        <v>5634.994200000001</v>
      </c>
      <c r="L154" s="173" t="s">
        <v>7188</v>
      </c>
      <c r="M154" s="173"/>
      <c r="N154" s="173"/>
      <c r="O154" s="173"/>
      <c r="P154" s="173" t="s">
        <v>7231</v>
      </c>
      <c r="Q154" s="174">
        <v>45392</v>
      </c>
      <c r="R154" s="173"/>
      <c r="S154" s="173"/>
    </row>
    <row r="155" spans="1:19" x14ac:dyDescent="0.25">
      <c r="A155" s="173" t="s">
        <v>12</v>
      </c>
      <c r="B155" s="174">
        <v>45301</v>
      </c>
      <c r="C155" s="195" t="s">
        <v>7178</v>
      </c>
      <c r="D155" s="240" t="s">
        <v>7073</v>
      </c>
      <c r="E155" s="240" t="s">
        <v>2106</v>
      </c>
      <c r="F155" s="173" t="s">
        <v>368</v>
      </c>
      <c r="G155" s="173" t="s">
        <v>7179</v>
      </c>
      <c r="H155" s="173">
        <v>5537.19</v>
      </c>
      <c r="I155" s="176">
        <f t="shared" si="4"/>
        <v>1162.8099</v>
      </c>
      <c r="J155" s="173"/>
      <c r="K155" s="176">
        <f>+H155+I155</f>
        <v>6699.9998999999998</v>
      </c>
      <c r="L155" s="173" t="s">
        <v>7188</v>
      </c>
      <c r="M155" s="173"/>
      <c r="N155" s="173"/>
      <c r="O155" s="173"/>
      <c r="P155" s="173" t="s">
        <v>7231</v>
      </c>
      <c r="Q155" s="174">
        <v>45392</v>
      </c>
      <c r="R155" s="173"/>
      <c r="S155" s="173"/>
    </row>
    <row r="156" spans="1:19" x14ac:dyDescent="0.25">
      <c r="A156" s="173" t="s">
        <v>12</v>
      </c>
      <c r="B156" s="174">
        <v>45355</v>
      </c>
      <c r="C156" s="195" t="s">
        <v>7180</v>
      </c>
      <c r="D156" s="240" t="s">
        <v>7073</v>
      </c>
      <c r="E156" s="240" t="s">
        <v>2106</v>
      </c>
      <c r="F156" s="173" t="s">
        <v>368</v>
      </c>
      <c r="G156" s="173" t="s">
        <v>7181</v>
      </c>
      <c r="H156" s="173">
        <v>4793.3900000000003</v>
      </c>
      <c r="I156" s="176">
        <f t="shared" si="4"/>
        <v>1006.6119</v>
      </c>
      <c r="J156" s="173"/>
      <c r="K156" s="176">
        <f>+H156+I156</f>
        <v>5800.0019000000002</v>
      </c>
      <c r="L156" s="173" t="s">
        <v>7188</v>
      </c>
      <c r="M156" s="173"/>
      <c r="N156" s="173"/>
      <c r="O156" s="173"/>
      <c r="P156" s="173" t="s">
        <v>7231</v>
      </c>
      <c r="Q156" s="174">
        <v>45392</v>
      </c>
      <c r="R156" s="173"/>
      <c r="S156" s="173"/>
    </row>
    <row r="157" spans="1:19" x14ac:dyDescent="0.25">
      <c r="A157" s="173" t="s">
        <v>12</v>
      </c>
      <c r="B157" s="174">
        <v>45376</v>
      </c>
      <c r="C157" s="197">
        <v>2410159251</v>
      </c>
      <c r="D157" s="173" t="s">
        <v>7041</v>
      </c>
      <c r="E157" s="173" t="s">
        <v>18</v>
      </c>
      <c r="F157" s="173" t="s">
        <v>6044</v>
      </c>
      <c r="G157" s="173" t="s">
        <v>7182</v>
      </c>
      <c r="H157" s="173">
        <v>6901.67</v>
      </c>
      <c r="I157" s="176">
        <f t="shared" si="4"/>
        <v>1449.3507</v>
      </c>
      <c r="J157" s="173"/>
      <c r="K157" s="176">
        <f>+H157+I157+0.01</f>
        <v>8351.0307000000012</v>
      </c>
      <c r="L157" s="173" t="s">
        <v>7188</v>
      </c>
      <c r="M157" s="173"/>
      <c r="N157" s="173"/>
      <c r="O157" s="173"/>
      <c r="P157" s="173" t="s">
        <v>7231</v>
      </c>
      <c r="Q157" s="174">
        <v>45392</v>
      </c>
      <c r="R157" s="173"/>
      <c r="S157" s="173"/>
    </row>
    <row r="158" spans="1:19" x14ac:dyDescent="0.25">
      <c r="A158" s="173" t="s">
        <v>12</v>
      </c>
      <c r="B158" s="174">
        <v>45316</v>
      </c>
      <c r="C158" s="197">
        <v>2410049937</v>
      </c>
      <c r="D158" s="173" t="s">
        <v>7041</v>
      </c>
      <c r="E158" s="173" t="s">
        <v>18</v>
      </c>
      <c r="F158" s="173" t="s">
        <v>6156</v>
      </c>
      <c r="G158" s="173" t="s">
        <v>7183</v>
      </c>
      <c r="H158" s="173">
        <v>5417.35</v>
      </c>
      <c r="I158" s="176">
        <f t="shared" si="4"/>
        <v>1137.6435000000001</v>
      </c>
      <c r="J158" s="173"/>
      <c r="K158" s="176">
        <f>+H158+I158+0.01</f>
        <v>6555.0035000000007</v>
      </c>
      <c r="L158" s="173" t="s">
        <v>7188</v>
      </c>
      <c r="M158" s="173"/>
      <c r="N158" s="173"/>
      <c r="O158" s="173"/>
      <c r="P158" s="173" t="s">
        <v>7231</v>
      </c>
      <c r="Q158" s="174">
        <v>45392</v>
      </c>
      <c r="R158" s="173"/>
      <c r="S158" s="173"/>
    </row>
    <row r="159" spans="1:19" x14ac:dyDescent="0.25">
      <c r="A159" s="173" t="s">
        <v>12</v>
      </c>
      <c r="B159" s="174">
        <v>45300</v>
      </c>
      <c r="C159" s="197">
        <v>2410001995</v>
      </c>
      <c r="D159" s="173" t="s">
        <v>7041</v>
      </c>
      <c r="E159" s="173" t="s">
        <v>18</v>
      </c>
      <c r="F159" s="173" t="s">
        <v>368</v>
      </c>
      <c r="G159" s="173" t="s">
        <v>7184</v>
      </c>
      <c r="H159" s="173">
        <v>6326.44</v>
      </c>
      <c r="I159" s="176">
        <f t="shared" si="4"/>
        <v>1328.5523999999998</v>
      </c>
      <c r="J159" s="173"/>
      <c r="K159" s="176">
        <f>+H159+I159+0.01</f>
        <v>7655.0023999999994</v>
      </c>
      <c r="L159" s="173" t="s">
        <v>7188</v>
      </c>
      <c r="M159" s="173"/>
      <c r="N159" s="173"/>
      <c r="O159" s="173"/>
      <c r="P159" s="173" t="s">
        <v>7231</v>
      </c>
      <c r="Q159" s="174">
        <v>45392</v>
      </c>
      <c r="R159" s="173"/>
      <c r="S159" s="173"/>
    </row>
    <row r="160" spans="1:19" x14ac:dyDescent="0.25">
      <c r="A160" s="173" t="s">
        <v>408</v>
      </c>
      <c r="B160" s="174">
        <v>45300</v>
      </c>
      <c r="C160" s="197">
        <v>24001</v>
      </c>
      <c r="D160" s="173" t="s">
        <v>7185</v>
      </c>
      <c r="E160" s="173" t="s">
        <v>7186</v>
      </c>
      <c r="F160" s="173" t="s">
        <v>368</v>
      </c>
      <c r="G160" s="173" t="s">
        <v>7106</v>
      </c>
      <c r="H160" s="173">
        <f>9475/1.21</f>
        <v>7830.5785123966944</v>
      </c>
      <c r="I160" s="176">
        <f t="shared" si="4"/>
        <v>1644.4214876033056</v>
      </c>
      <c r="J160" s="173"/>
      <c r="K160" s="176">
        <f>+H160+I160</f>
        <v>9475</v>
      </c>
      <c r="L160" s="173" t="s">
        <v>7187</v>
      </c>
      <c r="M160" s="173"/>
      <c r="N160" s="173"/>
      <c r="O160" s="173"/>
      <c r="P160" s="173" t="s">
        <v>7231</v>
      </c>
      <c r="Q160" s="174">
        <v>45392</v>
      </c>
      <c r="R160" s="173"/>
      <c r="S160" s="173"/>
    </row>
    <row r="161" spans="1:19" x14ac:dyDescent="0.25">
      <c r="A161" s="173" t="s">
        <v>408</v>
      </c>
      <c r="B161" s="174">
        <v>45307</v>
      </c>
      <c r="C161" s="197">
        <v>24003</v>
      </c>
      <c r="D161" s="173" t="s">
        <v>6469</v>
      </c>
      <c r="E161" s="173" t="s">
        <v>6382</v>
      </c>
      <c r="F161" s="173" t="s">
        <v>3807</v>
      </c>
      <c r="G161" s="173" t="s">
        <v>6895</v>
      </c>
      <c r="H161" s="173"/>
      <c r="I161" s="173"/>
      <c r="J161" s="173" t="s">
        <v>21</v>
      </c>
      <c r="K161" s="235">
        <v>2300</v>
      </c>
      <c r="L161" s="173" t="s">
        <v>6936</v>
      </c>
      <c r="M161" s="173"/>
      <c r="N161" s="173"/>
      <c r="O161" s="173"/>
      <c r="P161" s="173" t="s">
        <v>7231</v>
      </c>
      <c r="Q161" s="174">
        <v>45392</v>
      </c>
      <c r="R161" s="173"/>
      <c r="S161" s="173"/>
    </row>
    <row r="162" spans="1:19" x14ac:dyDescent="0.25">
      <c r="A162" s="173" t="s">
        <v>408</v>
      </c>
      <c r="B162" s="174">
        <v>45313</v>
      </c>
      <c r="C162" s="197">
        <v>24004</v>
      </c>
      <c r="D162" s="173" t="s">
        <v>7048</v>
      </c>
      <c r="E162" s="173" t="s">
        <v>7049</v>
      </c>
      <c r="F162" s="173" t="s">
        <v>377</v>
      </c>
      <c r="G162" s="173" t="s">
        <v>7110</v>
      </c>
      <c r="H162" s="173">
        <v>7700</v>
      </c>
      <c r="I162" s="176">
        <f>+H162*0.21</f>
        <v>1617</v>
      </c>
      <c r="J162" s="173"/>
      <c r="K162" s="176">
        <f>+H162+I162</f>
        <v>9317</v>
      </c>
      <c r="L162" s="173" t="s">
        <v>7189</v>
      </c>
      <c r="M162" s="173"/>
      <c r="N162" s="173"/>
      <c r="O162" s="173"/>
      <c r="P162" s="173" t="s">
        <v>7231</v>
      </c>
      <c r="Q162" s="174">
        <v>45392</v>
      </c>
      <c r="R162" s="173"/>
      <c r="S162" s="173"/>
    </row>
    <row r="163" spans="1:19" x14ac:dyDescent="0.25">
      <c r="A163" s="173" t="s">
        <v>408</v>
      </c>
      <c r="B163" s="174">
        <v>45314</v>
      </c>
      <c r="C163" s="197">
        <v>24005</v>
      </c>
      <c r="D163" s="173" t="s">
        <v>7190</v>
      </c>
      <c r="E163" s="173" t="s">
        <v>7191</v>
      </c>
      <c r="F163" s="173" t="s">
        <v>5193</v>
      </c>
      <c r="G163" s="173" t="s">
        <v>7195</v>
      </c>
      <c r="H163" s="176">
        <f>10500/1.21</f>
        <v>8677.6859504132226</v>
      </c>
      <c r="I163" s="176">
        <f>+H163*0.21</f>
        <v>1822.3140495867767</v>
      </c>
      <c r="J163" s="173"/>
      <c r="K163" s="176">
        <f>+H163+I163</f>
        <v>10500</v>
      </c>
      <c r="L163" s="173" t="s">
        <v>7196</v>
      </c>
      <c r="M163" s="173"/>
      <c r="N163" s="173"/>
      <c r="O163" s="173"/>
      <c r="P163" s="173" t="s">
        <v>7231</v>
      </c>
      <c r="Q163" s="174">
        <v>45392</v>
      </c>
      <c r="R163" s="173"/>
      <c r="S163" s="173"/>
    </row>
    <row r="164" spans="1:19" x14ac:dyDescent="0.25">
      <c r="A164" s="173" t="s">
        <v>408</v>
      </c>
      <c r="B164" s="174">
        <v>45315</v>
      </c>
      <c r="C164" s="197">
        <v>24006</v>
      </c>
      <c r="D164" s="173" t="s">
        <v>7192</v>
      </c>
      <c r="E164" s="173" t="s">
        <v>7193</v>
      </c>
      <c r="F164" s="173" t="s">
        <v>368</v>
      </c>
      <c r="G164" s="173" t="s">
        <v>7107</v>
      </c>
      <c r="H164" s="173">
        <f>8425/1.21-0.01</f>
        <v>6962.7999173553717</v>
      </c>
      <c r="I164" s="176">
        <f>+H164*0.21</f>
        <v>1462.1879826446279</v>
      </c>
      <c r="J164" s="173"/>
      <c r="K164" s="176">
        <f>+H164+I164+0.01</f>
        <v>8424.9979000000003</v>
      </c>
      <c r="L164" s="173" t="s">
        <v>7194</v>
      </c>
      <c r="M164" s="173"/>
      <c r="N164" s="173"/>
      <c r="O164" s="173"/>
      <c r="P164" s="173" t="s">
        <v>7231</v>
      </c>
      <c r="Q164" s="174">
        <v>45392</v>
      </c>
      <c r="R164" s="173"/>
      <c r="S164" s="173"/>
    </row>
    <row r="165" spans="1:19" x14ac:dyDescent="0.25">
      <c r="A165" s="173" t="s">
        <v>12</v>
      </c>
      <c r="B165" s="174">
        <v>45315</v>
      </c>
      <c r="C165" s="197" t="s">
        <v>951</v>
      </c>
      <c r="D165" s="173" t="s">
        <v>7197</v>
      </c>
      <c r="E165" s="173" t="s">
        <v>7198</v>
      </c>
      <c r="F165" s="173" t="s">
        <v>2629</v>
      </c>
      <c r="G165" s="173" t="s">
        <v>7199</v>
      </c>
      <c r="H165" s="173">
        <v>200</v>
      </c>
      <c r="I165" s="173"/>
      <c r="J165" s="173" t="s">
        <v>21</v>
      </c>
      <c r="K165" s="176">
        <v>200</v>
      </c>
      <c r="L165" s="173" t="s">
        <v>7188</v>
      </c>
      <c r="M165" s="173"/>
      <c r="N165" s="173"/>
      <c r="O165" s="173"/>
      <c r="P165" s="173" t="s">
        <v>7231</v>
      </c>
      <c r="Q165" s="174">
        <v>45392</v>
      </c>
      <c r="R165" s="173"/>
      <c r="S165" s="173"/>
    </row>
    <row r="166" spans="1:19" x14ac:dyDescent="0.25">
      <c r="A166" s="173" t="s">
        <v>408</v>
      </c>
      <c r="B166" s="174">
        <v>45316</v>
      </c>
      <c r="C166" s="197">
        <v>24008</v>
      </c>
      <c r="D166" s="173" t="s">
        <v>7200</v>
      </c>
      <c r="E166" s="173" t="s">
        <v>7201</v>
      </c>
      <c r="F166" s="173" t="s">
        <v>2629</v>
      </c>
      <c r="G166" s="173" t="s">
        <v>7199</v>
      </c>
      <c r="H166" s="173">
        <v>250</v>
      </c>
      <c r="I166" s="173"/>
      <c r="J166" s="173" t="s">
        <v>21</v>
      </c>
      <c r="K166" s="176">
        <v>250</v>
      </c>
      <c r="L166" s="173" t="s">
        <v>7202</v>
      </c>
      <c r="M166" s="173"/>
      <c r="N166" s="173"/>
      <c r="O166" s="173"/>
      <c r="P166" s="173" t="s">
        <v>7231</v>
      </c>
      <c r="Q166" s="174">
        <v>45392</v>
      </c>
      <c r="R166" s="173"/>
      <c r="S166" s="173"/>
    </row>
    <row r="167" spans="1:19" x14ac:dyDescent="0.25">
      <c r="A167" s="173" t="s">
        <v>408</v>
      </c>
      <c r="B167" s="174">
        <v>45342</v>
      </c>
      <c r="C167" s="197">
        <v>24009</v>
      </c>
      <c r="D167" s="173" t="s">
        <v>7203</v>
      </c>
      <c r="E167" s="173" t="s">
        <v>7204</v>
      </c>
      <c r="F167" s="173" t="s">
        <v>377</v>
      </c>
      <c r="G167" s="173" t="s">
        <v>7104</v>
      </c>
      <c r="H167" s="173">
        <v>7200</v>
      </c>
      <c r="I167" s="176">
        <f>+H167*0.21</f>
        <v>1512</v>
      </c>
      <c r="J167" s="173"/>
      <c r="K167" s="176">
        <f>+H167+I167</f>
        <v>8712</v>
      </c>
      <c r="L167" s="173" t="s">
        <v>7205</v>
      </c>
      <c r="M167" s="173"/>
      <c r="N167" s="173"/>
      <c r="O167" s="173"/>
      <c r="P167" s="173" t="s">
        <v>7231</v>
      </c>
      <c r="Q167" s="174">
        <v>45392</v>
      </c>
      <c r="R167" s="173"/>
      <c r="S167" s="173"/>
    </row>
    <row r="168" spans="1:19" x14ac:dyDescent="0.25">
      <c r="A168" s="173" t="s">
        <v>12</v>
      </c>
      <c r="B168" s="174">
        <v>45300</v>
      </c>
      <c r="C168" s="197" t="s">
        <v>951</v>
      </c>
      <c r="D168" s="173" t="s">
        <v>7185</v>
      </c>
      <c r="E168" s="173" t="s">
        <v>7186</v>
      </c>
      <c r="F168" s="173" t="s">
        <v>2806</v>
      </c>
      <c r="G168" s="173" t="s">
        <v>7206</v>
      </c>
      <c r="H168" s="173"/>
      <c r="I168" s="173"/>
      <c r="J168" s="173" t="s">
        <v>21</v>
      </c>
      <c r="K168" s="235">
        <v>200</v>
      </c>
      <c r="L168" s="173" t="s">
        <v>7188</v>
      </c>
      <c r="M168" s="173"/>
      <c r="N168" s="173"/>
      <c r="O168" s="173"/>
      <c r="P168" s="173" t="s">
        <v>7231</v>
      </c>
      <c r="Q168" s="174">
        <v>45392</v>
      </c>
      <c r="R168" s="173"/>
      <c r="S168" s="173"/>
    </row>
    <row r="169" spans="1:19" x14ac:dyDescent="0.25">
      <c r="A169" s="173" t="s">
        <v>408</v>
      </c>
      <c r="B169" s="174">
        <v>45306</v>
      </c>
      <c r="C169" s="197">
        <v>24002</v>
      </c>
      <c r="D169" s="173" t="s">
        <v>7115</v>
      </c>
      <c r="E169" s="173" t="s">
        <v>7207</v>
      </c>
      <c r="F169" s="173" t="s">
        <v>2806</v>
      </c>
      <c r="G169" s="173" t="s">
        <v>7206</v>
      </c>
      <c r="H169" s="173"/>
      <c r="I169" s="173"/>
      <c r="J169" s="173" t="s">
        <v>21</v>
      </c>
      <c r="K169" s="235">
        <v>250</v>
      </c>
      <c r="L169" s="173" t="s">
        <v>7208</v>
      </c>
      <c r="M169" s="173"/>
      <c r="N169" s="173"/>
      <c r="O169" s="173"/>
      <c r="P169" s="173" t="s">
        <v>7231</v>
      </c>
      <c r="Q169" s="174">
        <v>45392</v>
      </c>
      <c r="R169" s="173"/>
      <c r="S169" s="173"/>
    </row>
    <row r="170" spans="1:19" x14ac:dyDescent="0.25">
      <c r="A170" s="173" t="s">
        <v>12</v>
      </c>
      <c r="B170" s="174">
        <v>45295</v>
      </c>
      <c r="C170" s="197" t="s">
        <v>7209</v>
      </c>
      <c r="D170" s="173" t="s">
        <v>6857</v>
      </c>
      <c r="E170" s="173" t="s">
        <v>6572</v>
      </c>
      <c r="F170" s="173" t="s">
        <v>368</v>
      </c>
      <c r="G170" s="173" t="s">
        <v>7347</v>
      </c>
      <c r="H170" s="173">
        <v>6033.06</v>
      </c>
      <c r="I170" s="173">
        <f t="shared" ref="I170:I177" si="5">+H170*0.21</f>
        <v>1266.9426000000001</v>
      </c>
      <c r="J170" s="173" t="s">
        <v>21</v>
      </c>
      <c r="K170" s="235">
        <f>+H170+I170</f>
        <v>7300.0026000000007</v>
      </c>
      <c r="L170" s="173" t="s">
        <v>7188</v>
      </c>
      <c r="M170" s="173"/>
      <c r="N170" s="173"/>
      <c r="O170" s="173"/>
      <c r="P170" s="173" t="s">
        <v>7231</v>
      </c>
      <c r="Q170" s="174">
        <v>45392</v>
      </c>
      <c r="R170" s="173"/>
      <c r="S170" s="173"/>
    </row>
    <row r="171" spans="1:19" x14ac:dyDescent="0.25">
      <c r="A171" s="173" t="s">
        <v>408</v>
      </c>
      <c r="B171" s="174">
        <v>45316</v>
      </c>
      <c r="C171" s="197">
        <v>24007</v>
      </c>
      <c r="D171" s="173" t="s">
        <v>7210</v>
      </c>
      <c r="E171" s="173" t="s">
        <v>7211</v>
      </c>
      <c r="F171" s="173" t="s">
        <v>368</v>
      </c>
      <c r="G171" s="173" t="s">
        <v>7347</v>
      </c>
      <c r="H171" s="176">
        <f>9475/1.21</f>
        <v>7830.5785123966944</v>
      </c>
      <c r="I171" s="173">
        <f t="shared" si="5"/>
        <v>1644.4214876033056</v>
      </c>
      <c r="J171" s="173"/>
      <c r="K171" s="235">
        <f>+H171+I171</f>
        <v>9475</v>
      </c>
      <c r="L171" s="173" t="s">
        <v>7212</v>
      </c>
      <c r="M171" s="173"/>
      <c r="N171" s="173"/>
      <c r="O171" s="173"/>
      <c r="P171" s="173" t="s">
        <v>7231</v>
      </c>
      <c r="Q171" s="174">
        <v>45392</v>
      </c>
      <c r="R171" s="173"/>
      <c r="S171" s="173"/>
    </row>
    <row r="172" spans="1:19" x14ac:dyDescent="0.25">
      <c r="A172" s="173" t="s">
        <v>12</v>
      </c>
      <c r="B172" s="174">
        <v>45307</v>
      </c>
      <c r="C172" s="195" t="s">
        <v>7213</v>
      </c>
      <c r="D172" s="240" t="s">
        <v>7073</v>
      </c>
      <c r="E172" s="240" t="s">
        <v>2106</v>
      </c>
      <c r="F172" s="173" t="s">
        <v>368</v>
      </c>
      <c r="G172" s="173" t="s">
        <v>7214</v>
      </c>
      <c r="H172" s="173">
        <v>5537.19</v>
      </c>
      <c r="I172" s="176">
        <f t="shared" si="5"/>
        <v>1162.8099</v>
      </c>
      <c r="J172" s="173"/>
      <c r="K172" s="176">
        <f>+H172+I172</f>
        <v>6699.9998999999998</v>
      </c>
      <c r="L172" s="173" t="s">
        <v>7188</v>
      </c>
      <c r="M172" s="173"/>
      <c r="N172" s="173"/>
      <c r="O172" s="173"/>
      <c r="P172" s="173" t="s">
        <v>7231</v>
      </c>
      <c r="Q172" s="174">
        <v>45392</v>
      </c>
      <c r="R172" s="173"/>
      <c r="S172" s="173"/>
    </row>
    <row r="173" spans="1:19" x14ac:dyDescent="0.25">
      <c r="A173" s="173" t="s">
        <v>408</v>
      </c>
      <c r="B173" s="174">
        <v>45345</v>
      </c>
      <c r="C173" s="197">
        <v>24010</v>
      </c>
      <c r="D173" s="240" t="s">
        <v>7073</v>
      </c>
      <c r="E173" s="240" t="s">
        <v>2106</v>
      </c>
      <c r="F173" s="173" t="s">
        <v>368</v>
      </c>
      <c r="G173" s="173" t="s">
        <v>7214</v>
      </c>
      <c r="H173" s="173">
        <v>8326.4500000000007</v>
      </c>
      <c r="I173" s="176">
        <f t="shared" si="5"/>
        <v>1748.5545000000002</v>
      </c>
      <c r="J173" s="173"/>
      <c r="K173" s="176">
        <f>+H173+I173</f>
        <v>10075.004500000001</v>
      </c>
      <c r="L173" s="173" t="s">
        <v>7215</v>
      </c>
      <c r="M173" s="173"/>
      <c r="N173" s="173"/>
      <c r="O173" s="173"/>
      <c r="P173" s="173" t="s">
        <v>7231</v>
      </c>
      <c r="Q173" s="174">
        <v>45392</v>
      </c>
      <c r="R173" s="173"/>
      <c r="S173" s="173"/>
    </row>
    <row r="174" spans="1:19" x14ac:dyDescent="0.25">
      <c r="A174" s="173" t="s">
        <v>408</v>
      </c>
      <c r="B174" s="174">
        <v>45351</v>
      </c>
      <c r="C174" s="197">
        <v>24011</v>
      </c>
      <c r="D174" s="173" t="s">
        <v>7216</v>
      </c>
      <c r="E174" s="173" t="s">
        <v>7217</v>
      </c>
      <c r="F174" s="173" t="s">
        <v>400</v>
      </c>
      <c r="G174" s="173" t="s">
        <v>7111</v>
      </c>
      <c r="H174" s="173">
        <v>7582.65</v>
      </c>
      <c r="I174" s="176">
        <f t="shared" si="5"/>
        <v>1592.3564999999999</v>
      </c>
      <c r="J174" s="173"/>
      <c r="K174" s="176">
        <f>+H174+I174-0.01</f>
        <v>9174.9964999999993</v>
      </c>
      <c r="L174" s="173" t="s">
        <v>7218</v>
      </c>
      <c r="M174" s="173"/>
      <c r="N174" s="173"/>
      <c r="O174" s="173"/>
      <c r="P174" s="173" t="s">
        <v>7231</v>
      </c>
      <c r="Q174" s="174">
        <v>45392</v>
      </c>
      <c r="R174" s="173"/>
      <c r="S174" s="173"/>
    </row>
    <row r="175" spans="1:19" x14ac:dyDescent="0.25">
      <c r="A175" s="173" t="s">
        <v>408</v>
      </c>
      <c r="B175" s="174">
        <v>45351</v>
      </c>
      <c r="C175" s="197">
        <v>24012</v>
      </c>
      <c r="D175" s="173" t="s">
        <v>7219</v>
      </c>
      <c r="E175" s="173" t="s">
        <v>7220</v>
      </c>
      <c r="F175" s="173" t="s">
        <v>6156</v>
      </c>
      <c r="G175" s="173" t="s">
        <v>7132</v>
      </c>
      <c r="H175" s="173">
        <f>9175/1.21</f>
        <v>7582.644628099174</v>
      </c>
      <c r="I175" s="176">
        <f t="shared" si="5"/>
        <v>1592.3553719008264</v>
      </c>
      <c r="J175" s="173"/>
      <c r="K175" s="176">
        <f>+H175+I175</f>
        <v>9175</v>
      </c>
      <c r="L175" s="173" t="s">
        <v>7221</v>
      </c>
      <c r="M175" s="173"/>
      <c r="N175" s="173"/>
      <c r="O175" s="173"/>
      <c r="P175" s="173" t="s">
        <v>7231</v>
      </c>
      <c r="Q175" s="174">
        <v>45392</v>
      </c>
      <c r="R175" s="173"/>
      <c r="S175" s="173"/>
    </row>
    <row r="176" spans="1:19" x14ac:dyDescent="0.25">
      <c r="A176" s="173" t="s">
        <v>408</v>
      </c>
      <c r="B176" s="174">
        <v>45352</v>
      </c>
      <c r="C176" s="197">
        <v>24013</v>
      </c>
      <c r="D176" s="173" t="s">
        <v>7222</v>
      </c>
      <c r="E176" s="173" t="s">
        <v>7223</v>
      </c>
      <c r="F176" s="173" t="s">
        <v>368</v>
      </c>
      <c r="G176" s="173" t="s">
        <v>7184</v>
      </c>
      <c r="H176" s="173">
        <f>10085/1.21</f>
        <v>8334.7107438016537</v>
      </c>
      <c r="I176" s="176">
        <f t="shared" si="5"/>
        <v>1750.2892561983472</v>
      </c>
      <c r="J176" s="173"/>
      <c r="K176" s="176">
        <f>+H176+I176</f>
        <v>10085</v>
      </c>
      <c r="L176" s="173" t="s">
        <v>7224</v>
      </c>
      <c r="M176" s="173"/>
      <c r="N176" s="173"/>
      <c r="O176" s="173"/>
      <c r="P176" s="173" t="s">
        <v>7231</v>
      </c>
      <c r="Q176" s="174">
        <v>45392</v>
      </c>
      <c r="R176" s="173"/>
      <c r="S176" s="173"/>
    </row>
    <row r="177" spans="1:19" x14ac:dyDescent="0.25">
      <c r="A177" s="173" t="s">
        <v>408</v>
      </c>
      <c r="B177" s="174">
        <v>45366</v>
      </c>
      <c r="C177" s="197">
        <v>24014</v>
      </c>
      <c r="D177" s="173" t="s">
        <v>7225</v>
      </c>
      <c r="E177" s="173" t="s">
        <v>7226</v>
      </c>
      <c r="F177" s="173" t="s">
        <v>368</v>
      </c>
      <c r="G177" s="173" t="s">
        <v>7179</v>
      </c>
      <c r="H177" s="176">
        <f>6375/1.21</f>
        <v>5268.5950413223145</v>
      </c>
      <c r="I177" s="176">
        <f t="shared" si="5"/>
        <v>1106.404958677686</v>
      </c>
      <c r="J177" s="173"/>
      <c r="K177" s="176">
        <f>+H177+I177</f>
        <v>6375</v>
      </c>
      <c r="L177" s="173" t="s">
        <v>7227</v>
      </c>
      <c r="M177" s="173"/>
      <c r="N177" s="173"/>
      <c r="O177" s="173"/>
      <c r="P177" s="173" t="s">
        <v>7231</v>
      </c>
      <c r="Q177" s="174">
        <v>45392</v>
      </c>
      <c r="R177" s="173"/>
      <c r="S177" s="173"/>
    </row>
    <row r="178" spans="1:19" x14ac:dyDescent="0.25">
      <c r="A178" s="173" t="s">
        <v>408</v>
      </c>
      <c r="B178" s="174">
        <v>45373</v>
      </c>
      <c r="C178" s="197">
        <v>24015</v>
      </c>
      <c r="D178" s="173" t="s">
        <v>7228</v>
      </c>
      <c r="E178" s="173" t="s">
        <v>7229</v>
      </c>
      <c r="F178" s="173" t="s">
        <v>7022</v>
      </c>
      <c r="G178" s="173" t="s">
        <v>7023</v>
      </c>
      <c r="H178" s="173">
        <v>900</v>
      </c>
      <c r="I178" s="173"/>
      <c r="J178" s="173" t="s">
        <v>21</v>
      </c>
      <c r="K178" s="173">
        <v>900</v>
      </c>
      <c r="L178" s="173" t="s">
        <v>7230</v>
      </c>
      <c r="M178" s="173"/>
      <c r="N178" s="173"/>
      <c r="O178" s="173"/>
      <c r="P178" s="173" t="s">
        <v>7231</v>
      </c>
      <c r="Q178" s="174">
        <v>45392</v>
      </c>
      <c r="R178" s="173"/>
      <c r="S178" s="173"/>
    </row>
    <row r="179" spans="1:19" x14ac:dyDescent="0.25">
      <c r="A179" s="173" t="s">
        <v>12</v>
      </c>
      <c r="B179" s="174">
        <v>45337</v>
      </c>
      <c r="C179" s="197">
        <v>1240064380</v>
      </c>
      <c r="D179" s="173" t="s">
        <v>7080</v>
      </c>
      <c r="E179" s="173" t="s">
        <v>7081</v>
      </c>
      <c r="F179" s="173" t="s">
        <v>368</v>
      </c>
      <c r="G179" s="173" t="s">
        <v>7232</v>
      </c>
      <c r="H179" s="173">
        <v>4332.2299999999996</v>
      </c>
      <c r="I179" s="176">
        <f t="shared" ref="I179:I191" si="6">+H179*0.21</f>
        <v>909.76829999999984</v>
      </c>
      <c r="J179" s="173"/>
      <c r="K179" s="176">
        <f>+H179+I179</f>
        <v>5241.9982999999993</v>
      </c>
      <c r="L179" s="173" t="s">
        <v>7188</v>
      </c>
      <c r="M179" s="173"/>
      <c r="N179" s="173"/>
      <c r="O179" s="173"/>
      <c r="P179" s="173" t="s">
        <v>7231</v>
      </c>
      <c r="Q179" s="174">
        <v>45393</v>
      </c>
      <c r="R179" s="173"/>
      <c r="S179" s="173"/>
    </row>
    <row r="180" spans="1:19" x14ac:dyDescent="0.25">
      <c r="A180" s="173" t="s">
        <v>12</v>
      </c>
      <c r="B180" s="174">
        <v>45344</v>
      </c>
      <c r="C180" s="197">
        <v>1240065971</v>
      </c>
      <c r="D180" s="173" t="s">
        <v>7080</v>
      </c>
      <c r="E180" s="173" t="s">
        <v>7081</v>
      </c>
      <c r="F180" s="173" t="s">
        <v>368</v>
      </c>
      <c r="G180" s="173" t="s">
        <v>7233</v>
      </c>
      <c r="H180" s="173">
        <v>4084.3</v>
      </c>
      <c r="I180" s="176">
        <f t="shared" si="6"/>
        <v>857.70299999999997</v>
      </c>
      <c r="J180" s="173"/>
      <c r="K180" s="176">
        <f>+H180+I180</f>
        <v>4942.0030000000006</v>
      </c>
      <c r="L180" s="173" t="s">
        <v>7188</v>
      </c>
      <c r="M180" s="173"/>
      <c r="N180" s="173"/>
      <c r="O180" s="173"/>
      <c r="P180" s="173" t="s">
        <v>7231</v>
      </c>
      <c r="Q180" s="174">
        <v>45393</v>
      </c>
      <c r="R180" s="173"/>
      <c r="S180" s="173"/>
    </row>
    <row r="181" spans="1:19" x14ac:dyDescent="0.25">
      <c r="A181" s="173" t="s">
        <v>12</v>
      </c>
      <c r="B181" s="174">
        <v>45344</v>
      </c>
      <c r="C181" s="197">
        <v>1240065974</v>
      </c>
      <c r="D181" s="173" t="s">
        <v>7080</v>
      </c>
      <c r="E181" s="173" t="s">
        <v>7081</v>
      </c>
      <c r="F181" s="173" t="s">
        <v>368</v>
      </c>
      <c r="G181" s="173" t="s">
        <v>7234</v>
      </c>
      <c r="H181" s="173">
        <v>5985.12</v>
      </c>
      <c r="I181" s="176">
        <f t="shared" si="6"/>
        <v>1256.8751999999999</v>
      </c>
      <c r="J181" s="173"/>
      <c r="K181" s="176">
        <f>+H181+I181</f>
        <v>7241.9951999999994</v>
      </c>
      <c r="L181" s="173" t="s">
        <v>7188</v>
      </c>
      <c r="M181" s="173"/>
      <c r="N181" s="173"/>
      <c r="O181" s="173"/>
      <c r="P181" s="173" t="s">
        <v>7231</v>
      </c>
      <c r="Q181" s="174">
        <v>45393</v>
      </c>
      <c r="R181" s="173"/>
      <c r="S181" s="173"/>
    </row>
    <row r="182" spans="1:19" x14ac:dyDescent="0.25">
      <c r="A182" s="173" t="s">
        <v>12</v>
      </c>
      <c r="B182" s="174">
        <v>45343</v>
      </c>
      <c r="C182" s="197">
        <v>1240065620</v>
      </c>
      <c r="D182" s="173" t="s">
        <v>7080</v>
      </c>
      <c r="E182" s="173" t="s">
        <v>7081</v>
      </c>
      <c r="F182" s="173" t="s">
        <v>368</v>
      </c>
      <c r="G182" s="173" t="s">
        <v>7235</v>
      </c>
      <c r="H182" s="173">
        <v>4828.1000000000004</v>
      </c>
      <c r="I182" s="176">
        <f t="shared" si="6"/>
        <v>1013.9010000000001</v>
      </c>
      <c r="J182" s="173"/>
      <c r="K182" s="176">
        <f>+H182+I182</f>
        <v>5842.0010000000002</v>
      </c>
      <c r="L182" s="173" t="s">
        <v>7188</v>
      </c>
      <c r="M182" s="173"/>
      <c r="N182" s="173"/>
      <c r="O182" s="173"/>
      <c r="P182" s="173" t="s">
        <v>7231</v>
      </c>
      <c r="Q182" s="174">
        <v>45393</v>
      </c>
      <c r="R182" s="173"/>
      <c r="S182" s="173"/>
    </row>
    <row r="183" spans="1:19" x14ac:dyDescent="0.25">
      <c r="A183" s="173" t="s">
        <v>408</v>
      </c>
      <c r="B183" s="174">
        <v>45526</v>
      </c>
      <c r="C183" s="197">
        <v>24038</v>
      </c>
      <c r="D183" s="173" t="s">
        <v>7048</v>
      </c>
      <c r="E183" s="173" t="s">
        <v>7049</v>
      </c>
      <c r="F183" s="173" t="s">
        <v>368</v>
      </c>
      <c r="G183" s="173" t="s">
        <v>7175</v>
      </c>
      <c r="H183" s="173">
        <v>7351.24</v>
      </c>
      <c r="I183" s="176">
        <f t="shared" si="6"/>
        <v>1543.7603999999999</v>
      </c>
      <c r="J183" s="173"/>
      <c r="K183" s="176">
        <f>+H183+I183</f>
        <v>8895.000399999999</v>
      </c>
      <c r="L183" s="173" t="s">
        <v>7335</v>
      </c>
      <c r="M183" s="173"/>
      <c r="N183" s="173"/>
      <c r="O183" s="173"/>
      <c r="P183" s="173" t="s">
        <v>7349</v>
      </c>
      <c r="Q183" s="174">
        <v>45557</v>
      </c>
      <c r="R183" s="173"/>
      <c r="S183" s="173"/>
    </row>
    <row r="184" spans="1:19" x14ac:dyDescent="0.25">
      <c r="A184" s="173" t="s">
        <v>12</v>
      </c>
      <c r="B184" s="174">
        <v>45446</v>
      </c>
      <c r="C184" s="175" t="s">
        <v>7236</v>
      </c>
      <c r="D184" s="173" t="s">
        <v>6777</v>
      </c>
      <c r="E184" s="173" t="s">
        <v>6775</v>
      </c>
      <c r="F184" s="173" t="s">
        <v>400</v>
      </c>
      <c r="G184" s="173" t="s">
        <v>7237</v>
      </c>
      <c r="H184" s="173">
        <v>6528.93</v>
      </c>
      <c r="I184" s="173">
        <f t="shared" si="6"/>
        <v>1371.0753</v>
      </c>
      <c r="J184" s="173"/>
      <c r="K184" s="176">
        <f>+H184+I184-0.01</f>
        <v>7899.9953000000005</v>
      </c>
      <c r="L184" s="173" t="s">
        <v>7188</v>
      </c>
      <c r="M184" s="173"/>
      <c r="N184" s="173"/>
      <c r="O184" s="173"/>
      <c r="P184" s="173" t="s">
        <v>7306</v>
      </c>
      <c r="Q184" s="174">
        <v>45483</v>
      </c>
      <c r="R184" s="173"/>
      <c r="S184" s="173"/>
    </row>
    <row r="185" spans="1:19" x14ac:dyDescent="0.25">
      <c r="A185" s="173" t="s">
        <v>12</v>
      </c>
      <c r="B185" s="174">
        <v>45433</v>
      </c>
      <c r="C185" s="197">
        <v>40441292</v>
      </c>
      <c r="D185" s="173" t="s">
        <v>23</v>
      </c>
      <c r="E185" s="173" t="s">
        <v>24</v>
      </c>
      <c r="F185" s="173" t="s">
        <v>400</v>
      </c>
      <c r="G185" s="173" t="s">
        <v>7238</v>
      </c>
      <c r="H185" s="251">
        <v>6878.93</v>
      </c>
      <c r="I185" s="176">
        <f t="shared" si="6"/>
        <v>1444.5753</v>
      </c>
      <c r="J185" s="173"/>
      <c r="K185" s="176">
        <f>+H185+I185</f>
        <v>8323.5053000000007</v>
      </c>
      <c r="L185" s="173" t="s">
        <v>7188</v>
      </c>
      <c r="M185" s="173"/>
      <c r="N185" s="173"/>
      <c r="O185" s="173"/>
      <c r="P185" s="173" t="s">
        <v>7306</v>
      </c>
      <c r="Q185" s="174">
        <v>45483</v>
      </c>
      <c r="R185" s="173"/>
      <c r="S185" s="173"/>
    </row>
    <row r="186" spans="1:19" x14ac:dyDescent="0.25">
      <c r="A186" s="173" t="s">
        <v>12</v>
      </c>
      <c r="B186" s="174">
        <v>45397</v>
      </c>
      <c r="C186" s="195" t="s">
        <v>7239</v>
      </c>
      <c r="D186" s="240" t="s">
        <v>7073</v>
      </c>
      <c r="E186" s="240" t="s">
        <v>2106</v>
      </c>
      <c r="F186" s="173" t="s">
        <v>368</v>
      </c>
      <c r="G186" s="173" t="s">
        <v>7240</v>
      </c>
      <c r="H186" s="173">
        <v>5537.19</v>
      </c>
      <c r="I186" s="176">
        <f t="shared" si="6"/>
        <v>1162.8099</v>
      </c>
      <c r="J186" s="173"/>
      <c r="K186" s="176">
        <f t="shared" ref="K186:K190" si="7">+H186+I186</f>
        <v>6699.9998999999998</v>
      </c>
      <c r="L186" s="173" t="s">
        <v>7188</v>
      </c>
      <c r="M186" s="173"/>
      <c r="N186" s="173"/>
      <c r="O186" s="173"/>
      <c r="P186" s="173" t="s">
        <v>7306</v>
      </c>
      <c r="Q186" s="174">
        <v>45483</v>
      </c>
      <c r="R186" s="173"/>
      <c r="S186" s="173"/>
    </row>
    <row r="187" spans="1:19" x14ac:dyDescent="0.25">
      <c r="A187" s="173" t="s">
        <v>12</v>
      </c>
      <c r="B187" s="174">
        <v>45397</v>
      </c>
      <c r="C187" s="195" t="s">
        <v>7241</v>
      </c>
      <c r="D187" s="240" t="s">
        <v>7073</v>
      </c>
      <c r="E187" s="240" t="s">
        <v>2106</v>
      </c>
      <c r="F187" s="173" t="s">
        <v>400</v>
      </c>
      <c r="G187" s="173" t="s">
        <v>7242</v>
      </c>
      <c r="H187" s="173">
        <v>6694.21</v>
      </c>
      <c r="I187" s="176">
        <f t="shared" si="6"/>
        <v>1405.7840999999999</v>
      </c>
      <c r="J187" s="173"/>
      <c r="K187" s="176">
        <f>+H187+I187+0.01</f>
        <v>8100.0041000000001</v>
      </c>
      <c r="L187" s="173" t="s">
        <v>7188</v>
      </c>
      <c r="M187" s="173"/>
      <c r="N187" s="173"/>
      <c r="O187" s="173"/>
      <c r="P187" s="173" t="s">
        <v>7306</v>
      </c>
      <c r="Q187" s="174">
        <v>45483</v>
      </c>
      <c r="R187" s="173"/>
      <c r="S187" s="173"/>
    </row>
    <row r="188" spans="1:19" x14ac:dyDescent="0.25">
      <c r="A188" s="173" t="s">
        <v>12</v>
      </c>
      <c r="B188" s="174">
        <v>45446</v>
      </c>
      <c r="C188" s="195" t="s">
        <v>7245</v>
      </c>
      <c r="D188" s="240" t="s">
        <v>7243</v>
      </c>
      <c r="E188" s="240" t="s">
        <v>2106</v>
      </c>
      <c r="F188" s="173" t="s">
        <v>3677</v>
      </c>
      <c r="G188" s="173" t="s">
        <v>7244</v>
      </c>
      <c r="H188" s="173">
        <v>8760.33</v>
      </c>
      <c r="I188" s="176">
        <f t="shared" si="6"/>
        <v>1839.6693</v>
      </c>
      <c r="J188" s="173"/>
      <c r="K188" s="176">
        <f t="shared" si="7"/>
        <v>10599.999299999999</v>
      </c>
      <c r="L188" s="173" t="s">
        <v>7188</v>
      </c>
      <c r="M188" s="173"/>
      <c r="N188" s="173"/>
      <c r="O188" s="173"/>
      <c r="P188" s="173" t="s">
        <v>7306</v>
      </c>
      <c r="Q188" s="174">
        <v>45483</v>
      </c>
      <c r="R188" s="173"/>
      <c r="S188" s="173"/>
    </row>
    <row r="189" spans="1:19" x14ac:dyDescent="0.25">
      <c r="A189" s="173" t="s">
        <v>12</v>
      </c>
      <c r="B189" s="174">
        <v>45461</v>
      </c>
      <c r="C189" s="195" t="s">
        <v>7246</v>
      </c>
      <c r="D189" s="240" t="s">
        <v>7243</v>
      </c>
      <c r="E189" s="240" t="s">
        <v>2106</v>
      </c>
      <c r="F189" s="173" t="s">
        <v>400</v>
      </c>
      <c r="G189" s="173" t="s">
        <v>7247</v>
      </c>
      <c r="H189" s="173">
        <v>6363.64</v>
      </c>
      <c r="I189" s="176">
        <f t="shared" si="6"/>
        <v>1336.3643999999999</v>
      </c>
      <c r="J189" s="173"/>
      <c r="K189" s="176">
        <f t="shared" si="7"/>
        <v>7700.0043999999998</v>
      </c>
      <c r="L189" s="173" t="s">
        <v>7188</v>
      </c>
      <c r="M189" s="173"/>
      <c r="N189" s="173"/>
      <c r="O189" s="173"/>
      <c r="P189" s="173" t="s">
        <v>7306</v>
      </c>
      <c r="Q189" s="174">
        <v>45483</v>
      </c>
      <c r="R189" s="173"/>
      <c r="S189" s="173"/>
    </row>
    <row r="190" spans="1:19" x14ac:dyDescent="0.25">
      <c r="A190" s="173" t="s">
        <v>12</v>
      </c>
      <c r="B190" s="174">
        <v>45462</v>
      </c>
      <c r="C190" s="195" t="s">
        <v>7248</v>
      </c>
      <c r="D190" s="240" t="s">
        <v>7243</v>
      </c>
      <c r="E190" s="240" t="s">
        <v>2106</v>
      </c>
      <c r="F190" s="173" t="s">
        <v>7249</v>
      </c>
      <c r="G190" s="173" t="s">
        <v>7250</v>
      </c>
      <c r="H190" s="173">
        <v>6611.57</v>
      </c>
      <c r="I190" s="176">
        <f t="shared" si="6"/>
        <v>1388.4296999999999</v>
      </c>
      <c r="J190" s="173"/>
      <c r="K190" s="176">
        <f t="shared" si="7"/>
        <v>7999.9996999999994</v>
      </c>
      <c r="L190" s="173"/>
      <c r="M190" s="173"/>
      <c r="N190" s="173"/>
      <c r="O190" s="173"/>
      <c r="P190" s="173" t="s">
        <v>7306</v>
      </c>
      <c r="Q190" s="174">
        <v>45483</v>
      </c>
      <c r="R190" s="173"/>
      <c r="S190" s="173"/>
    </row>
    <row r="191" spans="1:19" x14ac:dyDescent="0.25">
      <c r="A191" s="173" t="s">
        <v>12</v>
      </c>
      <c r="B191" s="174">
        <v>45384</v>
      </c>
      <c r="C191" s="197">
        <v>2410162616</v>
      </c>
      <c r="D191" s="173" t="s">
        <v>7041</v>
      </c>
      <c r="E191" s="173" t="s">
        <v>18</v>
      </c>
      <c r="F191" s="173" t="s">
        <v>5193</v>
      </c>
      <c r="G191" s="173" t="s">
        <v>7251</v>
      </c>
      <c r="H191" s="173">
        <v>8888.43</v>
      </c>
      <c r="I191" s="176">
        <f t="shared" si="6"/>
        <v>1866.5703000000001</v>
      </c>
      <c r="J191" s="173"/>
      <c r="K191" s="176">
        <f>+H191+I191</f>
        <v>10755.0003</v>
      </c>
      <c r="L191" s="173" t="s">
        <v>7188</v>
      </c>
      <c r="M191" s="173"/>
      <c r="N191" s="173"/>
      <c r="O191" s="173"/>
      <c r="P191" s="173" t="s">
        <v>7306</v>
      </c>
      <c r="Q191" s="174">
        <v>45483</v>
      </c>
      <c r="R191" s="173"/>
      <c r="S191" s="173"/>
    </row>
    <row r="192" spans="1:19" x14ac:dyDescent="0.25">
      <c r="A192" s="173" t="s">
        <v>12</v>
      </c>
      <c r="B192" s="174">
        <v>45447</v>
      </c>
      <c r="C192" s="197" t="s">
        <v>7252</v>
      </c>
      <c r="D192" s="173" t="s">
        <v>6338</v>
      </c>
      <c r="E192" s="173" t="s">
        <v>4800</v>
      </c>
      <c r="F192" s="173" t="s">
        <v>400</v>
      </c>
      <c r="G192" s="173" t="s">
        <v>7253</v>
      </c>
      <c r="H192" s="173">
        <v>3000</v>
      </c>
      <c r="I192" s="173"/>
      <c r="J192" s="173" t="s">
        <v>21</v>
      </c>
      <c r="K192" s="173">
        <v>3000</v>
      </c>
      <c r="L192" s="173" t="s">
        <v>7188</v>
      </c>
      <c r="M192" s="173"/>
      <c r="N192" s="173"/>
      <c r="O192" s="173"/>
      <c r="P192" s="173" t="s">
        <v>7306</v>
      </c>
      <c r="Q192" s="174">
        <v>45483</v>
      </c>
      <c r="R192" s="173"/>
      <c r="S192" s="173"/>
    </row>
    <row r="193" spans="1:19" x14ac:dyDescent="0.25">
      <c r="A193" s="173" t="s">
        <v>12</v>
      </c>
      <c r="B193" s="174">
        <v>45447</v>
      </c>
      <c r="C193" s="197" t="s">
        <v>7254</v>
      </c>
      <c r="D193" s="173" t="s">
        <v>6338</v>
      </c>
      <c r="E193" s="173" t="s">
        <v>4800</v>
      </c>
      <c r="F193" s="173" t="s">
        <v>7255</v>
      </c>
      <c r="G193" s="173" t="s">
        <v>7256</v>
      </c>
      <c r="H193" s="173">
        <v>5500</v>
      </c>
      <c r="I193" s="173"/>
      <c r="J193" s="173" t="s">
        <v>21</v>
      </c>
      <c r="K193" s="173">
        <v>5500</v>
      </c>
      <c r="L193" s="173" t="s">
        <v>7188</v>
      </c>
      <c r="M193" s="173"/>
      <c r="N193" s="173"/>
      <c r="O193" s="173"/>
      <c r="P193" s="173" t="s">
        <v>7306</v>
      </c>
      <c r="Q193" s="174">
        <v>45483</v>
      </c>
      <c r="R193" s="173"/>
      <c r="S193" s="173"/>
    </row>
    <row r="194" spans="1:19" x14ac:dyDescent="0.25">
      <c r="A194" s="173" t="s">
        <v>408</v>
      </c>
      <c r="B194" s="174">
        <v>45390</v>
      </c>
      <c r="C194" s="197">
        <v>24016</v>
      </c>
      <c r="D194" s="173" t="s">
        <v>7257</v>
      </c>
      <c r="E194" s="173" t="s">
        <v>7258</v>
      </c>
      <c r="F194" s="173" t="s">
        <v>368</v>
      </c>
      <c r="G194" s="173" t="s">
        <v>7109</v>
      </c>
      <c r="H194" s="173">
        <v>7438.02</v>
      </c>
      <c r="I194" s="176">
        <f t="shared" ref="I194:I199" si="8">+H194*0.21</f>
        <v>1561.9842000000001</v>
      </c>
      <c r="J194" s="173"/>
      <c r="K194" s="176">
        <f>+H194+I194</f>
        <v>9000.0042000000012</v>
      </c>
      <c r="L194" s="173" t="s">
        <v>7259</v>
      </c>
      <c r="M194" s="173"/>
      <c r="N194" s="173"/>
      <c r="O194" s="173"/>
      <c r="P194" s="173" t="s">
        <v>7306</v>
      </c>
      <c r="Q194" s="174">
        <v>45483</v>
      </c>
      <c r="R194" s="173"/>
      <c r="S194" s="173"/>
    </row>
    <row r="195" spans="1:19" x14ac:dyDescent="0.25">
      <c r="A195" s="173" t="s">
        <v>408</v>
      </c>
      <c r="B195" s="174">
        <v>45393</v>
      </c>
      <c r="C195" s="197">
        <v>24017</v>
      </c>
      <c r="D195" s="173" t="s">
        <v>7260</v>
      </c>
      <c r="E195" s="173" t="s">
        <v>7261</v>
      </c>
      <c r="F195" s="173" t="s">
        <v>5271</v>
      </c>
      <c r="G195" s="173" t="s">
        <v>7114</v>
      </c>
      <c r="H195" s="173">
        <v>20247.93</v>
      </c>
      <c r="I195" s="176">
        <f t="shared" si="8"/>
        <v>4252.0653000000002</v>
      </c>
      <c r="J195" s="173"/>
      <c r="K195" s="176">
        <f>+H195+I195</f>
        <v>24499.995300000002</v>
      </c>
      <c r="L195" s="173" t="s">
        <v>7262</v>
      </c>
      <c r="M195" s="173"/>
      <c r="N195" s="173"/>
      <c r="O195" s="173"/>
      <c r="P195" s="173" t="s">
        <v>7306</v>
      </c>
      <c r="Q195" s="174">
        <v>45483</v>
      </c>
      <c r="R195" s="173"/>
      <c r="S195" s="173"/>
    </row>
    <row r="196" spans="1:19" x14ac:dyDescent="0.25">
      <c r="A196" s="173" t="s">
        <v>408</v>
      </c>
      <c r="B196" s="174">
        <v>45400</v>
      </c>
      <c r="C196" s="197">
        <v>24018</v>
      </c>
      <c r="D196" s="173" t="s">
        <v>7263</v>
      </c>
      <c r="E196" s="173" t="s">
        <v>7264</v>
      </c>
      <c r="F196" s="173" t="s">
        <v>368</v>
      </c>
      <c r="G196" s="173" t="s">
        <v>7234</v>
      </c>
      <c r="H196" s="173">
        <v>6611.57</v>
      </c>
      <c r="I196" s="176">
        <f t="shared" si="8"/>
        <v>1388.4296999999999</v>
      </c>
      <c r="J196" s="173"/>
      <c r="K196" s="176">
        <f>+H196+I196</f>
        <v>7999.9996999999994</v>
      </c>
      <c r="L196" s="173" t="s">
        <v>7265</v>
      </c>
      <c r="M196" s="173"/>
      <c r="N196" s="173"/>
      <c r="O196" s="173"/>
      <c r="P196" s="173" t="s">
        <v>7306</v>
      </c>
      <c r="Q196" s="174">
        <v>45483</v>
      </c>
      <c r="R196" s="173"/>
      <c r="S196" s="173"/>
    </row>
    <row r="197" spans="1:19" x14ac:dyDescent="0.25">
      <c r="A197" s="173" t="s">
        <v>408</v>
      </c>
      <c r="B197" s="174">
        <v>45401</v>
      </c>
      <c r="C197" s="197">
        <v>24019</v>
      </c>
      <c r="D197" s="173" t="s">
        <v>7266</v>
      </c>
      <c r="E197" s="173" t="s">
        <v>7267</v>
      </c>
      <c r="F197" s="173" t="s">
        <v>2740</v>
      </c>
      <c r="G197" s="173" t="s">
        <v>7171</v>
      </c>
      <c r="H197" s="173">
        <v>9648.76</v>
      </c>
      <c r="I197" s="176">
        <f t="shared" si="8"/>
        <v>2026.2395999999999</v>
      </c>
      <c r="J197" s="173"/>
      <c r="K197" s="176">
        <f>+H197+I197</f>
        <v>11674.999599999999</v>
      </c>
      <c r="L197" s="173" t="s">
        <v>7268</v>
      </c>
      <c r="M197" s="173"/>
      <c r="N197" s="173"/>
      <c r="O197" s="173"/>
      <c r="P197" s="173" t="s">
        <v>7306</v>
      </c>
      <c r="Q197" s="174">
        <v>45483</v>
      </c>
      <c r="R197" s="173"/>
      <c r="S197" s="173"/>
    </row>
    <row r="198" spans="1:19" x14ac:dyDescent="0.25">
      <c r="A198" s="173" t="s">
        <v>408</v>
      </c>
      <c r="B198" s="174">
        <v>45427</v>
      </c>
      <c r="C198" s="197">
        <v>24020</v>
      </c>
      <c r="D198" s="173" t="s">
        <v>7055</v>
      </c>
      <c r="E198" s="173" t="s">
        <v>3144</v>
      </c>
      <c r="F198" s="173" t="s">
        <v>400</v>
      </c>
      <c r="G198" s="173" t="s">
        <v>7084</v>
      </c>
      <c r="H198" s="173">
        <v>7396.7</v>
      </c>
      <c r="I198" s="176">
        <f t="shared" si="8"/>
        <v>1553.307</v>
      </c>
      <c r="J198" s="173"/>
      <c r="K198" s="176">
        <f>+H198+I198-0.01</f>
        <v>8949.9969999999994</v>
      </c>
      <c r="L198" s="173" t="s">
        <v>7269</v>
      </c>
      <c r="M198" s="173"/>
      <c r="N198" s="173"/>
      <c r="O198" s="173"/>
      <c r="P198" s="173" t="s">
        <v>7306</v>
      </c>
      <c r="Q198" s="174">
        <v>45483</v>
      </c>
      <c r="R198" s="173"/>
      <c r="S198" s="173"/>
    </row>
    <row r="199" spans="1:19" x14ac:dyDescent="0.25">
      <c r="A199" s="173" t="s">
        <v>408</v>
      </c>
      <c r="B199" s="174">
        <v>45429</v>
      </c>
      <c r="C199" s="197">
        <v>24021</v>
      </c>
      <c r="D199" s="173" t="s">
        <v>7270</v>
      </c>
      <c r="E199" s="173" t="s">
        <v>7271</v>
      </c>
      <c r="F199" s="173" t="s">
        <v>6044</v>
      </c>
      <c r="G199" s="173" t="s">
        <v>7182</v>
      </c>
      <c r="H199" s="173">
        <v>9913.2199999999993</v>
      </c>
      <c r="I199" s="176">
        <f t="shared" si="8"/>
        <v>2081.7761999999998</v>
      </c>
      <c r="J199" s="173"/>
      <c r="K199" s="176">
        <f>+H199+I199</f>
        <v>11994.9962</v>
      </c>
      <c r="L199" s="173" t="s">
        <v>7272</v>
      </c>
      <c r="M199" s="173"/>
      <c r="N199" s="173"/>
      <c r="O199" s="173"/>
      <c r="P199" s="173" t="s">
        <v>7306</v>
      </c>
      <c r="Q199" s="174">
        <v>45483</v>
      </c>
      <c r="R199" s="173"/>
      <c r="S199" s="173"/>
    </row>
    <row r="200" spans="1:19" x14ac:dyDescent="0.25">
      <c r="A200" s="173" t="s">
        <v>408</v>
      </c>
      <c r="B200" s="174">
        <v>45433</v>
      </c>
      <c r="C200" s="197">
        <v>24022</v>
      </c>
      <c r="D200" s="173" t="s">
        <v>691</v>
      </c>
      <c r="E200" s="173" t="s">
        <v>7273</v>
      </c>
      <c r="F200" s="173" t="s">
        <v>691</v>
      </c>
      <c r="G200" s="173" t="s">
        <v>7033</v>
      </c>
      <c r="H200" s="173">
        <v>650</v>
      </c>
      <c r="I200" s="173"/>
      <c r="J200" s="173" t="s">
        <v>21</v>
      </c>
      <c r="K200" s="173">
        <v>750</v>
      </c>
      <c r="L200" s="173" t="s">
        <v>7274</v>
      </c>
      <c r="M200" s="173"/>
      <c r="N200" s="173"/>
      <c r="O200" s="173"/>
      <c r="P200" s="173" t="s">
        <v>7306</v>
      </c>
      <c r="Q200" s="174">
        <v>45483</v>
      </c>
      <c r="R200" s="173"/>
      <c r="S200" s="173"/>
    </row>
    <row r="201" spans="1:19" x14ac:dyDescent="0.25">
      <c r="A201" s="173" t="s">
        <v>408</v>
      </c>
      <c r="B201" s="174">
        <v>45433</v>
      </c>
      <c r="C201" s="197">
        <v>24023</v>
      </c>
      <c r="D201" s="173" t="s">
        <v>7275</v>
      </c>
      <c r="E201" s="173" t="s">
        <v>7276</v>
      </c>
      <c r="F201" s="173" t="s">
        <v>400</v>
      </c>
      <c r="G201" s="173" t="s">
        <v>7177</v>
      </c>
      <c r="H201" s="173">
        <v>6607.44</v>
      </c>
      <c r="I201" s="176">
        <f t="shared" ref="I201:I204" si="9">+H201*0.21</f>
        <v>1387.5623999999998</v>
      </c>
      <c r="J201" s="173"/>
      <c r="K201" s="176">
        <f>+H201+I201</f>
        <v>7995.0023999999994</v>
      </c>
      <c r="L201" s="173" t="s">
        <v>7277</v>
      </c>
      <c r="M201" s="173"/>
      <c r="N201" s="173"/>
      <c r="O201" s="173"/>
      <c r="P201" s="173" t="s">
        <v>7306</v>
      </c>
      <c r="Q201" s="174">
        <v>45483</v>
      </c>
      <c r="R201" s="173"/>
      <c r="S201" s="173"/>
    </row>
    <row r="202" spans="1:19" x14ac:dyDescent="0.25">
      <c r="A202" s="173" t="s">
        <v>408</v>
      </c>
      <c r="B202" s="174">
        <v>45441</v>
      </c>
      <c r="C202" s="197">
        <v>24024</v>
      </c>
      <c r="D202" s="173" t="s">
        <v>7055</v>
      </c>
      <c r="E202" s="173" t="s">
        <v>3144</v>
      </c>
      <c r="F202" s="173" t="s">
        <v>377</v>
      </c>
      <c r="G202" s="173" t="s">
        <v>7144</v>
      </c>
      <c r="H202" s="244">
        <v>6300</v>
      </c>
      <c r="I202" s="247">
        <f t="shared" si="9"/>
        <v>1323</v>
      </c>
      <c r="J202" s="244"/>
      <c r="K202" s="247">
        <f t="shared" ref="K202" si="10">+H202+I202</f>
        <v>7623</v>
      </c>
      <c r="L202" s="173" t="s">
        <v>7278</v>
      </c>
      <c r="M202" s="173"/>
      <c r="N202" s="173"/>
      <c r="O202" s="173"/>
      <c r="P202" s="173" t="s">
        <v>7306</v>
      </c>
      <c r="Q202" s="174">
        <v>45483</v>
      </c>
      <c r="R202" s="173"/>
      <c r="S202" s="173"/>
    </row>
    <row r="203" spans="1:19" x14ac:dyDescent="0.25">
      <c r="A203" s="173" t="s">
        <v>408</v>
      </c>
      <c r="B203" s="174">
        <v>45442</v>
      </c>
      <c r="C203" s="197">
        <v>24025</v>
      </c>
      <c r="D203" s="173" t="s">
        <v>7279</v>
      </c>
      <c r="E203" s="173" t="s">
        <v>7280</v>
      </c>
      <c r="F203" s="173" t="s">
        <v>368</v>
      </c>
      <c r="G203" s="173" t="s">
        <v>7233</v>
      </c>
      <c r="H203" s="173">
        <v>6756.2</v>
      </c>
      <c r="I203" s="176">
        <f t="shared" si="9"/>
        <v>1418.8019999999999</v>
      </c>
      <c r="J203" s="173"/>
      <c r="K203" s="176">
        <f>+H203+I203</f>
        <v>8175.0019999999995</v>
      </c>
      <c r="L203" s="173" t="s">
        <v>7281</v>
      </c>
      <c r="M203" s="173"/>
      <c r="N203" s="173"/>
      <c r="O203" s="173"/>
      <c r="P203" s="173" t="s">
        <v>7306</v>
      </c>
      <c r="Q203" s="174">
        <v>45483</v>
      </c>
      <c r="R203" s="173"/>
      <c r="S203" s="173"/>
    </row>
    <row r="204" spans="1:19" x14ac:dyDescent="0.25">
      <c r="A204" s="173" t="s">
        <v>408</v>
      </c>
      <c r="B204" s="174">
        <v>45443</v>
      </c>
      <c r="C204" s="197">
        <v>24026</v>
      </c>
      <c r="D204" s="173" t="s">
        <v>7282</v>
      </c>
      <c r="E204" s="173" t="s">
        <v>7283</v>
      </c>
      <c r="F204" s="173" t="s">
        <v>368</v>
      </c>
      <c r="G204" s="173" t="s">
        <v>7235</v>
      </c>
      <c r="H204" s="173">
        <v>7169.42</v>
      </c>
      <c r="I204" s="176">
        <f t="shared" si="9"/>
        <v>1505.5781999999999</v>
      </c>
      <c r="J204" s="173"/>
      <c r="K204" s="176">
        <f>+H204+I204</f>
        <v>8674.9982</v>
      </c>
      <c r="L204" s="173" t="s">
        <v>7284</v>
      </c>
      <c r="M204" s="173"/>
      <c r="N204" s="173"/>
      <c r="O204" s="173"/>
      <c r="P204" s="173" t="s">
        <v>7306</v>
      </c>
      <c r="Q204" s="174">
        <v>45483</v>
      </c>
      <c r="R204" s="173"/>
      <c r="S204" s="173"/>
    </row>
    <row r="205" spans="1:19" x14ac:dyDescent="0.25">
      <c r="A205" s="173" t="s">
        <v>408</v>
      </c>
      <c r="B205" s="174">
        <v>45455</v>
      </c>
      <c r="C205" s="197">
        <v>24028</v>
      </c>
      <c r="D205" s="173" t="s">
        <v>7285</v>
      </c>
      <c r="E205" s="173" t="s">
        <v>7286</v>
      </c>
      <c r="F205" s="173" t="s">
        <v>400</v>
      </c>
      <c r="G205" s="173" t="s">
        <v>7253</v>
      </c>
      <c r="H205" s="173">
        <v>3500</v>
      </c>
      <c r="I205" s="173"/>
      <c r="J205" s="173" t="s">
        <v>21</v>
      </c>
      <c r="K205" s="173">
        <v>3000</v>
      </c>
      <c r="L205" s="173" t="s">
        <v>7287</v>
      </c>
      <c r="M205" s="173"/>
      <c r="N205" s="173"/>
      <c r="O205" s="173"/>
      <c r="P205" s="173" t="s">
        <v>7306</v>
      </c>
      <c r="Q205" s="174">
        <v>45483</v>
      </c>
      <c r="R205" s="173"/>
      <c r="S205" s="173"/>
    </row>
    <row r="206" spans="1:19" x14ac:dyDescent="0.25">
      <c r="A206" s="173" t="s">
        <v>408</v>
      </c>
      <c r="B206" s="174">
        <v>45455</v>
      </c>
      <c r="C206" s="197">
        <v>24029</v>
      </c>
      <c r="D206" s="173" t="s">
        <v>7285</v>
      </c>
      <c r="E206" s="173" t="s">
        <v>7286</v>
      </c>
      <c r="F206" s="173" t="s">
        <v>7255</v>
      </c>
      <c r="G206" s="173" t="s">
        <v>7256</v>
      </c>
      <c r="H206" s="173">
        <v>6500</v>
      </c>
      <c r="I206" s="173"/>
      <c r="J206" s="173" t="s">
        <v>21</v>
      </c>
      <c r="K206" s="173">
        <v>5500</v>
      </c>
      <c r="L206" s="173" t="s">
        <v>7288</v>
      </c>
      <c r="M206" s="173"/>
      <c r="N206" s="173"/>
      <c r="O206" s="173"/>
      <c r="P206" s="173" t="s">
        <v>7306</v>
      </c>
      <c r="Q206" s="174">
        <v>45483</v>
      </c>
      <c r="R206" s="173"/>
      <c r="S206" s="173"/>
    </row>
    <row r="207" spans="1:19" x14ac:dyDescent="0.25">
      <c r="A207" s="173" t="s">
        <v>408</v>
      </c>
      <c r="B207" s="174">
        <v>45460</v>
      </c>
      <c r="C207" s="197">
        <v>24030</v>
      </c>
      <c r="D207" s="173" t="s">
        <v>7289</v>
      </c>
      <c r="E207" s="173" t="s">
        <v>7290</v>
      </c>
      <c r="F207" s="173" t="s">
        <v>400</v>
      </c>
      <c r="G207" s="173" t="s">
        <v>7242</v>
      </c>
      <c r="H207" s="173">
        <v>9152.89</v>
      </c>
      <c r="I207" s="176">
        <f t="shared" ref="I207:I210" si="11">+H207*0.21</f>
        <v>1922.1068999999998</v>
      </c>
      <c r="J207" s="173"/>
      <c r="K207" s="176">
        <f>+H207+I207</f>
        <v>11074.996899999998</v>
      </c>
      <c r="L207" s="173" t="s">
        <v>7291</v>
      </c>
      <c r="M207" s="173"/>
      <c r="N207" s="173"/>
      <c r="O207" s="173"/>
      <c r="P207" s="173" t="s">
        <v>7306</v>
      </c>
      <c r="Q207" s="174">
        <v>45483</v>
      </c>
      <c r="R207" s="173"/>
      <c r="S207" s="173"/>
    </row>
    <row r="208" spans="1:19" x14ac:dyDescent="0.25">
      <c r="A208" s="173" t="s">
        <v>408</v>
      </c>
      <c r="B208" s="174">
        <v>45471</v>
      </c>
      <c r="C208" s="197">
        <v>24032</v>
      </c>
      <c r="D208" s="173" t="s">
        <v>7292</v>
      </c>
      <c r="E208" s="173" t="s">
        <v>7293</v>
      </c>
      <c r="F208" s="173" t="s">
        <v>368</v>
      </c>
      <c r="G208" s="173" t="s">
        <v>7232</v>
      </c>
      <c r="H208" s="173">
        <v>6681.82</v>
      </c>
      <c r="I208" s="176">
        <f t="shared" si="11"/>
        <v>1403.1822</v>
      </c>
      <c r="J208" s="173"/>
      <c r="K208" s="176">
        <f>+H208+I208</f>
        <v>8085.0021999999999</v>
      </c>
      <c r="L208" s="173" t="s">
        <v>7294</v>
      </c>
      <c r="M208" s="173"/>
      <c r="N208" s="173"/>
      <c r="O208" s="173"/>
      <c r="P208" s="173" t="s">
        <v>7306</v>
      </c>
      <c r="Q208" s="174">
        <v>45483</v>
      </c>
      <c r="R208" s="173"/>
      <c r="S208" s="173"/>
    </row>
    <row r="209" spans="1:19" x14ac:dyDescent="0.25">
      <c r="A209" s="173" t="s">
        <v>408</v>
      </c>
      <c r="B209" s="174">
        <v>45471</v>
      </c>
      <c r="C209" s="197">
        <v>24033</v>
      </c>
      <c r="D209" s="173" t="s">
        <v>7295</v>
      </c>
      <c r="E209" s="173" t="s">
        <v>7296</v>
      </c>
      <c r="F209" s="173" t="s">
        <v>368</v>
      </c>
      <c r="G209" s="173" t="s">
        <v>7240</v>
      </c>
      <c r="H209" s="173">
        <v>8177.69</v>
      </c>
      <c r="I209" s="176">
        <f t="shared" si="11"/>
        <v>1717.3148999999999</v>
      </c>
      <c r="J209" s="173"/>
      <c r="K209" s="176">
        <f t="shared" ref="K209" si="12">+H209+I209</f>
        <v>9895.0048999999999</v>
      </c>
      <c r="L209" s="173" t="s">
        <v>7297</v>
      </c>
      <c r="M209" s="173"/>
      <c r="N209" s="173"/>
      <c r="O209" s="173"/>
      <c r="P209" s="173" t="s">
        <v>7306</v>
      </c>
      <c r="Q209" s="174">
        <v>45483</v>
      </c>
      <c r="R209" s="173"/>
      <c r="S209" s="173"/>
    </row>
    <row r="210" spans="1:19" x14ac:dyDescent="0.25">
      <c r="A210" s="173" t="s">
        <v>12</v>
      </c>
      <c r="B210" s="174">
        <v>45460</v>
      </c>
      <c r="C210" s="197">
        <v>2410315431</v>
      </c>
      <c r="D210" s="173" t="s">
        <v>7041</v>
      </c>
      <c r="E210" s="173" t="s">
        <v>18</v>
      </c>
      <c r="F210" s="173" t="s">
        <v>7249</v>
      </c>
      <c r="G210" s="173" t="s">
        <v>7298</v>
      </c>
      <c r="H210" s="173">
        <v>7318.18</v>
      </c>
      <c r="I210" s="176">
        <f t="shared" si="11"/>
        <v>1536.8178</v>
      </c>
      <c r="J210" s="173"/>
      <c r="K210" s="176">
        <f t="shared" ref="K210:K219" si="13">+H210+I210</f>
        <v>8854.997800000001</v>
      </c>
      <c r="L210" s="173" t="s">
        <v>7419</v>
      </c>
      <c r="M210" s="173"/>
      <c r="N210" s="173"/>
      <c r="O210" s="173"/>
      <c r="P210" s="173" t="s">
        <v>7306</v>
      </c>
      <c r="Q210" s="174">
        <v>45483</v>
      </c>
      <c r="R210" s="173"/>
      <c r="S210" s="173"/>
    </row>
    <row r="211" spans="1:19" x14ac:dyDescent="0.25">
      <c r="A211" s="173" t="s">
        <v>12</v>
      </c>
      <c r="B211" s="174">
        <v>45454</v>
      </c>
      <c r="C211" s="197" t="s">
        <v>951</v>
      </c>
      <c r="D211" s="173" t="s">
        <v>7299</v>
      </c>
      <c r="E211" s="173" t="s">
        <v>7300</v>
      </c>
      <c r="F211" s="173" t="s">
        <v>469</v>
      </c>
      <c r="G211" s="173" t="s">
        <v>7301</v>
      </c>
      <c r="H211" s="173">
        <v>300</v>
      </c>
      <c r="I211" s="176"/>
      <c r="J211" s="173" t="s">
        <v>21</v>
      </c>
      <c r="K211" s="235">
        <f t="shared" si="13"/>
        <v>300</v>
      </c>
      <c r="L211" s="173" t="s">
        <v>7188</v>
      </c>
      <c r="M211" s="173"/>
      <c r="N211" s="173"/>
      <c r="O211" s="173"/>
      <c r="P211" s="173" t="s">
        <v>7306</v>
      </c>
      <c r="Q211" s="174">
        <v>45483</v>
      </c>
      <c r="R211" s="173"/>
      <c r="S211" s="173"/>
    </row>
    <row r="212" spans="1:19" x14ac:dyDescent="0.25">
      <c r="A212" s="173" t="s">
        <v>408</v>
      </c>
      <c r="B212" s="174">
        <v>45444</v>
      </c>
      <c r="C212" s="197">
        <v>24027</v>
      </c>
      <c r="D212" s="173" t="s">
        <v>7302</v>
      </c>
      <c r="E212" s="173" t="s">
        <v>7303</v>
      </c>
      <c r="F212" s="173" t="s">
        <v>6156</v>
      </c>
      <c r="G212" s="173" t="s">
        <v>7183</v>
      </c>
      <c r="H212" s="173">
        <v>8260.33</v>
      </c>
      <c r="I212" s="176">
        <f t="shared" ref="I212" si="14">+H212*0.21</f>
        <v>1734.6693</v>
      </c>
      <c r="J212" s="173"/>
      <c r="K212" s="176">
        <f t="shared" si="13"/>
        <v>9994.9992999999995</v>
      </c>
      <c r="L212" s="173" t="s">
        <v>7304</v>
      </c>
      <c r="M212" s="173"/>
      <c r="N212" s="173"/>
      <c r="O212" s="173"/>
      <c r="P212" s="173" t="s">
        <v>7306</v>
      </c>
      <c r="Q212" s="174">
        <v>45483</v>
      </c>
      <c r="R212" s="173"/>
      <c r="S212" s="173"/>
    </row>
    <row r="213" spans="1:19" x14ac:dyDescent="0.25">
      <c r="A213" s="173" t="s">
        <v>408</v>
      </c>
      <c r="B213" s="174">
        <v>45460</v>
      </c>
      <c r="C213" s="197">
        <v>24031</v>
      </c>
      <c r="D213" s="173" t="s">
        <v>7115</v>
      </c>
      <c r="E213" s="173" t="s">
        <v>7207</v>
      </c>
      <c r="F213" s="173" t="s">
        <v>469</v>
      </c>
      <c r="G213" s="173" t="s">
        <v>7301</v>
      </c>
      <c r="H213" s="173">
        <v>350</v>
      </c>
      <c r="I213" s="176"/>
      <c r="J213" s="173" t="s">
        <v>21</v>
      </c>
      <c r="K213" s="235">
        <f t="shared" si="13"/>
        <v>350</v>
      </c>
      <c r="L213" s="173" t="s">
        <v>7305</v>
      </c>
      <c r="M213" s="173"/>
      <c r="N213" s="173"/>
      <c r="O213" s="173"/>
      <c r="P213" s="173" t="s">
        <v>7306</v>
      </c>
      <c r="Q213" s="174">
        <v>45483</v>
      </c>
      <c r="R213" s="173"/>
      <c r="S213" s="173"/>
    </row>
    <row r="214" spans="1:19" x14ac:dyDescent="0.25">
      <c r="A214" s="173" t="s">
        <v>12</v>
      </c>
      <c r="B214" s="174">
        <v>45393</v>
      </c>
      <c r="C214" s="197">
        <v>1240134027</v>
      </c>
      <c r="D214" s="173" t="s">
        <v>7080</v>
      </c>
      <c r="E214" s="173" t="s">
        <v>7081</v>
      </c>
      <c r="F214" s="173" t="s">
        <v>368</v>
      </c>
      <c r="G214" s="173" t="s">
        <v>7307</v>
      </c>
      <c r="H214" s="176">
        <f>7242/1.21</f>
        <v>5985.1239669421493</v>
      </c>
      <c r="I214" s="176">
        <f t="shared" ref="I214" si="15">+H214*0.21</f>
        <v>1256.8760330578514</v>
      </c>
      <c r="J214" s="173"/>
      <c r="K214" s="176">
        <f t="shared" si="13"/>
        <v>7242.0000000000009</v>
      </c>
      <c r="L214" s="173" t="s">
        <v>7188</v>
      </c>
      <c r="M214" s="173"/>
      <c r="N214" s="173"/>
      <c r="O214" s="173"/>
      <c r="P214" s="173" t="s">
        <v>7306</v>
      </c>
      <c r="Q214" s="174">
        <v>45484</v>
      </c>
      <c r="R214" s="173"/>
      <c r="S214" s="173"/>
    </row>
    <row r="215" spans="1:19" x14ac:dyDescent="0.25">
      <c r="A215" s="173" t="s">
        <v>12</v>
      </c>
      <c r="B215" s="174">
        <v>45405</v>
      </c>
      <c r="C215" s="197">
        <v>1240137321</v>
      </c>
      <c r="D215" s="173" t="s">
        <v>7080</v>
      </c>
      <c r="E215" s="173" t="s">
        <v>7081</v>
      </c>
      <c r="F215" s="173" t="s">
        <v>400</v>
      </c>
      <c r="G215" s="173" t="s">
        <v>7308</v>
      </c>
      <c r="H215" s="176">
        <f>7542/1.21</f>
        <v>6233.0578512396696</v>
      </c>
      <c r="I215" s="176">
        <f t="shared" ref="I215:I219" si="16">+H215*0.21</f>
        <v>1308.9421487603306</v>
      </c>
      <c r="J215" s="173"/>
      <c r="K215" s="176">
        <f t="shared" si="13"/>
        <v>7542</v>
      </c>
      <c r="L215" s="173" t="s">
        <v>7419</v>
      </c>
      <c r="M215" s="173"/>
      <c r="N215" s="173"/>
      <c r="O215" s="173"/>
      <c r="P215" s="173" t="s">
        <v>7306</v>
      </c>
      <c r="Q215" s="174">
        <v>45484</v>
      </c>
      <c r="R215" s="173"/>
      <c r="S215" s="173"/>
    </row>
    <row r="216" spans="1:19" x14ac:dyDescent="0.25">
      <c r="A216" s="173" t="s">
        <v>12</v>
      </c>
      <c r="B216" s="174">
        <v>45484</v>
      </c>
      <c r="C216" s="197">
        <v>40446756</v>
      </c>
      <c r="D216" s="173" t="s">
        <v>23</v>
      </c>
      <c r="E216" s="173" t="s">
        <v>24</v>
      </c>
      <c r="F216" s="173" t="s">
        <v>400</v>
      </c>
      <c r="G216" s="173" t="s">
        <v>7309</v>
      </c>
      <c r="H216" s="173">
        <v>5804.55</v>
      </c>
      <c r="I216" s="176">
        <f t="shared" si="16"/>
        <v>1218.9555</v>
      </c>
      <c r="J216" s="173"/>
      <c r="K216" s="176">
        <f>+H216+I216</f>
        <v>7023.5055000000002</v>
      </c>
      <c r="L216" s="173"/>
      <c r="M216" s="173"/>
      <c r="N216" s="173"/>
      <c r="O216" s="173"/>
      <c r="P216" s="173" t="s">
        <v>7349</v>
      </c>
      <c r="Q216" s="174">
        <v>45557</v>
      </c>
      <c r="R216" s="173"/>
      <c r="S216" s="173"/>
    </row>
    <row r="217" spans="1:19" x14ac:dyDescent="0.25">
      <c r="A217" s="173" t="s">
        <v>12</v>
      </c>
      <c r="B217" s="174">
        <v>45496</v>
      </c>
      <c r="C217" s="197">
        <v>2410369880</v>
      </c>
      <c r="D217" s="173" t="s">
        <v>7041</v>
      </c>
      <c r="E217" s="173" t="s">
        <v>18</v>
      </c>
      <c r="F217" s="173" t="s">
        <v>368</v>
      </c>
      <c r="G217" s="173" t="s">
        <v>7310</v>
      </c>
      <c r="H217" s="173">
        <v>5466.94</v>
      </c>
      <c r="I217" s="176">
        <f t="shared" si="16"/>
        <v>1148.0573999999999</v>
      </c>
      <c r="J217" s="173"/>
      <c r="K217" s="176">
        <f t="shared" si="13"/>
        <v>6614.9973999999993</v>
      </c>
      <c r="L217" s="173"/>
      <c r="M217" s="173"/>
      <c r="N217" s="173"/>
      <c r="O217" s="173"/>
      <c r="P217" s="173" t="s">
        <v>7349</v>
      </c>
      <c r="Q217" s="174">
        <v>45557</v>
      </c>
      <c r="R217" s="173"/>
      <c r="S217" s="173"/>
    </row>
    <row r="218" spans="1:19" x14ac:dyDescent="0.25">
      <c r="A218" s="173" t="s">
        <v>12</v>
      </c>
      <c r="B218" s="174">
        <v>45495</v>
      </c>
      <c r="C218" s="197">
        <v>2410369624</v>
      </c>
      <c r="D218" s="173" t="s">
        <v>7041</v>
      </c>
      <c r="E218" s="173" t="s">
        <v>18</v>
      </c>
      <c r="F218" s="173" t="s">
        <v>368</v>
      </c>
      <c r="G218" s="173" t="s">
        <v>7311</v>
      </c>
      <c r="H218" s="173">
        <v>6376.03</v>
      </c>
      <c r="I218" s="176">
        <f t="shared" si="16"/>
        <v>1338.9662999999998</v>
      </c>
      <c r="J218" s="173"/>
      <c r="K218" s="176">
        <f t="shared" si="13"/>
        <v>7714.9962999999998</v>
      </c>
      <c r="L218" s="173" t="s">
        <v>7188</v>
      </c>
      <c r="M218" s="173"/>
      <c r="N218" s="173"/>
      <c r="O218" s="173"/>
      <c r="P218" s="173" t="s">
        <v>7349</v>
      </c>
      <c r="Q218" s="174">
        <v>45557</v>
      </c>
      <c r="R218" s="173"/>
      <c r="S218" s="173"/>
    </row>
    <row r="219" spans="1:19" x14ac:dyDescent="0.25">
      <c r="A219" s="173" t="s">
        <v>12</v>
      </c>
      <c r="B219" s="174">
        <v>45512</v>
      </c>
      <c r="C219" s="197">
        <v>2410375123</v>
      </c>
      <c r="D219" s="173" t="s">
        <v>7041</v>
      </c>
      <c r="E219" s="173" t="s">
        <v>18</v>
      </c>
      <c r="F219" s="173" t="s">
        <v>368</v>
      </c>
      <c r="G219" s="173" t="s">
        <v>7312</v>
      </c>
      <c r="H219" s="173">
        <v>6883.97</v>
      </c>
      <c r="I219" s="176">
        <f t="shared" si="16"/>
        <v>1445.6337000000001</v>
      </c>
      <c r="J219" s="173"/>
      <c r="K219" s="176">
        <f t="shared" si="13"/>
        <v>8329.6036999999997</v>
      </c>
      <c r="L219" s="173" t="s">
        <v>7188</v>
      </c>
      <c r="M219" s="173"/>
      <c r="N219" s="173"/>
      <c r="O219" s="173"/>
      <c r="P219" s="173" t="s">
        <v>7349</v>
      </c>
      <c r="Q219" s="174">
        <v>45557</v>
      </c>
      <c r="R219" s="173"/>
      <c r="S219" s="173"/>
    </row>
    <row r="220" spans="1:19" x14ac:dyDescent="0.25">
      <c r="A220" s="173" t="s">
        <v>12</v>
      </c>
      <c r="B220" s="174">
        <v>45530</v>
      </c>
      <c r="C220" s="197">
        <v>2410421610</v>
      </c>
      <c r="D220" s="173" t="s">
        <v>7041</v>
      </c>
      <c r="E220" s="173" t="s">
        <v>7313</v>
      </c>
      <c r="F220" s="173" t="s">
        <v>6839</v>
      </c>
      <c r="G220" s="173" t="s">
        <v>7315</v>
      </c>
      <c r="H220" s="173">
        <v>11169.42</v>
      </c>
      <c r="I220" s="176">
        <f t="shared" ref="I220:I221" si="17">+H220*0.21</f>
        <v>2345.5781999999999</v>
      </c>
      <c r="J220" s="173"/>
      <c r="K220" s="176">
        <f t="shared" ref="K220:K223" si="18">+H220+I220</f>
        <v>13514.9982</v>
      </c>
      <c r="L220" s="173" t="s">
        <v>7419</v>
      </c>
      <c r="M220" s="173"/>
      <c r="N220" s="173"/>
      <c r="O220" s="173"/>
      <c r="P220" s="173" t="s">
        <v>7349</v>
      </c>
      <c r="Q220" s="174">
        <v>45557</v>
      </c>
      <c r="R220" s="173"/>
      <c r="S220" s="173"/>
    </row>
    <row r="221" spans="1:19" x14ac:dyDescent="0.25">
      <c r="A221" s="173" t="s">
        <v>12</v>
      </c>
      <c r="B221" s="174">
        <v>45530</v>
      </c>
      <c r="C221" s="197">
        <v>2410421497</v>
      </c>
      <c r="D221" s="173" t="s">
        <v>7041</v>
      </c>
      <c r="E221" s="173" t="s">
        <v>7314</v>
      </c>
      <c r="F221" s="173" t="s">
        <v>368</v>
      </c>
      <c r="G221" s="173" t="s">
        <v>7316</v>
      </c>
      <c r="H221" s="173">
        <v>5219.01</v>
      </c>
      <c r="I221" s="176">
        <f t="shared" si="17"/>
        <v>1095.9920999999999</v>
      </c>
      <c r="J221" s="173"/>
      <c r="K221" s="176">
        <f t="shared" si="18"/>
        <v>6315.0020999999997</v>
      </c>
      <c r="L221" s="173"/>
      <c r="M221" s="173"/>
      <c r="N221" s="173"/>
      <c r="O221" s="173"/>
      <c r="P221" s="173" t="s">
        <v>7349</v>
      </c>
      <c r="Q221" s="174">
        <v>45557</v>
      </c>
      <c r="R221" s="173"/>
      <c r="S221" s="173"/>
    </row>
    <row r="222" spans="1:19" x14ac:dyDescent="0.25">
      <c r="A222" s="173" t="s">
        <v>12</v>
      </c>
      <c r="B222" s="174">
        <v>45540</v>
      </c>
      <c r="C222" s="197" t="s">
        <v>951</v>
      </c>
      <c r="D222" s="173" t="s">
        <v>7317</v>
      </c>
      <c r="E222" s="173" t="s">
        <v>7318</v>
      </c>
      <c r="F222" s="173" t="s">
        <v>4061</v>
      </c>
      <c r="G222" s="173" t="s">
        <v>7319</v>
      </c>
      <c r="H222" s="173">
        <v>600</v>
      </c>
      <c r="I222" s="176">
        <v>0</v>
      </c>
      <c r="J222" s="173"/>
      <c r="K222" s="176">
        <f t="shared" si="18"/>
        <v>600</v>
      </c>
      <c r="L222" s="173" t="s">
        <v>7188</v>
      </c>
      <c r="M222" s="173"/>
      <c r="N222" s="173"/>
      <c r="O222" s="173"/>
      <c r="P222" s="173" t="s">
        <v>7349</v>
      </c>
      <c r="Q222" s="174">
        <v>45557</v>
      </c>
      <c r="R222" s="173"/>
      <c r="S222" s="173"/>
    </row>
    <row r="223" spans="1:19" x14ac:dyDescent="0.25">
      <c r="A223" s="173" t="s">
        <v>12</v>
      </c>
      <c r="B223" s="174">
        <v>45537</v>
      </c>
      <c r="C223" s="197" t="s">
        <v>951</v>
      </c>
      <c r="D223" s="173" t="s">
        <v>7320</v>
      </c>
      <c r="E223" s="173" t="s">
        <v>7321</v>
      </c>
      <c r="F223" s="173" t="s">
        <v>2629</v>
      </c>
      <c r="G223" s="173" t="s">
        <v>7322</v>
      </c>
      <c r="H223" s="173">
        <v>13500</v>
      </c>
      <c r="I223" s="173">
        <v>0</v>
      </c>
      <c r="J223" s="173"/>
      <c r="K223" s="235">
        <f t="shared" si="18"/>
        <v>13500</v>
      </c>
      <c r="L223" s="173" t="s">
        <v>7188</v>
      </c>
      <c r="M223" s="173"/>
      <c r="N223" s="173"/>
      <c r="O223" s="173"/>
      <c r="P223" s="173" t="s">
        <v>7349</v>
      </c>
      <c r="Q223" s="174">
        <v>45557</v>
      </c>
      <c r="R223" s="173"/>
      <c r="S223" s="173"/>
    </row>
    <row r="224" spans="1:19" x14ac:dyDescent="0.25">
      <c r="A224" s="173" t="s">
        <v>408</v>
      </c>
      <c r="B224" s="174">
        <v>45497</v>
      </c>
      <c r="C224" s="197">
        <v>24034</v>
      </c>
      <c r="D224" s="173" t="s">
        <v>7323</v>
      </c>
      <c r="E224" s="173" t="s">
        <v>7324</v>
      </c>
      <c r="F224" s="173" t="s">
        <v>6299</v>
      </c>
      <c r="G224" s="173" t="s">
        <v>7076</v>
      </c>
      <c r="H224" s="173">
        <v>500</v>
      </c>
      <c r="I224" s="173"/>
      <c r="J224" s="173" t="s">
        <v>21</v>
      </c>
      <c r="K224" s="173">
        <v>500</v>
      </c>
      <c r="L224" s="173" t="s">
        <v>7325</v>
      </c>
      <c r="M224" s="173"/>
      <c r="N224" s="173"/>
      <c r="O224" s="173"/>
      <c r="P224" s="173" t="s">
        <v>7349</v>
      </c>
      <c r="Q224" s="174">
        <v>45557</v>
      </c>
      <c r="R224" s="173"/>
      <c r="S224" s="173"/>
    </row>
    <row r="225" spans="1:19" x14ac:dyDescent="0.25">
      <c r="A225" s="173" t="s">
        <v>408</v>
      </c>
      <c r="B225" s="174">
        <v>45505</v>
      </c>
      <c r="C225" s="197">
        <v>24035</v>
      </c>
      <c r="D225" s="173" t="s">
        <v>7326</v>
      </c>
      <c r="E225" s="173" t="s">
        <v>7327</v>
      </c>
      <c r="F225" s="173" t="s">
        <v>368</v>
      </c>
      <c r="G225" s="173" t="s">
        <v>7307</v>
      </c>
      <c r="H225" s="176">
        <f>10575/1.21</f>
        <v>8739.6694214876043</v>
      </c>
      <c r="I225" s="176">
        <f t="shared" ref="I225:I227" si="19">+H225*0.21</f>
        <v>1835.3305785123969</v>
      </c>
      <c r="J225" s="173"/>
      <c r="K225" s="176">
        <f t="shared" ref="K225:K228" si="20">+H225+I225</f>
        <v>10575.000000000002</v>
      </c>
      <c r="L225" s="173" t="s">
        <v>7328</v>
      </c>
      <c r="M225" s="173"/>
      <c r="N225" s="173"/>
      <c r="O225" s="173"/>
      <c r="P225" s="173" t="s">
        <v>7349</v>
      </c>
      <c r="Q225" s="174">
        <v>45557</v>
      </c>
      <c r="R225" s="173"/>
      <c r="S225" s="173"/>
    </row>
    <row r="226" spans="1:19" x14ac:dyDescent="0.25">
      <c r="A226" s="173" t="s">
        <v>408</v>
      </c>
      <c r="B226" s="174">
        <v>45509</v>
      </c>
      <c r="C226" s="197">
        <v>24036</v>
      </c>
      <c r="D226" s="173" t="s">
        <v>7329</v>
      </c>
      <c r="E226" s="173" t="s">
        <v>7330</v>
      </c>
      <c r="F226" s="173" t="s">
        <v>3677</v>
      </c>
      <c r="G226" s="173" t="s">
        <v>7244</v>
      </c>
      <c r="H226" s="173">
        <v>11300</v>
      </c>
      <c r="I226" s="176">
        <f t="shared" si="19"/>
        <v>2373</v>
      </c>
      <c r="J226" s="173"/>
      <c r="K226" s="176">
        <f t="shared" si="20"/>
        <v>13673</v>
      </c>
      <c r="L226" s="173" t="s">
        <v>7331</v>
      </c>
      <c r="M226" s="173"/>
      <c r="N226" s="173"/>
      <c r="O226" s="173"/>
      <c r="P226" s="173" t="s">
        <v>7349</v>
      </c>
      <c r="Q226" s="174">
        <v>45557</v>
      </c>
      <c r="R226" s="173"/>
      <c r="S226" s="173"/>
    </row>
    <row r="227" spans="1:19" x14ac:dyDescent="0.25">
      <c r="A227" s="173" t="s">
        <v>408</v>
      </c>
      <c r="B227" s="174">
        <v>45526</v>
      </c>
      <c r="C227" s="197">
        <v>24037</v>
      </c>
      <c r="D227" s="173" t="s">
        <v>7332</v>
      </c>
      <c r="E227" s="173" t="s">
        <v>7333</v>
      </c>
      <c r="F227" s="173" t="s">
        <v>400</v>
      </c>
      <c r="G227" s="173" t="s">
        <v>7247</v>
      </c>
      <c r="H227" s="173">
        <f>11000/1.21</f>
        <v>9090.9090909090919</v>
      </c>
      <c r="I227" s="176">
        <f t="shared" si="19"/>
        <v>1909.0909090909092</v>
      </c>
      <c r="J227" s="173"/>
      <c r="K227" s="176">
        <f t="shared" si="20"/>
        <v>11000.000000000002</v>
      </c>
      <c r="L227" s="173" t="s">
        <v>7334</v>
      </c>
      <c r="M227" s="173"/>
      <c r="N227" s="173"/>
      <c r="O227" s="173"/>
      <c r="P227" s="173" t="s">
        <v>7349</v>
      </c>
      <c r="Q227" s="174">
        <v>45557</v>
      </c>
      <c r="R227" s="173"/>
      <c r="S227" s="173"/>
    </row>
    <row r="228" spans="1:19" x14ac:dyDescent="0.25">
      <c r="A228" s="173" t="s">
        <v>408</v>
      </c>
      <c r="B228" s="174">
        <v>45540</v>
      </c>
      <c r="C228" s="197">
        <v>24039</v>
      </c>
      <c r="D228" s="173" t="s">
        <v>7336</v>
      </c>
      <c r="E228" s="173" t="s">
        <v>7337</v>
      </c>
      <c r="F228" s="173" t="s">
        <v>2629</v>
      </c>
      <c r="G228" s="173" t="s">
        <v>7322</v>
      </c>
      <c r="H228" s="173">
        <v>16000</v>
      </c>
      <c r="I228" s="173">
        <v>0</v>
      </c>
      <c r="J228" s="173"/>
      <c r="K228" s="176">
        <f t="shared" si="20"/>
        <v>16000</v>
      </c>
      <c r="L228" s="173" t="s">
        <v>7338</v>
      </c>
      <c r="M228" s="173"/>
      <c r="N228" s="173"/>
      <c r="O228" s="173"/>
      <c r="P228" s="173" t="s">
        <v>7349</v>
      </c>
      <c r="Q228" s="174">
        <v>45557</v>
      </c>
      <c r="R228" s="173"/>
      <c r="S228" s="173"/>
    </row>
    <row r="229" spans="1:19" x14ac:dyDescent="0.25">
      <c r="A229" s="173" t="s">
        <v>408</v>
      </c>
      <c r="B229" s="174">
        <v>45540</v>
      </c>
      <c r="C229" s="197">
        <v>24040</v>
      </c>
      <c r="D229" s="173" t="s">
        <v>7317</v>
      </c>
      <c r="E229" s="173" t="s">
        <v>7318</v>
      </c>
      <c r="F229" s="173" t="s">
        <v>368</v>
      </c>
      <c r="G229" s="173" t="s">
        <v>7181</v>
      </c>
      <c r="H229" s="173">
        <f>8075/1.21</f>
        <v>6673.553719008265</v>
      </c>
      <c r="I229" s="176">
        <f t="shared" ref="I229" si="21">+H229*0.21</f>
        <v>1401.4462809917356</v>
      </c>
      <c r="J229" s="173"/>
      <c r="K229" s="176">
        <f>+H229+I229</f>
        <v>8075.0000000000009</v>
      </c>
      <c r="L229" s="173" t="s">
        <v>7339</v>
      </c>
      <c r="M229" s="173"/>
      <c r="N229" s="173"/>
      <c r="O229" s="173"/>
      <c r="P229" s="173" t="s">
        <v>7349</v>
      </c>
      <c r="Q229" s="174">
        <v>45557</v>
      </c>
      <c r="R229" s="173"/>
      <c r="S229" s="173"/>
    </row>
    <row r="230" spans="1:19" x14ac:dyDescent="0.25">
      <c r="A230" s="173" t="s">
        <v>408</v>
      </c>
      <c r="B230" s="174">
        <v>45544</v>
      </c>
      <c r="C230" s="197">
        <v>24041</v>
      </c>
      <c r="D230" s="173" t="s">
        <v>7115</v>
      </c>
      <c r="E230" s="173" t="s">
        <v>7207</v>
      </c>
      <c r="F230" s="173" t="s">
        <v>4061</v>
      </c>
      <c r="G230" s="173" t="s">
        <v>7319</v>
      </c>
      <c r="H230" s="173">
        <v>650</v>
      </c>
      <c r="I230" s="176">
        <v>0</v>
      </c>
      <c r="J230" s="173"/>
      <c r="K230" s="176">
        <f t="shared" ref="K230" si="22">+H230+I230</f>
        <v>650</v>
      </c>
      <c r="L230" s="173" t="s">
        <v>7340</v>
      </c>
      <c r="M230" s="173"/>
      <c r="N230" s="173"/>
      <c r="O230" s="173"/>
      <c r="P230" s="173" t="s">
        <v>7349</v>
      </c>
      <c r="Q230" s="174">
        <v>45557</v>
      </c>
      <c r="R230" s="173"/>
      <c r="S230" s="173"/>
    </row>
    <row r="231" spans="1:19" x14ac:dyDescent="0.25">
      <c r="A231" s="173" t="s">
        <v>12</v>
      </c>
      <c r="B231" s="174">
        <v>45544</v>
      </c>
      <c r="C231" s="195" t="s">
        <v>7344</v>
      </c>
      <c r="D231" s="240" t="s">
        <v>7243</v>
      </c>
      <c r="E231" s="240" t="s">
        <v>2106</v>
      </c>
      <c r="F231" s="173" t="s">
        <v>400</v>
      </c>
      <c r="G231" s="173" t="s">
        <v>7345</v>
      </c>
      <c r="H231" s="176">
        <f>7700/1.21</f>
        <v>6363.636363636364</v>
      </c>
      <c r="I231" s="176">
        <f t="shared" ref="I231" si="23">+H231*0.21</f>
        <v>1336.3636363636365</v>
      </c>
      <c r="J231" s="173"/>
      <c r="K231" s="176">
        <f t="shared" ref="K231" si="24">+H231+I231</f>
        <v>7700</v>
      </c>
      <c r="L231" s="173"/>
      <c r="M231" s="173"/>
      <c r="N231" s="173"/>
      <c r="O231" s="173"/>
      <c r="P231" s="173" t="s">
        <v>7349</v>
      </c>
      <c r="Q231" s="174">
        <v>45557</v>
      </c>
      <c r="R231" s="173"/>
      <c r="S231" s="173"/>
    </row>
    <row r="232" spans="1:19" x14ac:dyDescent="0.25">
      <c r="A232" s="173" t="s">
        <v>12</v>
      </c>
      <c r="B232" s="174">
        <v>45551</v>
      </c>
      <c r="C232" s="197" t="s">
        <v>7346</v>
      </c>
      <c r="D232" s="173" t="s">
        <v>6857</v>
      </c>
      <c r="E232" s="173" t="s">
        <v>6572</v>
      </c>
      <c r="F232" s="173" t="s">
        <v>400</v>
      </c>
      <c r="G232" s="173" t="s">
        <v>7348</v>
      </c>
      <c r="H232" s="176">
        <v>8400</v>
      </c>
      <c r="I232" s="176"/>
      <c r="J232" s="173" t="s">
        <v>21</v>
      </c>
      <c r="K232" s="176">
        <v>8400</v>
      </c>
      <c r="L232" t="s">
        <v>7419</v>
      </c>
      <c r="M232" s="173"/>
      <c r="N232" s="173"/>
      <c r="O232" s="173"/>
      <c r="P232" s="173" t="s">
        <v>7349</v>
      </c>
      <c r="Q232" s="174">
        <v>45557</v>
      </c>
      <c r="R232" s="173"/>
      <c r="S232" s="173"/>
    </row>
    <row r="233" spans="1:19" x14ac:dyDescent="0.25">
      <c r="A233" s="173" t="s">
        <v>408</v>
      </c>
      <c r="B233" s="174">
        <v>45560</v>
      </c>
      <c r="C233" s="197">
        <v>24045</v>
      </c>
      <c r="D233" s="173" t="s">
        <v>7351</v>
      </c>
      <c r="E233" s="173" t="s">
        <v>7352</v>
      </c>
      <c r="F233" s="173" t="s">
        <v>400</v>
      </c>
      <c r="G233" s="173" t="s">
        <v>7238</v>
      </c>
      <c r="H233" s="176">
        <v>6878.93</v>
      </c>
      <c r="I233" s="176">
        <f t="shared" ref="I233" si="25">+H233*0.21</f>
        <v>1444.5753</v>
      </c>
      <c r="J233" s="173"/>
      <c r="K233" s="176">
        <f>+H233+I233</f>
        <v>8323.5053000000007</v>
      </c>
      <c r="L233" s="173" t="s">
        <v>7353</v>
      </c>
      <c r="M233" s="173"/>
      <c r="N233" s="173"/>
      <c r="O233" s="173"/>
      <c r="P233" s="173" t="s">
        <v>7349</v>
      </c>
      <c r="Q233" s="174">
        <v>45572</v>
      </c>
      <c r="R233" s="173"/>
      <c r="S233" s="173"/>
    </row>
    <row r="234" spans="1:19" x14ac:dyDescent="0.25">
      <c r="A234" s="173" t="s">
        <v>12</v>
      </c>
      <c r="B234" s="174">
        <v>45548</v>
      </c>
      <c r="C234" s="197" t="s">
        <v>951</v>
      </c>
      <c r="D234" s="173" t="s">
        <v>7354</v>
      </c>
      <c r="E234" s="173" t="s">
        <v>7355</v>
      </c>
      <c r="F234" s="173" t="s">
        <v>711</v>
      </c>
      <c r="G234" s="173" t="s">
        <v>7356</v>
      </c>
      <c r="H234" s="176">
        <v>300</v>
      </c>
      <c r="I234" s="173"/>
      <c r="J234" s="173" t="s">
        <v>21</v>
      </c>
      <c r="K234" s="176">
        <v>300</v>
      </c>
      <c r="L234" s="173" t="s">
        <v>7188</v>
      </c>
      <c r="M234" s="173"/>
      <c r="N234" s="173"/>
      <c r="O234" s="173"/>
      <c r="P234" s="173" t="s">
        <v>7349</v>
      </c>
      <c r="Q234" s="174">
        <v>45572</v>
      </c>
      <c r="R234" s="173"/>
      <c r="S234" s="173"/>
    </row>
    <row r="235" spans="1:19" x14ac:dyDescent="0.25">
      <c r="A235" s="173" t="s">
        <v>408</v>
      </c>
      <c r="B235" s="174">
        <v>45558</v>
      </c>
      <c r="C235" s="197">
        <v>24044</v>
      </c>
      <c r="D235" s="173" t="s">
        <v>7357</v>
      </c>
      <c r="E235" s="173" t="s">
        <v>7358</v>
      </c>
      <c r="F235" s="173" t="s">
        <v>711</v>
      </c>
      <c r="G235" s="173" t="s">
        <v>7356</v>
      </c>
      <c r="H235" s="176">
        <v>420</v>
      </c>
      <c r="I235" s="176"/>
      <c r="J235" s="173" t="s">
        <v>21</v>
      </c>
      <c r="K235" s="176">
        <v>420</v>
      </c>
      <c r="L235" s="176" t="s">
        <v>7359</v>
      </c>
      <c r="M235" s="173"/>
      <c r="N235" s="173"/>
      <c r="O235" s="173"/>
      <c r="P235" s="173" t="s">
        <v>7349</v>
      </c>
      <c r="Q235" s="174">
        <v>45572</v>
      </c>
      <c r="R235" s="173"/>
      <c r="S235" s="173"/>
    </row>
    <row r="236" spans="1:19" x14ac:dyDescent="0.25">
      <c r="A236" s="173" t="s">
        <v>408</v>
      </c>
      <c r="B236" s="174">
        <v>45555</v>
      </c>
      <c r="C236" s="197">
        <v>24043</v>
      </c>
      <c r="D236" s="173" t="s">
        <v>7360</v>
      </c>
      <c r="E236" s="173" t="s">
        <v>7361</v>
      </c>
      <c r="F236" s="173" t="s">
        <v>373</v>
      </c>
      <c r="G236" s="173" t="s">
        <v>7082</v>
      </c>
      <c r="H236" s="173">
        <f>13176/1.21</f>
        <v>10889.256198347108</v>
      </c>
      <c r="I236" s="176">
        <f t="shared" ref="I236:I240" si="26">+H236*0.21</f>
        <v>2286.7438016528927</v>
      </c>
      <c r="J236" s="173"/>
      <c r="K236" s="176">
        <f>+H236+I236</f>
        <v>13176</v>
      </c>
      <c r="L236" s="173" t="s">
        <v>7362</v>
      </c>
      <c r="M236" s="173"/>
      <c r="N236" s="173"/>
      <c r="O236" s="173"/>
      <c r="P236" s="173" t="s">
        <v>7349</v>
      </c>
      <c r="Q236" s="174">
        <v>45572</v>
      </c>
      <c r="R236" s="173"/>
      <c r="S236" s="173"/>
    </row>
    <row r="237" spans="1:19" x14ac:dyDescent="0.25">
      <c r="A237" s="173" t="s">
        <v>408</v>
      </c>
      <c r="B237" s="174">
        <v>45548</v>
      </c>
      <c r="C237" s="197">
        <v>24042</v>
      </c>
      <c r="D237" s="173" t="s">
        <v>7354</v>
      </c>
      <c r="E237" s="173" t="s">
        <v>7355</v>
      </c>
      <c r="F237" s="173" t="s">
        <v>400</v>
      </c>
      <c r="G237" s="173" t="s">
        <v>7237</v>
      </c>
      <c r="H237" s="173">
        <f>10575/1.21</f>
        <v>8739.6694214876043</v>
      </c>
      <c r="I237" s="173">
        <f t="shared" si="26"/>
        <v>1835.3305785123969</v>
      </c>
      <c r="J237" s="173"/>
      <c r="K237" s="176">
        <f>+H237+I237</f>
        <v>10575.000000000002</v>
      </c>
      <c r="L237" s="173" t="s">
        <v>7363</v>
      </c>
      <c r="M237" s="173"/>
      <c r="N237" s="173"/>
      <c r="O237" s="173"/>
      <c r="P237" s="173" t="s">
        <v>7349</v>
      </c>
      <c r="Q237" s="174">
        <v>45572</v>
      </c>
      <c r="R237" s="173"/>
      <c r="S237" s="173"/>
    </row>
    <row r="238" spans="1:19" x14ac:dyDescent="0.25">
      <c r="A238" s="173" t="s">
        <v>12</v>
      </c>
      <c r="B238" s="238">
        <v>45642</v>
      </c>
      <c r="C238" s="239" t="s">
        <v>7364</v>
      </c>
      <c r="D238" s="173" t="s">
        <v>7173</v>
      </c>
      <c r="E238" s="173" t="s">
        <v>7174</v>
      </c>
      <c r="F238" s="173" t="s">
        <v>377</v>
      </c>
      <c r="G238" s="173" t="s">
        <v>7365</v>
      </c>
      <c r="H238" s="173">
        <v>5400.83</v>
      </c>
      <c r="I238" s="176">
        <f t="shared" si="26"/>
        <v>1134.1742999999999</v>
      </c>
      <c r="J238" s="173"/>
      <c r="K238" s="176">
        <f>+H238+I238</f>
        <v>6535.0042999999996</v>
      </c>
      <c r="L238" s="173" t="s">
        <v>7419</v>
      </c>
      <c r="M238" s="173"/>
      <c r="N238" s="173"/>
      <c r="O238" s="173"/>
      <c r="P238" s="173" t="s">
        <v>7398</v>
      </c>
      <c r="Q238" s="174">
        <v>45658</v>
      </c>
      <c r="R238" s="173"/>
      <c r="S238" s="173"/>
    </row>
    <row r="239" spans="1:19" x14ac:dyDescent="0.25">
      <c r="A239" s="173" t="s">
        <v>12</v>
      </c>
      <c r="B239" s="174">
        <v>45601</v>
      </c>
      <c r="C239" s="239" t="s">
        <v>7395</v>
      </c>
      <c r="D239" s="173" t="s">
        <v>6777</v>
      </c>
      <c r="E239" s="173" t="s">
        <v>6775</v>
      </c>
      <c r="F239" s="173" t="s">
        <v>368</v>
      </c>
      <c r="G239" s="173" t="s">
        <v>7366</v>
      </c>
      <c r="H239" s="173">
        <v>5950.41</v>
      </c>
      <c r="I239" s="173">
        <f t="shared" si="26"/>
        <v>1249.5861</v>
      </c>
      <c r="J239" s="173"/>
      <c r="K239" s="176">
        <f>+H239+I239</f>
        <v>7199.9961000000003</v>
      </c>
      <c r="L239" s="173"/>
      <c r="M239" s="173"/>
      <c r="N239" s="173"/>
      <c r="O239" s="173"/>
      <c r="P239" s="173" t="s">
        <v>7398</v>
      </c>
      <c r="Q239" s="174">
        <v>45658</v>
      </c>
      <c r="R239" s="173"/>
      <c r="S239" s="173"/>
    </row>
    <row r="240" spans="1:19" x14ac:dyDescent="0.25">
      <c r="A240" s="173" t="s">
        <v>12</v>
      </c>
      <c r="B240" s="174">
        <v>45597</v>
      </c>
      <c r="C240" s="197">
        <v>40457928</v>
      </c>
      <c r="D240" s="173" t="s">
        <v>7041</v>
      </c>
      <c r="E240" s="173" t="s">
        <v>7314</v>
      </c>
      <c r="F240" s="173" t="s">
        <v>400</v>
      </c>
      <c r="G240" s="173" t="s">
        <v>7367</v>
      </c>
      <c r="H240" s="173">
        <v>6961.57</v>
      </c>
      <c r="I240" s="176">
        <f t="shared" si="26"/>
        <v>1461.9296999999999</v>
      </c>
      <c r="J240" s="173"/>
      <c r="K240" s="176">
        <f t="shared" ref="K240" si="27">+H240+I240</f>
        <v>8423.4997000000003</v>
      </c>
      <c r="L240" s="173"/>
      <c r="M240" s="173"/>
      <c r="N240" s="173"/>
      <c r="O240" s="173"/>
      <c r="P240" s="173" t="s">
        <v>7398</v>
      </c>
      <c r="Q240" s="174">
        <v>45658</v>
      </c>
      <c r="R240" s="173"/>
      <c r="S240" s="173"/>
    </row>
    <row r="241" spans="1:19" x14ac:dyDescent="0.25">
      <c r="A241" s="173" t="s">
        <v>12</v>
      </c>
      <c r="B241" s="174">
        <v>45586</v>
      </c>
      <c r="C241" s="197">
        <v>2410525345</v>
      </c>
      <c r="D241" s="173" t="s">
        <v>7041</v>
      </c>
      <c r="E241" s="173" t="s">
        <v>7314</v>
      </c>
      <c r="F241" s="173" t="s">
        <v>7368</v>
      </c>
      <c r="G241" s="173" t="s">
        <v>7369</v>
      </c>
      <c r="H241" s="176">
        <v>6128.1</v>
      </c>
      <c r="I241" s="176">
        <f t="shared" ref="I241:I245" si="28">+H241*0.21</f>
        <v>1286.9010000000001</v>
      </c>
      <c r="J241" s="173"/>
      <c r="K241" s="176">
        <f t="shared" ref="K241:K245" si="29">+H241+I241</f>
        <v>7415.0010000000002</v>
      </c>
      <c r="L241" s="173" t="s">
        <v>7188</v>
      </c>
      <c r="M241" s="173"/>
      <c r="N241" s="173"/>
      <c r="O241" s="173"/>
      <c r="P241" s="173" t="s">
        <v>7398</v>
      </c>
      <c r="Q241" s="174">
        <v>45658</v>
      </c>
      <c r="R241" s="173"/>
      <c r="S241" s="173"/>
    </row>
    <row r="242" spans="1:19" x14ac:dyDescent="0.25">
      <c r="A242" s="173" t="s">
        <v>12</v>
      </c>
      <c r="B242" s="174">
        <v>45575</v>
      </c>
      <c r="C242" s="197">
        <v>2410479258</v>
      </c>
      <c r="D242" s="173" t="s">
        <v>7041</v>
      </c>
      <c r="E242" s="173" t="s">
        <v>7314</v>
      </c>
      <c r="F242" s="173" t="s">
        <v>2629</v>
      </c>
      <c r="G242" s="173" t="s">
        <v>7370</v>
      </c>
      <c r="H242" s="173">
        <v>10425.620000000001</v>
      </c>
      <c r="I242" s="176">
        <f t="shared" si="28"/>
        <v>2189.3802000000001</v>
      </c>
      <c r="J242" s="173"/>
      <c r="K242" s="176">
        <f t="shared" si="29"/>
        <v>12615.0002</v>
      </c>
      <c r="L242" s="173"/>
      <c r="M242" s="173"/>
      <c r="N242" s="173"/>
      <c r="O242" s="173"/>
      <c r="P242" s="173" t="s">
        <v>7398</v>
      </c>
      <c r="Q242" s="174">
        <v>45658</v>
      </c>
      <c r="R242" s="173"/>
      <c r="S242" s="173"/>
    </row>
    <row r="243" spans="1:19" x14ac:dyDescent="0.25">
      <c r="A243" s="173" t="s">
        <v>12</v>
      </c>
      <c r="B243" s="174">
        <v>45583</v>
      </c>
      <c r="C243" s="195" t="s">
        <v>7399</v>
      </c>
      <c r="D243" s="240" t="s">
        <v>7243</v>
      </c>
      <c r="E243" s="240" t="s">
        <v>2106</v>
      </c>
      <c r="F243" s="173" t="s">
        <v>368</v>
      </c>
      <c r="G243" s="173" t="s">
        <v>7371</v>
      </c>
      <c r="H243" s="173">
        <v>6446.28</v>
      </c>
      <c r="I243" s="176">
        <f t="shared" si="28"/>
        <v>1353.7187999999999</v>
      </c>
      <c r="J243" s="173"/>
      <c r="K243" s="176">
        <f t="shared" si="29"/>
        <v>7799.9987999999994</v>
      </c>
      <c r="L243" s="173"/>
      <c r="M243" s="173"/>
      <c r="N243" s="173"/>
      <c r="O243" s="173"/>
      <c r="P243" s="173" t="s">
        <v>7398</v>
      </c>
      <c r="Q243" s="174">
        <v>45658</v>
      </c>
      <c r="R243" s="173"/>
      <c r="S243" s="173"/>
    </row>
    <row r="244" spans="1:19" x14ac:dyDescent="0.25">
      <c r="A244" s="173" t="s">
        <v>12</v>
      </c>
      <c r="B244" s="174">
        <v>45645</v>
      </c>
      <c r="C244" s="197" t="s">
        <v>7372</v>
      </c>
      <c r="D244" s="173" t="s">
        <v>7329</v>
      </c>
      <c r="E244" s="173" t="s">
        <v>7330</v>
      </c>
      <c r="F244" s="173" t="s">
        <v>7373</v>
      </c>
      <c r="G244" s="173" t="s">
        <v>7374</v>
      </c>
      <c r="H244" s="173">
        <v>4482.9799999999996</v>
      </c>
      <c r="I244" s="176">
        <f t="shared" si="28"/>
        <v>941.42579999999987</v>
      </c>
      <c r="J244" s="173"/>
      <c r="K244" s="176">
        <f t="shared" si="29"/>
        <v>5424.4057999999995</v>
      </c>
      <c r="L244" s="173" t="s">
        <v>7419</v>
      </c>
      <c r="M244" s="173"/>
      <c r="N244" s="173"/>
      <c r="O244" s="173"/>
      <c r="P244" s="173" t="s">
        <v>7398</v>
      </c>
      <c r="Q244" s="174">
        <v>45658</v>
      </c>
      <c r="R244" s="173"/>
      <c r="S244" s="173"/>
    </row>
    <row r="245" spans="1:19" x14ac:dyDescent="0.25">
      <c r="A245" s="173" t="s">
        <v>408</v>
      </c>
      <c r="B245" s="174">
        <v>45576</v>
      </c>
      <c r="C245" s="197">
        <v>24047</v>
      </c>
      <c r="D245" s="173" t="s">
        <v>7375</v>
      </c>
      <c r="E245" s="173" t="s">
        <v>7376</v>
      </c>
      <c r="F245" s="173" t="s">
        <v>368</v>
      </c>
      <c r="G245" s="173" t="s">
        <v>7312</v>
      </c>
      <c r="H245" s="173">
        <f>11150/1.21</f>
        <v>9214.8760330578516</v>
      </c>
      <c r="I245" s="176">
        <f t="shared" si="28"/>
        <v>1935.1239669421489</v>
      </c>
      <c r="J245" s="173"/>
      <c r="K245" s="176">
        <f t="shared" si="29"/>
        <v>11150</v>
      </c>
      <c r="L245" s="173" t="s">
        <v>7377</v>
      </c>
      <c r="M245" s="173"/>
      <c r="N245" s="173"/>
      <c r="O245" s="173"/>
      <c r="P245" s="173" t="s">
        <v>7398</v>
      </c>
      <c r="Q245" s="174">
        <v>45658</v>
      </c>
      <c r="R245" s="173"/>
      <c r="S245" s="173"/>
    </row>
    <row r="246" spans="1:19" x14ac:dyDescent="0.25">
      <c r="A246" s="173" t="s">
        <v>408</v>
      </c>
      <c r="B246" s="174">
        <v>45635</v>
      </c>
      <c r="C246" s="197">
        <v>24052</v>
      </c>
      <c r="D246" s="173" t="s">
        <v>7378</v>
      </c>
      <c r="E246" s="173" t="s">
        <v>7379</v>
      </c>
      <c r="F246" s="173" t="s">
        <v>7368</v>
      </c>
      <c r="G246" s="173" t="s">
        <v>7369</v>
      </c>
      <c r="H246" s="176">
        <f>9861.5/1.21</f>
        <v>8150</v>
      </c>
      <c r="I246" s="176">
        <f t="shared" ref="I246:I250" si="30">+H246*0.21</f>
        <v>1711.5</v>
      </c>
      <c r="J246" s="173"/>
      <c r="K246" s="176">
        <f t="shared" ref="K246" si="31">+H246+I246</f>
        <v>9861.5</v>
      </c>
      <c r="L246" s="173" t="s">
        <v>7380</v>
      </c>
      <c r="M246" s="173"/>
      <c r="N246" s="173"/>
      <c r="O246" s="173"/>
      <c r="P246" s="173" t="s">
        <v>7398</v>
      </c>
      <c r="Q246" s="174">
        <v>45658</v>
      </c>
      <c r="R246" s="173"/>
      <c r="S246" s="173"/>
    </row>
    <row r="247" spans="1:19" x14ac:dyDescent="0.25">
      <c r="A247" s="173" t="s">
        <v>408</v>
      </c>
      <c r="B247" s="174">
        <v>45568</v>
      </c>
      <c r="C247" s="197">
        <v>24046</v>
      </c>
      <c r="D247" s="173" t="s">
        <v>7381</v>
      </c>
      <c r="E247" s="173" t="s">
        <v>7382</v>
      </c>
      <c r="F247" s="173" t="s">
        <v>5463</v>
      </c>
      <c r="G247" s="173" t="s">
        <v>7079</v>
      </c>
      <c r="H247" s="176">
        <f>7433.95/1.21</f>
        <v>6143.7603305785124</v>
      </c>
      <c r="I247" s="176">
        <f t="shared" si="30"/>
        <v>1290.1896694214875</v>
      </c>
      <c r="J247" s="173"/>
      <c r="K247" s="176">
        <f>+H247+I247</f>
        <v>7433.95</v>
      </c>
      <c r="L247" s="173" t="s">
        <v>7383</v>
      </c>
      <c r="M247" s="173"/>
      <c r="N247" s="173"/>
      <c r="O247" s="173"/>
      <c r="P247" s="173" t="s">
        <v>7398</v>
      </c>
      <c r="Q247" s="174">
        <v>45658</v>
      </c>
      <c r="R247" s="173"/>
      <c r="S247" s="173"/>
    </row>
    <row r="248" spans="1:19" x14ac:dyDescent="0.25">
      <c r="A248" s="173" t="s">
        <v>408</v>
      </c>
      <c r="B248" s="174">
        <v>45603</v>
      </c>
      <c r="C248" s="197">
        <v>24048</v>
      </c>
      <c r="D248" s="173" t="s">
        <v>7384</v>
      </c>
      <c r="E248" s="173" t="s">
        <v>7385</v>
      </c>
      <c r="F248" s="173" t="s">
        <v>368</v>
      </c>
      <c r="G248" s="173" t="s">
        <v>7311</v>
      </c>
      <c r="H248" s="176">
        <f>11075/1.21</f>
        <v>9152.8925619834718</v>
      </c>
      <c r="I248" s="176">
        <f t="shared" si="30"/>
        <v>1922.1074380165289</v>
      </c>
      <c r="J248" s="173"/>
      <c r="K248" s="176">
        <f t="shared" ref="K248:K249" si="32">+H248+I248</f>
        <v>11075</v>
      </c>
      <c r="L248" s="173" t="s">
        <v>7386</v>
      </c>
      <c r="M248" s="173"/>
      <c r="N248" s="173"/>
      <c r="O248" s="173"/>
      <c r="P248" s="173" t="s">
        <v>7398</v>
      </c>
      <c r="Q248" s="174">
        <v>45658</v>
      </c>
      <c r="R248" s="173"/>
      <c r="S248" s="173"/>
    </row>
    <row r="249" spans="1:19" x14ac:dyDescent="0.25">
      <c r="A249" s="173" t="s">
        <v>408</v>
      </c>
      <c r="B249" s="174">
        <v>45623</v>
      </c>
      <c r="C249" s="197">
        <v>24050</v>
      </c>
      <c r="D249" s="173" t="s">
        <v>7387</v>
      </c>
      <c r="E249" s="173" t="s">
        <v>7204</v>
      </c>
      <c r="F249" s="173" t="s">
        <v>377</v>
      </c>
      <c r="G249" s="173" t="s">
        <v>7105</v>
      </c>
      <c r="H249" s="173">
        <v>6000</v>
      </c>
      <c r="I249" s="176">
        <f t="shared" si="30"/>
        <v>1260</v>
      </c>
      <c r="J249" s="173"/>
      <c r="K249" s="176">
        <f t="shared" si="32"/>
        <v>7260</v>
      </c>
      <c r="L249" s="173" t="s">
        <v>7388</v>
      </c>
      <c r="M249" s="173"/>
      <c r="N249" s="173"/>
      <c r="O249" s="173"/>
      <c r="P249" s="173" t="s">
        <v>7398</v>
      </c>
      <c r="Q249" s="174">
        <v>45658</v>
      </c>
      <c r="R249" s="173"/>
      <c r="S249" s="173"/>
    </row>
    <row r="250" spans="1:19" x14ac:dyDescent="0.25">
      <c r="A250" s="173" t="s">
        <v>408</v>
      </c>
      <c r="B250" s="174">
        <v>45628</v>
      </c>
      <c r="C250" s="197">
        <v>24051</v>
      </c>
      <c r="D250" s="173" t="s">
        <v>7389</v>
      </c>
      <c r="E250" s="173" t="s">
        <v>7390</v>
      </c>
      <c r="F250" s="173" t="s">
        <v>5193</v>
      </c>
      <c r="G250" s="173" t="s">
        <v>7251</v>
      </c>
      <c r="H250" s="173">
        <f>14500/1.21</f>
        <v>11983.471074380166</v>
      </c>
      <c r="I250" s="176">
        <f t="shared" si="30"/>
        <v>2516.5289256198348</v>
      </c>
      <c r="J250" s="173"/>
      <c r="K250" s="176">
        <f>+H250+I250</f>
        <v>14500</v>
      </c>
      <c r="L250" s="173" t="s">
        <v>7391</v>
      </c>
      <c r="M250" s="173"/>
      <c r="N250" s="173"/>
      <c r="O250" s="173"/>
      <c r="P250" s="173" t="s">
        <v>7398</v>
      </c>
      <c r="Q250" s="174">
        <v>45658</v>
      </c>
      <c r="R250" s="173"/>
      <c r="S250" s="173"/>
    </row>
    <row r="251" spans="1:19" x14ac:dyDescent="0.25">
      <c r="A251" s="173" t="s">
        <v>12</v>
      </c>
      <c r="B251" s="174">
        <v>45566</v>
      </c>
      <c r="C251" s="197" t="s">
        <v>951</v>
      </c>
      <c r="D251" s="173" t="s">
        <v>7323</v>
      </c>
      <c r="E251" s="173" t="s">
        <v>7324</v>
      </c>
      <c r="F251" s="173" t="s">
        <v>6299</v>
      </c>
      <c r="G251" s="173" t="s">
        <v>7076</v>
      </c>
      <c r="H251" s="173">
        <v>500</v>
      </c>
      <c r="I251" s="173"/>
      <c r="J251" s="173" t="s">
        <v>21</v>
      </c>
      <c r="K251" s="176">
        <v>500</v>
      </c>
      <c r="L251" s="173" t="s">
        <v>7188</v>
      </c>
      <c r="M251" s="173"/>
      <c r="N251" s="173"/>
      <c r="O251" s="173"/>
      <c r="P251" s="173" t="s">
        <v>7398</v>
      </c>
      <c r="Q251" s="174">
        <v>45658</v>
      </c>
      <c r="R251" s="173"/>
      <c r="S251" s="173"/>
    </row>
    <row r="252" spans="1:19" x14ac:dyDescent="0.25">
      <c r="A252" s="173" t="s">
        <v>408</v>
      </c>
      <c r="B252" s="174">
        <v>45607</v>
      </c>
      <c r="C252" s="197">
        <v>24049</v>
      </c>
      <c r="D252" s="173" t="s">
        <v>7392</v>
      </c>
      <c r="E252" s="173" t="s">
        <v>7393</v>
      </c>
      <c r="F252" s="173" t="s">
        <v>6299</v>
      </c>
      <c r="G252" s="173" t="s">
        <v>7076</v>
      </c>
      <c r="H252" s="173">
        <v>550</v>
      </c>
      <c r="I252" s="173"/>
      <c r="J252" s="173" t="s">
        <v>21</v>
      </c>
      <c r="K252" s="176">
        <v>550</v>
      </c>
      <c r="L252" s="173" t="s">
        <v>7394</v>
      </c>
      <c r="M252" s="173"/>
      <c r="N252" s="173"/>
      <c r="O252" s="173"/>
      <c r="P252" s="173" t="s">
        <v>7398</v>
      </c>
      <c r="Q252" s="174">
        <v>45658</v>
      </c>
      <c r="R252" s="173"/>
      <c r="S252" s="173"/>
    </row>
    <row r="253" spans="1:19" x14ac:dyDescent="0.25">
      <c r="A253" s="173" t="s">
        <v>12</v>
      </c>
      <c r="B253" s="174">
        <v>45568</v>
      </c>
      <c r="C253" s="197">
        <v>1240342674</v>
      </c>
      <c r="D253" s="173" t="s">
        <v>7080</v>
      </c>
      <c r="E253" s="173" t="s">
        <v>7081</v>
      </c>
      <c r="F253" s="173" t="s">
        <v>7396</v>
      </c>
      <c r="G253" s="173" t="s">
        <v>7397</v>
      </c>
      <c r="H253" s="176">
        <v>10695.87</v>
      </c>
      <c r="I253" s="176">
        <f t="shared" ref="I253:I255" si="33">+H253*0.21</f>
        <v>2246.1327000000001</v>
      </c>
      <c r="J253" s="173"/>
      <c r="K253" s="176">
        <f t="shared" ref="K253:K254" si="34">+H253+I253</f>
        <v>12942.002700000001</v>
      </c>
      <c r="L253" s="173"/>
      <c r="M253" s="173"/>
      <c r="N253" s="173"/>
      <c r="O253" s="173"/>
      <c r="P253" s="173" t="s">
        <v>7398</v>
      </c>
      <c r="Q253" s="174">
        <v>45658</v>
      </c>
      <c r="R253" s="173"/>
      <c r="S253" s="173"/>
    </row>
    <row r="254" spans="1:19" x14ac:dyDescent="0.25">
      <c r="A254" s="173" t="s">
        <v>12</v>
      </c>
      <c r="B254" s="174">
        <v>45707</v>
      </c>
      <c r="C254" s="195" t="s">
        <v>7400</v>
      </c>
      <c r="D254" s="240" t="s">
        <v>7243</v>
      </c>
      <c r="E254" s="240" t="s">
        <v>2106</v>
      </c>
      <c r="F254" s="173" t="s">
        <v>368</v>
      </c>
      <c r="G254" s="173" t="s">
        <v>7401</v>
      </c>
      <c r="H254" s="251">
        <v>10909.09</v>
      </c>
      <c r="I254" s="176">
        <f t="shared" si="33"/>
        <v>2290.9088999999999</v>
      </c>
      <c r="J254" s="173"/>
      <c r="K254" s="176">
        <f t="shared" si="34"/>
        <v>13199.998900000001</v>
      </c>
      <c r="L254" s="173"/>
      <c r="M254" s="173"/>
      <c r="N254" s="173"/>
      <c r="O254" s="173"/>
      <c r="P254" s="173" t="s">
        <v>7438</v>
      </c>
      <c r="Q254" s="174">
        <v>45746</v>
      </c>
      <c r="R254" s="173"/>
    </row>
    <row r="255" spans="1:19" x14ac:dyDescent="0.25">
      <c r="A255" s="173" t="s">
        <v>12</v>
      </c>
      <c r="B255" s="174">
        <v>45667</v>
      </c>
      <c r="C255" s="197" t="s">
        <v>7402</v>
      </c>
      <c r="D255" s="173" t="s">
        <v>7329</v>
      </c>
      <c r="E255" s="173" t="s">
        <v>7330</v>
      </c>
      <c r="F255" s="173" t="s">
        <v>7373</v>
      </c>
      <c r="G255" s="173" t="s">
        <v>7403</v>
      </c>
      <c r="H255" s="173">
        <v>6382.64</v>
      </c>
      <c r="I255" s="176">
        <f t="shared" si="33"/>
        <v>1340.3543999999999</v>
      </c>
      <c r="J255" s="173"/>
      <c r="K255" s="176">
        <f>+H255+I255+0.01</f>
        <v>7723.0044000000007</v>
      </c>
      <c r="L255" s="173" t="s">
        <v>7419</v>
      </c>
      <c r="M255" s="173"/>
      <c r="N255" s="173"/>
      <c r="O255" s="173"/>
      <c r="P255" s="173" t="s">
        <v>7438</v>
      </c>
      <c r="Q255" s="174">
        <v>45746</v>
      </c>
      <c r="R255" s="173"/>
    </row>
    <row r="256" spans="1:19" x14ac:dyDescent="0.25">
      <c r="A256" s="173" t="s">
        <v>12</v>
      </c>
      <c r="B256" s="174">
        <v>45677</v>
      </c>
      <c r="C256" s="197" t="s">
        <v>7404</v>
      </c>
      <c r="D256" s="173" t="s">
        <v>7329</v>
      </c>
      <c r="E256" s="173" t="s">
        <v>7330</v>
      </c>
      <c r="F256" s="173" t="s">
        <v>7373</v>
      </c>
      <c r="G256" s="173" t="s">
        <v>7405</v>
      </c>
      <c r="H256" s="173">
        <v>4132.2299999999996</v>
      </c>
      <c r="I256" s="176">
        <f t="shared" ref="I256:I261" si="35">+H256*0.21</f>
        <v>867.76829999999984</v>
      </c>
      <c r="J256" s="173"/>
      <c r="K256" s="176">
        <f>+H256+I256</f>
        <v>4999.9982999999993</v>
      </c>
      <c r="L256" s="173"/>
      <c r="M256" s="173"/>
      <c r="N256" s="173"/>
      <c r="O256" s="173"/>
      <c r="P256" s="173" t="s">
        <v>7438</v>
      </c>
      <c r="Q256" s="174">
        <v>45746</v>
      </c>
      <c r="R256" s="173"/>
    </row>
    <row r="257" spans="1:18" x14ac:dyDescent="0.25">
      <c r="A257" s="173" t="s">
        <v>12</v>
      </c>
      <c r="B257" s="174">
        <v>45707</v>
      </c>
      <c r="C257" s="197" t="s">
        <v>7406</v>
      </c>
      <c r="D257" s="173" t="s">
        <v>7329</v>
      </c>
      <c r="E257" s="173" t="s">
        <v>7330</v>
      </c>
      <c r="F257" s="173" t="s">
        <v>7373</v>
      </c>
      <c r="G257" s="173" t="s">
        <v>7407</v>
      </c>
      <c r="H257" s="173">
        <v>6528.93</v>
      </c>
      <c r="I257" s="176">
        <f t="shared" si="35"/>
        <v>1371.0753</v>
      </c>
      <c r="J257" s="173"/>
      <c r="K257" s="176">
        <f>+H257+I257-0.01</f>
        <v>7899.9953000000005</v>
      </c>
      <c r="L257" s="173"/>
      <c r="M257" s="173"/>
      <c r="N257" s="173"/>
      <c r="O257" s="173"/>
      <c r="P257" s="173" t="s">
        <v>7438</v>
      </c>
      <c r="Q257" s="174">
        <v>45746</v>
      </c>
      <c r="R257" s="173"/>
    </row>
    <row r="258" spans="1:18" x14ac:dyDescent="0.25">
      <c r="A258" s="173" t="s">
        <v>12</v>
      </c>
      <c r="B258" s="174">
        <v>45716</v>
      </c>
      <c r="C258" s="197" t="s">
        <v>7408</v>
      </c>
      <c r="D258" s="173" t="s">
        <v>7329</v>
      </c>
      <c r="E258" s="173" t="s">
        <v>7330</v>
      </c>
      <c r="F258" s="173" t="s">
        <v>7373</v>
      </c>
      <c r="G258" s="173" t="s">
        <v>7409</v>
      </c>
      <c r="H258" s="173">
        <v>5867.77</v>
      </c>
      <c r="I258" s="176">
        <f t="shared" si="35"/>
        <v>1232.2317</v>
      </c>
      <c r="J258" s="173"/>
      <c r="K258" s="176">
        <f t="shared" ref="K258:K261" si="36">+H258+I258</f>
        <v>7100.0017000000007</v>
      </c>
      <c r="L258" s="173" t="s">
        <v>7419</v>
      </c>
      <c r="M258" s="173"/>
      <c r="N258" s="173"/>
      <c r="O258" s="173"/>
      <c r="P258" s="173" t="s">
        <v>7438</v>
      </c>
      <c r="Q258" s="174">
        <v>45746</v>
      </c>
      <c r="R258" s="173"/>
    </row>
    <row r="259" spans="1:18" x14ac:dyDescent="0.25">
      <c r="A259" s="173" t="s">
        <v>12</v>
      </c>
      <c r="B259" s="174">
        <v>45727</v>
      </c>
      <c r="C259" s="197" t="s">
        <v>7410</v>
      </c>
      <c r="D259" s="173" t="s">
        <v>7329</v>
      </c>
      <c r="E259" s="173" t="s">
        <v>7330</v>
      </c>
      <c r="F259" s="173" t="s">
        <v>7411</v>
      </c>
      <c r="G259" s="173" t="s">
        <v>7412</v>
      </c>
      <c r="H259" s="173">
        <v>5702.48</v>
      </c>
      <c r="I259" s="176">
        <f t="shared" si="35"/>
        <v>1197.5207999999998</v>
      </c>
      <c r="J259" s="173"/>
      <c r="K259" s="176">
        <f t="shared" si="36"/>
        <v>6900.0007999999998</v>
      </c>
      <c r="L259" s="173"/>
      <c r="M259" s="173"/>
      <c r="N259" s="173"/>
      <c r="O259" s="173"/>
      <c r="P259" s="173" t="s">
        <v>7438</v>
      </c>
      <c r="Q259" s="174">
        <v>45746</v>
      </c>
      <c r="R259" s="173"/>
    </row>
    <row r="260" spans="1:18" x14ac:dyDescent="0.25">
      <c r="A260" s="173" t="s">
        <v>12</v>
      </c>
      <c r="B260" s="174">
        <v>45734</v>
      </c>
      <c r="C260" s="197" t="s">
        <v>7413</v>
      </c>
      <c r="D260" s="173" t="s">
        <v>7329</v>
      </c>
      <c r="E260" s="173" t="s">
        <v>7330</v>
      </c>
      <c r="F260" s="173" t="s">
        <v>368</v>
      </c>
      <c r="G260" s="173" t="s">
        <v>7414</v>
      </c>
      <c r="H260" s="173"/>
      <c r="I260" s="176">
        <f t="shared" si="35"/>
        <v>0</v>
      </c>
      <c r="J260" s="173"/>
      <c r="K260" s="176">
        <f t="shared" si="36"/>
        <v>0</v>
      </c>
      <c r="L260" s="173"/>
      <c r="M260" s="173"/>
      <c r="N260" s="173"/>
      <c r="O260" s="173"/>
      <c r="P260" s="173" t="s">
        <v>7438</v>
      </c>
      <c r="Q260" s="174">
        <v>45746</v>
      </c>
      <c r="R260" s="173"/>
    </row>
    <row r="261" spans="1:18" x14ac:dyDescent="0.25">
      <c r="A261" s="173" t="s">
        <v>12</v>
      </c>
      <c r="B261" s="174">
        <v>45720</v>
      </c>
      <c r="C261" s="197">
        <v>2510111073</v>
      </c>
      <c r="D261" s="173" t="s">
        <v>7041</v>
      </c>
      <c r="E261" s="173" t="s">
        <v>7314</v>
      </c>
      <c r="F261" s="173" t="s">
        <v>7415</v>
      </c>
      <c r="G261" s="173" t="s">
        <v>7416</v>
      </c>
      <c r="H261" s="173">
        <v>8111.57</v>
      </c>
      <c r="I261" s="176">
        <f t="shared" si="35"/>
        <v>1703.4296999999999</v>
      </c>
      <c r="J261" s="173"/>
      <c r="K261" s="176">
        <f t="shared" si="36"/>
        <v>9814.9997000000003</v>
      </c>
      <c r="L261" s="173"/>
      <c r="M261" s="173"/>
      <c r="N261" s="173"/>
      <c r="O261" s="173"/>
      <c r="P261" s="173" t="s">
        <v>7438</v>
      </c>
      <c r="Q261" s="174">
        <v>45746</v>
      </c>
      <c r="R261" s="173"/>
    </row>
    <row r="262" spans="1:18" x14ac:dyDescent="0.25">
      <c r="A262" s="173" t="s">
        <v>408</v>
      </c>
      <c r="B262" s="174">
        <v>45693</v>
      </c>
      <c r="C262" s="197">
        <v>25001</v>
      </c>
      <c r="D262" s="173" t="s">
        <v>7417</v>
      </c>
      <c r="E262" s="173" t="s">
        <v>7418</v>
      </c>
      <c r="F262" s="173" t="s">
        <v>400</v>
      </c>
      <c r="G262" s="173" t="s">
        <v>7348</v>
      </c>
      <c r="H262" s="176">
        <v>10900</v>
      </c>
      <c r="I262" s="176"/>
      <c r="J262" s="173" t="s">
        <v>21</v>
      </c>
      <c r="K262" s="176">
        <v>8400</v>
      </c>
      <c r="L262" s="173" t="s">
        <v>7420</v>
      </c>
      <c r="M262" s="173"/>
      <c r="N262" s="173"/>
      <c r="O262" s="173"/>
      <c r="P262" s="173" t="s">
        <v>7438</v>
      </c>
      <c r="Q262" s="174">
        <v>45746</v>
      </c>
    </row>
    <row r="263" spans="1:18" x14ac:dyDescent="0.25">
      <c r="A263" s="173" t="s">
        <v>408</v>
      </c>
      <c r="B263" s="174">
        <v>45699</v>
      </c>
      <c r="C263" s="197">
        <v>25002</v>
      </c>
      <c r="D263" s="173" t="s">
        <v>7421</v>
      </c>
      <c r="E263" s="173" t="s">
        <v>7422</v>
      </c>
      <c r="F263" s="173" t="s">
        <v>7373</v>
      </c>
      <c r="G263" s="173" t="s">
        <v>7403</v>
      </c>
      <c r="H263" s="173">
        <v>8443.76</v>
      </c>
      <c r="I263" s="176">
        <f t="shared" ref="I263:I269" si="37">+H263*0.21</f>
        <v>1773.1895999999999</v>
      </c>
      <c r="J263" s="173"/>
      <c r="K263" s="176">
        <f>+H263+I263</f>
        <v>10216.9496</v>
      </c>
      <c r="L263" s="173" t="s">
        <v>7423</v>
      </c>
      <c r="M263" s="173"/>
      <c r="N263" s="173"/>
      <c r="O263" s="173"/>
      <c r="P263" s="173" t="s">
        <v>7438</v>
      </c>
      <c r="Q263" s="174">
        <v>45746</v>
      </c>
    </row>
    <row r="264" spans="1:18" x14ac:dyDescent="0.25">
      <c r="A264" s="173" t="s">
        <v>408</v>
      </c>
      <c r="B264" s="174">
        <v>45703</v>
      </c>
      <c r="C264" s="197">
        <v>25003</v>
      </c>
      <c r="D264" s="173" t="s">
        <v>7424</v>
      </c>
      <c r="E264" s="173" t="s">
        <v>7425</v>
      </c>
      <c r="F264" s="173" t="s">
        <v>7373</v>
      </c>
      <c r="G264" s="173" t="s">
        <v>7374</v>
      </c>
      <c r="H264" s="173">
        <v>6859.5</v>
      </c>
      <c r="I264" s="176">
        <f t="shared" si="37"/>
        <v>1440.4949999999999</v>
      </c>
      <c r="J264" s="173"/>
      <c r="K264" s="176">
        <f t="shared" ref="K264:K267" si="38">+H264+I264</f>
        <v>8299.994999999999</v>
      </c>
      <c r="L264" s="173" t="s">
        <v>7431</v>
      </c>
      <c r="M264" s="173"/>
      <c r="N264" s="173"/>
      <c r="O264" s="173"/>
      <c r="P264" s="173" t="s">
        <v>7438</v>
      </c>
      <c r="Q264" s="174">
        <v>45746</v>
      </c>
    </row>
    <row r="265" spans="1:18" x14ac:dyDescent="0.25">
      <c r="A265" s="173" t="s">
        <v>408</v>
      </c>
      <c r="B265" s="174">
        <v>45705</v>
      </c>
      <c r="C265" s="197">
        <v>25004</v>
      </c>
      <c r="D265" s="173" t="s">
        <v>7426</v>
      </c>
      <c r="E265" s="173" t="s">
        <v>7427</v>
      </c>
      <c r="F265" s="173" t="s">
        <v>6839</v>
      </c>
      <c r="G265" s="173" t="s">
        <v>7315</v>
      </c>
      <c r="H265" s="173">
        <v>12888.43</v>
      </c>
      <c r="I265" s="176">
        <f t="shared" si="37"/>
        <v>2706.5702999999999</v>
      </c>
      <c r="J265" s="173"/>
      <c r="K265" s="176">
        <f t="shared" si="38"/>
        <v>15595.0003</v>
      </c>
      <c r="L265" s="173" t="s">
        <v>7432</v>
      </c>
      <c r="M265" s="173"/>
      <c r="N265" s="173"/>
      <c r="O265" s="173"/>
      <c r="P265" s="173" t="s">
        <v>7438</v>
      </c>
      <c r="Q265" s="174">
        <v>45746</v>
      </c>
    </row>
    <row r="266" spans="1:18" x14ac:dyDescent="0.25">
      <c r="A266" s="173" t="s">
        <v>408</v>
      </c>
      <c r="B266" s="174">
        <v>45712</v>
      </c>
      <c r="C266" s="197">
        <v>25005</v>
      </c>
      <c r="D266" s="173" t="s">
        <v>7428</v>
      </c>
      <c r="E266" s="173" t="s">
        <v>7429</v>
      </c>
      <c r="F266" s="173" t="s">
        <v>7249</v>
      </c>
      <c r="G266" s="173" t="s">
        <v>7298</v>
      </c>
      <c r="H266" s="173">
        <v>8822.31</v>
      </c>
      <c r="I266" s="176">
        <f t="shared" si="37"/>
        <v>1852.6850999999999</v>
      </c>
      <c r="J266" s="173"/>
      <c r="K266" s="176">
        <f t="shared" si="38"/>
        <v>10674.9951</v>
      </c>
      <c r="L266" s="173" t="s">
        <v>7430</v>
      </c>
      <c r="M266" s="173"/>
      <c r="N266" s="173"/>
      <c r="O266" s="173"/>
      <c r="P266" s="173" t="s">
        <v>7438</v>
      </c>
      <c r="Q266" s="174">
        <v>45746</v>
      </c>
    </row>
    <row r="267" spans="1:18" x14ac:dyDescent="0.25">
      <c r="A267" s="173" t="s">
        <v>408</v>
      </c>
      <c r="B267" s="174">
        <v>45733</v>
      </c>
      <c r="C267" s="197">
        <v>25008</v>
      </c>
      <c r="D267" s="173" t="s">
        <v>7433</v>
      </c>
      <c r="E267" s="173" t="s">
        <v>7434</v>
      </c>
      <c r="F267" s="173" t="s">
        <v>7373</v>
      </c>
      <c r="G267" s="173" t="s">
        <v>7409</v>
      </c>
      <c r="H267" s="173">
        <v>7995</v>
      </c>
      <c r="I267" s="176">
        <f t="shared" si="37"/>
        <v>1678.95</v>
      </c>
      <c r="J267" s="173"/>
      <c r="K267" s="176">
        <f t="shared" si="38"/>
        <v>9673.9500000000007</v>
      </c>
      <c r="L267" s="173" t="s">
        <v>7435</v>
      </c>
      <c r="M267" s="173"/>
      <c r="N267" s="173"/>
      <c r="O267" s="173"/>
      <c r="P267" s="173" t="s">
        <v>7438</v>
      </c>
      <c r="Q267" s="174">
        <v>45746</v>
      </c>
    </row>
    <row r="268" spans="1:18" x14ac:dyDescent="0.25">
      <c r="A268" s="173" t="s">
        <v>408</v>
      </c>
      <c r="B268" s="174">
        <v>45735</v>
      </c>
      <c r="C268" s="197">
        <v>25009</v>
      </c>
      <c r="D268" s="173" t="s">
        <v>7436</v>
      </c>
      <c r="E268" s="173" t="s">
        <v>7204</v>
      </c>
      <c r="F268" s="173" t="s">
        <v>377</v>
      </c>
      <c r="G268" s="173" t="s">
        <v>7365</v>
      </c>
      <c r="H268" s="173">
        <v>7400</v>
      </c>
      <c r="I268" s="176">
        <f t="shared" si="37"/>
        <v>1554</v>
      </c>
      <c r="J268" s="173"/>
      <c r="K268" s="176">
        <f>+H268+I268</f>
        <v>8954</v>
      </c>
      <c r="L268" s="173" t="s">
        <v>7437</v>
      </c>
      <c r="M268" s="173"/>
      <c r="N268" s="173"/>
      <c r="O268" s="173"/>
      <c r="P268" s="173" t="s">
        <v>7438</v>
      </c>
      <c r="Q268" s="174">
        <v>45746</v>
      </c>
    </row>
    <row r="269" spans="1:18" x14ac:dyDescent="0.25">
      <c r="A269" s="173" t="s">
        <v>408</v>
      </c>
      <c r="B269" s="174">
        <v>45715</v>
      </c>
      <c r="C269" s="197">
        <v>25006</v>
      </c>
      <c r="D269" s="173" t="s">
        <v>7055</v>
      </c>
      <c r="E269" s="173" t="s">
        <v>3144</v>
      </c>
      <c r="F269" s="173" t="s">
        <v>400</v>
      </c>
      <c r="G269" s="173" t="s">
        <v>7308</v>
      </c>
      <c r="H269" s="176">
        <v>7685.95</v>
      </c>
      <c r="I269" s="176">
        <f t="shared" si="37"/>
        <v>1614.0494999999999</v>
      </c>
      <c r="J269" s="173"/>
      <c r="K269" s="176">
        <f t="shared" ref="K269:K270" si="39">+H269+I269</f>
        <v>9299.9994999999999</v>
      </c>
      <c r="L269" s="173" t="s">
        <v>7439</v>
      </c>
      <c r="M269" s="173"/>
      <c r="N269" s="173"/>
      <c r="O269" s="173"/>
      <c r="P269" s="173" t="s">
        <v>7438</v>
      </c>
      <c r="Q269" s="174">
        <v>45746</v>
      </c>
    </row>
    <row r="270" spans="1:18" x14ac:dyDescent="0.25">
      <c r="A270" s="173" t="s">
        <v>12</v>
      </c>
      <c r="B270" s="174">
        <v>45702</v>
      </c>
      <c r="C270" s="197" t="s">
        <v>951</v>
      </c>
      <c r="D270" s="173" t="s">
        <v>7426</v>
      </c>
      <c r="E270" s="173" t="s">
        <v>7427</v>
      </c>
      <c r="F270" s="173" t="s">
        <v>2681</v>
      </c>
      <c r="G270" s="173" t="s">
        <v>7441</v>
      </c>
      <c r="H270" s="173">
        <v>900</v>
      </c>
      <c r="I270" s="176">
        <v>0</v>
      </c>
      <c r="J270" s="173" t="s">
        <v>21</v>
      </c>
      <c r="K270" s="235">
        <f t="shared" si="39"/>
        <v>900</v>
      </c>
      <c r="L270" s="173" t="s">
        <v>7419</v>
      </c>
      <c r="M270" s="173"/>
      <c r="N270" s="173"/>
      <c r="O270" s="173"/>
      <c r="P270" s="173" t="s">
        <v>7438</v>
      </c>
      <c r="Q270" s="174">
        <v>45746</v>
      </c>
    </row>
    <row r="271" spans="1:18" x14ac:dyDescent="0.25">
      <c r="A271" s="173" t="s">
        <v>408</v>
      </c>
      <c r="B271" s="174">
        <v>45716</v>
      </c>
      <c r="C271" s="197">
        <v>25007</v>
      </c>
      <c r="D271" s="173" t="s">
        <v>7442</v>
      </c>
      <c r="E271" s="173" t="s">
        <v>7443</v>
      </c>
      <c r="F271" s="173" t="s">
        <v>2681</v>
      </c>
      <c r="G271" s="173" t="s">
        <v>7441</v>
      </c>
      <c r="H271" s="173">
        <v>950</v>
      </c>
      <c r="I271" s="176">
        <v>0</v>
      </c>
      <c r="J271" s="173" t="s">
        <v>21</v>
      </c>
      <c r="K271" s="235">
        <f t="shared" ref="K271:K272" si="40">+H271+I271</f>
        <v>950</v>
      </c>
      <c r="L271" s="173" t="s">
        <v>7444</v>
      </c>
      <c r="M271" s="173"/>
      <c r="N271" s="173"/>
      <c r="O271" s="173"/>
      <c r="P271" s="173" t="s">
        <v>7438</v>
      </c>
      <c r="Q271" s="174">
        <v>45746</v>
      </c>
    </row>
    <row r="272" spans="1:18" x14ac:dyDescent="0.25">
      <c r="A272" s="173" t="s">
        <v>12</v>
      </c>
      <c r="B272" s="174">
        <v>45735</v>
      </c>
      <c r="C272" s="197" t="s">
        <v>7445</v>
      </c>
      <c r="D272" s="173" t="s">
        <v>7329</v>
      </c>
      <c r="E272" s="173" t="s">
        <v>7330</v>
      </c>
      <c r="F272" s="173" t="s">
        <v>7373</v>
      </c>
      <c r="G272" s="173" t="s">
        <v>7446</v>
      </c>
      <c r="H272" s="173">
        <v>8347.11</v>
      </c>
      <c r="I272" s="176">
        <f t="shared" ref="I272" si="41">+H272*0.21</f>
        <v>1752.8931</v>
      </c>
      <c r="J272" s="173"/>
      <c r="K272" s="176">
        <f t="shared" si="40"/>
        <v>10100.0031</v>
      </c>
      <c r="L272" s="173"/>
      <c r="M272" s="173"/>
      <c r="N272" s="173"/>
      <c r="O272" s="173"/>
      <c r="P272" s="173" t="s">
        <v>7438</v>
      </c>
      <c r="Q272" s="174">
        <v>45762</v>
      </c>
    </row>
    <row r="275" spans="6:6" x14ac:dyDescent="0.25">
      <c r="F275" t="s">
        <v>7440</v>
      </c>
    </row>
    <row r="1048568" spans="6:6" x14ac:dyDescent="0.25">
      <c r="F1048568" s="202"/>
    </row>
  </sheetData>
  <autoFilter ref="A1:S272" xr:uid="{269AD4A5-7509-45F6-B41A-3A7AB33F8FDE}"/>
  <phoneticPr fontId="16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5420-CEF1-4169-928E-BC3DA3721A64}">
  <dimension ref="A1:S148"/>
  <sheetViews>
    <sheetView workbookViewId="0">
      <pane ySplit="1" topLeftCell="A37" activePane="bottomLeft" state="frozen"/>
      <selection pane="bottomLeft" activeCell="B54" sqref="B54"/>
    </sheetView>
  </sheetViews>
  <sheetFormatPr baseColWidth="10" defaultRowHeight="15" x14ac:dyDescent="0.25"/>
  <cols>
    <col min="1" max="1" width="8.85546875" bestFit="1" customWidth="1"/>
    <col min="2" max="2" width="10.7109375" bestFit="1" customWidth="1"/>
    <col min="3" max="3" width="12" style="200" customWidth="1"/>
    <col min="4" max="4" width="29.85546875" customWidth="1"/>
    <col min="5" max="5" width="11.42578125" bestFit="1" customWidth="1"/>
    <col min="6" max="6" width="19.28515625" customWidth="1"/>
    <col min="7" max="7" width="11.42578125" bestFit="1" customWidth="1"/>
    <col min="8" max="8" width="7.5703125" bestFit="1" customWidth="1"/>
    <col min="9" max="9" width="8.140625" bestFit="1" customWidth="1"/>
    <col min="10" max="10" width="8" bestFit="1" customWidth="1"/>
    <col min="11" max="11" width="8.5703125" bestFit="1" customWidth="1"/>
    <col min="12" max="12" width="30.5703125" customWidth="1"/>
    <col min="13" max="13" width="21.140625" customWidth="1"/>
    <col min="14" max="15" width="6.140625" customWidth="1"/>
    <col min="16" max="16" width="10.42578125" customWidth="1"/>
    <col min="17" max="17" width="10.7109375" bestFit="1" customWidth="1"/>
    <col min="18" max="18" width="7.85546875" bestFit="1" customWidth="1"/>
    <col min="19" max="19" width="10.28515625" bestFit="1" customWidth="1"/>
  </cols>
  <sheetData>
    <row r="1" spans="1:19" x14ac:dyDescent="0.25">
      <c r="A1" s="222" t="s">
        <v>12</v>
      </c>
      <c r="B1" s="223" t="s">
        <v>1</v>
      </c>
      <c r="C1" s="226" t="s">
        <v>2</v>
      </c>
      <c r="D1" s="222" t="s">
        <v>3</v>
      </c>
      <c r="E1" s="222" t="s">
        <v>4</v>
      </c>
      <c r="F1" s="222" t="s">
        <v>5</v>
      </c>
      <c r="G1" s="222" t="s">
        <v>6</v>
      </c>
      <c r="H1" s="222" t="s">
        <v>7</v>
      </c>
      <c r="I1" s="222" t="s">
        <v>3503</v>
      </c>
      <c r="J1" s="222" t="s">
        <v>1630</v>
      </c>
      <c r="K1" s="222" t="s">
        <v>9</v>
      </c>
      <c r="L1" s="222" t="s">
        <v>3508</v>
      </c>
      <c r="M1" s="222" t="s">
        <v>83</v>
      </c>
      <c r="N1" s="222" t="s">
        <v>85</v>
      </c>
      <c r="O1" s="222" t="s">
        <v>86</v>
      </c>
      <c r="P1" s="222" t="s">
        <v>11</v>
      </c>
      <c r="Q1" s="222" t="s">
        <v>30</v>
      </c>
      <c r="R1" s="222" t="s">
        <v>3784</v>
      </c>
      <c r="S1" s="222">
        <v>347</v>
      </c>
    </row>
    <row r="2" spans="1:19" x14ac:dyDescent="0.25">
      <c r="A2" s="173" t="s">
        <v>12</v>
      </c>
      <c r="B2" s="174">
        <v>43620</v>
      </c>
      <c r="C2" s="195" t="s">
        <v>6035</v>
      </c>
      <c r="D2" s="173" t="s">
        <v>5701</v>
      </c>
      <c r="E2" s="173" t="s">
        <v>5702</v>
      </c>
      <c r="F2" s="173" t="s">
        <v>442</v>
      </c>
      <c r="G2" s="173" t="s">
        <v>5586</v>
      </c>
      <c r="H2" s="173"/>
      <c r="I2" s="173"/>
      <c r="J2" s="173" t="s">
        <v>21</v>
      </c>
      <c r="K2" s="176">
        <v>4500</v>
      </c>
      <c r="L2" s="173" t="s">
        <v>6569</v>
      </c>
      <c r="M2" s="173"/>
      <c r="N2" s="173"/>
      <c r="O2" s="173"/>
      <c r="P2" s="173" t="s">
        <v>6083</v>
      </c>
      <c r="Q2" s="174">
        <v>43645</v>
      </c>
      <c r="R2" s="173"/>
      <c r="S2" s="173"/>
    </row>
    <row r="3" spans="1:19" x14ac:dyDescent="0.25">
      <c r="A3" s="173" t="s">
        <v>12</v>
      </c>
      <c r="B3" s="174">
        <v>43655</v>
      </c>
      <c r="C3" s="197" t="s">
        <v>6130</v>
      </c>
      <c r="D3" s="173" t="s">
        <v>6338</v>
      </c>
      <c r="E3" s="173" t="s">
        <v>4800</v>
      </c>
      <c r="F3" s="173" t="s">
        <v>3210</v>
      </c>
      <c r="G3" s="173" t="s">
        <v>6131</v>
      </c>
      <c r="H3" s="173"/>
      <c r="I3" s="173"/>
      <c r="J3" s="173" t="s">
        <v>21</v>
      </c>
      <c r="K3" s="176">
        <v>3500</v>
      </c>
      <c r="L3" s="173" t="s">
        <v>6569</v>
      </c>
      <c r="M3" s="173" t="s">
        <v>6250</v>
      </c>
      <c r="N3" s="173"/>
      <c r="O3" s="173"/>
      <c r="P3" s="173" t="s">
        <v>6140</v>
      </c>
      <c r="Q3" s="174">
        <v>43746</v>
      </c>
      <c r="R3" s="173" t="s">
        <v>3186</v>
      </c>
      <c r="S3" s="173"/>
    </row>
    <row r="4" spans="1:19" x14ac:dyDescent="0.25">
      <c r="A4" s="173" t="s">
        <v>12</v>
      </c>
      <c r="B4" s="174">
        <v>43679</v>
      </c>
      <c r="C4" s="197" t="s">
        <v>6125</v>
      </c>
      <c r="D4" s="173" t="s">
        <v>6338</v>
      </c>
      <c r="E4" s="173" t="s">
        <v>4800</v>
      </c>
      <c r="F4" s="173" t="s">
        <v>3210</v>
      </c>
      <c r="G4" s="173" t="s">
        <v>6126</v>
      </c>
      <c r="H4" s="173"/>
      <c r="I4" s="173"/>
      <c r="J4" s="173" t="s">
        <v>21</v>
      </c>
      <c r="K4" s="176">
        <v>1000</v>
      </c>
      <c r="L4" s="173"/>
      <c r="M4" s="173" t="s">
        <v>6212</v>
      </c>
      <c r="N4" s="173"/>
      <c r="O4" s="173"/>
      <c r="P4" s="173" t="s">
        <v>6140</v>
      </c>
      <c r="Q4" s="174">
        <v>43746</v>
      </c>
      <c r="R4" s="173" t="s">
        <v>3186</v>
      </c>
      <c r="S4" s="173"/>
    </row>
    <row r="5" spans="1:19" x14ac:dyDescent="0.25">
      <c r="A5" s="173" t="s">
        <v>12</v>
      </c>
      <c r="B5" s="174">
        <v>43707</v>
      </c>
      <c r="C5" s="197">
        <v>146940</v>
      </c>
      <c r="D5" s="173" t="s">
        <v>6169</v>
      </c>
      <c r="E5" s="173" t="s">
        <v>6171</v>
      </c>
      <c r="F5" s="173" t="s">
        <v>5613</v>
      </c>
      <c r="G5" s="173" t="s">
        <v>6176</v>
      </c>
      <c r="H5" s="176">
        <v>5206.6099999999997</v>
      </c>
      <c r="I5" s="176">
        <v>1093.3880999999999</v>
      </c>
      <c r="J5" s="176"/>
      <c r="K5" s="176">
        <v>6299.9980999999998</v>
      </c>
      <c r="L5" s="173" t="s">
        <v>6569</v>
      </c>
      <c r="M5" s="173" t="s">
        <v>6219</v>
      </c>
      <c r="N5" s="173"/>
      <c r="O5" s="173"/>
      <c r="P5" s="173" t="s">
        <v>6210</v>
      </c>
      <c r="Q5" s="174">
        <v>43844</v>
      </c>
      <c r="R5" s="173" t="s">
        <v>3186</v>
      </c>
      <c r="S5" s="173"/>
    </row>
    <row r="6" spans="1:19" x14ac:dyDescent="0.25">
      <c r="A6" s="173" t="s">
        <v>12</v>
      </c>
      <c r="B6" s="174">
        <v>43668</v>
      </c>
      <c r="C6" s="197" t="s">
        <v>6183</v>
      </c>
      <c r="D6" s="173" t="s">
        <v>5808</v>
      </c>
      <c r="E6" s="173" t="s">
        <v>4797</v>
      </c>
      <c r="F6" s="173" t="s">
        <v>6180</v>
      </c>
      <c r="G6" s="173" t="s">
        <v>6181</v>
      </c>
      <c r="H6" s="176"/>
      <c r="I6" s="176"/>
      <c r="J6" s="176" t="s">
        <v>21</v>
      </c>
      <c r="K6" s="176">
        <v>5600</v>
      </c>
      <c r="L6" s="173" t="s">
        <v>6569</v>
      </c>
      <c r="M6" s="173" t="s">
        <v>6251</v>
      </c>
      <c r="N6" s="173"/>
      <c r="O6" s="173"/>
      <c r="P6" s="173" t="s">
        <v>6210</v>
      </c>
      <c r="Q6" s="174">
        <v>43844</v>
      </c>
      <c r="R6" s="173" t="s">
        <v>3186</v>
      </c>
      <c r="S6" s="173"/>
    </row>
    <row r="7" spans="1:19" x14ac:dyDescent="0.25">
      <c r="A7" s="173" t="s">
        <v>12</v>
      </c>
      <c r="B7" s="174">
        <v>43859</v>
      </c>
      <c r="C7" s="197" t="s">
        <v>951</v>
      </c>
      <c r="D7" s="173" t="s">
        <v>6278</v>
      </c>
      <c r="E7" s="173" t="s">
        <v>6279</v>
      </c>
      <c r="F7" s="173" t="s">
        <v>368</v>
      </c>
      <c r="G7" s="173" t="s">
        <v>6280</v>
      </c>
      <c r="H7" s="173"/>
      <c r="I7" s="173"/>
      <c r="J7" s="173" t="s">
        <v>21</v>
      </c>
      <c r="K7" s="176">
        <v>600</v>
      </c>
      <c r="L7" s="173" t="s">
        <v>6302</v>
      </c>
      <c r="M7" s="173" t="s">
        <v>6549</v>
      </c>
      <c r="N7" s="173"/>
      <c r="O7" s="173"/>
      <c r="P7" s="173" t="s">
        <v>6336</v>
      </c>
      <c r="Q7" s="173"/>
      <c r="R7" s="173" t="s">
        <v>3186</v>
      </c>
      <c r="S7" s="173"/>
    </row>
    <row r="8" spans="1:19" x14ac:dyDescent="0.25">
      <c r="A8" s="173" t="s">
        <v>12</v>
      </c>
      <c r="B8" s="174">
        <v>43894</v>
      </c>
      <c r="C8" s="195" t="s">
        <v>6281</v>
      </c>
      <c r="D8" s="173" t="s">
        <v>6338</v>
      </c>
      <c r="E8" s="173" t="s">
        <v>4800</v>
      </c>
      <c r="F8" s="173" t="s">
        <v>5404</v>
      </c>
      <c r="G8" s="173" t="s">
        <v>6282</v>
      </c>
      <c r="H8" s="173"/>
      <c r="I8" s="173"/>
      <c r="J8" s="173" t="s">
        <v>21</v>
      </c>
      <c r="K8" s="176">
        <v>14000</v>
      </c>
      <c r="L8" s="173" t="s">
        <v>6302</v>
      </c>
      <c r="M8" s="173"/>
      <c r="N8" s="173"/>
      <c r="O8" s="173"/>
      <c r="P8" s="173" t="s">
        <v>6336</v>
      </c>
      <c r="Q8" s="173"/>
      <c r="R8" s="173"/>
      <c r="S8" s="173"/>
    </row>
    <row r="9" spans="1:19" x14ac:dyDescent="0.25">
      <c r="A9" s="173" t="s">
        <v>12</v>
      </c>
      <c r="B9" s="174">
        <v>43866</v>
      </c>
      <c r="C9" s="195" t="s">
        <v>6283</v>
      </c>
      <c r="D9" s="173" t="s">
        <v>6338</v>
      </c>
      <c r="E9" s="173" t="s">
        <v>4800</v>
      </c>
      <c r="F9" s="173" t="s">
        <v>6284</v>
      </c>
      <c r="G9" s="173" t="s">
        <v>6285</v>
      </c>
      <c r="H9" s="173"/>
      <c r="I9" s="173"/>
      <c r="J9" s="173" t="s">
        <v>21</v>
      </c>
      <c r="K9" s="176">
        <v>14200</v>
      </c>
      <c r="L9" s="173" t="s">
        <v>6302</v>
      </c>
      <c r="M9" s="173"/>
      <c r="N9" s="173"/>
      <c r="O9" s="173"/>
      <c r="P9" s="173" t="s">
        <v>6336</v>
      </c>
      <c r="Q9" s="173"/>
      <c r="R9" s="173"/>
      <c r="S9" s="173"/>
    </row>
    <row r="10" spans="1:19" x14ac:dyDescent="0.25">
      <c r="A10" s="173" t="s">
        <v>12</v>
      </c>
      <c r="B10" s="174">
        <v>43852</v>
      </c>
      <c r="C10" s="195" t="s">
        <v>6286</v>
      </c>
      <c r="D10" s="173" t="s">
        <v>6338</v>
      </c>
      <c r="E10" s="173" t="s">
        <v>4800</v>
      </c>
      <c r="F10" s="173" t="s">
        <v>6287</v>
      </c>
      <c r="G10" s="173" t="s">
        <v>6288</v>
      </c>
      <c r="H10" s="173"/>
      <c r="I10" s="173"/>
      <c r="J10" s="173" t="s">
        <v>21</v>
      </c>
      <c r="K10" s="176">
        <v>400</v>
      </c>
      <c r="L10" s="173" t="s">
        <v>6302</v>
      </c>
      <c r="M10" s="173"/>
      <c r="N10" s="173"/>
      <c r="O10" s="173"/>
      <c r="P10" s="173" t="s">
        <v>6336</v>
      </c>
      <c r="Q10" s="173"/>
      <c r="R10" s="173"/>
      <c r="S10" s="173"/>
    </row>
    <row r="11" spans="1:19" x14ac:dyDescent="0.25">
      <c r="A11" s="173" t="s">
        <v>12</v>
      </c>
      <c r="B11" s="174">
        <v>43852</v>
      </c>
      <c r="C11" s="195" t="s">
        <v>6289</v>
      </c>
      <c r="D11" s="173" t="s">
        <v>6338</v>
      </c>
      <c r="E11" s="173" t="s">
        <v>4800</v>
      </c>
      <c r="F11" s="173" t="s">
        <v>6290</v>
      </c>
      <c r="G11" s="173" t="s">
        <v>6291</v>
      </c>
      <c r="H11" s="173"/>
      <c r="I11" s="173"/>
      <c r="J11" s="173" t="s">
        <v>21</v>
      </c>
      <c r="K11" s="176">
        <v>1400</v>
      </c>
      <c r="L11" s="173" t="s">
        <v>6302</v>
      </c>
      <c r="M11" s="173"/>
      <c r="N11" s="173"/>
      <c r="O11" s="173"/>
      <c r="P11" s="173" t="s">
        <v>6336</v>
      </c>
      <c r="Q11" s="173"/>
      <c r="R11" s="173"/>
      <c r="S11" s="173"/>
    </row>
    <row r="12" spans="1:19" x14ac:dyDescent="0.25">
      <c r="A12" s="173" t="s">
        <v>12</v>
      </c>
      <c r="B12" s="174">
        <v>43854</v>
      </c>
      <c r="C12" s="195" t="s">
        <v>6292</v>
      </c>
      <c r="D12" s="173" t="s">
        <v>6338</v>
      </c>
      <c r="E12" s="173" t="s">
        <v>4800</v>
      </c>
      <c r="F12" s="173" t="s">
        <v>381</v>
      </c>
      <c r="G12" s="173" t="s">
        <v>6293</v>
      </c>
      <c r="H12" s="173"/>
      <c r="I12" s="173"/>
      <c r="J12" s="173" t="s">
        <v>21</v>
      </c>
      <c r="K12" s="176">
        <v>11500</v>
      </c>
      <c r="L12" s="173" t="s">
        <v>6302</v>
      </c>
      <c r="M12" s="173"/>
      <c r="N12" s="173"/>
      <c r="O12" s="173"/>
      <c r="P12" s="173" t="s">
        <v>6336</v>
      </c>
      <c r="Q12" s="173"/>
      <c r="R12" s="173"/>
      <c r="S12" s="173"/>
    </row>
    <row r="13" spans="1:19" x14ac:dyDescent="0.25">
      <c r="A13" s="173" t="s">
        <v>12</v>
      </c>
      <c r="B13" s="174">
        <v>43845</v>
      </c>
      <c r="C13" s="195" t="s">
        <v>6294</v>
      </c>
      <c r="D13" s="173" t="s">
        <v>6338</v>
      </c>
      <c r="E13" s="173" t="s">
        <v>4800</v>
      </c>
      <c r="F13" s="173" t="s">
        <v>469</v>
      </c>
      <c r="G13" s="173" t="s">
        <v>6295</v>
      </c>
      <c r="H13" s="173"/>
      <c r="I13" s="173"/>
      <c r="J13" s="173" t="s">
        <v>21</v>
      </c>
      <c r="K13" s="176">
        <v>4100</v>
      </c>
      <c r="L13" s="173" t="s">
        <v>6302</v>
      </c>
      <c r="M13" s="173"/>
      <c r="N13" s="173"/>
      <c r="O13" s="173"/>
      <c r="P13" s="173" t="s">
        <v>6336</v>
      </c>
      <c r="Q13" s="173"/>
      <c r="R13" s="173"/>
      <c r="S13" s="173"/>
    </row>
    <row r="14" spans="1:19" x14ac:dyDescent="0.25">
      <c r="A14" s="173" t="s">
        <v>12</v>
      </c>
      <c r="B14" s="174">
        <v>43845</v>
      </c>
      <c r="C14" s="195" t="s">
        <v>6296</v>
      </c>
      <c r="D14" s="173" t="s">
        <v>6338</v>
      </c>
      <c r="E14" s="173" t="s">
        <v>4800</v>
      </c>
      <c r="F14" s="173" t="s">
        <v>5193</v>
      </c>
      <c r="G14" s="173" t="s">
        <v>6297</v>
      </c>
      <c r="H14" s="173"/>
      <c r="I14" s="173"/>
      <c r="J14" s="173" t="s">
        <v>21</v>
      </c>
      <c r="K14" s="176">
        <v>8500</v>
      </c>
      <c r="L14" s="173" t="s">
        <v>6302</v>
      </c>
      <c r="M14" s="173"/>
      <c r="N14" s="173"/>
      <c r="O14" s="173"/>
      <c r="P14" s="173" t="s">
        <v>6336</v>
      </c>
      <c r="Q14" s="173"/>
      <c r="R14" s="173"/>
      <c r="S14" s="173"/>
    </row>
    <row r="15" spans="1:19" x14ac:dyDescent="0.25">
      <c r="A15" s="173" t="s">
        <v>12</v>
      </c>
      <c r="B15" s="174">
        <v>43852</v>
      </c>
      <c r="C15" s="195" t="s">
        <v>6298</v>
      </c>
      <c r="D15" s="173" t="s">
        <v>6338</v>
      </c>
      <c r="E15" s="173" t="s">
        <v>4800</v>
      </c>
      <c r="F15" s="173" t="s">
        <v>6299</v>
      </c>
      <c r="G15" s="173" t="s">
        <v>6300</v>
      </c>
      <c r="H15" s="173"/>
      <c r="I15" s="173"/>
      <c r="J15" s="173" t="s">
        <v>21</v>
      </c>
      <c r="K15" s="176">
        <v>2800</v>
      </c>
      <c r="L15" s="173" t="s">
        <v>6302</v>
      </c>
      <c r="M15" s="173"/>
      <c r="N15" s="173"/>
      <c r="O15" s="173"/>
      <c r="P15" s="173" t="s">
        <v>6336</v>
      </c>
      <c r="Q15" s="173"/>
      <c r="R15" s="173"/>
      <c r="S15" s="173"/>
    </row>
    <row r="16" spans="1:19" x14ac:dyDescent="0.25">
      <c r="A16" s="173" t="s">
        <v>408</v>
      </c>
      <c r="B16" s="174">
        <v>43832</v>
      </c>
      <c r="C16" s="197">
        <v>20001</v>
      </c>
      <c r="D16" s="173" t="s">
        <v>6301</v>
      </c>
      <c r="E16" s="173" t="s">
        <v>5983</v>
      </c>
      <c r="F16" s="173" t="s">
        <v>6153</v>
      </c>
      <c r="G16" s="173" t="s">
        <v>6154</v>
      </c>
      <c r="H16" s="173"/>
      <c r="I16" s="173"/>
      <c r="J16" s="173" t="s">
        <v>21</v>
      </c>
      <c r="K16" s="176">
        <v>2500</v>
      </c>
      <c r="L16" s="173" t="s">
        <v>6303</v>
      </c>
      <c r="M16" s="173" t="s">
        <v>6529</v>
      </c>
      <c r="N16" s="173"/>
      <c r="O16" s="173"/>
      <c r="P16" s="173" t="s">
        <v>6336</v>
      </c>
      <c r="Q16" s="173"/>
      <c r="R16" s="173" t="s">
        <v>3186</v>
      </c>
      <c r="S16" s="173" t="s">
        <v>6552</v>
      </c>
    </row>
    <row r="17" spans="1:19" x14ac:dyDescent="0.25">
      <c r="A17" s="173" t="s">
        <v>408</v>
      </c>
      <c r="B17" s="174">
        <v>43832</v>
      </c>
      <c r="C17" s="197">
        <v>20002</v>
      </c>
      <c r="D17" s="173" t="s">
        <v>6304</v>
      </c>
      <c r="E17" s="173" t="s">
        <v>6305</v>
      </c>
      <c r="F17" s="173" t="s">
        <v>6172</v>
      </c>
      <c r="G17" s="173" t="s">
        <v>6173</v>
      </c>
      <c r="H17" s="173"/>
      <c r="I17" s="173"/>
      <c r="J17" s="173" t="s">
        <v>21</v>
      </c>
      <c r="K17" s="176">
        <v>9995</v>
      </c>
      <c r="L17" s="173" t="s">
        <v>6306</v>
      </c>
      <c r="M17" s="173" t="s">
        <v>6540</v>
      </c>
      <c r="N17" s="173"/>
      <c r="O17" s="173"/>
      <c r="P17" s="173" t="s">
        <v>6336</v>
      </c>
      <c r="Q17" s="173"/>
      <c r="R17" s="173" t="s">
        <v>3186</v>
      </c>
      <c r="S17" s="173" t="s">
        <v>6551</v>
      </c>
    </row>
    <row r="18" spans="1:19" x14ac:dyDescent="0.25">
      <c r="A18" s="173" t="s">
        <v>408</v>
      </c>
      <c r="B18" s="174">
        <v>43843</v>
      </c>
      <c r="C18" s="197">
        <v>20003</v>
      </c>
      <c r="D18" s="173" t="s">
        <v>6307</v>
      </c>
      <c r="E18" s="173" t="s">
        <v>6308</v>
      </c>
      <c r="F18" s="173" t="s">
        <v>5782</v>
      </c>
      <c r="G18" s="173" t="s">
        <v>6165</v>
      </c>
      <c r="H18" s="173"/>
      <c r="I18" s="173"/>
      <c r="J18" s="173" t="s">
        <v>21</v>
      </c>
      <c r="K18" s="173">
        <v>16995</v>
      </c>
      <c r="L18" s="173" t="s">
        <v>6309</v>
      </c>
      <c r="M18" s="173" t="s">
        <v>6543</v>
      </c>
      <c r="N18" s="173"/>
      <c r="O18" s="173"/>
      <c r="P18" s="173" t="s">
        <v>6336</v>
      </c>
      <c r="Q18" s="173"/>
      <c r="R18" s="173" t="s">
        <v>3791</v>
      </c>
      <c r="S18" s="173" t="s">
        <v>6551</v>
      </c>
    </row>
    <row r="19" spans="1:19" x14ac:dyDescent="0.25">
      <c r="A19" s="173" t="s">
        <v>408</v>
      </c>
      <c r="B19" s="174">
        <v>43845</v>
      </c>
      <c r="C19" s="197">
        <v>20004</v>
      </c>
      <c r="D19" s="173" t="s">
        <v>5832</v>
      </c>
      <c r="E19" s="173" t="s">
        <v>5833</v>
      </c>
      <c r="F19" s="173" t="s">
        <v>5474</v>
      </c>
      <c r="G19" s="173" t="s">
        <v>6030</v>
      </c>
      <c r="H19" s="173"/>
      <c r="I19" s="173"/>
      <c r="J19" s="173" t="s">
        <v>21</v>
      </c>
      <c r="K19" s="176">
        <v>2000</v>
      </c>
      <c r="L19" s="173" t="s">
        <v>6310</v>
      </c>
      <c r="M19" s="173" t="s">
        <v>6521</v>
      </c>
      <c r="N19" s="173"/>
      <c r="O19" s="173"/>
      <c r="P19" s="173" t="s">
        <v>6336</v>
      </c>
      <c r="Q19" s="173"/>
      <c r="R19" s="173" t="s">
        <v>3186</v>
      </c>
      <c r="S19" s="173" t="s">
        <v>6553</v>
      </c>
    </row>
    <row r="20" spans="1:19" x14ac:dyDescent="0.25">
      <c r="A20" s="173" t="s">
        <v>408</v>
      </c>
      <c r="B20" s="174">
        <v>43845</v>
      </c>
      <c r="C20" s="197">
        <v>20005</v>
      </c>
      <c r="D20" s="173" t="s">
        <v>5832</v>
      </c>
      <c r="E20" s="173" t="s">
        <v>5833</v>
      </c>
      <c r="F20" s="173" t="s">
        <v>5474</v>
      </c>
      <c r="G20" s="173" t="s">
        <v>6159</v>
      </c>
      <c r="H20" s="173"/>
      <c r="I20" s="173"/>
      <c r="J20" s="173" t="s">
        <v>21</v>
      </c>
      <c r="K20" s="173">
        <v>5500</v>
      </c>
      <c r="L20" s="173" t="s">
        <v>6319</v>
      </c>
      <c r="M20" s="173" t="s">
        <v>6520</v>
      </c>
      <c r="N20" s="173"/>
      <c r="O20" s="173"/>
      <c r="P20" s="173" t="s">
        <v>6336</v>
      </c>
      <c r="Q20" s="173"/>
      <c r="R20" s="173" t="s">
        <v>3186</v>
      </c>
      <c r="S20" s="173" t="s">
        <v>6553</v>
      </c>
    </row>
    <row r="21" spans="1:19" x14ac:dyDescent="0.25">
      <c r="A21" s="173" t="s">
        <v>408</v>
      </c>
      <c r="B21" s="174">
        <v>43845</v>
      </c>
      <c r="C21" s="197">
        <v>20006</v>
      </c>
      <c r="D21" s="173" t="s">
        <v>6311</v>
      </c>
      <c r="E21" s="173" t="s">
        <v>6312</v>
      </c>
      <c r="F21" s="173" t="s">
        <v>5942</v>
      </c>
      <c r="G21" s="173" t="s">
        <v>5943</v>
      </c>
      <c r="H21" s="173"/>
      <c r="I21" s="173"/>
      <c r="J21" s="173" t="s">
        <v>21</v>
      </c>
      <c r="K21" s="173">
        <v>2300</v>
      </c>
      <c r="L21" s="173" t="s">
        <v>6076</v>
      </c>
      <c r="M21" s="173" t="s">
        <v>6330</v>
      </c>
      <c r="N21" s="173"/>
      <c r="O21" s="173"/>
      <c r="P21" s="173" t="s">
        <v>6336</v>
      </c>
      <c r="Q21" s="173"/>
      <c r="R21" s="173" t="s">
        <v>3186</v>
      </c>
      <c r="S21" s="173" t="s">
        <v>6552</v>
      </c>
    </row>
    <row r="22" spans="1:19" x14ac:dyDescent="0.25">
      <c r="A22" s="173" t="s">
        <v>408</v>
      </c>
      <c r="B22" s="174">
        <v>43847</v>
      </c>
      <c r="C22" s="197">
        <v>20007</v>
      </c>
      <c r="D22" s="173" t="s">
        <v>6313</v>
      </c>
      <c r="E22" s="173" t="s">
        <v>6314</v>
      </c>
      <c r="F22" s="173" t="s">
        <v>6145</v>
      </c>
      <c r="G22" s="173" t="s">
        <v>6146</v>
      </c>
      <c r="H22" s="173"/>
      <c r="I22" s="173"/>
      <c r="J22" s="173" t="s">
        <v>21</v>
      </c>
      <c r="K22" s="173">
        <v>3300</v>
      </c>
      <c r="L22" s="173" t="s">
        <v>6315</v>
      </c>
      <c r="M22" s="173" t="s">
        <v>6518</v>
      </c>
      <c r="N22" s="173"/>
      <c r="O22" s="173"/>
      <c r="P22" s="173" t="s">
        <v>6336</v>
      </c>
      <c r="Q22" s="173"/>
      <c r="R22" s="173" t="s">
        <v>3186</v>
      </c>
      <c r="S22" s="173" t="s">
        <v>6551</v>
      </c>
    </row>
    <row r="23" spans="1:19" x14ac:dyDescent="0.25">
      <c r="A23" s="173" t="s">
        <v>408</v>
      </c>
      <c r="B23" s="174">
        <v>43852</v>
      </c>
      <c r="C23" s="197">
        <v>20008</v>
      </c>
      <c r="D23" s="173" t="s">
        <v>6516</v>
      </c>
      <c r="E23" s="173" t="s">
        <v>6517</v>
      </c>
      <c r="F23" s="173" t="s">
        <v>908</v>
      </c>
      <c r="G23" s="173" t="s">
        <v>5950</v>
      </c>
      <c r="H23" s="173"/>
      <c r="I23" s="173"/>
      <c r="J23" s="173" t="s">
        <v>21</v>
      </c>
      <c r="K23" s="173">
        <v>1200</v>
      </c>
      <c r="L23" s="173" t="s">
        <v>6316</v>
      </c>
      <c r="M23" s="173" t="s">
        <v>6329</v>
      </c>
      <c r="N23" s="173"/>
      <c r="O23" s="173"/>
      <c r="P23" s="173" t="s">
        <v>6336</v>
      </c>
      <c r="Q23" s="173"/>
      <c r="R23" s="173" t="s">
        <v>3186</v>
      </c>
      <c r="S23" s="173" t="s">
        <v>6552</v>
      </c>
    </row>
    <row r="24" spans="1:19" x14ac:dyDescent="0.25">
      <c r="A24" s="173" t="s">
        <v>408</v>
      </c>
      <c r="B24" s="174">
        <v>43859</v>
      </c>
      <c r="C24" s="197">
        <v>20009</v>
      </c>
      <c r="D24" s="173" t="s">
        <v>6317</v>
      </c>
      <c r="E24" s="173" t="s">
        <v>6318</v>
      </c>
      <c r="F24" s="173" t="s">
        <v>6156</v>
      </c>
      <c r="G24" s="173" t="s">
        <v>6157</v>
      </c>
      <c r="H24" s="173"/>
      <c r="I24" s="173"/>
      <c r="J24" s="173" t="s">
        <v>21</v>
      </c>
      <c r="K24" s="173">
        <v>7995</v>
      </c>
      <c r="L24" s="173" t="s">
        <v>6319</v>
      </c>
      <c r="M24" s="173" t="s">
        <v>6505</v>
      </c>
      <c r="N24" s="173"/>
      <c r="O24" s="173"/>
      <c r="P24" s="173" t="s">
        <v>6336</v>
      </c>
      <c r="Q24" s="173"/>
      <c r="R24" s="173" t="s">
        <v>3186</v>
      </c>
      <c r="S24" s="173" t="s">
        <v>6551</v>
      </c>
    </row>
    <row r="25" spans="1:19" x14ac:dyDescent="0.25">
      <c r="A25" s="173" t="s">
        <v>408</v>
      </c>
      <c r="B25" s="174">
        <v>43875</v>
      </c>
      <c r="C25" s="197">
        <v>20011</v>
      </c>
      <c r="D25" s="173" t="s">
        <v>6320</v>
      </c>
      <c r="E25" s="173" t="s">
        <v>6461</v>
      </c>
      <c r="F25" s="173" t="s">
        <v>5474</v>
      </c>
      <c r="G25" s="173" t="s">
        <v>6028</v>
      </c>
      <c r="H25" s="173"/>
      <c r="I25" s="173"/>
      <c r="J25" s="173" t="s">
        <v>21</v>
      </c>
      <c r="K25" s="173">
        <v>10000</v>
      </c>
      <c r="L25" s="173" t="s">
        <v>6321</v>
      </c>
      <c r="M25" s="173" t="s">
        <v>6510</v>
      </c>
      <c r="N25" s="173"/>
      <c r="O25" s="173"/>
      <c r="P25" s="173" t="s">
        <v>6336</v>
      </c>
      <c r="Q25" s="173"/>
      <c r="R25" s="173" t="s">
        <v>3186</v>
      </c>
      <c r="S25" s="173" t="s">
        <v>6551</v>
      </c>
    </row>
    <row r="26" spans="1:19" x14ac:dyDescent="0.25">
      <c r="A26" s="173" t="s">
        <v>408</v>
      </c>
      <c r="B26" s="174">
        <v>43889</v>
      </c>
      <c r="C26" s="197">
        <v>20012</v>
      </c>
      <c r="D26" s="173" t="s">
        <v>6506</v>
      </c>
      <c r="E26" s="173" t="s">
        <v>6322</v>
      </c>
      <c r="F26" s="173" t="s">
        <v>381</v>
      </c>
      <c r="G26" s="173" t="s">
        <v>6122</v>
      </c>
      <c r="H26" s="173"/>
      <c r="I26" s="173"/>
      <c r="J26" s="173" t="s">
        <v>21</v>
      </c>
      <c r="K26" s="173">
        <v>1500</v>
      </c>
      <c r="L26" s="173" t="s">
        <v>6323</v>
      </c>
      <c r="M26" s="173" t="s">
        <v>6507</v>
      </c>
      <c r="N26" s="173"/>
      <c r="O26" s="173"/>
      <c r="P26" s="173" t="s">
        <v>6336</v>
      </c>
      <c r="Q26" s="173"/>
      <c r="R26" s="173" t="s">
        <v>3186</v>
      </c>
      <c r="S26" s="173" t="s">
        <v>6552</v>
      </c>
    </row>
    <row r="27" spans="1:19" x14ac:dyDescent="0.25">
      <c r="A27" s="173" t="s">
        <v>408</v>
      </c>
      <c r="B27" s="174">
        <v>43894</v>
      </c>
      <c r="C27" s="197">
        <v>20013</v>
      </c>
      <c r="D27" s="173" t="s">
        <v>6324</v>
      </c>
      <c r="E27" s="173" t="s">
        <v>5750</v>
      </c>
      <c r="F27" s="173" t="s">
        <v>3679</v>
      </c>
      <c r="G27" s="173" t="s">
        <v>3680</v>
      </c>
      <c r="H27" s="173"/>
      <c r="I27" s="173"/>
      <c r="J27" s="173" t="s">
        <v>21</v>
      </c>
      <c r="K27" s="176">
        <v>4500</v>
      </c>
      <c r="L27" s="173" t="s">
        <v>6325</v>
      </c>
      <c r="M27" s="173" t="s">
        <v>6537</v>
      </c>
      <c r="N27" s="173"/>
      <c r="O27" s="173"/>
      <c r="P27" s="173" t="s">
        <v>6336</v>
      </c>
      <c r="Q27" s="173"/>
      <c r="R27" s="173" t="s">
        <v>3186</v>
      </c>
      <c r="S27" s="173" t="s">
        <v>6551</v>
      </c>
    </row>
    <row r="28" spans="1:19" x14ac:dyDescent="0.25">
      <c r="A28" s="173" t="s">
        <v>12</v>
      </c>
      <c r="B28" s="174">
        <v>43762</v>
      </c>
      <c r="C28" s="197" t="s">
        <v>951</v>
      </c>
      <c r="D28" s="173" t="s">
        <v>6191</v>
      </c>
      <c r="E28" s="173" t="s">
        <v>6326</v>
      </c>
      <c r="F28" s="173" t="s">
        <v>472</v>
      </c>
      <c r="G28" s="173" t="s">
        <v>6327</v>
      </c>
      <c r="H28" s="173"/>
      <c r="I28" s="173"/>
      <c r="J28" s="173" t="s">
        <v>21</v>
      </c>
      <c r="K28" s="173">
        <v>300</v>
      </c>
      <c r="L28" s="173" t="s">
        <v>6302</v>
      </c>
      <c r="M28" s="173"/>
      <c r="N28" s="173"/>
      <c r="O28" s="173"/>
      <c r="P28" s="173" t="s">
        <v>6336</v>
      </c>
      <c r="Q28" s="173"/>
      <c r="R28" s="173"/>
      <c r="S28" s="173"/>
    </row>
    <row r="29" spans="1:19" x14ac:dyDescent="0.25">
      <c r="A29" s="173" t="s">
        <v>408</v>
      </c>
      <c r="B29" s="174">
        <v>43872</v>
      </c>
      <c r="C29" s="197">
        <v>20010</v>
      </c>
      <c r="D29" s="173" t="s">
        <v>6324</v>
      </c>
      <c r="E29" s="173" t="s">
        <v>5750</v>
      </c>
      <c r="F29" s="173" t="s">
        <v>472</v>
      </c>
      <c r="G29" s="173" t="s">
        <v>6327</v>
      </c>
      <c r="H29" s="173"/>
      <c r="I29" s="173"/>
      <c r="J29" s="173" t="s">
        <v>21</v>
      </c>
      <c r="K29" s="173">
        <v>400</v>
      </c>
      <c r="L29" s="173" t="s">
        <v>6328</v>
      </c>
      <c r="M29" s="173" t="s">
        <v>6514</v>
      </c>
      <c r="N29" s="173"/>
      <c r="O29" s="173"/>
      <c r="P29" s="173" t="s">
        <v>6336</v>
      </c>
      <c r="Q29" s="173"/>
      <c r="R29" s="173" t="s">
        <v>3186</v>
      </c>
      <c r="S29" s="173" t="s">
        <v>6551</v>
      </c>
    </row>
    <row r="30" spans="1:19" x14ac:dyDescent="0.25">
      <c r="A30" s="173" t="s">
        <v>12</v>
      </c>
      <c r="B30" s="174">
        <v>43878</v>
      </c>
      <c r="C30" s="197" t="s">
        <v>951</v>
      </c>
      <c r="D30" s="173" t="s">
        <v>6331</v>
      </c>
      <c r="E30" s="173" t="s">
        <v>6332</v>
      </c>
      <c r="F30" s="173" t="s">
        <v>2629</v>
      </c>
      <c r="G30" s="173" t="s">
        <v>6340</v>
      </c>
      <c r="H30" s="173"/>
      <c r="I30" s="173"/>
      <c r="J30" s="173" t="s">
        <v>21</v>
      </c>
      <c r="K30" s="173">
        <v>9700</v>
      </c>
      <c r="L30" s="173" t="s">
        <v>6302</v>
      </c>
      <c r="M30" s="173" t="s">
        <v>6547</v>
      </c>
      <c r="N30" s="173"/>
      <c r="O30" s="173"/>
      <c r="P30" s="173" t="s">
        <v>6336</v>
      </c>
      <c r="Q30" s="173"/>
      <c r="R30" s="173" t="s">
        <v>3186</v>
      </c>
      <c r="S30" s="173"/>
    </row>
    <row r="31" spans="1:19" x14ac:dyDescent="0.25">
      <c r="A31" s="173" t="s">
        <v>408</v>
      </c>
      <c r="B31" s="174">
        <v>43899</v>
      </c>
      <c r="C31" s="197">
        <v>20014</v>
      </c>
      <c r="D31" s="173" t="s">
        <v>6333</v>
      </c>
      <c r="E31" s="173" t="s">
        <v>6334</v>
      </c>
      <c r="F31" s="173" t="s">
        <v>2629</v>
      </c>
      <c r="G31" s="173" t="s">
        <v>6340</v>
      </c>
      <c r="H31" s="173"/>
      <c r="I31" s="173"/>
      <c r="J31" s="173" t="s">
        <v>21</v>
      </c>
      <c r="K31" s="173">
        <v>13000</v>
      </c>
      <c r="L31" s="173" t="s">
        <v>6335</v>
      </c>
      <c r="M31" s="173" t="s">
        <v>6545</v>
      </c>
      <c r="N31" s="173"/>
      <c r="O31" s="173"/>
      <c r="P31" s="173" t="s">
        <v>6336</v>
      </c>
      <c r="Q31" s="173"/>
      <c r="R31" s="173" t="s">
        <v>3186</v>
      </c>
      <c r="S31" s="173" t="s">
        <v>6551</v>
      </c>
    </row>
    <row r="32" spans="1:19" x14ac:dyDescent="0.25">
      <c r="A32" s="173" t="s">
        <v>12</v>
      </c>
      <c r="B32" s="174">
        <v>44014</v>
      </c>
      <c r="C32" s="197" t="s">
        <v>6337</v>
      </c>
      <c r="D32" s="173" t="s">
        <v>6338</v>
      </c>
      <c r="E32" s="173" t="s">
        <v>4800</v>
      </c>
      <c r="F32" s="173" t="s">
        <v>6339</v>
      </c>
      <c r="G32" s="173" t="s">
        <v>6341</v>
      </c>
      <c r="H32" s="173"/>
      <c r="I32" s="173"/>
      <c r="J32" s="173" t="s">
        <v>21</v>
      </c>
      <c r="K32" s="173">
        <v>900</v>
      </c>
      <c r="L32" s="173" t="s">
        <v>6302</v>
      </c>
      <c r="M32" s="173"/>
      <c r="N32" s="173"/>
      <c r="O32" s="173"/>
      <c r="P32" s="173" t="s">
        <v>6457</v>
      </c>
      <c r="Q32" s="173"/>
      <c r="R32" s="173"/>
      <c r="S32" s="173"/>
    </row>
    <row r="33" spans="1:19" x14ac:dyDescent="0.25">
      <c r="A33" s="173" t="s">
        <v>12</v>
      </c>
      <c r="B33" s="174">
        <v>44011</v>
      </c>
      <c r="C33" s="197" t="s">
        <v>6342</v>
      </c>
      <c r="D33" s="173" t="s">
        <v>6338</v>
      </c>
      <c r="E33" s="173" t="s">
        <v>4800</v>
      </c>
      <c r="F33" s="173" t="s">
        <v>908</v>
      </c>
      <c r="G33" s="173" t="s">
        <v>6343</v>
      </c>
      <c r="H33" s="173"/>
      <c r="I33" s="173"/>
      <c r="J33" s="173" t="s">
        <v>21</v>
      </c>
      <c r="K33" s="173">
        <v>7500</v>
      </c>
      <c r="L33" s="173" t="s">
        <v>6302</v>
      </c>
      <c r="M33" s="173"/>
      <c r="N33" s="173"/>
      <c r="O33" s="173"/>
      <c r="P33" s="173" t="s">
        <v>6383</v>
      </c>
      <c r="Q33" s="173"/>
      <c r="R33" s="173"/>
      <c r="S33" s="173"/>
    </row>
    <row r="34" spans="1:19" x14ac:dyDescent="0.25">
      <c r="A34" s="173" t="s">
        <v>12</v>
      </c>
      <c r="B34" s="174">
        <v>44011</v>
      </c>
      <c r="C34" s="197" t="s">
        <v>6344</v>
      </c>
      <c r="D34" s="173" t="s">
        <v>6338</v>
      </c>
      <c r="E34" s="173" t="s">
        <v>4800</v>
      </c>
      <c r="F34" s="173" t="s">
        <v>6284</v>
      </c>
      <c r="G34" s="173" t="s">
        <v>6345</v>
      </c>
      <c r="H34" s="173"/>
      <c r="I34" s="173"/>
      <c r="J34" s="173" t="s">
        <v>21</v>
      </c>
      <c r="K34" s="173">
        <v>17500</v>
      </c>
      <c r="L34" s="173" t="s">
        <v>6302</v>
      </c>
      <c r="M34" s="173"/>
      <c r="N34" s="173"/>
      <c r="O34" s="173"/>
      <c r="P34" s="173" t="s">
        <v>6383</v>
      </c>
      <c r="Q34" s="173"/>
      <c r="R34" s="173"/>
      <c r="S34" s="173"/>
    </row>
    <row r="35" spans="1:19" x14ac:dyDescent="0.25">
      <c r="A35" s="173" t="s">
        <v>12</v>
      </c>
      <c r="B35" s="174">
        <v>44011</v>
      </c>
      <c r="C35" s="197" t="s">
        <v>6346</v>
      </c>
      <c r="D35" s="173" t="s">
        <v>6338</v>
      </c>
      <c r="E35" s="173" t="s">
        <v>4800</v>
      </c>
      <c r="F35" s="173" t="s">
        <v>6347</v>
      </c>
      <c r="G35" s="173" t="s">
        <v>6348</v>
      </c>
      <c r="H35" s="173"/>
      <c r="I35" s="173"/>
      <c r="J35" s="173" t="s">
        <v>21</v>
      </c>
      <c r="K35" s="173">
        <v>800</v>
      </c>
      <c r="L35" s="173"/>
      <c r="M35" s="173"/>
      <c r="N35" s="173"/>
      <c r="O35" s="173"/>
      <c r="P35" s="173" t="s">
        <v>6383</v>
      </c>
      <c r="Q35" s="173"/>
      <c r="R35" s="173"/>
      <c r="S35" s="173"/>
    </row>
    <row r="36" spans="1:19" x14ac:dyDescent="0.25">
      <c r="A36" s="173" t="s">
        <v>12</v>
      </c>
      <c r="B36" s="174">
        <v>44011</v>
      </c>
      <c r="C36" s="197" t="s">
        <v>6349</v>
      </c>
      <c r="D36" s="173" t="s">
        <v>6338</v>
      </c>
      <c r="E36" s="173" t="s">
        <v>4800</v>
      </c>
      <c r="F36" s="173" t="s">
        <v>3194</v>
      </c>
      <c r="G36" s="173" t="s">
        <v>6350</v>
      </c>
      <c r="H36" s="173"/>
      <c r="I36" s="173"/>
      <c r="J36" s="173" t="s">
        <v>21</v>
      </c>
      <c r="K36" s="173">
        <v>1500</v>
      </c>
      <c r="L36" s="173" t="s">
        <v>6302</v>
      </c>
      <c r="M36" s="173"/>
      <c r="N36" s="173"/>
      <c r="O36" s="173"/>
      <c r="P36" s="173" t="s">
        <v>6383</v>
      </c>
      <c r="Q36" s="173"/>
      <c r="R36" s="173"/>
      <c r="S36" s="173"/>
    </row>
    <row r="37" spans="1:19" ht="14.25" customHeight="1" x14ac:dyDescent="0.25">
      <c r="A37" s="173" t="s">
        <v>12</v>
      </c>
      <c r="B37" s="174">
        <v>44010</v>
      </c>
      <c r="C37" s="197" t="s">
        <v>6351</v>
      </c>
      <c r="D37" s="173" t="s">
        <v>6338</v>
      </c>
      <c r="E37" s="173" t="s">
        <v>4800</v>
      </c>
      <c r="F37" s="173" t="s">
        <v>6352</v>
      </c>
      <c r="G37" s="173" t="s">
        <v>6353</v>
      </c>
      <c r="H37" s="173"/>
      <c r="I37" s="173"/>
      <c r="J37" s="173" t="s">
        <v>21</v>
      </c>
      <c r="K37" s="173">
        <v>500</v>
      </c>
      <c r="L37" s="173" t="s">
        <v>6302</v>
      </c>
      <c r="M37" s="173"/>
      <c r="N37" s="173"/>
      <c r="O37" s="173"/>
      <c r="P37" s="173" t="s">
        <v>6383</v>
      </c>
      <c r="Q37" s="173"/>
      <c r="R37" s="173"/>
      <c r="S37" s="173"/>
    </row>
    <row r="38" spans="1:19" x14ac:dyDescent="0.25">
      <c r="A38" s="173" t="s">
        <v>12</v>
      </c>
      <c r="B38" s="174">
        <v>44010</v>
      </c>
      <c r="C38" s="197" t="s">
        <v>6354</v>
      </c>
      <c r="D38" s="173" t="s">
        <v>6338</v>
      </c>
      <c r="E38" s="173" t="s">
        <v>4800</v>
      </c>
      <c r="F38" s="173" t="s">
        <v>6355</v>
      </c>
      <c r="G38" s="173" t="s">
        <v>6356</v>
      </c>
      <c r="H38" s="173"/>
      <c r="I38" s="173"/>
      <c r="J38" s="173" t="s">
        <v>21</v>
      </c>
      <c r="K38" s="173">
        <v>250</v>
      </c>
      <c r="L38" s="173"/>
      <c r="M38" s="173"/>
      <c r="N38" s="173"/>
      <c r="O38" s="173"/>
      <c r="P38" s="173" t="s">
        <v>6383</v>
      </c>
      <c r="Q38" s="173"/>
      <c r="R38" s="173"/>
      <c r="S38" s="173"/>
    </row>
    <row r="39" spans="1:19" x14ac:dyDescent="0.25">
      <c r="A39" s="173" t="s">
        <v>12</v>
      </c>
      <c r="B39" s="174">
        <v>44010</v>
      </c>
      <c r="C39" s="197" t="s">
        <v>6357</v>
      </c>
      <c r="D39" s="173" t="s">
        <v>6338</v>
      </c>
      <c r="E39" s="173" t="s">
        <v>4800</v>
      </c>
      <c r="F39" s="173" t="s">
        <v>3344</v>
      </c>
      <c r="G39" s="173" t="s">
        <v>6358</v>
      </c>
      <c r="H39" s="173"/>
      <c r="I39" s="173"/>
      <c r="J39" s="173" t="s">
        <v>21</v>
      </c>
      <c r="K39" s="173">
        <v>1300</v>
      </c>
      <c r="L39" s="173"/>
      <c r="M39" s="173"/>
      <c r="N39" s="173"/>
      <c r="O39" s="173"/>
      <c r="P39" s="173" t="s">
        <v>6383</v>
      </c>
      <c r="Q39" s="173"/>
      <c r="R39" s="173"/>
      <c r="S39" s="173"/>
    </row>
    <row r="40" spans="1:19" x14ac:dyDescent="0.25">
      <c r="A40" s="173" t="s">
        <v>12</v>
      </c>
      <c r="B40" s="174">
        <v>44010</v>
      </c>
      <c r="C40" s="197" t="s">
        <v>6359</v>
      </c>
      <c r="D40" s="173" t="s">
        <v>6338</v>
      </c>
      <c r="E40" s="173" t="s">
        <v>4800</v>
      </c>
      <c r="F40" s="173" t="s">
        <v>6360</v>
      </c>
      <c r="G40" s="173" t="s">
        <v>6361</v>
      </c>
      <c r="H40" s="173"/>
      <c r="I40" s="173"/>
      <c r="J40" s="173" t="s">
        <v>21</v>
      </c>
      <c r="K40" s="173">
        <v>200</v>
      </c>
      <c r="L40" s="173" t="s">
        <v>6302</v>
      </c>
      <c r="M40" s="173"/>
      <c r="N40" s="173"/>
      <c r="O40" s="173"/>
      <c r="P40" s="173" t="s">
        <v>6383</v>
      </c>
      <c r="Q40" s="173"/>
      <c r="R40" s="173"/>
      <c r="S40" s="173"/>
    </row>
    <row r="41" spans="1:19" x14ac:dyDescent="0.25">
      <c r="A41" s="173" t="s">
        <v>408</v>
      </c>
      <c r="B41" s="174">
        <v>43983</v>
      </c>
      <c r="C41" s="197">
        <v>20015</v>
      </c>
      <c r="D41" s="173" t="s">
        <v>6362</v>
      </c>
      <c r="E41" s="173" t="s">
        <v>6363</v>
      </c>
      <c r="F41" s="173" t="s">
        <v>6284</v>
      </c>
      <c r="G41" s="173" t="s">
        <v>6285</v>
      </c>
      <c r="H41" s="173"/>
      <c r="I41" s="173"/>
      <c r="J41" s="173" t="s">
        <v>21</v>
      </c>
      <c r="K41" s="173">
        <v>21000</v>
      </c>
      <c r="L41" s="173" t="s">
        <v>6364</v>
      </c>
      <c r="M41" s="173" t="s">
        <v>6532</v>
      </c>
      <c r="N41" s="173"/>
      <c r="O41" s="173"/>
      <c r="P41" s="173" t="s">
        <v>6383</v>
      </c>
      <c r="Q41" s="173"/>
      <c r="R41" s="173" t="s">
        <v>3186</v>
      </c>
      <c r="S41" s="173" t="s">
        <v>6551</v>
      </c>
    </row>
    <row r="42" spans="1:19" x14ac:dyDescent="0.25">
      <c r="A42" s="173" t="s">
        <v>408</v>
      </c>
      <c r="B42" s="174">
        <v>43983</v>
      </c>
      <c r="C42" s="197">
        <v>20016</v>
      </c>
      <c r="D42" s="173" t="s">
        <v>6365</v>
      </c>
      <c r="E42" s="173" t="s">
        <v>6366</v>
      </c>
      <c r="F42" s="173" t="s">
        <v>6148</v>
      </c>
      <c r="G42" s="173" t="s">
        <v>6149</v>
      </c>
      <c r="H42" s="173"/>
      <c r="I42" s="173"/>
      <c r="J42" s="173" t="s">
        <v>21</v>
      </c>
      <c r="K42" s="173">
        <v>18800</v>
      </c>
      <c r="L42" s="173" t="s">
        <v>6367</v>
      </c>
      <c r="M42" s="173" t="s">
        <v>6534</v>
      </c>
      <c r="N42" s="173"/>
      <c r="O42" s="173"/>
      <c r="P42" s="173" t="s">
        <v>6383</v>
      </c>
      <c r="Q42" s="173"/>
      <c r="R42" s="173" t="s">
        <v>3186</v>
      </c>
      <c r="S42" s="173" t="s">
        <v>6551</v>
      </c>
    </row>
    <row r="43" spans="1:19" x14ac:dyDescent="0.25">
      <c r="A43" s="173" t="s">
        <v>408</v>
      </c>
      <c r="B43" s="174">
        <v>43994</v>
      </c>
      <c r="C43" s="197">
        <v>20018</v>
      </c>
      <c r="D43" s="173" t="s">
        <v>2931</v>
      </c>
      <c r="E43" s="173" t="s">
        <v>2352</v>
      </c>
      <c r="F43" s="173" t="s">
        <v>6142</v>
      </c>
      <c r="G43" s="173" t="s">
        <v>6143</v>
      </c>
      <c r="H43" s="173"/>
      <c r="I43" s="173"/>
      <c r="J43" s="173" t="s">
        <v>21</v>
      </c>
      <c r="K43" s="173">
        <v>8000</v>
      </c>
      <c r="L43" s="173" t="s">
        <v>6368</v>
      </c>
      <c r="M43" s="173" t="s">
        <v>6538</v>
      </c>
      <c r="N43" s="173"/>
      <c r="O43" s="173"/>
      <c r="P43" s="173" t="s">
        <v>6383</v>
      </c>
      <c r="Q43" s="173"/>
      <c r="R43" s="173" t="s">
        <v>3186</v>
      </c>
      <c r="S43" s="173" t="s">
        <v>6551</v>
      </c>
    </row>
    <row r="44" spans="1:19" x14ac:dyDescent="0.25">
      <c r="A44" s="173" t="s">
        <v>408</v>
      </c>
      <c r="B44" s="174">
        <v>44002</v>
      </c>
      <c r="C44" s="197">
        <v>20019</v>
      </c>
      <c r="D44" s="173" t="s">
        <v>6369</v>
      </c>
      <c r="E44" s="173" t="s">
        <v>6370</v>
      </c>
      <c r="F44" s="173" t="s">
        <v>6290</v>
      </c>
      <c r="G44" s="173" t="s">
        <v>6291</v>
      </c>
      <c r="H44" s="173"/>
      <c r="I44" s="173"/>
      <c r="J44" s="173" t="s">
        <v>21</v>
      </c>
      <c r="K44" s="173">
        <v>2399</v>
      </c>
      <c r="L44" s="173" t="s">
        <v>6371</v>
      </c>
      <c r="M44" s="173" t="s">
        <v>6515</v>
      </c>
      <c r="N44" s="173"/>
      <c r="O44" s="173"/>
      <c r="P44" s="173" t="s">
        <v>6383</v>
      </c>
      <c r="Q44" s="173"/>
      <c r="R44" s="173" t="s">
        <v>3186</v>
      </c>
      <c r="S44" s="173" t="s">
        <v>6552</v>
      </c>
    </row>
    <row r="45" spans="1:19" x14ac:dyDescent="0.25">
      <c r="A45" s="173" t="s">
        <v>12</v>
      </c>
      <c r="B45" s="174">
        <v>43844</v>
      </c>
      <c r="C45" s="197" t="s">
        <v>951</v>
      </c>
      <c r="D45" s="173" t="s">
        <v>6372</v>
      </c>
      <c r="E45" s="173" t="s">
        <v>6373</v>
      </c>
      <c r="F45" s="173" t="s">
        <v>6374</v>
      </c>
      <c r="G45" s="173" t="s">
        <v>6375</v>
      </c>
      <c r="H45" s="173"/>
      <c r="I45" s="173"/>
      <c r="J45" s="173" t="s">
        <v>21</v>
      </c>
      <c r="K45" s="173">
        <v>500</v>
      </c>
      <c r="L45" s="173" t="s">
        <v>6302</v>
      </c>
      <c r="M45" s="173"/>
      <c r="N45" s="173"/>
      <c r="O45" s="173"/>
      <c r="P45" s="173" t="s">
        <v>6383</v>
      </c>
      <c r="Q45" s="173"/>
      <c r="R45" s="173"/>
      <c r="S45" s="173"/>
    </row>
    <row r="46" spans="1:19" x14ac:dyDescent="0.25">
      <c r="A46" s="173" t="s">
        <v>408</v>
      </c>
      <c r="B46" s="174">
        <v>43992</v>
      </c>
      <c r="C46" s="197">
        <v>20017</v>
      </c>
      <c r="D46" s="173" t="s">
        <v>6376</v>
      </c>
      <c r="E46" s="173" t="s">
        <v>6377</v>
      </c>
      <c r="F46" s="173" t="s">
        <v>6374</v>
      </c>
      <c r="G46" s="173" t="s">
        <v>6375</v>
      </c>
      <c r="H46" s="173"/>
      <c r="I46" s="173"/>
      <c r="J46" s="173" t="s">
        <v>21</v>
      </c>
      <c r="K46" s="173">
        <v>1299</v>
      </c>
      <c r="L46" s="173" t="s">
        <v>6378</v>
      </c>
      <c r="M46" s="173" t="s">
        <v>6541</v>
      </c>
      <c r="N46" s="173"/>
      <c r="O46" s="173"/>
      <c r="P46" s="173" t="s">
        <v>6383</v>
      </c>
      <c r="Q46" s="173"/>
      <c r="R46" s="173" t="s">
        <v>3186</v>
      </c>
      <c r="S46" s="173" t="s">
        <v>6552</v>
      </c>
    </row>
    <row r="47" spans="1:19" x14ac:dyDescent="0.25">
      <c r="A47" s="173" t="s">
        <v>12</v>
      </c>
      <c r="B47" s="174">
        <v>43987</v>
      </c>
      <c r="C47" s="227" t="s">
        <v>951</v>
      </c>
      <c r="D47" s="173" t="s">
        <v>6365</v>
      </c>
      <c r="E47" s="173" t="s">
        <v>6366</v>
      </c>
      <c r="F47" s="173" t="s">
        <v>2657</v>
      </c>
      <c r="G47" s="173" t="s">
        <v>6379</v>
      </c>
      <c r="H47" s="173"/>
      <c r="I47" s="173"/>
      <c r="J47" s="173" t="s">
        <v>21</v>
      </c>
      <c r="K47" s="173">
        <v>1200</v>
      </c>
      <c r="L47" s="173" t="s">
        <v>6302</v>
      </c>
      <c r="M47" s="173"/>
      <c r="N47" s="173"/>
      <c r="O47" s="173"/>
      <c r="P47" s="173" t="s">
        <v>6383</v>
      </c>
      <c r="Q47" s="173"/>
      <c r="R47" s="173"/>
      <c r="S47" s="173"/>
    </row>
    <row r="48" spans="1:19" x14ac:dyDescent="0.25">
      <c r="A48" s="173" t="s">
        <v>408</v>
      </c>
      <c r="B48" s="174">
        <v>44004</v>
      </c>
      <c r="C48" s="197">
        <v>20020</v>
      </c>
      <c r="D48" s="173" t="s">
        <v>6324</v>
      </c>
      <c r="E48" s="173" t="s">
        <v>5750</v>
      </c>
      <c r="F48" s="173" t="s">
        <v>2657</v>
      </c>
      <c r="G48" s="173" t="s">
        <v>6379</v>
      </c>
      <c r="H48" s="173"/>
      <c r="I48" s="173"/>
      <c r="J48" s="173" t="s">
        <v>21</v>
      </c>
      <c r="K48" s="173">
        <v>3000</v>
      </c>
      <c r="L48" s="173" t="s">
        <v>6380</v>
      </c>
      <c r="M48" s="173" t="s">
        <v>6503</v>
      </c>
      <c r="N48" s="173"/>
      <c r="O48" s="173"/>
      <c r="P48" s="173" t="s">
        <v>6383</v>
      </c>
      <c r="Q48" s="173"/>
      <c r="R48" s="173" t="s">
        <v>3186</v>
      </c>
      <c r="S48" s="173" t="s">
        <v>6551</v>
      </c>
    </row>
    <row r="49" spans="1:19" x14ac:dyDescent="0.25">
      <c r="A49" s="173" t="s">
        <v>408</v>
      </c>
      <c r="B49" s="174">
        <v>44004</v>
      </c>
      <c r="C49" s="197">
        <v>20021</v>
      </c>
      <c r="D49" s="173" t="s">
        <v>6381</v>
      </c>
      <c r="E49" s="173" t="s">
        <v>6382</v>
      </c>
      <c r="F49" s="173" t="s">
        <v>6287</v>
      </c>
      <c r="G49" s="173" t="s">
        <v>6288</v>
      </c>
      <c r="H49" s="173"/>
      <c r="I49" s="173"/>
      <c r="J49" s="173" t="s">
        <v>21</v>
      </c>
      <c r="K49" s="173">
        <v>450</v>
      </c>
      <c r="L49" s="173" t="s">
        <v>6371</v>
      </c>
      <c r="M49" s="173" t="s">
        <v>31</v>
      </c>
      <c r="N49" s="173"/>
      <c r="O49" s="173"/>
      <c r="P49" s="173" t="s">
        <v>6383</v>
      </c>
      <c r="Q49" s="173"/>
      <c r="R49" s="173"/>
      <c r="S49" s="173" t="s">
        <v>6552</v>
      </c>
    </row>
    <row r="50" spans="1:19" x14ac:dyDescent="0.25">
      <c r="A50" s="173" t="s">
        <v>12</v>
      </c>
      <c r="B50" s="174">
        <v>44011</v>
      </c>
      <c r="C50" s="197" t="s">
        <v>951</v>
      </c>
      <c r="D50" s="173" t="s">
        <v>6384</v>
      </c>
      <c r="E50" s="173" t="s">
        <v>6385</v>
      </c>
      <c r="F50" s="173" t="s">
        <v>6435</v>
      </c>
      <c r="G50" s="173" t="s">
        <v>6386</v>
      </c>
      <c r="H50" s="173"/>
      <c r="I50" s="173"/>
      <c r="J50" s="173" t="s">
        <v>21</v>
      </c>
      <c r="K50" s="173">
        <v>12000</v>
      </c>
      <c r="L50" s="173" t="s">
        <v>6302</v>
      </c>
      <c r="M50" s="173" t="s">
        <v>6546</v>
      </c>
      <c r="N50" s="173"/>
      <c r="O50" s="173"/>
      <c r="P50" s="173" t="s">
        <v>6383</v>
      </c>
      <c r="Q50" s="173"/>
      <c r="R50" s="173" t="s">
        <v>3186</v>
      </c>
      <c r="S50" s="173"/>
    </row>
    <row r="51" spans="1:19" x14ac:dyDescent="0.25">
      <c r="A51" s="173" t="s">
        <v>12</v>
      </c>
      <c r="B51" s="174">
        <v>44019</v>
      </c>
      <c r="C51" s="197" t="s">
        <v>6387</v>
      </c>
      <c r="D51" s="173" t="s">
        <v>6338</v>
      </c>
      <c r="E51" s="173" t="s">
        <v>4800</v>
      </c>
      <c r="F51" s="173" t="s">
        <v>6388</v>
      </c>
      <c r="G51" s="173" t="s">
        <v>6389</v>
      </c>
      <c r="H51" s="173"/>
      <c r="I51" s="173"/>
      <c r="J51" s="173" t="s">
        <v>21</v>
      </c>
      <c r="K51" s="173">
        <v>4000</v>
      </c>
      <c r="L51" s="173" t="s">
        <v>6302</v>
      </c>
      <c r="M51" s="173"/>
      <c r="N51" s="173"/>
      <c r="O51" s="173"/>
      <c r="P51" s="173" t="s">
        <v>6457</v>
      </c>
      <c r="Q51" s="173"/>
      <c r="R51" s="173"/>
      <c r="S51" s="173"/>
    </row>
    <row r="52" spans="1:19" x14ac:dyDescent="0.25">
      <c r="A52" s="173" t="s">
        <v>12</v>
      </c>
      <c r="B52" s="174">
        <v>44071</v>
      </c>
      <c r="C52" s="197" t="s">
        <v>6390</v>
      </c>
      <c r="D52" s="173" t="s">
        <v>6338</v>
      </c>
      <c r="E52" s="173" t="s">
        <v>4800</v>
      </c>
      <c r="F52" s="173" t="s">
        <v>6391</v>
      </c>
      <c r="G52" s="173" t="s">
        <v>6392</v>
      </c>
      <c r="H52" s="173"/>
      <c r="I52" s="173"/>
      <c r="J52" s="173" t="s">
        <v>21</v>
      </c>
      <c r="K52" s="173">
        <v>150</v>
      </c>
      <c r="L52" s="173"/>
      <c r="M52" s="173"/>
      <c r="N52" s="173"/>
      <c r="O52" s="173"/>
      <c r="P52" s="173" t="s">
        <v>6457</v>
      </c>
      <c r="Q52" s="173"/>
      <c r="R52" s="173"/>
      <c r="S52" s="173"/>
    </row>
    <row r="53" spans="1:19" x14ac:dyDescent="0.25">
      <c r="A53" s="173" t="s">
        <v>12</v>
      </c>
      <c r="B53" s="174">
        <v>44019</v>
      </c>
      <c r="C53" s="197" t="s">
        <v>6393</v>
      </c>
      <c r="D53" s="173" t="s">
        <v>6338</v>
      </c>
      <c r="E53" s="173" t="s">
        <v>4800</v>
      </c>
      <c r="F53" s="173" t="s">
        <v>6394</v>
      </c>
      <c r="G53" s="173" t="s">
        <v>6395</v>
      </c>
      <c r="H53" s="173"/>
      <c r="I53" s="173"/>
      <c r="J53" s="173" t="s">
        <v>21</v>
      </c>
      <c r="K53" s="173">
        <v>1000</v>
      </c>
      <c r="L53" s="173" t="s">
        <v>6302</v>
      </c>
      <c r="M53" s="173"/>
      <c r="N53" s="173"/>
      <c r="O53" s="173"/>
      <c r="P53" s="173" t="s">
        <v>6457</v>
      </c>
      <c r="Q53" s="173"/>
      <c r="R53" s="173"/>
      <c r="S53" s="173"/>
    </row>
    <row r="54" spans="1:19" x14ac:dyDescent="0.25">
      <c r="A54" s="173" t="s">
        <v>12</v>
      </c>
      <c r="B54" s="174">
        <v>44021</v>
      </c>
      <c r="C54" s="197" t="s">
        <v>6396</v>
      </c>
      <c r="D54" s="173" t="s">
        <v>6338</v>
      </c>
      <c r="E54" s="173" t="s">
        <v>4800</v>
      </c>
      <c r="F54" s="173" t="s">
        <v>6397</v>
      </c>
      <c r="G54" s="173" t="s">
        <v>6398</v>
      </c>
      <c r="H54" s="173"/>
      <c r="I54" s="173"/>
      <c r="J54" s="173" t="s">
        <v>21</v>
      </c>
      <c r="K54" s="173">
        <v>2000</v>
      </c>
      <c r="L54" s="173"/>
      <c r="M54" s="173"/>
      <c r="N54" s="173"/>
      <c r="O54" s="173"/>
      <c r="P54" s="173" t="s">
        <v>6457</v>
      </c>
      <c r="Q54" s="173"/>
      <c r="R54" s="173"/>
      <c r="S54" s="173"/>
    </row>
    <row r="55" spans="1:19" x14ac:dyDescent="0.25">
      <c r="A55" s="173" t="s">
        <v>12</v>
      </c>
      <c r="B55" s="174">
        <v>44071</v>
      </c>
      <c r="C55" s="197" t="s">
        <v>6399</v>
      </c>
      <c r="D55" s="173" t="s">
        <v>6338</v>
      </c>
      <c r="E55" s="173" t="s">
        <v>4800</v>
      </c>
      <c r="F55" s="173" t="s">
        <v>6400</v>
      </c>
      <c r="G55" s="173" t="s">
        <v>6401</v>
      </c>
      <c r="H55" s="173"/>
      <c r="I55" s="173"/>
      <c r="J55" s="173" t="s">
        <v>21</v>
      </c>
      <c r="K55" s="173">
        <v>18500</v>
      </c>
      <c r="L55" s="173" t="s">
        <v>6569</v>
      </c>
      <c r="M55" s="173"/>
      <c r="N55" s="173"/>
      <c r="O55" s="173"/>
      <c r="P55" s="173" t="s">
        <v>6457</v>
      </c>
      <c r="Q55" s="173"/>
      <c r="R55" s="173"/>
      <c r="S55" s="173"/>
    </row>
    <row r="56" spans="1:19" x14ac:dyDescent="0.25">
      <c r="A56" s="173" t="s">
        <v>12</v>
      </c>
      <c r="B56" s="174">
        <v>44071</v>
      </c>
      <c r="C56" s="197" t="s">
        <v>6402</v>
      </c>
      <c r="D56" s="173" t="s">
        <v>6338</v>
      </c>
      <c r="E56" s="173" t="s">
        <v>4800</v>
      </c>
      <c r="F56" s="173" t="s">
        <v>6403</v>
      </c>
      <c r="G56" s="173" t="s">
        <v>6404</v>
      </c>
      <c r="H56" s="173"/>
      <c r="I56" s="173"/>
      <c r="J56" s="173" t="s">
        <v>21</v>
      </c>
      <c r="K56" s="173">
        <v>16800</v>
      </c>
      <c r="L56" s="173" t="s">
        <v>6302</v>
      </c>
      <c r="M56" s="173"/>
      <c r="N56" s="173"/>
      <c r="O56" s="173"/>
      <c r="P56" s="173" t="s">
        <v>6457</v>
      </c>
      <c r="Q56" s="173"/>
      <c r="R56" s="173"/>
      <c r="S56" s="173"/>
    </row>
    <row r="57" spans="1:19" x14ac:dyDescent="0.25">
      <c r="A57" s="173" t="s">
        <v>12</v>
      </c>
      <c r="B57" s="174">
        <v>44071</v>
      </c>
      <c r="C57" s="197" t="s">
        <v>6405</v>
      </c>
      <c r="D57" s="173" t="s">
        <v>6338</v>
      </c>
      <c r="E57" s="173" t="s">
        <v>4800</v>
      </c>
      <c r="F57" s="173" t="s">
        <v>6406</v>
      </c>
      <c r="G57" s="173" t="s">
        <v>6407</v>
      </c>
      <c r="H57" s="173"/>
      <c r="I57" s="173"/>
      <c r="J57" s="173" t="s">
        <v>21</v>
      </c>
      <c r="K57" s="173">
        <v>150</v>
      </c>
      <c r="L57" s="173"/>
      <c r="M57" s="173"/>
      <c r="N57" s="173"/>
      <c r="O57" s="173"/>
      <c r="P57" s="173" t="s">
        <v>6457</v>
      </c>
      <c r="Q57" s="173"/>
      <c r="R57" s="173"/>
      <c r="S57" s="173"/>
    </row>
    <row r="58" spans="1:19" x14ac:dyDescent="0.25">
      <c r="A58" s="173" t="s">
        <v>12</v>
      </c>
      <c r="B58" s="174">
        <v>44097</v>
      </c>
      <c r="C58" s="197" t="s">
        <v>6408</v>
      </c>
      <c r="D58" s="173" t="s">
        <v>6338</v>
      </c>
      <c r="E58" s="173" t="s">
        <v>4800</v>
      </c>
      <c r="F58" s="173" t="s">
        <v>6284</v>
      </c>
      <c r="G58" s="173" t="s">
        <v>6409</v>
      </c>
      <c r="H58" s="173"/>
      <c r="I58" s="173"/>
      <c r="J58" s="173" t="s">
        <v>21</v>
      </c>
      <c r="K58" s="173">
        <v>6500</v>
      </c>
      <c r="L58" s="173" t="s">
        <v>6302</v>
      </c>
      <c r="M58" s="173"/>
      <c r="N58" s="173"/>
      <c r="O58" s="173"/>
      <c r="P58" s="173" t="s">
        <v>6457</v>
      </c>
      <c r="Q58" s="173"/>
      <c r="R58" s="173"/>
      <c r="S58" s="173"/>
    </row>
    <row r="59" spans="1:19" x14ac:dyDescent="0.25">
      <c r="A59" s="173" t="s">
        <v>12</v>
      </c>
      <c r="B59" s="174">
        <v>44071</v>
      </c>
      <c r="C59" s="197" t="s">
        <v>6410</v>
      </c>
      <c r="D59" s="173" t="s">
        <v>6338</v>
      </c>
      <c r="E59" s="173" t="s">
        <v>4800</v>
      </c>
      <c r="F59" s="173" t="s">
        <v>6412</v>
      </c>
      <c r="G59" s="173" t="s">
        <v>6411</v>
      </c>
      <c r="H59" s="173"/>
      <c r="I59" s="173"/>
      <c r="J59" s="173" t="s">
        <v>21</v>
      </c>
      <c r="K59" s="173">
        <v>150</v>
      </c>
      <c r="L59" s="173"/>
      <c r="M59" s="173"/>
      <c r="N59" s="173"/>
      <c r="O59" s="173"/>
      <c r="P59" s="173" t="s">
        <v>6457</v>
      </c>
      <c r="Q59" s="173"/>
      <c r="R59" s="173"/>
      <c r="S59" s="173"/>
    </row>
    <row r="60" spans="1:19" x14ac:dyDescent="0.25">
      <c r="A60" s="173" t="s">
        <v>408</v>
      </c>
      <c r="B60" s="174">
        <v>44025</v>
      </c>
      <c r="C60" s="197">
        <v>20022</v>
      </c>
      <c r="D60" s="173" t="s">
        <v>6324</v>
      </c>
      <c r="E60" s="173" t="s">
        <v>5750</v>
      </c>
      <c r="F60" s="173" t="s">
        <v>6413</v>
      </c>
      <c r="G60" s="173" t="s">
        <v>6414</v>
      </c>
      <c r="H60" s="173"/>
      <c r="I60" s="173"/>
      <c r="J60" s="173" t="s">
        <v>21</v>
      </c>
      <c r="K60" s="173">
        <v>4800</v>
      </c>
      <c r="L60" s="176" t="s">
        <v>6415</v>
      </c>
      <c r="M60" s="173" t="s">
        <v>6504</v>
      </c>
      <c r="N60" s="173"/>
      <c r="O60" s="173"/>
      <c r="P60" s="173" t="s">
        <v>6457</v>
      </c>
      <c r="Q60" s="173"/>
      <c r="R60" s="173" t="s">
        <v>3186</v>
      </c>
      <c r="S60" s="173" t="s">
        <v>6551</v>
      </c>
    </row>
    <row r="61" spans="1:19" x14ac:dyDescent="0.25">
      <c r="A61" s="173" t="s">
        <v>408</v>
      </c>
      <c r="B61" s="174">
        <v>44025</v>
      </c>
      <c r="C61" s="197">
        <v>20023</v>
      </c>
      <c r="D61" s="173" t="s">
        <v>6320</v>
      </c>
      <c r="E61" s="173" t="s">
        <v>6416</v>
      </c>
      <c r="F61" s="173" t="s">
        <v>5404</v>
      </c>
      <c r="G61" s="173" t="s">
        <v>6282</v>
      </c>
      <c r="H61" s="173"/>
      <c r="I61" s="173"/>
      <c r="J61" s="173" t="s">
        <v>21</v>
      </c>
      <c r="K61" s="176">
        <v>15000</v>
      </c>
      <c r="L61" s="173" t="s">
        <v>6417</v>
      </c>
      <c r="M61" s="173" t="s">
        <v>6511</v>
      </c>
      <c r="N61" s="173"/>
      <c r="O61" s="173"/>
      <c r="P61" s="173" t="s">
        <v>6457</v>
      </c>
      <c r="Q61" s="173"/>
      <c r="R61" s="173" t="s">
        <v>3186</v>
      </c>
      <c r="S61" s="173" t="s">
        <v>6551</v>
      </c>
    </row>
    <row r="62" spans="1:19" x14ac:dyDescent="0.25">
      <c r="A62" s="173" t="s">
        <v>408</v>
      </c>
      <c r="B62" s="174">
        <v>44032</v>
      </c>
      <c r="C62" s="197">
        <v>20024</v>
      </c>
      <c r="D62" s="173" t="s">
        <v>3143</v>
      </c>
      <c r="E62" s="173" t="s">
        <v>3144</v>
      </c>
      <c r="F62" s="173" t="s">
        <v>6059</v>
      </c>
      <c r="G62" s="173" t="s">
        <v>6060</v>
      </c>
      <c r="H62" s="173"/>
      <c r="I62" s="173"/>
      <c r="J62" s="173" t="s">
        <v>21</v>
      </c>
      <c r="K62" s="176">
        <v>3850</v>
      </c>
      <c r="L62" s="173" t="s">
        <v>6418</v>
      </c>
      <c r="M62" s="173" t="s">
        <v>6502</v>
      </c>
      <c r="N62" s="173"/>
      <c r="O62" s="173"/>
      <c r="P62" s="173" t="s">
        <v>6457</v>
      </c>
      <c r="Q62" s="173"/>
      <c r="R62" s="173" t="s">
        <v>3186</v>
      </c>
      <c r="S62" s="173" t="s">
        <v>6551</v>
      </c>
    </row>
    <row r="63" spans="1:19" x14ac:dyDescent="0.25">
      <c r="A63" s="173" t="s">
        <v>408</v>
      </c>
      <c r="B63" s="174">
        <v>44034</v>
      </c>
      <c r="C63" s="197">
        <v>20025</v>
      </c>
      <c r="D63" s="173" t="s">
        <v>5832</v>
      </c>
      <c r="E63" s="173" t="s">
        <v>5833</v>
      </c>
      <c r="F63" s="173" t="s">
        <v>3194</v>
      </c>
      <c r="G63" s="173" t="s">
        <v>6350</v>
      </c>
      <c r="H63" s="173"/>
      <c r="I63" s="173"/>
      <c r="J63" s="173" t="s">
        <v>21</v>
      </c>
      <c r="K63" s="173">
        <v>2300</v>
      </c>
      <c r="L63" s="173" t="s">
        <v>6419</v>
      </c>
      <c r="M63" s="173" t="s">
        <v>6550</v>
      </c>
      <c r="N63" s="173"/>
      <c r="O63" s="173"/>
      <c r="P63" s="173" t="s">
        <v>6457</v>
      </c>
      <c r="Q63" s="173"/>
      <c r="R63" s="173" t="s">
        <v>3186</v>
      </c>
      <c r="S63" s="173" t="s">
        <v>6553</v>
      </c>
    </row>
    <row r="64" spans="1:19" x14ac:dyDescent="0.25">
      <c r="A64" s="173" t="s">
        <v>408</v>
      </c>
      <c r="B64" s="174">
        <v>44036</v>
      </c>
      <c r="C64" s="197">
        <v>20026</v>
      </c>
      <c r="D64" s="173" t="s">
        <v>6420</v>
      </c>
      <c r="E64" s="173" t="s">
        <v>6421</v>
      </c>
      <c r="F64" s="173" t="s">
        <v>5193</v>
      </c>
      <c r="G64" s="173" t="s">
        <v>6297</v>
      </c>
      <c r="H64" s="173"/>
      <c r="I64" s="173"/>
      <c r="J64" s="173" t="s">
        <v>21</v>
      </c>
      <c r="K64" s="176">
        <v>13500</v>
      </c>
      <c r="L64" s="173" t="s">
        <v>6422</v>
      </c>
      <c r="M64" s="173" t="s">
        <v>6512</v>
      </c>
      <c r="N64" s="173"/>
      <c r="O64" s="173"/>
      <c r="P64" s="173" t="s">
        <v>6457</v>
      </c>
      <c r="Q64" s="173"/>
      <c r="R64" s="173" t="s">
        <v>3186</v>
      </c>
      <c r="S64" s="173" t="s">
        <v>6551</v>
      </c>
    </row>
    <row r="65" spans="1:19" x14ac:dyDescent="0.25">
      <c r="A65" s="173" t="s">
        <v>408</v>
      </c>
      <c r="B65" s="174">
        <v>44036</v>
      </c>
      <c r="C65" s="197">
        <v>20027</v>
      </c>
      <c r="D65" s="173" t="s">
        <v>6423</v>
      </c>
      <c r="E65" s="173" t="s">
        <v>6424</v>
      </c>
      <c r="F65" s="173" t="s">
        <v>908</v>
      </c>
      <c r="G65" s="173" t="s">
        <v>6343</v>
      </c>
      <c r="H65" s="173"/>
      <c r="I65" s="173"/>
      <c r="J65" s="173" t="s">
        <v>21</v>
      </c>
      <c r="K65" s="173">
        <v>12500</v>
      </c>
      <c r="L65" s="173" t="s">
        <v>6419</v>
      </c>
      <c r="M65" s="173" t="s">
        <v>6548</v>
      </c>
      <c r="N65" s="173"/>
      <c r="O65" s="173"/>
      <c r="P65" s="173" t="s">
        <v>6457</v>
      </c>
      <c r="Q65" s="173"/>
      <c r="R65" s="173" t="s">
        <v>3186</v>
      </c>
      <c r="S65" s="173" t="s">
        <v>6551</v>
      </c>
    </row>
    <row r="66" spans="1:19" x14ac:dyDescent="0.25">
      <c r="A66" s="173" t="s">
        <v>408</v>
      </c>
      <c r="B66" s="174">
        <v>44044</v>
      </c>
      <c r="C66" s="197">
        <v>20028</v>
      </c>
      <c r="D66" s="173" t="s">
        <v>6425</v>
      </c>
      <c r="E66" s="173" t="s">
        <v>6426</v>
      </c>
      <c r="F66" s="173" t="s">
        <v>5100</v>
      </c>
      <c r="G66" s="173" t="s">
        <v>6175</v>
      </c>
      <c r="H66" s="173"/>
      <c r="I66" s="173"/>
      <c r="J66" s="173" t="s">
        <v>21</v>
      </c>
      <c r="K66" s="176">
        <v>10000</v>
      </c>
      <c r="L66" s="173" t="s">
        <v>6306</v>
      </c>
      <c r="M66" s="173" t="s">
        <v>6513</v>
      </c>
      <c r="N66" s="173"/>
      <c r="O66" s="173"/>
      <c r="P66" s="173" t="s">
        <v>6457</v>
      </c>
      <c r="Q66" s="173"/>
      <c r="R66" s="173" t="s">
        <v>3186</v>
      </c>
      <c r="S66" s="173" t="s">
        <v>6551</v>
      </c>
    </row>
    <row r="67" spans="1:19" x14ac:dyDescent="0.25">
      <c r="A67" s="173" t="s">
        <v>408</v>
      </c>
      <c r="B67" s="174">
        <v>44043</v>
      </c>
      <c r="C67" s="197">
        <v>20029</v>
      </c>
      <c r="D67" s="173" t="s">
        <v>6427</v>
      </c>
      <c r="E67" s="173" t="s">
        <v>6428</v>
      </c>
      <c r="F67" s="173" t="s">
        <v>6284</v>
      </c>
      <c r="G67" s="173" t="s">
        <v>6345</v>
      </c>
      <c r="H67" s="173"/>
      <c r="I67" s="173"/>
      <c r="J67" s="173" t="s">
        <v>21</v>
      </c>
      <c r="K67" s="173">
        <v>24500</v>
      </c>
      <c r="L67" s="173" t="s">
        <v>6419</v>
      </c>
      <c r="M67" s="173" t="s">
        <v>6522</v>
      </c>
      <c r="N67" s="173"/>
      <c r="O67" s="173"/>
      <c r="P67" s="173" t="s">
        <v>6457</v>
      </c>
      <c r="Q67" s="173"/>
      <c r="R67" s="173" t="s">
        <v>3186</v>
      </c>
      <c r="S67" s="173" t="s">
        <v>6551</v>
      </c>
    </row>
    <row r="68" spans="1:19" x14ac:dyDescent="0.25">
      <c r="A68" s="173" t="s">
        <v>408</v>
      </c>
      <c r="B68" s="174">
        <v>44047</v>
      </c>
      <c r="C68" s="197">
        <v>20030</v>
      </c>
      <c r="D68" s="173" t="s">
        <v>2931</v>
      </c>
      <c r="E68" s="173" t="s">
        <v>2352</v>
      </c>
      <c r="F68" s="173" t="s">
        <v>381</v>
      </c>
      <c r="G68" s="173" t="s">
        <v>6293</v>
      </c>
      <c r="H68" s="173"/>
      <c r="I68" s="173"/>
      <c r="J68" s="173" t="s">
        <v>21</v>
      </c>
      <c r="K68" s="173">
        <v>13750</v>
      </c>
      <c r="L68" s="173" t="s">
        <v>6429</v>
      </c>
      <c r="M68" s="173" t="s">
        <v>6539</v>
      </c>
      <c r="N68" s="173"/>
      <c r="O68" s="173"/>
      <c r="P68" s="173" t="s">
        <v>6457</v>
      </c>
      <c r="Q68" s="173"/>
      <c r="R68" s="173" t="s">
        <v>3186</v>
      </c>
      <c r="S68" s="173" t="s">
        <v>6551</v>
      </c>
    </row>
    <row r="69" spans="1:19" x14ac:dyDescent="0.25">
      <c r="A69" s="173" t="s">
        <v>408</v>
      </c>
      <c r="B69" s="174">
        <v>44054</v>
      </c>
      <c r="C69" s="197">
        <v>20031</v>
      </c>
      <c r="D69" s="173" t="s">
        <v>6430</v>
      </c>
      <c r="E69" s="173" t="s">
        <v>6431</v>
      </c>
      <c r="F69" s="173" t="s">
        <v>6394</v>
      </c>
      <c r="G69" s="173" t="s">
        <v>6395</v>
      </c>
      <c r="H69" s="173"/>
      <c r="I69" s="173"/>
      <c r="J69" s="173" t="s">
        <v>21</v>
      </c>
      <c r="K69" s="173">
        <v>1100</v>
      </c>
      <c r="L69" s="173" t="s">
        <v>6432</v>
      </c>
      <c r="M69" s="173" t="s">
        <v>31</v>
      </c>
      <c r="N69" s="173"/>
      <c r="O69" s="173"/>
      <c r="P69" s="173" t="s">
        <v>6457</v>
      </c>
      <c r="Q69" s="173"/>
      <c r="R69" s="173"/>
      <c r="S69" s="173" t="s">
        <v>6552</v>
      </c>
    </row>
    <row r="70" spans="1:19" x14ac:dyDescent="0.25">
      <c r="A70" s="173" t="s">
        <v>408</v>
      </c>
      <c r="B70" s="174">
        <v>44055</v>
      </c>
      <c r="C70" s="197">
        <v>20032</v>
      </c>
      <c r="D70" s="173" t="s">
        <v>6433</v>
      </c>
      <c r="E70" s="173" t="s">
        <v>6434</v>
      </c>
      <c r="F70" s="173" t="s">
        <v>6435</v>
      </c>
      <c r="G70" s="173" t="s">
        <v>6386</v>
      </c>
      <c r="H70" s="173"/>
      <c r="I70" s="173"/>
      <c r="J70" s="173" t="s">
        <v>21</v>
      </c>
      <c r="K70" s="173">
        <v>16999</v>
      </c>
      <c r="L70" s="173" t="s">
        <v>6436</v>
      </c>
      <c r="M70" s="173" t="s">
        <v>6535</v>
      </c>
      <c r="N70" s="173"/>
      <c r="O70" s="173"/>
      <c r="P70" s="173" t="s">
        <v>6457</v>
      </c>
      <c r="Q70" s="173"/>
      <c r="R70" s="173"/>
      <c r="S70" s="173" t="s">
        <v>6551</v>
      </c>
    </row>
    <row r="71" spans="1:19" x14ac:dyDescent="0.25">
      <c r="A71" s="173" t="s">
        <v>408</v>
      </c>
      <c r="B71" s="174">
        <v>44056</v>
      </c>
      <c r="C71" s="197">
        <v>20033</v>
      </c>
      <c r="D71" s="173" t="s">
        <v>6437</v>
      </c>
      <c r="E71" s="173" t="s">
        <v>6438</v>
      </c>
      <c r="F71" s="173" t="s">
        <v>469</v>
      </c>
      <c r="G71" s="173" t="s">
        <v>6295</v>
      </c>
      <c r="H71" s="173"/>
      <c r="I71" s="173"/>
      <c r="J71" s="173" t="s">
        <v>21</v>
      </c>
      <c r="K71" s="173">
        <v>8300</v>
      </c>
      <c r="L71" s="173" t="s">
        <v>6422</v>
      </c>
      <c r="M71" s="173" t="s">
        <v>6508</v>
      </c>
      <c r="N71" s="173"/>
      <c r="O71" s="173"/>
      <c r="P71" s="173" t="s">
        <v>6457</v>
      </c>
      <c r="Q71" s="173"/>
      <c r="R71" s="173" t="s">
        <v>3186</v>
      </c>
      <c r="S71" s="173" t="s">
        <v>6551</v>
      </c>
    </row>
    <row r="72" spans="1:19" x14ac:dyDescent="0.25">
      <c r="A72" s="173" t="s">
        <v>408</v>
      </c>
      <c r="B72" s="174">
        <v>44077</v>
      </c>
      <c r="C72" s="197">
        <v>20034</v>
      </c>
      <c r="D72" s="173" t="s">
        <v>6439</v>
      </c>
      <c r="E72" s="173" t="s">
        <v>6440</v>
      </c>
      <c r="F72" s="173" t="s">
        <v>6339</v>
      </c>
      <c r="G72" s="173" t="s">
        <v>6341</v>
      </c>
      <c r="H72" s="173"/>
      <c r="I72" s="173"/>
      <c r="J72" s="173" t="s">
        <v>21</v>
      </c>
      <c r="K72" s="173">
        <v>2250</v>
      </c>
      <c r="L72" s="173" t="s">
        <v>6441</v>
      </c>
      <c r="M72" s="173" t="s">
        <v>6523</v>
      </c>
      <c r="N72" s="173"/>
      <c r="O72" s="173"/>
      <c r="P72" s="173" t="s">
        <v>6457</v>
      </c>
      <c r="Q72" s="173"/>
      <c r="R72" s="173" t="s">
        <v>3186</v>
      </c>
      <c r="S72" s="173" t="s">
        <v>6552</v>
      </c>
    </row>
    <row r="73" spans="1:19" x14ac:dyDescent="0.25">
      <c r="A73" s="173" t="s">
        <v>408</v>
      </c>
      <c r="B73" s="174">
        <v>44079</v>
      </c>
      <c r="C73" s="197">
        <v>20035</v>
      </c>
      <c r="D73" s="173" t="s">
        <v>6442</v>
      </c>
      <c r="E73" s="173" t="s">
        <v>6443</v>
      </c>
      <c r="F73" s="173" t="s">
        <v>368</v>
      </c>
      <c r="G73" s="173" t="s">
        <v>6280</v>
      </c>
      <c r="H73" s="173"/>
      <c r="I73" s="173"/>
      <c r="J73" s="173" t="s">
        <v>21</v>
      </c>
      <c r="K73" s="173">
        <v>5995</v>
      </c>
      <c r="L73" s="173" t="s">
        <v>6444</v>
      </c>
      <c r="M73" s="173" t="s">
        <v>6544</v>
      </c>
      <c r="N73" s="173"/>
      <c r="O73" s="173"/>
      <c r="P73" s="173" t="s">
        <v>6457</v>
      </c>
      <c r="Q73" s="173"/>
      <c r="R73" s="173" t="s">
        <v>3186</v>
      </c>
      <c r="S73" s="173" t="s">
        <v>6551</v>
      </c>
    </row>
    <row r="74" spans="1:19" x14ac:dyDescent="0.25">
      <c r="A74" s="173" t="s">
        <v>408</v>
      </c>
      <c r="B74" s="174">
        <v>44088</v>
      </c>
      <c r="C74" s="197">
        <v>20036</v>
      </c>
      <c r="D74" s="173" t="s">
        <v>6445</v>
      </c>
      <c r="E74" s="173" t="s">
        <v>6446</v>
      </c>
      <c r="F74" s="173" t="s">
        <v>6178</v>
      </c>
      <c r="G74" s="173" t="s">
        <v>6179</v>
      </c>
      <c r="H74" s="173"/>
      <c r="I74" s="173"/>
      <c r="J74" s="173" t="s">
        <v>21</v>
      </c>
      <c r="K74" s="173">
        <v>8900</v>
      </c>
      <c r="L74" s="173" t="s">
        <v>6447</v>
      </c>
      <c r="M74" s="173" t="s">
        <v>6531</v>
      </c>
      <c r="N74" s="173"/>
      <c r="O74" s="173"/>
      <c r="P74" s="173" t="s">
        <v>6457</v>
      </c>
      <c r="Q74" s="173"/>
      <c r="R74" s="173" t="s">
        <v>3186</v>
      </c>
      <c r="S74" s="173" t="s">
        <v>6551</v>
      </c>
    </row>
    <row r="75" spans="1:19" x14ac:dyDescent="0.25">
      <c r="A75" s="173" t="s">
        <v>408</v>
      </c>
      <c r="B75" s="174">
        <v>44097</v>
      </c>
      <c r="C75" s="197">
        <v>20038</v>
      </c>
      <c r="D75" s="173" t="s">
        <v>6448</v>
      </c>
      <c r="E75" s="173" t="s">
        <v>6449</v>
      </c>
      <c r="F75" s="173" t="s">
        <v>6299</v>
      </c>
      <c r="G75" s="173" t="s">
        <v>6300</v>
      </c>
      <c r="H75" s="173"/>
      <c r="I75" s="173"/>
      <c r="J75" s="173" t="s">
        <v>21</v>
      </c>
      <c r="K75" s="173">
        <v>4149</v>
      </c>
      <c r="L75" s="173" t="s">
        <v>6371</v>
      </c>
      <c r="M75" s="173" t="s">
        <v>6530</v>
      </c>
      <c r="N75" s="173"/>
      <c r="O75" s="173"/>
      <c r="P75" s="173" t="s">
        <v>6457</v>
      </c>
      <c r="Q75" s="173"/>
      <c r="R75" s="173" t="s">
        <v>3186</v>
      </c>
      <c r="S75" s="173" t="s">
        <v>6551</v>
      </c>
    </row>
    <row r="76" spans="1:19" x14ac:dyDescent="0.25">
      <c r="A76" s="173" t="s">
        <v>12</v>
      </c>
      <c r="B76" s="174">
        <v>44055</v>
      </c>
      <c r="C76" s="197" t="s">
        <v>951</v>
      </c>
      <c r="D76" s="173" t="s">
        <v>6450</v>
      </c>
      <c r="E76" s="173" t="s">
        <v>6451</v>
      </c>
      <c r="F76" s="173" t="s">
        <v>6452</v>
      </c>
      <c r="G76" s="173" t="s">
        <v>6453</v>
      </c>
      <c r="H76" s="173"/>
      <c r="I76" s="173"/>
      <c r="J76" s="173" t="s">
        <v>21</v>
      </c>
      <c r="K76" s="173">
        <v>6000</v>
      </c>
      <c r="L76" s="173" t="s">
        <v>6302</v>
      </c>
      <c r="M76" s="173"/>
      <c r="N76" s="173"/>
      <c r="O76" s="173"/>
      <c r="P76" s="173" t="s">
        <v>6457</v>
      </c>
      <c r="Q76" s="173"/>
      <c r="R76" s="173"/>
      <c r="S76" s="173" t="s">
        <v>6551</v>
      </c>
    </row>
    <row r="77" spans="1:19" x14ac:dyDescent="0.25">
      <c r="A77" s="173" t="s">
        <v>408</v>
      </c>
      <c r="B77" s="174">
        <v>44092</v>
      </c>
      <c r="C77" s="197">
        <v>20037</v>
      </c>
      <c r="D77" s="173" t="s">
        <v>6454</v>
      </c>
      <c r="E77" s="173" t="s">
        <v>6455</v>
      </c>
      <c r="F77" s="173" t="s">
        <v>6452</v>
      </c>
      <c r="G77" s="173" t="s">
        <v>6453</v>
      </c>
      <c r="H77" s="173"/>
      <c r="I77" s="173"/>
      <c r="J77" s="173" t="s">
        <v>21</v>
      </c>
      <c r="K77" s="173">
        <v>6500</v>
      </c>
      <c r="L77" s="173" t="s">
        <v>6456</v>
      </c>
      <c r="M77" s="173" t="s">
        <v>6536</v>
      </c>
      <c r="N77" s="173"/>
      <c r="O77" s="173"/>
      <c r="P77" s="173" t="s">
        <v>6457</v>
      </c>
      <c r="Q77" s="173"/>
      <c r="R77" s="173"/>
      <c r="S77" s="173" t="s">
        <v>6551</v>
      </c>
    </row>
    <row r="78" spans="1:19" x14ac:dyDescent="0.25">
      <c r="A78" s="173" t="s">
        <v>12</v>
      </c>
      <c r="B78" s="174">
        <v>44102</v>
      </c>
      <c r="C78" s="197" t="s">
        <v>951</v>
      </c>
      <c r="D78" s="173" t="s">
        <v>6458</v>
      </c>
      <c r="E78" s="173" t="s">
        <v>6459</v>
      </c>
      <c r="F78" s="173" t="s">
        <v>5965</v>
      </c>
      <c r="G78" s="173" t="s">
        <v>6460</v>
      </c>
      <c r="H78" s="173"/>
      <c r="I78" s="173"/>
      <c r="J78" s="173" t="s">
        <v>21</v>
      </c>
      <c r="K78" s="173">
        <v>8200</v>
      </c>
      <c r="L78" s="173" t="s">
        <v>6569</v>
      </c>
      <c r="M78" s="173" t="s">
        <v>6524</v>
      </c>
      <c r="N78" s="173"/>
      <c r="O78" s="173"/>
      <c r="P78" s="173" t="s">
        <v>6495</v>
      </c>
      <c r="Q78" s="174">
        <v>44207</v>
      </c>
      <c r="R78" s="173" t="s">
        <v>3186</v>
      </c>
      <c r="S78" s="173"/>
    </row>
    <row r="79" spans="1:19" x14ac:dyDescent="0.25">
      <c r="A79" s="173" t="s">
        <v>408</v>
      </c>
      <c r="B79" s="174">
        <v>44109</v>
      </c>
      <c r="C79" s="197">
        <v>20039</v>
      </c>
      <c r="D79" s="173" t="s">
        <v>6320</v>
      </c>
      <c r="E79" s="173" t="s">
        <v>6461</v>
      </c>
      <c r="F79" s="173" t="s">
        <v>6135</v>
      </c>
      <c r="G79" s="173" t="s">
        <v>6136</v>
      </c>
      <c r="H79" s="176">
        <v>1000</v>
      </c>
      <c r="I79" s="176">
        <f>H79*0.21</f>
        <v>210</v>
      </c>
      <c r="J79" s="176"/>
      <c r="K79" s="176">
        <f>+H79+I79</f>
        <v>1210</v>
      </c>
      <c r="L79" s="173" t="s">
        <v>6462</v>
      </c>
      <c r="M79" s="173" t="s">
        <v>31</v>
      </c>
      <c r="N79" s="173"/>
      <c r="O79" s="173"/>
      <c r="P79" s="173" t="s">
        <v>6495</v>
      </c>
      <c r="Q79" s="174">
        <v>44207</v>
      </c>
      <c r="R79" s="173"/>
      <c r="S79" s="173" t="s">
        <v>6551</v>
      </c>
    </row>
    <row r="80" spans="1:19" x14ac:dyDescent="0.25">
      <c r="A80" s="173" t="s">
        <v>408</v>
      </c>
      <c r="B80" s="174">
        <v>44133</v>
      </c>
      <c r="C80" s="197">
        <v>20041</v>
      </c>
      <c r="D80" s="173" t="s">
        <v>6463</v>
      </c>
      <c r="E80" s="173" t="s">
        <v>6464</v>
      </c>
      <c r="F80" s="173" t="s">
        <v>6352</v>
      </c>
      <c r="G80" s="173" t="s">
        <v>6353</v>
      </c>
      <c r="H80" s="173"/>
      <c r="I80" s="173"/>
      <c r="J80" s="173" t="s">
        <v>21</v>
      </c>
      <c r="K80" s="173">
        <v>2699</v>
      </c>
      <c r="L80" s="173" t="s">
        <v>6465</v>
      </c>
      <c r="M80" s="173" t="s">
        <v>6533</v>
      </c>
      <c r="N80" s="173"/>
      <c r="O80" s="173"/>
      <c r="P80" s="173" t="s">
        <v>6495</v>
      </c>
      <c r="Q80" s="174">
        <v>44207</v>
      </c>
      <c r="R80" s="173" t="s">
        <v>3186</v>
      </c>
      <c r="S80" s="173" t="s">
        <v>6552</v>
      </c>
    </row>
    <row r="81" spans="1:19" x14ac:dyDescent="0.25">
      <c r="A81" s="173" t="s">
        <v>408</v>
      </c>
      <c r="B81" s="174">
        <v>44133</v>
      </c>
      <c r="C81" s="197">
        <v>20042</v>
      </c>
      <c r="D81" s="173" t="s">
        <v>6466</v>
      </c>
      <c r="E81" s="173" t="s">
        <v>6467</v>
      </c>
      <c r="F81" s="173" t="s">
        <v>6403</v>
      </c>
      <c r="G81" s="173" t="s">
        <v>6404</v>
      </c>
      <c r="H81" s="173"/>
      <c r="I81" s="173"/>
      <c r="J81" s="173" t="s">
        <v>21</v>
      </c>
      <c r="K81" s="173">
        <v>21995</v>
      </c>
      <c r="L81" s="173" t="s">
        <v>6468</v>
      </c>
      <c r="M81" s="173" t="s">
        <v>6509</v>
      </c>
      <c r="N81" s="173"/>
      <c r="O81" s="173"/>
      <c r="P81" s="173" t="s">
        <v>6495</v>
      </c>
      <c r="Q81" s="174">
        <v>44207</v>
      </c>
      <c r="R81" s="173" t="s">
        <v>3186</v>
      </c>
      <c r="S81" s="173" t="s">
        <v>6551</v>
      </c>
    </row>
    <row r="82" spans="1:19" x14ac:dyDescent="0.25">
      <c r="A82" s="173" t="s">
        <v>408</v>
      </c>
      <c r="B82" s="174">
        <v>44165</v>
      </c>
      <c r="C82" s="197">
        <v>20043</v>
      </c>
      <c r="D82" s="173" t="s">
        <v>6320</v>
      </c>
      <c r="E82" s="173" t="s">
        <v>6416</v>
      </c>
      <c r="F82" s="173" t="s">
        <v>6388</v>
      </c>
      <c r="G82" s="173" t="s">
        <v>6389</v>
      </c>
      <c r="H82" s="173"/>
      <c r="I82" s="173"/>
      <c r="J82" s="173" t="s">
        <v>21</v>
      </c>
      <c r="K82" s="173">
        <v>4200</v>
      </c>
      <c r="L82" s="173" t="s">
        <v>6432</v>
      </c>
      <c r="M82" s="173" t="s">
        <v>6519</v>
      </c>
      <c r="N82" s="173"/>
      <c r="O82" s="173"/>
      <c r="P82" s="173" t="s">
        <v>6495</v>
      </c>
      <c r="Q82" s="174">
        <v>44207</v>
      </c>
      <c r="R82" s="173" t="s">
        <v>3186</v>
      </c>
      <c r="S82" s="173" t="s">
        <v>6551</v>
      </c>
    </row>
    <row r="83" spans="1:19" x14ac:dyDescent="0.25">
      <c r="A83" s="173" t="s">
        <v>408</v>
      </c>
      <c r="B83" s="174">
        <v>44131</v>
      </c>
      <c r="C83" s="197">
        <v>20040</v>
      </c>
      <c r="D83" s="173" t="s">
        <v>6469</v>
      </c>
      <c r="E83" s="173" t="s">
        <v>6382</v>
      </c>
      <c r="F83" s="173" t="s">
        <v>6360</v>
      </c>
      <c r="G83" s="173" t="s">
        <v>6361</v>
      </c>
      <c r="H83" s="173"/>
      <c r="I83" s="173"/>
      <c r="J83" s="173" t="s">
        <v>21</v>
      </c>
      <c r="K83" s="173">
        <v>300</v>
      </c>
      <c r="L83" s="173" t="s">
        <v>6470</v>
      </c>
      <c r="M83" s="173" t="s">
        <v>31</v>
      </c>
      <c r="N83" s="173"/>
      <c r="O83" s="173"/>
      <c r="P83" s="173" t="s">
        <v>6495</v>
      </c>
      <c r="Q83" s="174">
        <v>44207</v>
      </c>
      <c r="R83" s="173"/>
      <c r="S83" s="173" t="s">
        <v>6552</v>
      </c>
    </row>
    <row r="84" spans="1:19" x14ac:dyDescent="0.25">
      <c r="A84" s="173" t="s">
        <v>12</v>
      </c>
      <c r="B84" s="174">
        <v>44161</v>
      </c>
      <c r="C84" s="197" t="s">
        <v>6471</v>
      </c>
      <c r="D84" s="173" t="s">
        <v>6338</v>
      </c>
      <c r="E84" s="173" t="s">
        <v>4800</v>
      </c>
      <c r="F84" s="173" t="s">
        <v>5249</v>
      </c>
      <c r="G84" s="173" t="s">
        <v>6472</v>
      </c>
      <c r="H84" s="173"/>
      <c r="I84" s="173"/>
      <c r="J84" s="173" t="s">
        <v>21</v>
      </c>
      <c r="K84" s="173">
        <v>1000</v>
      </c>
      <c r="L84" s="173" t="s">
        <v>6569</v>
      </c>
      <c r="M84" s="173"/>
      <c r="N84" s="173"/>
      <c r="O84" s="173"/>
      <c r="P84" s="173" t="s">
        <v>6495</v>
      </c>
      <c r="Q84" s="174">
        <v>44207</v>
      </c>
      <c r="R84" s="173"/>
      <c r="S84" s="173"/>
    </row>
    <row r="85" spans="1:19" x14ac:dyDescent="0.25">
      <c r="A85" s="173" t="s">
        <v>12</v>
      </c>
      <c r="B85" s="174">
        <v>44158</v>
      </c>
      <c r="C85" s="197" t="s">
        <v>6473</v>
      </c>
      <c r="D85" s="173" t="s">
        <v>6476</v>
      </c>
      <c r="E85" s="173" t="s">
        <v>6477</v>
      </c>
      <c r="F85" s="173" t="s">
        <v>6474</v>
      </c>
      <c r="G85" s="173" t="s">
        <v>6475</v>
      </c>
      <c r="H85" s="173"/>
      <c r="I85" s="173"/>
      <c r="J85" s="173" t="s">
        <v>21</v>
      </c>
      <c r="K85" s="173">
        <v>19500</v>
      </c>
      <c r="L85" s="173" t="s">
        <v>6569</v>
      </c>
      <c r="M85" s="173"/>
      <c r="N85" s="173"/>
      <c r="O85" s="173"/>
      <c r="P85" s="173" t="s">
        <v>6495</v>
      </c>
      <c r="Q85" s="174">
        <v>44207</v>
      </c>
      <c r="R85" s="173"/>
      <c r="S85" s="173"/>
    </row>
    <row r="86" spans="1:19" x14ac:dyDescent="0.25">
      <c r="A86" s="173" t="s">
        <v>12</v>
      </c>
      <c r="B86" s="174">
        <v>44153</v>
      </c>
      <c r="C86" s="197" t="s">
        <v>6479</v>
      </c>
      <c r="D86" s="173" t="s">
        <v>6338</v>
      </c>
      <c r="E86" s="173" t="s">
        <v>4800</v>
      </c>
      <c r="F86" s="173" t="s">
        <v>6480</v>
      </c>
      <c r="G86" s="173" t="s">
        <v>6478</v>
      </c>
      <c r="H86" s="173"/>
      <c r="I86" s="173"/>
      <c r="J86" s="173" t="s">
        <v>21</v>
      </c>
      <c r="K86" s="173">
        <v>1500</v>
      </c>
      <c r="L86" s="173"/>
      <c r="M86" s="173"/>
      <c r="N86" s="173"/>
      <c r="O86" s="173"/>
      <c r="P86" s="173" t="s">
        <v>6495</v>
      </c>
      <c r="Q86" s="174">
        <v>44207</v>
      </c>
      <c r="R86" s="173"/>
      <c r="S86" s="173"/>
    </row>
    <row r="87" spans="1:19" x14ac:dyDescent="0.25">
      <c r="A87" s="173" t="s">
        <v>12</v>
      </c>
      <c r="B87" s="174">
        <v>44112</v>
      </c>
      <c r="C87" s="197" t="s">
        <v>6481</v>
      </c>
      <c r="D87" s="173" t="s">
        <v>6338</v>
      </c>
      <c r="E87" s="173" t="s">
        <v>4800</v>
      </c>
      <c r="F87" s="173" t="s">
        <v>5249</v>
      </c>
      <c r="G87" s="173" t="s">
        <v>6482</v>
      </c>
      <c r="H87" s="173"/>
      <c r="I87" s="173"/>
      <c r="J87" s="173" t="s">
        <v>21</v>
      </c>
      <c r="K87" s="173">
        <v>10000</v>
      </c>
      <c r="L87" s="173" t="s">
        <v>6569</v>
      </c>
      <c r="M87" s="173"/>
      <c r="N87" s="173"/>
      <c r="O87" s="173"/>
      <c r="P87" s="173" t="s">
        <v>6495</v>
      </c>
      <c r="Q87" s="174">
        <v>44207</v>
      </c>
      <c r="R87" s="173"/>
      <c r="S87" s="173"/>
    </row>
    <row r="88" spans="1:19" x14ac:dyDescent="0.25">
      <c r="A88" s="173" t="s">
        <v>12</v>
      </c>
      <c r="B88" s="174">
        <v>44106</v>
      </c>
      <c r="C88" s="197" t="s">
        <v>6484</v>
      </c>
      <c r="D88" s="173" t="s">
        <v>6338</v>
      </c>
      <c r="E88" s="173" t="s">
        <v>4800</v>
      </c>
      <c r="F88" s="173" t="s">
        <v>2718</v>
      </c>
      <c r="G88" s="173" t="s">
        <v>6483</v>
      </c>
      <c r="H88" s="173"/>
      <c r="I88" s="173"/>
      <c r="J88" s="173" t="s">
        <v>21</v>
      </c>
      <c r="K88" s="173">
        <v>18000</v>
      </c>
      <c r="L88" s="173" t="s">
        <v>6569</v>
      </c>
      <c r="M88" s="173"/>
      <c r="N88" s="173"/>
      <c r="O88" s="173"/>
      <c r="P88" s="173" t="s">
        <v>6495</v>
      </c>
      <c r="Q88" s="174">
        <v>44207</v>
      </c>
      <c r="R88" s="173"/>
      <c r="S88" s="173"/>
    </row>
    <row r="89" spans="1:19" x14ac:dyDescent="0.25">
      <c r="A89" s="173" t="s">
        <v>12</v>
      </c>
      <c r="B89" s="174">
        <v>44105</v>
      </c>
      <c r="C89" s="197" t="s">
        <v>6485</v>
      </c>
      <c r="D89" s="173" t="s">
        <v>6338</v>
      </c>
      <c r="E89" s="173" t="s">
        <v>4800</v>
      </c>
      <c r="F89" s="173" t="s">
        <v>6486</v>
      </c>
      <c r="G89" s="173" t="s">
        <v>6487</v>
      </c>
      <c r="H89" s="173"/>
      <c r="I89" s="173"/>
      <c r="J89" s="173" t="s">
        <v>21</v>
      </c>
      <c r="K89" s="173">
        <v>1200</v>
      </c>
      <c r="L89" s="173" t="s">
        <v>6569</v>
      </c>
      <c r="M89" s="173"/>
      <c r="N89" s="173"/>
      <c r="O89" s="173"/>
      <c r="P89" s="173" t="s">
        <v>6495</v>
      </c>
      <c r="Q89" s="174">
        <v>44207</v>
      </c>
      <c r="R89" s="173"/>
      <c r="S89" s="173"/>
    </row>
    <row r="90" spans="1:19" x14ac:dyDescent="0.25">
      <c r="A90" s="173" t="s">
        <v>12</v>
      </c>
      <c r="B90" s="174">
        <v>44105</v>
      </c>
      <c r="C90" s="197" t="s">
        <v>6488</v>
      </c>
      <c r="D90" s="173" t="s">
        <v>6338</v>
      </c>
      <c r="E90" s="173" t="s">
        <v>4800</v>
      </c>
      <c r="F90" s="173" t="s">
        <v>3807</v>
      </c>
      <c r="G90" s="173" t="s">
        <v>6489</v>
      </c>
      <c r="H90" s="173"/>
      <c r="I90" s="173"/>
      <c r="J90" s="173" t="s">
        <v>21</v>
      </c>
      <c r="K90" s="173">
        <v>1200</v>
      </c>
      <c r="L90" s="173" t="s">
        <v>6569</v>
      </c>
      <c r="M90" s="173"/>
      <c r="N90" s="173"/>
      <c r="O90" s="173"/>
      <c r="P90" s="173" t="s">
        <v>6495</v>
      </c>
      <c r="Q90" s="174">
        <v>44207</v>
      </c>
      <c r="R90" s="173"/>
      <c r="S90" s="173"/>
    </row>
    <row r="91" spans="1:19" x14ac:dyDescent="0.25">
      <c r="A91" s="173" t="s">
        <v>12</v>
      </c>
      <c r="B91" s="174">
        <v>44180</v>
      </c>
      <c r="C91" s="197" t="s">
        <v>6490</v>
      </c>
      <c r="D91" s="173" t="s">
        <v>6338</v>
      </c>
      <c r="E91" s="173" t="s">
        <v>4800</v>
      </c>
      <c r="F91" s="173" t="s">
        <v>3344</v>
      </c>
      <c r="G91" s="173" t="s">
        <v>6491</v>
      </c>
      <c r="H91" s="173"/>
      <c r="I91" s="173"/>
      <c r="J91" s="173" t="s">
        <v>21</v>
      </c>
      <c r="K91" s="173">
        <v>1500</v>
      </c>
      <c r="L91" s="173" t="s">
        <v>6569</v>
      </c>
      <c r="M91" s="173"/>
      <c r="N91" s="173"/>
      <c r="O91" s="173"/>
      <c r="P91" s="173" t="s">
        <v>6495</v>
      </c>
      <c r="Q91" s="174">
        <v>44207</v>
      </c>
      <c r="R91" s="173"/>
      <c r="S91" s="173"/>
    </row>
    <row r="92" spans="1:19" x14ac:dyDescent="0.25">
      <c r="A92" s="173" t="s">
        <v>12</v>
      </c>
      <c r="B92" s="174">
        <v>44188</v>
      </c>
      <c r="C92" s="197" t="s">
        <v>951</v>
      </c>
      <c r="D92" s="173" t="s">
        <v>6492</v>
      </c>
      <c r="E92" s="173" t="s">
        <v>6493</v>
      </c>
      <c r="F92" s="173" t="s">
        <v>6284</v>
      </c>
      <c r="G92" s="173" t="s">
        <v>6494</v>
      </c>
      <c r="H92" s="173"/>
      <c r="I92" s="173"/>
      <c r="J92" s="173" t="s">
        <v>21</v>
      </c>
      <c r="K92" s="173">
        <v>2000</v>
      </c>
      <c r="L92" s="173" t="s">
        <v>6569</v>
      </c>
      <c r="M92" s="173"/>
      <c r="N92" s="173"/>
      <c r="O92" s="173"/>
      <c r="P92" s="173" t="s">
        <v>6495</v>
      </c>
      <c r="Q92" s="174">
        <v>44207</v>
      </c>
      <c r="R92" s="173"/>
      <c r="S92" s="173"/>
    </row>
    <row r="93" spans="1:19" x14ac:dyDescent="0.25">
      <c r="A93" s="173" t="s">
        <v>12</v>
      </c>
      <c r="B93" s="174">
        <v>44180</v>
      </c>
      <c r="C93" s="197" t="s">
        <v>6565</v>
      </c>
      <c r="D93" s="173" t="s">
        <v>6497</v>
      </c>
      <c r="E93" s="173" t="s">
        <v>6498</v>
      </c>
      <c r="F93" s="173" t="s">
        <v>6499</v>
      </c>
      <c r="G93" s="173" t="s">
        <v>6500</v>
      </c>
      <c r="H93" s="173"/>
      <c r="I93" s="173"/>
      <c r="J93" s="173" t="s">
        <v>21</v>
      </c>
      <c r="K93" s="173">
        <v>3500</v>
      </c>
      <c r="L93" s="173" t="s">
        <v>6569</v>
      </c>
      <c r="M93" s="173"/>
      <c r="N93" s="173"/>
      <c r="O93" s="173"/>
      <c r="P93" s="173" t="s">
        <v>6495</v>
      </c>
      <c r="Q93" s="174">
        <v>44207</v>
      </c>
      <c r="R93" s="173"/>
      <c r="S93" s="173"/>
    </row>
    <row r="94" spans="1:19" x14ac:dyDescent="0.25">
      <c r="A94" s="173" t="s">
        <v>408</v>
      </c>
      <c r="B94" s="174">
        <v>44151</v>
      </c>
      <c r="C94" s="197">
        <v>20044</v>
      </c>
      <c r="D94" s="173" t="s">
        <v>5763</v>
      </c>
      <c r="E94" s="173" t="s">
        <v>5764</v>
      </c>
      <c r="F94" s="173" t="s">
        <v>6284</v>
      </c>
      <c r="G94" s="173" t="s">
        <v>6409</v>
      </c>
      <c r="H94" s="173"/>
      <c r="I94" s="173"/>
      <c r="J94" s="173" t="s">
        <v>21</v>
      </c>
      <c r="K94" s="173">
        <v>9000</v>
      </c>
      <c r="L94" s="173" t="s">
        <v>6501</v>
      </c>
      <c r="M94" s="173" t="s">
        <v>6542</v>
      </c>
      <c r="N94" s="173"/>
      <c r="O94" s="173"/>
      <c r="P94" s="173" t="s">
        <v>6495</v>
      </c>
      <c r="Q94" s="174">
        <v>44207</v>
      </c>
      <c r="R94" s="173" t="s">
        <v>3186</v>
      </c>
      <c r="S94" s="173" t="s">
        <v>6551</v>
      </c>
    </row>
    <row r="95" spans="1:19" x14ac:dyDescent="0.25">
      <c r="A95" s="173" t="s">
        <v>12</v>
      </c>
      <c r="B95" s="174">
        <v>44167</v>
      </c>
      <c r="C95" s="197" t="s">
        <v>951</v>
      </c>
      <c r="D95" s="173" t="s">
        <v>6525</v>
      </c>
      <c r="E95" s="173" t="s">
        <v>6526</v>
      </c>
      <c r="F95" s="173" t="s">
        <v>4255</v>
      </c>
      <c r="G95" s="173" t="s">
        <v>6527</v>
      </c>
      <c r="H95" s="173"/>
      <c r="I95" s="173"/>
      <c r="J95" s="173" t="s">
        <v>21</v>
      </c>
      <c r="K95" s="173">
        <v>4100</v>
      </c>
      <c r="L95" s="173" t="s">
        <v>6569</v>
      </c>
      <c r="M95" s="173" t="s">
        <v>6528</v>
      </c>
      <c r="N95" s="173"/>
      <c r="O95" s="173"/>
      <c r="P95" s="173" t="s">
        <v>6495</v>
      </c>
      <c r="Q95" s="174">
        <v>44207</v>
      </c>
      <c r="R95" s="173" t="s">
        <v>3186</v>
      </c>
      <c r="S95" s="173"/>
    </row>
    <row r="96" spans="1:19" x14ac:dyDescent="0.25">
      <c r="A96" s="173" t="s">
        <v>12</v>
      </c>
      <c r="B96" s="174">
        <v>44263</v>
      </c>
      <c r="C96" s="197" t="s">
        <v>6554</v>
      </c>
      <c r="D96" s="173" t="s">
        <v>6338</v>
      </c>
      <c r="E96" s="173" t="s">
        <v>4800</v>
      </c>
      <c r="F96" s="173" t="s">
        <v>6156</v>
      </c>
      <c r="G96" s="173" t="s">
        <v>6555</v>
      </c>
      <c r="H96" s="173"/>
      <c r="I96" s="173"/>
      <c r="J96" s="173" t="s">
        <v>21</v>
      </c>
      <c r="K96" s="173">
        <v>6000</v>
      </c>
      <c r="L96" s="173" t="s">
        <v>6569</v>
      </c>
      <c r="M96" s="173" t="s">
        <v>6609</v>
      </c>
      <c r="N96" s="173"/>
      <c r="O96" s="173"/>
      <c r="P96" s="173" t="s">
        <v>6588</v>
      </c>
      <c r="Q96" s="174">
        <v>44279</v>
      </c>
      <c r="R96" s="173"/>
      <c r="S96" s="173"/>
    </row>
    <row r="97" spans="1:19" x14ac:dyDescent="0.25">
      <c r="A97" s="173" t="s">
        <v>12</v>
      </c>
      <c r="B97" s="174">
        <v>44251</v>
      </c>
      <c r="C97" s="197" t="s">
        <v>6556</v>
      </c>
      <c r="D97" s="173" t="s">
        <v>6338</v>
      </c>
      <c r="E97" s="173" t="s">
        <v>4800</v>
      </c>
      <c r="F97" s="173" t="s">
        <v>6558</v>
      </c>
      <c r="G97" s="173" t="s">
        <v>6557</v>
      </c>
      <c r="H97" s="173"/>
      <c r="I97" s="173"/>
      <c r="J97" s="173" t="s">
        <v>21</v>
      </c>
      <c r="K97" s="173">
        <v>12500</v>
      </c>
      <c r="L97" s="173" t="s">
        <v>6569</v>
      </c>
      <c r="M97" s="173" t="s">
        <v>6608</v>
      </c>
      <c r="N97" s="173"/>
      <c r="O97" s="173"/>
      <c r="P97" s="173" t="s">
        <v>6588</v>
      </c>
      <c r="Q97" s="174">
        <v>44279</v>
      </c>
      <c r="R97" s="173" t="s">
        <v>3186</v>
      </c>
      <c r="S97" s="173"/>
    </row>
    <row r="98" spans="1:19" x14ac:dyDescent="0.25">
      <c r="A98" s="173" t="s">
        <v>12</v>
      </c>
      <c r="B98" s="174">
        <v>44187</v>
      </c>
      <c r="C98" s="197" t="s">
        <v>6559</v>
      </c>
      <c r="D98" s="173" t="s">
        <v>6338</v>
      </c>
      <c r="E98" s="173" t="s">
        <v>4800</v>
      </c>
      <c r="F98" s="173" t="s">
        <v>6561</v>
      </c>
      <c r="G98" s="173" t="s">
        <v>6560</v>
      </c>
      <c r="H98" s="173">
        <f>1000/1.21</f>
        <v>826.44628099173553</v>
      </c>
      <c r="I98" s="176">
        <f>+H98*0.21</f>
        <v>173.55371900826447</v>
      </c>
      <c r="J98" s="173" t="s">
        <v>21</v>
      </c>
      <c r="K98" s="176">
        <f>+H98+I98</f>
        <v>1000</v>
      </c>
      <c r="L98" s="173" t="s">
        <v>6569</v>
      </c>
      <c r="M98" s="173" t="s">
        <v>6649</v>
      </c>
      <c r="N98" s="173"/>
      <c r="O98" s="173"/>
      <c r="P98" s="173" t="s">
        <v>6588</v>
      </c>
      <c r="Q98" s="174">
        <v>44279</v>
      </c>
      <c r="R98" s="173" t="s">
        <v>3186</v>
      </c>
      <c r="S98" s="173"/>
    </row>
    <row r="99" spans="1:19" x14ac:dyDescent="0.25">
      <c r="A99" s="173" t="s">
        <v>12</v>
      </c>
      <c r="B99" s="174">
        <v>44217</v>
      </c>
      <c r="C99" s="197" t="s">
        <v>6562</v>
      </c>
      <c r="D99" s="173" t="s">
        <v>6338</v>
      </c>
      <c r="E99" s="173" t="s">
        <v>4800</v>
      </c>
      <c r="F99" s="173" t="s">
        <v>5965</v>
      </c>
      <c r="G99" s="173" t="s">
        <v>6563</v>
      </c>
      <c r="H99" s="173"/>
      <c r="I99" s="176"/>
      <c r="J99" s="173" t="s">
        <v>21</v>
      </c>
      <c r="K99" s="173">
        <v>1500</v>
      </c>
      <c r="L99" s="173" t="s">
        <v>6569</v>
      </c>
      <c r="M99" s="173" t="s">
        <v>6648</v>
      </c>
      <c r="N99" s="173"/>
      <c r="O99" s="173"/>
      <c r="P99" s="173" t="s">
        <v>6588</v>
      </c>
      <c r="Q99" s="174">
        <v>44279</v>
      </c>
      <c r="R99" s="173" t="s">
        <v>3186</v>
      </c>
      <c r="S99" s="173"/>
    </row>
    <row r="100" spans="1:19" x14ac:dyDescent="0.25">
      <c r="A100" s="173" t="s">
        <v>12</v>
      </c>
      <c r="B100" s="174">
        <v>44200</v>
      </c>
      <c r="C100" s="197">
        <v>3</v>
      </c>
      <c r="D100" s="173" t="s">
        <v>2931</v>
      </c>
      <c r="E100" s="173" t="s">
        <v>2352</v>
      </c>
      <c r="F100" s="173" t="s">
        <v>3344</v>
      </c>
      <c r="G100" s="173" t="s">
        <v>6564</v>
      </c>
      <c r="H100" s="173"/>
      <c r="I100" s="173"/>
      <c r="J100" s="173" t="s">
        <v>21</v>
      </c>
      <c r="K100" s="173">
        <v>9750</v>
      </c>
      <c r="L100" s="173" t="s">
        <v>6569</v>
      </c>
      <c r="M100" s="173" t="s">
        <v>6607</v>
      </c>
      <c r="N100" s="173"/>
      <c r="O100" s="173"/>
      <c r="P100" s="173" t="s">
        <v>6588</v>
      </c>
      <c r="Q100" s="174">
        <v>44279</v>
      </c>
      <c r="R100" s="173"/>
      <c r="S100" s="173"/>
    </row>
    <row r="101" spans="1:19" x14ac:dyDescent="0.25">
      <c r="A101" s="173" t="s">
        <v>408</v>
      </c>
      <c r="B101" s="174">
        <v>44200</v>
      </c>
      <c r="C101" s="197">
        <v>21001</v>
      </c>
      <c r="D101" s="173" t="s">
        <v>6566</v>
      </c>
      <c r="E101" s="173" t="s">
        <v>6567</v>
      </c>
      <c r="F101" s="173" t="s">
        <v>3344</v>
      </c>
      <c r="G101" s="173" t="s">
        <v>6564</v>
      </c>
      <c r="H101" s="173"/>
      <c r="I101" s="173"/>
      <c r="J101" s="173" t="s">
        <v>21</v>
      </c>
      <c r="K101" s="173">
        <v>16000</v>
      </c>
      <c r="L101" s="173" t="s">
        <v>6568</v>
      </c>
      <c r="M101" s="173" t="s">
        <v>6603</v>
      </c>
      <c r="N101" s="173"/>
      <c r="O101" s="173"/>
      <c r="P101" s="173" t="s">
        <v>6588</v>
      </c>
      <c r="Q101" s="174">
        <v>44279</v>
      </c>
      <c r="R101" s="173" t="s">
        <v>3186</v>
      </c>
      <c r="S101" s="173"/>
    </row>
    <row r="102" spans="1:19" x14ac:dyDescent="0.25">
      <c r="A102" s="173" t="s">
        <v>408</v>
      </c>
      <c r="B102" s="174">
        <v>43863</v>
      </c>
      <c r="C102" s="197">
        <v>21003</v>
      </c>
      <c r="D102" s="173" t="s">
        <v>6324</v>
      </c>
      <c r="E102" s="173" t="s">
        <v>5750</v>
      </c>
      <c r="F102" s="173" t="s">
        <v>6284</v>
      </c>
      <c r="G102" s="173" t="s">
        <v>6494</v>
      </c>
      <c r="H102" s="173"/>
      <c r="I102" s="173"/>
      <c r="J102" s="173" t="s">
        <v>21</v>
      </c>
      <c r="K102" s="173">
        <v>3000</v>
      </c>
      <c r="L102" s="173" t="s">
        <v>6570</v>
      </c>
      <c r="M102" s="173" t="s">
        <v>6605</v>
      </c>
      <c r="N102" s="173"/>
      <c r="O102" s="173"/>
      <c r="P102" s="173" t="s">
        <v>6588</v>
      </c>
      <c r="Q102" s="174">
        <v>44279</v>
      </c>
      <c r="R102" s="173" t="s">
        <v>3186</v>
      </c>
      <c r="S102" s="173"/>
    </row>
    <row r="103" spans="1:19" x14ac:dyDescent="0.25">
      <c r="A103" s="173" t="s">
        <v>408</v>
      </c>
      <c r="B103" s="174">
        <v>44229</v>
      </c>
      <c r="C103" s="197">
        <v>21004</v>
      </c>
      <c r="D103" s="173" t="s">
        <v>6571</v>
      </c>
      <c r="E103" s="173" t="s">
        <v>6572</v>
      </c>
      <c r="F103" s="173" t="s">
        <v>5249</v>
      </c>
      <c r="G103" s="173" t="s">
        <v>6472</v>
      </c>
      <c r="H103" s="173"/>
      <c r="I103" s="173"/>
      <c r="J103" s="173" t="s">
        <v>21</v>
      </c>
      <c r="K103" s="173">
        <v>1500</v>
      </c>
      <c r="L103" s="173" t="s">
        <v>6573</v>
      </c>
      <c r="M103" s="173"/>
      <c r="N103" s="173"/>
      <c r="O103" s="173"/>
      <c r="P103" s="173" t="s">
        <v>6588</v>
      </c>
      <c r="Q103" s="174">
        <v>44279</v>
      </c>
      <c r="R103" s="173"/>
      <c r="S103" s="173"/>
    </row>
    <row r="104" spans="1:19" x14ac:dyDescent="0.25">
      <c r="A104" s="173" t="s">
        <v>408</v>
      </c>
      <c r="B104" s="174">
        <v>44203</v>
      </c>
      <c r="C104" s="197">
        <v>21002</v>
      </c>
      <c r="D104" s="173" t="s">
        <v>6574</v>
      </c>
      <c r="E104" s="173" t="s">
        <v>6575</v>
      </c>
      <c r="F104" s="173" t="s">
        <v>442</v>
      </c>
      <c r="G104" s="173" t="s">
        <v>5586</v>
      </c>
      <c r="H104" s="173"/>
      <c r="I104" s="173"/>
      <c r="J104" s="173" t="s">
        <v>21</v>
      </c>
      <c r="K104" s="173">
        <v>9650</v>
      </c>
      <c r="L104" s="173" t="s">
        <v>6576</v>
      </c>
      <c r="M104" s="173" t="s">
        <v>6600</v>
      </c>
      <c r="N104" s="173"/>
      <c r="O104" s="173"/>
      <c r="P104" s="173" t="s">
        <v>6588</v>
      </c>
      <c r="Q104" s="174">
        <v>44279</v>
      </c>
      <c r="R104" s="173" t="s">
        <v>3186</v>
      </c>
      <c r="S104" s="173"/>
    </row>
    <row r="105" spans="1:19" x14ac:dyDescent="0.25">
      <c r="A105" s="173" t="s">
        <v>408</v>
      </c>
      <c r="B105" s="174">
        <v>44250</v>
      </c>
      <c r="C105" s="197">
        <v>21006</v>
      </c>
      <c r="D105" s="173" t="s">
        <v>6577</v>
      </c>
      <c r="E105" s="173" t="s">
        <v>6578</v>
      </c>
      <c r="F105" s="173" t="s">
        <v>5613</v>
      </c>
      <c r="G105" s="173" t="s">
        <v>6176</v>
      </c>
      <c r="H105" s="176">
        <f>7495/1.21</f>
        <v>6194.2148760330583</v>
      </c>
      <c r="I105" s="176">
        <f>H105*0.21</f>
        <v>1300.7851239669421</v>
      </c>
      <c r="J105" s="176"/>
      <c r="K105" s="176">
        <f>+H105+I105</f>
        <v>7495</v>
      </c>
      <c r="L105" s="173" t="s">
        <v>6447</v>
      </c>
      <c r="M105" s="173" t="s">
        <v>6610</v>
      </c>
      <c r="N105" s="173"/>
      <c r="O105" s="173"/>
      <c r="P105" s="173" t="s">
        <v>6588</v>
      </c>
      <c r="Q105" s="174">
        <v>44279</v>
      </c>
      <c r="R105" s="173" t="s">
        <v>3186</v>
      </c>
      <c r="S105" s="173"/>
    </row>
    <row r="106" spans="1:19" x14ac:dyDescent="0.25">
      <c r="A106" s="173" t="s">
        <v>408</v>
      </c>
      <c r="B106" s="174">
        <v>44252</v>
      </c>
      <c r="C106" s="197">
        <v>21007</v>
      </c>
      <c r="D106" s="173" t="s">
        <v>6579</v>
      </c>
      <c r="E106" s="173" t="s">
        <v>6580</v>
      </c>
      <c r="F106" s="173" t="s">
        <v>6400</v>
      </c>
      <c r="G106" s="173" t="s">
        <v>6401</v>
      </c>
      <c r="H106" s="173"/>
      <c r="I106" s="173"/>
      <c r="J106" s="173" t="s">
        <v>21</v>
      </c>
      <c r="K106" s="173">
        <v>20995</v>
      </c>
      <c r="L106" s="173" t="s">
        <v>6468</v>
      </c>
      <c r="M106" s="173" t="s">
        <v>6610</v>
      </c>
      <c r="N106" s="173"/>
      <c r="O106" s="173"/>
      <c r="P106" s="173" t="s">
        <v>6588</v>
      </c>
      <c r="Q106" s="174">
        <v>44279</v>
      </c>
      <c r="R106" s="173" t="s">
        <v>3791</v>
      </c>
      <c r="S106" s="173"/>
    </row>
    <row r="107" spans="1:19" x14ac:dyDescent="0.25">
      <c r="A107" s="173" t="s">
        <v>408</v>
      </c>
      <c r="B107" s="174">
        <v>44252</v>
      </c>
      <c r="C107" s="197">
        <v>21008</v>
      </c>
      <c r="D107" s="173" t="s">
        <v>6581</v>
      </c>
      <c r="E107" s="173" t="s">
        <v>6582</v>
      </c>
      <c r="F107" s="173" t="s">
        <v>3807</v>
      </c>
      <c r="G107" s="173" t="s">
        <v>6489</v>
      </c>
      <c r="H107" s="173"/>
      <c r="I107" s="173"/>
      <c r="J107" s="173" t="s">
        <v>21</v>
      </c>
      <c r="K107" s="173">
        <v>7995</v>
      </c>
      <c r="L107" s="173" t="s">
        <v>6583</v>
      </c>
      <c r="M107" s="173" t="s">
        <v>6599</v>
      </c>
      <c r="N107" s="173"/>
      <c r="O107" s="173"/>
      <c r="P107" s="173" t="s">
        <v>6588</v>
      </c>
      <c r="Q107" s="174">
        <v>44279</v>
      </c>
      <c r="R107" s="173" t="s">
        <v>3186</v>
      </c>
      <c r="S107" s="173"/>
    </row>
    <row r="108" spans="1:19" x14ac:dyDescent="0.25">
      <c r="A108" s="173" t="s">
        <v>12</v>
      </c>
      <c r="B108" s="174">
        <v>44232</v>
      </c>
      <c r="C108" s="197" t="s">
        <v>951</v>
      </c>
      <c r="D108" s="173" t="s">
        <v>6584</v>
      </c>
      <c r="E108" s="173" t="s">
        <v>6585</v>
      </c>
      <c r="F108" s="173" t="s">
        <v>368</v>
      </c>
      <c r="G108" s="173" t="s">
        <v>6586</v>
      </c>
      <c r="H108" s="173"/>
      <c r="I108" s="173"/>
      <c r="J108" s="173" t="s">
        <v>21</v>
      </c>
      <c r="K108" s="173">
        <v>600</v>
      </c>
      <c r="L108" s="173" t="s">
        <v>6569</v>
      </c>
      <c r="M108" s="173"/>
      <c r="N108" s="173"/>
      <c r="O108" s="173"/>
      <c r="P108" s="173" t="s">
        <v>6588</v>
      </c>
      <c r="Q108" s="174">
        <v>44279</v>
      </c>
      <c r="R108" s="173"/>
      <c r="S108" s="173"/>
    </row>
    <row r="109" spans="1:19" x14ac:dyDescent="0.25">
      <c r="A109" s="173" t="s">
        <v>408</v>
      </c>
      <c r="B109" s="174">
        <v>44232</v>
      </c>
      <c r="C109" s="197">
        <v>21005</v>
      </c>
      <c r="D109" s="173" t="s">
        <v>6324</v>
      </c>
      <c r="E109" s="173" t="s">
        <v>5750</v>
      </c>
      <c r="F109" s="173" t="s">
        <v>368</v>
      </c>
      <c r="G109" s="173" t="s">
        <v>6586</v>
      </c>
      <c r="H109" s="173"/>
      <c r="I109" s="173"/>
      <c r="J109" s="173" t="s">
        <v>21</v>
      </c>
      <c r="K109" s="173">
        <v>700</v>
      </c>
      <c r="L109" s="173" t="s">
        <v>6587</v>
      </c>
      <c r="M109" s="173" t="s">
        <v>6606</v>
      </c>
      <c r="N109" s="173"/>
      <c r="O109" s="173"/>
      <c r="P109" s="173" t="s">
        <v>6588</v>
      </c>
      <c r="Q109" s="174">
        <v>44279</v>
      </c>
      <c r="R109" s="173" t="s">
        <v>3186</v>
      </c>
      <c r="S109" s="173"/>
    </row>
    <row r="110" spans="1:19" x14ac:dyDescent="0.25">
      <c r="A110" s="173" t="s">
        <v>408</v>
      </c>
      <c r="B110" s="174">
        <v>44259</v>
      </c>
      <c r="C110" s="197">
        <v>21009</v>
      </c>
      <c r="D110" s="173" t="s">
        <v>6590</v>
      </c>
      <c r="E110" s="173" t="s">
        <v>6589</v>
      </c>
      <c r="F110" s="173" t="s">
        <v>4255</v>
      </c>
      <c r="G110" s="173" t="s">
        <v>6527</v>
      </c>
      <c r="H110" s="173"/>
      <c r="I110" s="173"/>
      <c r="J110" s="173" t="s">
        <v>21</v>
      </c>
      <c r="K110" s="173">
        <v>6500</v>
      </c>
      <c r="L110" s="173" t="s">
        <v>6591</v>
      </c>
      <c r="M110" s="173" t="s">
        <v>6602</v>
      </c>
      <c r="N110" s="173"/>
      <c r="O110" s="173"/>
      <c r="P110" s="173" t="s">
        <v>6611</v>
      </c>
      <c r="Q110" s="174">
        <v>44293</v>
      </c>
      <c r="R110" s="173" t="s">
        <v>3186</v>
      </c>
      <c r="S110" s="173"/>
    </row>
    <row r="111" spans="1:19" x14ac:dyDescent="0.25">
      <c r="A111" s="173" t="s">
        <v>408</v>
      </c>
      <c r="B111" s="174">
        <v>44265</v>
      </c>
      <c r="C111" s="197">
        <v>21010</v>
      </c>
      <c r="D111" s="173" t="s">
        <v>6592</v>
      </c>
      <c r="E111" s="173" t="s">
        <v>6593</v>
      </c>
      <c r="F111" s="173" t="s">
        <v>6499</v>
      </c>
      <c r="G111" s="173" t="s">
        <v>6500</v>
      </c>
      <c r="H111" s="173"/>
      <c r="I111" s="173"/>
      <c r="J111" s="173" t="s">
        <v>21</v>
      </c>
      <c r="K111" s="173">
        <v>3600</v>
      </c>
      <c r="L111" s="173" t="s">
        <v>6594</v>
      </c>
      <c r="M111" s="173" t="s">
        <v>6601</v>
      </c>
      <c r="N111" s="173"/>
      <c r="O111" s="173"/>
      <c r="P111" s="173" t="s">
        <v>6611</v>
      </c>
      <c r="Q111" s="174">
        <v>44293</v>
      </c>
      <c r="R111" s="173" t="s">
        <v>3791</v>
      </c>
      <c r="S111" s="173"/>
    </row>
    <row r="112" spans="1:19" x14ac:dyDescent="0.25">
      <c r="A112" s="173" t="s">
        <v>408</v>
      </c>
      <c r="B112" s="174">
        <v>44280</v>
      </c>
      <c r="C112" s="197">
        <v>21011</v>
      </c>
      <c r="D112" s="173" t="s">
        <v>6595</v>
      </c>
      <c r="E112" s="173" t="s">
        <v>6596</v>
      </c>
      <c r="F112" s="173" t="s">
        <v>3344</v>
      </c>
      <c r="G112" s="173" t="s">
        <v>6491</v>
      </c>
      <c r="H112" s="173"/>
      <c r="I112" s="173"/>
      <c r="J112" s="173" t="s">
        <v>21</v>
      </c>
      <c r="K112" s="173">
        <v>12800</v>
      </c>
      <c r="L112" s="173" t="s">
        <v>6597</v>
      </c>
      <c r="M112" s="173" t="s">
        <v>6604</v>
      </c>
      <c r="N112" s="173"/>
      <c r="O112" s="173"/>
      <c r="P112" s="173" t="s">
        <v>6611</v>
      </c>
      <c r="Q112" s="174">
        <v>44293</v>
      </c>
      <c r="R112" s="173" t="s">
        <v>3186</v>
      </c>
      <c r="S112" s="173"/>
    </row>
    <row r="113" spans="1:19" x14ac:dyDescent="0.25">
      <c r="A113" s="173" t="s">
        <v>408</v>
      </c>
      <c r="B113" s="174">
        <v>44284</v>
      </c>
      <c r="C113" s="197">
        <v>21012</v>
      </c>
      <c r="D113" s="173" t="s">
        <v>2931</v>
      </c>
      <c r="E113" s="173" t="s">
        <v>2352</v>
      </c>
      <c r="F113" s="173" t="s">
        <v>6180</v>
      </c>
      <c r="G113" s="173" t="s">
        <v>6181</v>
      </c>
      <c r="H113" s="176"/>
      <c r="I113" s="176"/>
      <c r="J113" s="176" t="s">
        <v>21</v>
      </c>
      <c r="K113" s="176">
        <v>6350</v>
      </c>
      <c r="L113" s="173" t="s">
        <v>6598</v>
      </c>
      <c r="M113" s="173" t="s">
        <v>6760</v>
      </c>
      <c r="N113" s="173"/>
      <c r="O113" s="173"/>
      <c r="P113" s="173" t="s">
        <v>6611</v>
      </c>
      <c r="Q113" s="174">
        <v>44293</v>
      </c>
      <c r="R113" s="173" t="s">
        <v>3186</v>
      </c>
      <c r="S113" s="173"/>
    </row>
    <row r="114" spans="1:19" x14ac:dyDescent="0.25">
      <c r="A114" s="173" t="s">
        <v>12</v>
      </c>
      <c r="B114" s="174">
        <v>44237</v>
      </c>
      <c r="C114" s="197">
        <v>710</v>
      </c>
      <c r="D114" s="173" t="s">
        <v>4579</v>
      </c>
      <c r="E114" s="173" t="s">
        <v>4580</v>
      </c>
      <c r="F114" s="173" t="s">
        <v>6612</v>
      </c>
      <c r="G114" s="173" t="s">
        <v>6613</v>
      </c>
      <c r="H114" s="173"/>
      <c r="I114" s="173"/>
      <c r="J114" s="176" t="s">
        <v>21</v>
      </c>
      <c r="K114" s="173">
        <v>5000</v>
      </c>
      <c r="L114" s="173" t="s">
        <v>6569</v>
      </c>
      <c r="M114" s="173" t="s">
        <v>6614</v>
      </c>
      <c r="N114" s="173"/>
      <c r="O114" s="173"/>
      <c r="P114" s="173" t="s">
        <v>6611</v>
      </c>
      <c r="Q114" s="174">
        <v>44294</v>
      </c>
      <c r="R114" s="173" t="s">
        <v>3791</v>
      </c>
      <c r="S114" s="173"/>
    </row>
    <row r="115" spans="1:19" x14ac:dyDescent="0.25">
      <c r="A115" s="173" t="s">
        <v>12</v>
      </c>
      <c r="B115" s="174">
        <v>44295</v>
      </c>
      <c r="C115" s="197" t="s">
        <v>6615</v>
      </c>
      <c r="D115" s="173" t="s">
        <v>6338</v>
      </c>
      <c r="E115" s="173" t="s">
        <v>4800</v>
      </c>
      <c r="F115" s="173" t="s">
        <v>5404</v>
      </c>
      <c r="G115" s="173" t="s">
        <v>6616</v>
      </c>
      <c r="H115" s="173"/>
      <c r="I115" s="173"/>
      <c r="J115" s="173" t="s">
        <v>21</v>
      </c>
      <c r="K115" s="173">
        <v>8000</v>
      </c>
      <c r="L115" s="173" t="s">
        <v>6569</v>
      </c>
      <c r="M115" s="173" t="s">
        <v>6644</v>
      </c>
      <c r="N115" s="173"/>
      <c r="O115" s="173"/>
      <c r="P115" s="173" t="s">
        <v>6669</v>
      </c>
      <c r="Q115" s="174">
        <v>44377</v>
      </c>
      <c r="R115" s="173" t="s">
        <v>3186</v>
      </c>
      <c r="S115" s="173"/>
    </row>
    <row r="116" spans="1:19" x14ac:dyDescent="0.25">
      <c r="A116" s="173" t="s">
        <v>12</v>
      </c>
      <c r="B116" s="174">
        <v>44363</v>
      </c>
      <c r="C116" s="197" t="s">
        <v>6617</v>
      </c>
      <c r="D116" s="173" t="s">
        <v>6338</v>
      </c>
      <c r="E116" s="173" t="s">
        <v>4800</v>
      </c>
      <c r="F116" s="173" t="s">
        <v>6618</v>
      </c>
      <c r="G116" s="173" t="s">
        <v>6664</v>
      </c>
      <c r="H116" s="173"/>
      <c r="I116" s="173"/>
      <c r="J116" s="173" t="s">
        <v>21</v>
      </c>
      <c r="K116" s="173">
        <v>1400</v>
      </c>
      <c r="L116" s="173"/>
      <c r="M116" s="173" t="s">
        <v>6647</v>
      </c>
      <c r="N116" s="173"/>
      <c r="O116" s="173"/>
      <c r="P116" s="173" t="s">
        <v>6669</v>
      </c>
      <c r="Q116" s="174">
        <v>44377</v>
      </c>
      <c r="R116" s="173" t="s">
        <v>3186</v>
      </c>
      <c r="S116" s="173"/>
    </row>
    <row r="117" spans="1:19" x14ac:dyDescent="0.25">
      <c r="A117" s="173" t="s">
        <v>12</v>
      </c>
      <c r="B117" s="174">
        <v>44348</v>
      </c>
      <c r="C117" s="197" t="s">
        <v>6619</v>
      </c>
      <c r="D117" s="173" t="s">
        <v>6338</v>
      </c>
      <c r="E117" s="173" t="s">
        <v>4800</v>
      </c>
      <c r="F117" s="173" t="s">
        <v>6284</v>
      </c>
      <c r="G117" s="173" t="s">
        <v>6665</v>
      </c>
      <c r="H117" s="173"/>
      <c r="I117" s="173"/>
      <c r="J117" s="173" t="s">
        <v>21</v>
      </c>
      <c r="K117" s="173">
        <v>13000</v>
      </c>
      <c r="L117" s="173" t="s">
        <v>6569</v>
      </c>
      <c r="M117" s="173" t="s">
        <v>6646</v>
      </c>
      <c r="N117" s="173"/>
      <c r="O117" s="173"/>
      <c r="P117" s="173" t="s">
        <v>6669</v>
      </c>
      <c r="Q117" s="174">
        <v>44377</v>
      </c>
      <c r="R117" s="173" t="s">
        <v>3186</v>
      </c>
      <c r="S117" s="173"/>
    </row>
    <row r="118" spans="1:19" x14ac:dyDescent="0.25">
      <c r="A118" s="173" t="s">
        <v>12</v>
      </c>
      <c r="B118" s="174">
        <v>44321</v>
      </c>
      <c r="C118" s="197" t="s">
        <v>6620</v>
      </c>
      <c r="D118" s="173" t="s">
        <v>6338</v>
      </c>
      <c r="E118" s="173" t="s">
        <v>4800</v>
      </c>
      <c r="F118" s="173" t="s">
        <v>5193</v>
      </c>
      <c r="G118" s="173" t="s">
        <v>6666</v>
      </c>
      <c r="H118" s="173"/>
      <c r="I118" s="173"/>
      <c r="J118" s="173" t="s">
        <v>21</v>
      </c>
      <c r="K118" s="173">
        <v>7000</v>
      </c>
      <c r="L118" s="173" t="s">
        <v>6569</v>
      </c>
      <c r="M118" s="173" t="s">
        <v>6645</v>
      </c>
      <c r="N118" s="173"/>
      <c r="O118" s="173"/>
      <c r="P118" s="173" t="s">
        <v>6669</v>
      </c>
      <c r="Q118" s="174">
        <v>44377</v>
      </c>
      <c r="R118" s="173" t="s">
        <v>3186</v>
      </c>
      <c r="S118" s="173"/>
    </row>
    <row r="119" spans="1:19" x14ac:dyDescent="0.25">
      <c r="A119" s="173" t="s">
        <v>408</v>
      </c>
      <c r="B119" s="174">
        <v>44316</v>
      </c>
      <c r="C119" s="197">
        <v>21013</v>
      </c>
      <c r="D119" s="173" t="s">
        <v>6621</v>
      </c>
      <c r="E119" s="173" t="s">
        <v>6622</v>
      </c>
      <c r="F119" s="173" t="s">
        <v>2718</v>
      </c>
      <c r="G119" s="173" t="s">
        <v>6483</v>
      </c>
      <c r="H119" s="173"/>
      <c r="I119" s="173"/>
      <c r="J119" s="173" t="s">
        <v>21</v>
      </c>
      <c r="K119" s="173">
        <v>18995</v>
      </c>
      <c r="L119" s="173" t="s">
        <v>6623</v>
      </c>
      <c r="M119" s="173" t="s">
        <v>6659</v>
      </c>
      <c r="N119" s="173"/>
      <c r="O119" s="173"/>
      <c r="P119" s="173" t="s">
        <v>6669</v>
      </c>
      <c r="Q119" s="174">
        <v>44377</v>
      </c>
      <c r="R119" s="173" t="s">
        <v>3186</v>
      </c>
      <c r="S119" s="173"/>
    </row>
    <row r="120" spans="1:19" x14ac:dyDescent="0.25">
      <c r="A120" s="173" t="s">
        <v>408</v>
      </c>
      <c r="B120" s="174">
        <v>44326</v>
      </c>
      <c r="C120" s="197">
        <v>21014</v>
      </c>
      <c r="D120" s="173" t="s">
        <v>6624</v>
      </c>
      <c r="E120" s="173" t="s">
        <v>6625</v>
      </c>
      <c r="F120" s="173" t="s">
        <v>6156</v>
      </c>
      <c r="G120" s="173" t="s">
        <v>6555</v>
      </c>
      <c r="H120" s="173"/>
      <c r="I120" s="173"/>
      <c r="J120" s="173" t="s">
        <v>21</v>
      </c>
      <c r="K120" s="173">
        <v>10495</v>
      </c>
      <c r="L120" s="173" t="s">
        <v>6626</v>
      </c>
      <c r="M120" s="173" t="s">
        <v>6658</v>
      </c>
      <c r="N120" s="173"/>
      <c r="O120" s="173"/>
      <c r="P120" s="173" t="s">
        <v>6669</v>
      </c>
      <c r="Q120" s="174">
        <v>44377</v>
      </c>
      <c r="R120" s="173" t="s">
        <v>3186</v>
      </c>
      <c r="S120" s="173"/>
    </row>
    <row r="121" spans="1:19" x14ac:dyDescent="0.25">
      <c r="A121" s="173" t="s">
        <v>408</v>
      </c>
      <c r="B121" s="174">
        <v>44345</v>
      </c>
      <c r="C121" s="197">
        <v>21016</v>
      </c>
      <c r="D121" s="173" t="s">
        <v>6650</v>
      </c>
      <c r="E121" s="173" t="s">
        <v>6651</v>
      </c>
      <c r="F121" s="173" t="s">
        <v>5965</v>
      </c>
      <c r="G121" s="173" t="s">
        <v>6460</v>
      </c>
      <c r="H121" s="173"/>
      <c r="I121" s="173"/>
      <c r="J121" s="173" t="s">
        <v>21</v>
      </c>
      <c r="K121" s="173">
        <v>9995</v>
      </c>
      <c r="L121" s="173" t="s">
        <v>6652</v>
      </c>
      <c r="M121" s="173" t="s">
        <v>6661</v>
      </c>
      <c r="N121" s="173"/>
      <c r="O121" s="173"/>
      <c r="P121" s="173" t="s">
        <v>6669</v>
      </c>
      <c r="Q121" s="174">
        <v>44377</v>
      </c>
      <c r="R121" s="173" t="s">
        <v>3186</v>
      </c>
      <c r="S121" s="173"/>
    </row>
    <row r="122" spans="1:19" x14ac:dyDescent="0.25">
      <c r="A122" s="173" t="s">
        <v>12</v>
      </c>
      <c r="B122" s="174">
        <v>44329</v>
      </c>
      <c r="C122" s="197" t="s">
        <v>951</v>
      </c>
      <c r="D122" s="173" t="s">
        <v>6653</v>
      </c>
      <c r="E122" s="173" t="s">
        <v>6654</v>
      </c>
      <c r="F122" s="173" t="s">
        <v>6655</v>
      </c>
      <c r="G122" s="173" t="s">
        <v>6656</v>
      </c>
      <c r="H122" s="173"/>
      <c r="I122" s="173"/>
      <c r="J122" s="173" t="s">
        <v>21</v>
      </c>
      <c r="K122" s="173">
        <v>400</v>
      </c>
      <c r="L122" s="173" t="s">
        <v>6569</v>
      </c>
      <c r="M122" s="173"/>
      <c r="N122" s="173"/>
      <c r="O122" s="173"/>
      <c r="P122" s="173" t="s">
        <v>6669</v>
      </c>
      <c r="Q122" s="174">
        <v>44377</v>
      </c>
      <c r="R122" s="173"/>
      <c r="S122" s="173"/>
    </row>
    <row r="123" spans="1:19" x14ac:dyDescent="0.25">
      <c r="A123" s="173" t="s">
        <v>408</v>
      </c>
      <c r="B123" s="174">
        <v>44330</v>
      </c>
      <c r="C123" s="197">
        <v>21015</v>
      </c>
      <c r="D123" s="173" t="s">
        <v>6324</v>
      </c>
      <c r="E123" s="173" t="s">
        <v>5750</v>
      </c>
      <c r="F123" s="173" t="s">
        <v>6655</v>
      </c>
      <c r="G123" s="173" t="s">
        <v>6656</v>
      </c>
      <c r="H123" s="173"/>
      <c r="I123" s="173"/>
      <c r="J123" s="173" t="s">
        <v>21</v>
      </c>
      <c r="K123" s="173">
        <v>520</v>
      </c>
      <c r="L123" s="173" t="s">
        <v>6657</v>
      </c>
      <c r="M123" s="173" t="s">
        <v>6660</v>
      </c>
      <c r="N123" s="173"/>
      <c r="O123" s="173"/>
      <c r="P123" s="173" t="s">
        <v>6669</v>
      </c>
      <c r="Q123" s="174">
        <v>44377</v>
      </c>
      <c r="R123" s="173" t="s">
        <v>3186</v>
      </c>
      <c r="S123" s="173"/>
    </row>
    <row r="124" spans="1:19" x14ac:dyDescent="0.25">
      <c r="A124" s="173" t="s">
        <v>12</v>
      </c>
      <c r="B124" s="174">
        <v>44377</v>
      </c>
      <c r="C124" s="197" t="s">
        <v>6662</v>
      </c>
      <c r="D124" s="173" t="s">
        <v>6338</v>
      </c>
      <c r="E124" s="173" t="s">
        <v>4800</v>
      </c>
      <c r="F124" s="174" t="s">
        <v>6663</v>
      </c>
      <c r="G124" s="173" t="s">
        <v>6667</v>
      </c>
      <c r="H124" s="173"/>
      <c r="I124" s="173"/>
      <c r="J124" s="173" t="s">
        <v>21</v>
      </c>
      <c r="K124" s="173">
        <v>4800</v>
      </c>
      <c r="L124" s="173"/>
      <c r="M124" s="173" t="s">
        <v>6668</v>
      </c>
      <c r="N124" s="173"/>
      <c r="O124" s="173"/>
      <c r="P124" s="173" t="s">
        <v>6669</v>
      </c>
      <c r="Q124" s="174">
        <v>44377</v>
      </c>
      <c r="R124" s="173" t="s">
        <v>3186</v>
      </c>
      <c r="S124" s="173"/>
    </row>
    <row r="125" spans="1:19" x14ac:dyDescent="0.25">
      <c r="A125" s="173" t="s">
        <v>408</v>
      </c>
      <c r="B125" s="174">
        <v>44375</v>
      </c>
      <c r="C125" s="197">
        <v>21017</v>
      </c>
      <c r="D125" s="173" t="s">
        <v>6670</v>
      </c>
      <c r="E125" s="173" t="s">
        <v>6671</v>
      </c>
      <c r="F125" s="173" t="s">
        <v>6284</v>
      </c>
      <c r="G125" s="173" t="s">
        <v>6665</v>
      </c>
      <c r="H125" s="173"/>
      <c r="I125" s="173"/>
      <c r="J125" s="173" t="s">
        <v>21</v>
      </c>
      <c r="K125" s="173">
        <v>20700</v>
      </c>
      <c r="L125" s="173" t="s">
        <v>6672</v>
      </c>
      <c r="M125" s="173" t="s">
        <v>6673</v>
      </c>
      <c r="N125" s="173"/>
      <c r="O125" s="173"/>
      <c r="P125" s="173" t="s">
        <v>6669</v>
      </c>
      <c r="Q125" s="174">
        <v>44377</v>
      </c>
      <c r="R125" s="173" t="s">
        <v>3791</v>
      </c>
      <c r="S125" s="173"/>
    </row>
    <row r="126" spans="1:19" x14ac:dyDescent="0.25">
      <c r="A126" s="173" t="s">
        <v>12</v>
      </c>
      <c r="B126" s="174">
        <v>44397</v>
      </c>
      <c r="C126" s="197" t="s">
        <v>6674</v>
      </c>
      <c r="D126" s="173" t="s">
        <v>6338</v>
      </c>
      <c r="E126" s="173" t="s">
        <v>4800</v>
      </c>
      <c r="F126" s="173" t="s">
        <v>5193</v>
      </c>
      <c r="G126" s="173" t="s">
        <v>6675</v>
      </c>
      <c r="H126" s="173"/>
      <c r="I126" s="173"/>
      <c r="J126" s="173" t="s">
        <v>21</v>
      </c>
      <c r="K126" s="173">
        <v>11500</v>
      </c>
      <c r="L126" s="173"/>
      <c r="M126" s="173" t="s">
        <v>6706</v>
      </c>
      <c r="N126" s="173"/>
      <c r="O126" s="173"/>
      <c r="P126" s="173" t="s">
        <v>6709</v>
      </c>
      <c r="Q126" s="174">
        <v>44474</v>
      </c>
      <c r="R126" s="173" t="s">
        <v>3186</v>
      </c>
      <c r="S126" s="173"/>
    </row>
    <row r="127" spans="1:19" x14ac:dyDescent="0.25">
      <c r="A127" s="173" t="s">
        <v>12</v>
      </c>
      <c r="B127" s="174">
        <v>44449</v>
      </c>
      <c r="C127" s="197" t="s">
        <v>6676</v>
      </c>
      <c r="D127" s="173" t="s">
        <v>6338</v>
      </c>
      <c r="E127" s="173" t="s">
        <v>4800</v>
      </c>
      <c r="F127" s="173" t="s">
        <v>4054</v>
      </c>
      <c r="G127" s="173" t="s">
        <v>6677</v>
      </c>
      <c r="H127" s="173"/>
      <c r="I127" s="173"/>
      <c r="J127" s="173" t="s">
        <v>21</v>
      </c>
      <c r="K127" s="173">
        <v>3000</v>
      </c>
      <c r="L127" s="173"/>
      <c r="M127" s="173" t="s">
        <v>6707</v>
      </c>
      <c r="N127" s="173"/>
      <c r="O127" s="173"/>
      <c r="P127" s="173" t="s">
        <v>6709</v>
      </c>
      <c r="Q127" s="174">
        <v>44474</v>
      </c>
      <c r="R127" s="173" t="s">
        <v>3186</v>
      </c>
      <c r="S127" s="173"/>
    </row>
    <row r="128" spans="1:19" x14ac:dyDescent="0.25">
      <c r="A128" s="173" t="s">
        <v>12</v>
      </c>
      <c r="B128" s="174">
        <v>44427</v>
      </c>
      <c r="C128" s="197" t="s">
        <v>6678</v>
      </c>
      <c r="D128" s="173" t="s">
        <v>6680</v>
      </c>
      <c r="E128" s="173" t="s">
        <v>6681</v>
      </c>
      <c r="F128" s="173" t="s">
        <v>5404</v>
      </c>
      <c r="G128" s="173" t="s">
        <v>6679</v>
      </c>
      <c r="H128" s="173"/>
      <c r="I128" s="173"/>
      <c r="J128" s="173" t="s">
        <v>21</v>
      </c>
      <c r="K128" s="173">
        <v>6850</v>
      </c>
      <c r="L128" s="173"/>
      <c r="M128" s="173" t="s">
        <v>6719</v>
      </c>
      <c r="N128" s="173"/>
      <c r="O128" s="173"/>
      <c r="P128" s="173" t="s">
        <v>6709</v>
      </c>
      <c r="Q128" s="174">
        <v>44474</v>
      </c>
      <c r="R128" s="173"/>
      <c r="S128" s="173"/>
    </row>
    <row r="129" spans="1:19" x14ac:dyDescent="0.25">
      <c r="A129" s="173" t="s">
        <v>408</v>
      </c>
      <c r="B129" s="174">
        <v>44379</v>
      </c>
      <c r="C129" s="197">
        <v>21018</v>
      </c>
      <c r="D129" s="173" t="s">
        <v>6682</v>
      </c>
      <c r="E129" s="173" t="s">
        <v>6683</v>
      </c>
      <c r="F129" s="173" t="s">
        <v>6558</v>
      </c>
      <c r="G129" s="173" t="s">
        <v>6557</v>
      </c>
      <c r="H129" s="173"/>
      <c r="I129" s="173"/>
      <c r="J129" s="173" t="s">
        <v>21</v>
      </c>
      <c r="K129" s="173">
        <v>16995</v>
      </c>
      <c r="L129" s="173" t="s">
        <v>6684</v>
      </c>
      <c r="M129" s="173" t="s">
        <v>6727</v>
      </c>
      <c r="N129" s="173"/>
      <c r="O129" s="173"/>
      <c r="P129" s="173" t="s">
        <v>6709</v>
      </c>
      <c r="Q129" s="174">
        <v>44474</v>
      </c>
      <c r="R129" s="173" t="s">
        <v>3186</v>
      </c>
      <c r="S129" s="173"/>
    </row>
    <row r="130" spans="1:19" x14ac:dyDescent="0.25">
      <c r="A130" s="173" t="s">
        <v>408</v>
      </c>
      <c r="B130" s="174">
        <v>44379</v>
      </c>
      <c r="C130" s="197">
        <v>21019</v>
      </c>
      <c r="D130" s="173" t="s">
        <v>6685</v>
      </c>
      <c r="E130" s="173" t="s">
        <v>6686</v>
      </c>
      <c r="F130" s="173" t="s">
        <v>6612</v>
      </c>
      <c r="G130" s="173" t="s">
        <v>6613</v>
      </c>
      <c r="H130" s="173"/>
      <c r="I130" s="173"/>
      <c r="J130" s="176" t="s">
        <v>21</v>
      </c>
      <c r="K130" s="173">
        <v>7995</v>
      </c>
      <c r="L130" s="173" t="s">
        <v>6687</v>
      </c>
      <c r="M130" s="173" t="s">
        <v>6720</v>
      </c>
      <c r="N130" s="173"/>
      <c r="O130" s="173"/>
      <c r="P130" s="173" t="s">
        <v>6709</v>
      </c>
      <c r="Q130" s="174">
        <v>44474</v>
      </c>
      <c r="R130" s="173" t="s">
        <v>3791</v>
      </c>
      <c r="S130" s="173"/>
    </row>
    <row r="131" spans="1:19" x14ac:dyDescent="0.25">
      <c r="A131" s="173" t="s">
        <v>408</v>
      </c>
      <c r="B131" s="174">
        <v>44398</v>
      </c>
      <c r="C131" s="197">
        <v>21020</v>
      </c>
      <c r="D131" s="173" t="s">
        <v>6688</v>
      </c>
      <c r="E131" s="173" t="s">
        <v>6689</v>
      </c>
      <c r="F131" s="173" t="s">
        <v>5249</v>
      </c>
      <c r="G131" s="173" t="s">
        <v>6482</v>
      </c>
      <c r="H131" s="173"/>
      <c r="I131" s="173"/>
      <c r="J131" s="173" t="s">
        <v>21</v>
      </c>
      <c r="K131" s="173">
        <v>12500</v>
      </c>
      <c r="L131" s="173" t="s">
        <v>6690</v>
      </c>
      <c r="M131" s="173" t="s">
        <v>6722</v>
      </c>
      <c r="N131" s="173"/>
      <c r="O131" s="173"/>
      <c r="P131" s="173" t="s">
        <v>6709</v>
      </c>
      <c r="Q131" s="174">
        <v>44474</v>
      </c>
      <c r="R131" s="173" t="s">
        <v>3186</v>
      </c>
      <c r="S131" s="173"/>
    </row>
    <row r="132" spans="1:19" x14ac:dyDescent="0.25">
      <c r="A132" s="173" t="s">
        <v>408</v>
      </c>
      <c r="B132" s="174">
        <v>44410</v>
      </c>
      <c r="C132" s="197">
        <v>21021</v>
      </c>
      <c r="D132" s="173" t="s">
        <v>6691</v>
      </c>
      <c r="E132" s="173" t="s">
        <v>6692</v>
      </c>
      <c r="F132" s="173" t="s">
        <v>6561</v>
      </c>
      <c r="G132" s="173" t="s">
        <v>6560</v>
      </c>
      <c r="H132" s="173">
        <f>5995/1.21</f>
        <v>4954.545454545455</v>
      </c>
      <c r="I132" s="176">
        <f>+H132*0.21</f>
        <v>1040.4545454545455</v>
      </c>
      <c r="J132" s="173" t="s">
        <v>21</v>
      </c>
      <c r="K132" s="176">
        <f>+H132+I132</f>
        <v>5995</v>
      </c>
      <c r="L132" s="173" t="s">
        <v>6693</v>
      </c>
      <c r="M132" s="173" t="s">
        <v>6728</v>
      </c>
      <c r="N132" s="173"/>
      <c r="O132" s="173"/>
      <c r="P132" s="173" t="s">
        <v>6709</v>
      </c>
      <c r="Q132" s="174">
        <v>44474</v>
      </c>
      <c r="R132" s="173" t="s">
        <v>3791</v>
      </c>
      <c r="S132" s="173"/>
    </row>
    <row r="133" spans="1:19" x14ac:dyDescent="0.25">
      <c r="A133" s="173" t="s">
        <v>408</v>
      </c>
      <c r="B133" s="174">
        <v>44418</v>
      </c>
      <c r="C133" s="197">
        <v>21022</v>
      </c>
      <c r="D133" s="173" t="s">
        <v>6694</v>
      </c>
      <c r="E133" s="173" t="s">
        <v>6695</v>
      </c>
      <c r="F133" s="173" t="s">
        <v>6486</v>
      </c>
      <c r="G133" s="173" t="s">
        <v>6487</v>
      </c>
      <c r="H133" s="173"/>
      <c r="I133" s="173"/>
      <c r="J133" s="173" t="s">
        <v>21</v>
      </c>
      <c r="K133" s="173">
        <v>4995</v>
      </c>
      <c r="L133" s="173" t="s">
        <v>6696</v>
      </c>
      <c r="M133" s="173" t="s">
        <v>6729</v>
      </c>
      <c r="N133" s="173"/>
      <c r="O133" s="173"/>
      <c r="P133" s="173" t="s">
        <v>6709</v>
      </c>
      <c r="Q133" s="174">
        <v>44474</v>
      </c>
      <c r="R133" s="173" t="s">
        <v>3791</v>
      </c>
      <c r="S133" s="173"/>
    </row>
    <row r="134" spans="1:19" x14ac:dyDescent="0.25">
      <c r="A134" s="173" t="s">
        <v>408</v>
      </c>
      <c r="B134" s="174">
        <v>44420</v>
      </c>
      <c r="C134" s="197">
        <v>21023</v>
      </c>
      <c r="D134" s="173" t="s">
        <v>6697</v>
      </c>
      <c r="E134" s="173" t="s">
        <v>6698</v>
      </c>
      <c r="F134" s="173" t="s">
        <v>3210</v>
      </c>
      <c r="G134" s="173" t="s">
        <v>6131</v>
      </c>
      <c r="H134" s="173"/>
      <c r="I134" s="173"/>
      <c r="J134" s="173" t="s">
        <v>21</v>
      </c>
      <c r="K134" s="173">
        <v>6495</v>
      </c>
      <c r="L134" s="173" t="s">
        <v>6699</v>
      </c>
      <c r="M134" s="173" t="s">
        <v>6730</v>
      </c>
      <c r="N134" s="173"/>
      <c r="O134" s="173"/>
      <c r="P134" s="173" t="s">
        <v>6709</v>
      </c>
      <c r="Q134" s="174">
        <v>44474</v>
      </c>
      <c r="R134" s="173" t="s">
        <v>3791</v>
      </c>
      <c r="S134" s="173"/>
    </row>
    <row r="135" spans="1:19" x14ac:dyDescent="0.25">
      <c r="A135" s="173" t="s">
        <v>12</v>
      </c>
      <c r="B135" s="174">
        <v>44469</v>
      </c>
      <c r="C135" s="197" t="s">
        <v>6700</v>
      </c>
      <c r="D135" s="173" t="s">
        <v>6338</v>
      </c>
      <c r="E135" s="173" t="s">
        <v>4800</v>
      </c>
      <c r="F135" s="173" t="s">
        <v>6701</v>
      </c>
      <c r="G135" s="173" t="s">
        <v>6702</v>
      </c>
      <c r="H135" s="173"/>
      <c r="I135" s="173"/>
      <c r="J135" s="173" t="s">
        <v>21</v>
      </c>
      <c r="K135" s="173">
        <v>2000</v>
      </c>
      <c r="L135" s="173" t="s">
        <v>6569</v>
      </c>
      <c r="M135" s="173" t="s">
        <v>6708</v>
      </c>
      <c r="N135" s="173"/>
      <c r="O135" s="173"/>
      <c r="P135" s="173" t="s">
        <v>6709</v>
      </c>
      <c r="Q135" s="174">
        <v>44474</v>
      </c>
      <c r="R135" s="173" t="s">
        <v>3186</v>
      </c>
      <c r="S135" s="173"/>
    </row>
    <row r="136" spans="1:19" x14ac:dyDescent="0.25">
      <c r="A136" s="173" t="s">
        <v>408</v>
      </c>
      <c r="B136" s="174">
        <v>44439</v>
      </c>
      <c r="C136" s="197">
        <v>21024</v>
      </c>
      <c r="D136" s="173" t="s">
        <v>6703</v>
      </c>
      <c r="E136" s="173" t="s">
        <v>6704</v>
      </c>
      <c r="F136" s="173" t="s">
        <v>5965</v>
      </c>
      <c r="G136" s="173" t="s">
        <v>6563</v>
      </c>
      <c r="H136" s="173"/>
      <c r="I136" s="176"/>
      <c r="J136" s="173" t="s">
        <v>21</v>
      </c>
      <c r="K136" s="173">
        <v>5995</v>
      </c>
      <c r="L136" s="173" t="s">
        <v>6705</v>
      </c>
      <c r="M136" s="173" t="s">
        <v>6721</v>
      </c>
      <c r="N136" s="173"/>
      <c r="O136" s="173"/>
      <c r="P136" s="173" t="s">
        <v>6709</v>
      </c>
      <c r="Q136" s="174">
        <v>44474</v>
      </c>
      <c r="R136" s="173" t="s">
        <v>3791</v>
      </c>
      <c r="S136" s="173"/>
    </row>
    <row r="137" spans="1:19" x14ac:dyDescent="0.25">
      <c r="A137" s="173" t="s">
        <v>408</v>
      </c>
      <c r="B137" s="174">
        <v>44459</v>
      </c>
      <c r="C137" s="173">
        <v>21025</v>
      </c>
      <c r="D137" s="173" t="s">
        <v>6710</v>
      </c>
      <c r="E137" s="173" t="s">
        <v>6711</v>
      </c>
      <c r="F137" s="173" t="s">
        <v>6474</v>
      </c>
      <c r="G137" s="173" t="s">
        <v>6475</v>
      </c>
      <c r="H137" s="173"/>
      <c r="I137" s="173"/>
      <c r="J137" s="173" t="s">
        <v>21</v>
      </c>
      <c r="K137" s="173">
        <v>28500</v>
      </c>
      <c r="L137" s="173" t="s">
        <v>6712</v>
      </c>
      <c r="M137" s="173" t="s">
        <v>6731</v>
      </c>
      <c r="N137" s="173"/>
      <c r="O137" s="173"/>
      <c r="P137" s="173" t="s">
        <v>6718</v>
      </c>
      <c r="Q137" s="174">
        <v>44477</v>
      </c>
      <c r="R137" s="173" t="s">
        <v>3791</v>
      </c>
      <c r="S137" s="173"/>
    </row>
    <row r="138" spans="1:19" x14ac:dyDescent="0.25">
      <c r="A138" s="173" t="s">
        <v>12</v>
      </c>
      <c r="B138" s="174">
        <v>44489</v>
      </c>
      <c r="C138" s="197" t="s">
        <v>6723</v>
      </c>
      <c r="D138" s="173" t="s">
        <v>6338</v>
      </c>
      <c r="E138" s="173" t="s">
        <v>4800</v>
      </c>
      <c r="F138" s="173" t="s">
        <v>6724</v>
      </c>
      <c r="G138" s="173" t="s">
        <v>6725</v>
      </c>
      <c r="H138" s="173"/>
      <c r="I138" s="173"/>
      <c r="J138" s="173" t="s">
        <v>21</v>
      </c>
      <c r="K138" s="173">
        <v>1800</v>
      </c>
      <c r="L138" s="173"/>
      <c r="M138" s="173" t="s">
        <v>6726</v>
      </c>
      <c r="N138" s="173"/>
      <c r="O138" s="173"/>
      <c r="P138" s="173" t="s">
        <v>6747</v>
      </c>
      <c r="Q138" s="174">
        <v>44533</v>
      </c>
      <c r="R138" s="173" t="s">
        <v>3186</v>
      </c>
      <c r="S138" s="173"/>
    </row>
    <row r="139" spans="1:19" x14ac:dyDescent="0.25">
      <c r="A139" s="173" t="s">
        <v>12</v>
      </c>
      <c r="B139" s="174">
        <v>44517</v>
      </c>
      <c r="C139" s="197" t="s">
        <v>6732</v>
      </c>
      <c r="D139" s="173" t="s">
        <v>6338</v>
      </c>
      <c r="E139" s="173" t="s">
        <v>4800</v>
      </c>
      <c r="F139" s="173" t="s">
        <v>6734</v>
      </c>
      <c r="G139" s="173" t="s">
        <v>6733</v>
      </c>
      <c r="H139" s="173"/>
      <c r="I139" s="173"/>
      <c r="J139" s="173" t="s">
        <v>21</v>
      </c>
      <c r="K139" s="173">
        <v>5600</v>
      </c>
      <c r="L139" s="173"/>
      <c r="M139" s="173" t="s">
        <v>6761</v>
      </c>
      <c r="N139" s="173"/>
      <c r="O139" s="173"/>
      <c r="P139" s="173" t="s">
        <v>6747</v>
      </c>
      <c r="Q139" s="174">
        <v>44533</v>
      </c>
      <c r="R139" s="173" t="s">
        <v>3186</v>
      </c>
      <c r="S139" s="173"/>
    </row>
    <row r="140" spans="1:19" x14ac:dyDescent="0.25">
      <c r="A140" s="173" t="s">
        <v>12</v>
      </c>
      <c r="B140" s="174">
        <v>44511</v>
      </c>
      <c r="C140" s="197" t="s">
        <v>6735</v>
      </c>
      <c r="D140" s="173" t="s">
        <v>6338</v>
      </c>
      <c r="E140" s="173" t="s">
        <v>4800</v>
      </c>
      <c r="F140" s="173" t="s">
        <v>6737</v>
      </c>
      <c r="G140" s="173" t="s">
        <v>6736</v>
      </c>
      <c r="H140" s="173"/>
      <c r="I140" s="173"/>
      <c r="J140" s="173" t="s">
        <v>21</v>
      </c>
      <c r="K140" s="173">
        <v>6000</v>
      </c>
      <c r="L140" s="173"/>
      <c r="M140" s="173" t="s">
        <v>6752</v>
      </c>
      <c r="N140" s="173"/>
      <c r="O140" s="173"/>
      <c r="P140" s="173" t="s">
        <v>6747</v>
      </c>
      <c r="Q140" s="174">
        <v>44533</v>
      </c>
      <c r="R140" s="173"/>
      <c r="S140" s="173"/>
    </row>
    <row r="141" spans="1:19" ht="15.75" customHeight="1" x14ac:dyDescent="0.25">
      <c r="A141" s="173" t="s">
        <v>12</v>
      </c>
      <c r="B141" s="174">
        <v>44496</v>
      </c>
      <c r="C141" s="197" t="s">
        <v>6738</v>
      </c>
      <c r="D141" s="173" t="s">
        <v>6338</v>
      </c>
      <c r="E141" s="173" t="s">
        <v>4800</v>
      </c>
      <c r="F141" s="173" t="s">
        <v>6739</v>
      </c>
      <c r="G141" s="173" t="s">
        <v>6740</v>
      </c>
      <c r="H141" s="173"/>
      <c r="I141" s="173"/>
      <c r="J141" s="173" t="s">
        <v>21</v>
      </c>
      <c r="K141" s="173">
        <v>2000</v>
      </c>
      <c r="L141" s="173"/>
      <c r="M141" s="173" t="s">
        <v>6751</v>
      </c>
      <c r="N141" s="173"/>
      <c r="O141" s="173"/>
      <c r="P141" s="173" t="s">
        <v>6747</v>
      </c>
      <c r="Q141" s="174">
        <v>44533</v>
      </c>
      <c r="R141" s="173"/>
      <c r="S141" s="173"/>
    </row>
    <row r="142" spans="1:19" x14ac:dyDescent="0.25">
      <c r="A142" s="173" t="s">
        <v>12</v>
      </c>
      <c r="B142" s="174">
        <v>44483</v>
      </c>
      <c r="C142" s="197" t="s">
        <v>6741</v>
      </c>
      <c r="D142" s="173" t="s">
        <v>6338</v>
      </c>
      <c r="E142" s="173" t="s">
        <v>4800</v>
      </c>
      <c r="F142" s="173" t="s">
        <v>390</v>
      </c>
      <c r="G142" s="173" t="s">
        <v>6742</v>
      </c>
      <c r="H142" s="173"/>
      <c r="I142" s="173"/>
      <c r="J142" s="173" t="s">
        <v>21</v>
      </c>
      <c r="K142" s="173">
        <v>1500</v>
      </c>
      <c r="L142" s="173" t="s">
        <v>6782</v>
      </c>
      <c r="M142" s="173" t="s">
        <v>6756</v>
      </c>
      <c r="N142" s="173"/>
      <c r="O142" s="173"/>
      <c r="P142" s="173" t="s">
        <v>6747</v>
      </c>
      <c r="Q142" s="174">
        <v>44533</v>
      </c>
      <c r="R142" s="173" t="s">
        <v>3791</v>
      </c>
      <c r="S142" s="173"/>
    </row>
    <row r="143" spans="1:19" x14ac:dyDescent="0.25">
      <c r="A143" s="173" t="s">
        <v>408</v>
      </c>
      <c r="B143" s="174">
        <v>44497</v>
      </c>
      <c r="C143" s="197">
        <v>21026</v>
      </c>
      <c r="D143" s="173" t="s">
        <v>2931</v>
      </c>
      <c r="E143" s="173" t="s">
        <v>2352</v>
      </c>
      <c r="F143" s="173" t="s">
        <v>5404</v>
      </c>
      <c r="G143" s="173" t="s">
        <v>6616</v>
      </c>
      <c r="H143" s="173"/>
      <c r="I143" s="173"/>
      <c r="J143" s="173" t="s">
        <v>21</v>
      </c>
      <c r="K143" s="173">
        <v>15995</v>
      </c>
      <c r="L143" s="173" t="s">
        <v>6743</v>
      </c>
      <c r="M143" s="173" t="s">
        <v>6759</v>
      </c>
      <c r="N143" s="173"/>
      <c r="O143" s="173"/>
      <c r="P143" s="173" t="s">
        <v>6747</v>
      </c>
      <c r="Q143" s="174">
        <v>44533</v>
      </c>
      <c r="R143" s="173" t="s">
        <v>3186</v>
      </c>
      <c r="S143" s="173"/>
    </row>
    <row r="144" spans="1:19" x14ac:dyDescent="0.25">
      <c r="A144" s="173" t="s">
        <v>408</v>
      </c>
      <c r="B144" s="174">
        <v>44510</v>
      </c>
      <c r="C144" s="197">
        <v>21027</v>
      </c>
      <c r="D144" s="173" t="s">
        <v>6571</v>
      </c>
      <c r="E144" s="173" t="s">
        <v>6572</v>
      </c>
      <c r="F144" s="173" t="s">
        <v>5193</v>
      </c>
      <c r="G144" s="173" t="s">
        <v>6666</v>
      </c>
      <c r="H144" s="173"/>
      <c r="I144" s="173"/>
      <c r="J144" s="173" t="s">
        <v>21</v>
      </c>
      <c r="K144" s="173">
        <v>10000</v>
      </c>
      <c r="L144" s="173" t="s">
        <v>6744</v>
      </c>
      <c r="M144" s="173" t="s">
        <v>6754</v>
      </c>
      <c r="N144" s="173"/>
      <c r="O144" s="173"/>
      <c r="P144" s="173" t="s">
        <v>6747</v>
      </c>
      <c r="Q144" s="174">
        <v>44533</v>
      </c>
      <c r="R144" s="173" t="s">
        <v>3186</v>
      </c>
      <c r="S144" s="173"/>
    </row>
    <row r="145" spans="1:19" x14ac:dyDescent="0.25">
      <c r="A145" s="173" t="s">
        <v>408</v>
      </c>
      <c r="B145" s="174">
        <v>44516</v>
      </c>
      <c r="C145" s="197">
        <v>21028</v>
      </c>
      <c r="D145" s="173" t="s">
        <v>6571</v>
      </c>
      <c r="E145" s="173" t="s">
        <v>6572</v>
      </c>
      <c r="F145" s="173" t="s">
        <v>6701</v>
      </c>
      <c r="G145" s="173" t="s">
        <v>6702</v>
      </c>
      <c r="H145" s="173"/>
      <c r="I145" s="173"/>
      <c r="J145" s="173" t="s">
        <v>21</v>
      </c>
      <c r="K145" s="173">
        <v>3000</v>
      </c>
      <c r="L145" s="173" t="s">
        <v>6745</v>
      </c>
      <c r="M145" s="173" t="s">
        <v>6753</v>
      </c>
      <c r="N145" s="173"/>
      <c r="O145" s="173"/>
      <c r="P145" s="173" t="s">
        <v>6747</v>
      </c>
      <c r="Q145" s="174">
        <v>44533</v>
      </c>
      <c r="R145" s="173" t="s">
        <v>3186</v>
      </c>
      <c r="S145" s="173"/>
    </row>
    <row r="146" spans="1:19" x14ac:dyDescent="0.25">
      <c r="A146" s="173" t="s">
        <v>12</v>
      </c>
      <c r="B146" s="174">
        <v>44525</v>
      </c>
      <c r="C146" s="197" t="s">
        <v>951</v>
      </c>
      <c r="D146" s="173" t="s">
        <v>6749</v>
      </c>
      <c r="E146" s="173" t="s">
        <v>6748</v>
      </c>
      <c r="F146" s="173" t="s">
        <v>390</v>
      </c>
      <c r="G146" s="173" t="s">
        <v>6746</v>
      </c>
      <c r="H146" s="173"/>
      <c r="I146" s="173"/>
      <c r="J146" s="173" t="s">
        <v>21</v>
      </c>
      <c r="K146" s="173">
        <v>500</v>
      </c>
      <c r="L146" s="173" t="s">
        <v>6569</v>
      </c>
      <c r="M146" s="173"/>
      <c r="N146" s="173"/>
      <c r="O146" s="173"/>
      <c r="P146" s="173" t="s">
        <v>6747</v>
      </c>
      <c r="Q146" s="174">
        <v>44574</v>
      </c>
      <c r="R146" s="173"/>
      <c r="S146" s="173"/>
    </row>
    <row r="147" spans="1:19" x14ac:dyDescent="0.25">
      <c r="A147" s="173" t="s">
        <v>408</v>
      </c>
      <c r="B147" s="174">
        <v>44525</v>
      </c>
      <c r="C147" s="197">
        <v>21029</v>
      </c>
      <c r="D147" s="173" t="s">
        <v>6324</v>
      </c>
      <c r="E147" s="173" t="s">
        <v>5750</v>
      </c>
      <c r="F147" s="173" t="s">
        <v>390</v>
      </c>
      <c r="G147" s="173" t="s">
        <v>6746</v>
      </c>
      <c r="H147" s="173"/>
      <c r="I147" s="173"/>
      <c r="J147" s="173"/>
      <c r="K147" s="173">
        <v>620</v>
      </c>
      <c r="L147" s="173" t="s">
        <v>6750</v>
      </c>
      <c r="M147" s="173" t="s">
        <v>6755</v>
      </c>
      <c r="N147" s="173"/>
      <c r="O147" s="173"/>
      <c r="P147" s="173" t="s">
        <v>6747</v>
      </c>
      <c r="Q147" s="174">
        <v>44574</v>
      </c>
      <c r="R147" s="173" t="s">
        <v>3186</v>
      </c>
      <c r="S147" s="173"/>
    </row>
    <row r="148" spans="1:19" x14ac:dyDescent="0.25">
      <c r="A148" s="173" t="s">
        <v>12</v>
      </c>
      <c r="B148" s="174">
        <v>44483</v>
      </c>
      <c r="C148" s="197" t="s">
        <v>6757</v>
      </c>
      <c r="D148" s="173" t="s">
        <v>6338</v>
      </c>
      <c r="E148" s="173" t="s">
        <v>4800</v>
      </c>
      <c r="F148" s="173" t="s">
        <v>4406</v>
      </c>
      <c r="G148" s="173" t="s">
        <v>6758</v>
      </c>
      <c r="H148" s="173"/>
      <c r="I148" s="173"/>
      <c r="J148" s="173" t="s">
        <v>21</v>
      </c>
      <c r="K148" s="173">
        <v>2000</v>
      </c>
      <c r="L148" s="173"/>
      <c r="M148" s="173"/>
      <c r="N148" s="173"/>
      <c r="O148" s="173"/>
      <c r="P148" s="173" t="s">
        <v>6747</v>
      </c>
      <c r="Q148" s="174">
        <v>44580</v>
      </c>
      <c r="R148" s="173"/>
      <c r="S148" s="173"/>
    </row>
  </sheetData>
  <autoFilter ref="A1:S148" xr:uid="{A55F7230-F4FF-4B76-B9D9-735057445138}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4"/>
  <sheetViews>
    <sheetView workbookViewId="0">
      <pane ySplit="1" topLeftCell="A2" activePane="bottomLeft" state="frozen"/>
      <selection pane="bottomLeft" activeCell="E9" sqref="E9"/>
    </sheetView>
  </sheetViews>
  <sheetFormatPr baseColWidth="10" defaultRowHeight="15" x14ac:dyDescent="0.25"/>
  <cols>
    <col min="1" max="1" width="8.85546875" bestFit="1" customWidth="1"/>
    <col min="2" max="2" width="12.28515625" customWidth="1"/>
    <col min="3" max="3" width="7.28515625" customWidth="1"/>
    <col min="4" max="4" width="27" customWidth="1"/>
    <col min="5" max="5" width="11.5703125" customWidth="1"/>
    <col min="6" max="6" width="17.5703125" customWidth="1"/>
    <col min="7" max="7" width="11.28515625" bestFit="1" customWidth="1"/>
    <col min="8" max="8" width="6.28515625" customWidth="1"/>
    <col min="9" max="9" width="8.140625" bestFit="1" customWidth="1"/>
    <col min="10" max="10" width="8" bestFit="1" customWidth="1"/>
    <col min="11" max="11" width="8.5703125" bestFit="1" customWidth="1"/>
    <col min="12" max="12" width="28.7109375" customWidth="1"/>
    <col min="13" max="13" width="21" customWidth="1"/>
    <col min="14" max="14" width="7.7109375" customWidth="1"/>
    <col min="15" max="15" width="10.42578125" customWidth="1"/>
    <col min="16" max="16" width="11.42578125" customWidth="1"/>
    <col min="17" max="17" width="10.7109375" customWidth="1"/>
    <col min="18" max="18" width="5.42578125" customWidth="1"/>
  </cols>
  <sheetData>
    <row r="1" spans="1:19" x14ac:dyDescent="0.25">
      <c r="A1" s="178" t="s">
        <v>12</v>
      </c>
      <c r="B1" s="179" t="s">
        <v>1</v>
      </c>
      <c r="C1" s="179" t="s">
        <v>2</v>
      </c>
      <c r="D1" s="180" t="s">
        <v>3</v>
      </c>
      <c r="E1" s="181" t="s">
        <v>4</v>
      </c>
      <c r="F1" s="180" t="s">
        <v>5</v>
      </c>
      <c r="G1" s="180" t="s">
        <v>6</v>
      </c>
      <c r="H1" s="180" t="s">
        <v>7</v>
      </c>
      <c r="I1" s="180" t="s">
        <v>3503</v>
      </c>
      <c r="J1" s="180" t="s">
        <v>1630</v>
      </c>
      <c r="K1" s="180" t="s">
        <v>9</v>
      </c>
      <c r="L1" s="180" t="s">
        <v>3508</v>
      </c>
      <c r="M1" s="180" t="s">
        <v>83</v>
      </c>
      <c r="N1" s="181" t="s">
        <v>85</v>
      </c>
      <c r="O1" s="180" t="s">
        <v>86</v>
      </c>
      <c r="P1" s="180" t="s">
        <v>11</v>
      </c>
      <c r="Q1" s="178" t="s">
        <v>30</v>
      </c>
      <c r="R1" s="178" t="s">
        <v>3784</v>
      </c>
      <c r="S1" s="221">
        <v>347</v>
      </c>
    </row>
    <row r="2" spans="1:19" x14ac:dyDescent="0.25">
      <c r="A2" s="185" t="s">
        <v>12</v>
      </c>
      <c r="B2" s="183">
        <v>43742</v>
      </c>
      <c r="C2" s="194" t="s">
        <v>6164</v>
      </c>
      <c r="D2" s="185" t="s">
        <v>6134</v>
      </c>
      <c r="E2" s="185" t="s">
        <v>6133</v>
      </c>
      <c r="F2" s="185" t="s">
        <v>5782</v>
      </c>
      <c r="G2" s="185" t="s">
        <v>6165</v>
      </c>
      <c r="H2" s="185"/>
      <c r="I2" s="185"/>
      <c r="J2" s="185" t="s">
        <v>21</v>
      </c>
      <c r="K2" s="185">
        <v>13500</v>
      </c>
      <c r="L2" s="185" t="s">
        <v>6302</v>
      </c>
      <c r="M2" s="185" t="s">
        <v>6260</v>
      </c>
      <c r="N2" s="185"/>
      <c r="O2" s="185"/>
      <c r="P2" s="185" t="s">
        <v>6210</v>
      </c>
      <c r="Q2" s="217">
        <v>43844</v>
      </c>
      <c r="R2" s="185" t="s">
        <v>3186</v>
      </c>
    </row>
    <row r="3" spans="1:19" x14ac:dyDescent="0.25">
      <c r="A3" s="173" t="s">
        <v>12</v>
      </c>
      <c r="B3" s="174">
        <v>43651</v>
      </c>
      <c r="C3" s="195" t="s">
        <v>6132</v>
      </c>
      <c r="D3" s="173" t="s">
        <v>5246</v>
      </c>
      <c r="E3" s="173" t="s">
        <v>4800</v>
      </c>
      <c r="F3" s="173" t="s">
        <v>6135</v>
      </c>
      <c r="G3" s="173" t="s">
        <v>6136</v>
      </c>
      <c r="H3" s="176">
        <v>743.80165289256206</v>
      </c>
      <c r="I3" s="176">
        <v>156.19834710743802</v>
      </c>
      <c r="J3" s="176"/>
      <c r="K3" s="176">
        <v>900.00000000000011</v>
      </c>
      <c r="L3" s="173" t="s">
        <v>6302</v>
      </c>
      <c r="M3" s="173" t="s">
        <v>6238</v>
      </c>
      <c r="N3" s="173"/>
      <c r="O3" s="173"/>
      <c r="P3" s="173" t="s">
        <v>6140</v>
      </c>
      <c r="Q3" s="216">
        <v>43746</v>
      </c>
      <c r="R3" s="173" t="s">
        <v>3186</v>
      </c>
    </row>
    <row r="4" spans="1:19" x14ac:dyDescent="0.25">
      <c r="A4" s="173" t="s">
        <v>12</v>
      </c>
      <c r="B4" s="174">
        <v>43550</v>
      </c>
      <c r="C4" s="175" t="s">
        <v>5941</v>
      </c>
      <c r="D4" s="173" t="s">
        <v>5246</v>
      </c>
      <c r="E4" s="173" t="s">
        <v>4800</v>
      </c>
      <c r="F4" s="173" t="s">
        <v>5942</v>
      </c>
      <c r="G4" s="173" t="s">
        <v>5943</v>
      </c>
      <c r="H4" s="173"/>
      <c r="I4" s="173"/>
      <c r="J4" s="173" t="s">
        <v>21</v>
      </c>
      <c r="K4" s="176">
        <v>1000</v>
      </c>
      <c r="L4" s="173" t="s">
        <v>6302</v>
      </c>
      <c r="M4" s="173" t="s">
        <v>6226</v>
      </c>
      <c r="N4" s="173"/>
      <c r="O4" s="173"/>
      <c r="P4" s="173" t="s">
        <v>6020</v>
      </c>
      <c r="Q4" s="216">
        <v>43563</v>
      </c>
      <c r="R4" s="173" t="s">
        <v>3791</v>
      </c>
    </row>
    <row r="5" spans="1:19" x14ac:dyDescent="0.25">
      <c r="A5" s="173" t="s">
        <v>12</v>
      </c>
      <c r="B5" s="174">
        <v>43517</v>
      </c>
      <c r="C5" s="175" t="s">
        <v>5949</v>
      </c>
      <c r="D5" s="173" t="s">
        <v>5246</v>
      </c>
      <c r="E5" s="173" t="s">
        <v>4800</v>
      </c>
      <c r="F5" s="173" t="s">
        <v>908</v>
      </c>
      <c r="G5" s="173" t="s">
        <v>5950</v>
      </c>
      <c r="H5" s="173"/>
      <c r="I5" s="173"/>
      <c r="J5" s="173" t="s">
        <v>21</v>
      </c>
      <c r="K5" s="176">
        <v>1000</v>
      </c>
      <c r="L5" s="173" t="s">
        <v>6302</v>
      </c>
      <c r="M5" s="173" t="s">
        <v>6259</v>
      </c>
      <c r="N5" s="173"/>
      <c r="O5" s="173"/>
      <c r="P5" s="173" t="s">
        <v>6020</v>
      </c>
      <c r="Q5" s="216">
        <v>43563</v>
      </c>
      <c r="R5" s="173" t="s">
        <v>3791</v>
      </c>
    </row>
    <row r="6" spans="1:19" x14ac:dyDescent="0.25">
      <c r="A6" s="173" t="s">
        <v>12</v>
      </c>
      <c r="B6" s="174">
        <v>43721</v>
      </c>
      <c r="C6" s="197" t="s">
        <v>6121</v>
      </c>
      <c r="D6" s="173" t="s">
        <v>5246</v>
      </c>
      <c r="E6" s="173" t="s">
        <v>4800</v>
      </c>
      <c r="F6" s="173" t="s">
        <v>381</v>
      </c>
      <c r="G6" s="173" t="s">
        <v>6122</v>
      </c>
      <c r="H6" s="173"/>
      <c r="I6" s="173"/>
      <c r="J6" s="173" t="s">
        <v>21</v>
      </c>
      <c r="K6" s="176">
        <v>1000</v>
      </c>
      <c r="L6" s="173" t="s">
        <v>6302</v>
      </c>
      <c r="M6" s="173" t="s">
        <v>6237</v>
      </c>
      <c r="N6" s="173"/>
      <c r="O6" s="173"/>
      <c r="P6" s="173" t="s">
        <v>6140</v>
      </c>
      <c r="Q6" s="216">
        <v>43746</v>
      </c>
      <c r="R6" s="173" t="s">
        <v>3186</v>
      </c>
    </row>
    <row r="7" spans="1:19" x14ac:dyDescent="0.25">
      <c r="A7" s="173" t="s">
        <v>12</v>
      </c>
      <c r="B7" s="174">
        <v>43760</v>
      </c>
      <c r="C7" s="197" t="s">
        <v>6141</v>
      </c>
      <c r="D7" s="173" t="s">
        <v>5246</v>
      </c>
      <c r="E7" s="173" t="s">
        <v>4800</v>
      </c>
      <c r="F7" s="173" t="s">
        <v>6142</v>
      </c>
      <c r="G7" s="173" t="s">
        <v>6143</v>
      </c>
      <c r="H7" s="173"/>
      <c r="I7" s="173"/>
      <c r="J7" s="173" t="s">
        <v>21</v>
      </c>
      <c r="K7" s="176">
        <v>3000</v>
      </c>
      <c r="L7" s="173" t="s">
        <v>6302</v>
      </c>
      <c r="M7" s="173" t="s">
        <v>6259</v>
      </c>
      <c r="N7" s="173"/>
      <c r="O7" s="173"/>
      <c r="P7" s="173" t="s">
        <v>6210</v>
      </c>
      <c r="Q7" s="216">
        <v>43844</v>
      </c>
      <c r="R7" s="173" t="s">
        <v>3791</v>
      </c>
    </row>
    <row r="8" spans="1:19" x14ac:dyDescent="0.25">
      <c r="A8" s="173" t="s">
        <v>12</v>
      </c>
      <c r="B8" s="174">
        <v>43773</v>
      </c>
      <c r="C8" s="197" t="s">
        <v>6158</v>
      </c>
      <c r="D8" s="173" t="s">
        <v>5246</v>
      </c>
      <c r="E8" s="173" t="s">
        <v>4800</v>
      </c>
      <c r="F8" s="173" t="s">
        <v>5474</v>
      </c>
      <c r="G8" s="173" t="s">
        <v>6159</v>
      </c>
      <c r="H8" s="173"/>
      <c r="I8" s="173"/>
      <c r="J8" s="173" t="s">
        <v>21</v>
      </c>
      <c r="K8" s="176">
        <v>5500</v>
      </c>
      <c r="L8" s="173" t="s">
        <v>6302</v>
      </c>
      <c r="M8" s="173" t="s">
        <v>6259</v>
      </c>
      <c r="N8" s="173"/>
      <c r="O8" s="173"/>
      <c r="P8" s="173" t="s">
        <v>6210</v>
      </c>
      <c r="Q8" s="216">
        <v>43844</v>
      </c>
      <c r="R8" s="173" t="s">
        <v>3791</v>
      </c>
    </row>
    <row r="9" spans="1:19" x14ac:dyDescent="0.25">
      <c r="A9" s="173" t="s">
        <v>12</v>
      </c>
      <c r="B9" s="174">
        <v>43773</v>
      </c>
      <c r="C9" s="197" t="s">
        <v>6155</v>
      </c>
      <c r="D9" s="173" t="s">
        <v>5246</v>
      </c>
      <c r="E9" s="173" t="s">
        <v>4800</v>
      </c>
      <c r="F9" s="173" t="s">
        <v>6156</v>
      </c>
      <c r="G9" s="173" t="s">
        <v>6157</v>
      </c>
      <c r="H9" s="173"/>
      <c r="I9" s="173"/>
      <c r="J9" s="173" t="s">
        <v>21</v>
      </c>
      <c r="K9" s="176">
        <v>5000</v>
      </c>
      <c r="L9" s="173" t="s">
        <v>6302</v>
      </c>
      <c r="M9" s="173" t="s">
        <v>6240</v>
      </c>
      <c r="N9" s="173"/>
      <c r="O9" s="173"/>
      <c r="P9" s="173" t="s">
        <v>6210</v>
      </c>
      <c r="Q9" s="216">
        <v>43844</v>
      </c>
      <c r="R9" s="173" t="s">
        <v>3186</v>
      </c>
    </row>
    <row r="10" spans="1:19" x14ac:dyDescent="0.25">
      <c r="A10" s="173" t="s">
        <v>12</v>
      </c>
      <c r="B10" s="174">
        <v>43774</v>
      </c>
      <c r="C10" s="197" t="s">
        <v>6152</v>
      </c>
      <c r="D10" s="173" t="s">
        <v>5246</v>
      </c>
      <c r="E10" s="173" t="s">
        <v>4800</v>
      </c>
      <c r="F10" s="173" t="s">
        <v>6153</v>
      </c>
      <c r="G10" s="173" t="s">
        <v>6154</v>
      </c>
      <c r="H10" s="173"/>
      <c r="I10" s="173"/>
      <c r="J10" s="173" t="s">
        <v>21</v>
      </c>
      <c r="K10" s="176">
        <v>1700</v>
      </c>
      <c r="L10" s="173" t="s">
        <v>6302</v>
      </c>
      <c r="M10" s="173" t="s">
        <v>6240</v>
      </c>
      <c r="N10" s="173"/>
      <c r="O10" s="173"/>
      <c r="P10" s="173" t="s">
        <v>6210</v>
      </c>
      <c r="Q10" s="216">
        <v>43844</v>
      </c>
      <c r="R10" s="173" t="s">
        <v>3186</v>
      </c>
    </row>
    <row r="11" spans="1:19" x14ac:dyDescent="0.25">
      <c r="A11" s="173" t="s">
        <v>12</v>
      </c>
      <c r="B11" s="174">
        <v>43620</v>
      </c>
      <c r="C11" s="195" t="s">
        <v>6035</v>
      </c>
      <c r="D11" s="173" t="s">
        <v>5701</v>
      </c>
      <c r="E11" s="173" t="s">
        <v>5702</v>
      </c>
      <c r="F11" s="173" t="s">
        <v>442</v>
      </c>
      <c r="G11" s="173" t="s">
        <v>5586</v>
      </c>
      <c r="H11" s="173"/>
      <c r="I11" s="173"/>
      <c r="J11" s="173" t="s">
        <v>21</v>
      </c>
      <c r="K11" s="176">
        <v>4500</v>
      </c>
      <c r="L11" s="173"/>
      <c r="M11" s="173"/>
      <c r="N11" s="173"/>
      <c r="O11" s="173"/>
      <c r="P11" s="173" t="s">
        <v>6083</v>
      </c>
      <c r="Q11" s="216">
        <v>43645</v>
      </c>
      <c r="R11" s="173"/>
    </row>
    <row r="12" spans="1:19" x14ac:dyDescent="0.25">
      <c r="A12" s="173" t="s">
        <v>12</v>
      </c>
      <c r="B12" s="174">
        <v>43790</v>
      </c>
      <c r="C12" s="197" t="s">
        <v>6160</v>
      </c>
      <c r="D12" s="173" t="s">
        <v>5246</v>
      </c>
      <c r="E12" s="173" t="s">
        <v>4800</v>
      </c>
      <c r="F12" s="173" t="s">
        <v>6161</v>
      </c>
      <c r="G12" s="173" t="s">
        <v>6414</v>
      </c>
      <c r="H12" s="173"/>
      <c r="I12" s="173"/>
      <c r="J12" s="173" t="s">
        <v>21</v>
      </c>
      <c r="K12" s="176">
        <v>1800</v>
      </c>
      <c r="L12" s="173" t="s">
        <v>6302</v>
      </c>
      <c r="M12" s="173" t="s">
        <v>6259</v>
      </c>
      <c r="N12" s="173"/>
      <c r="O12" s="173"/>
      <c r="P12" s="173" t="s">
        <v>6210</v>
      </c>
      <c r="Q12" s="216">
        <v>43844</v>
      </c>
      <c r="R12" s="173" t="s">
        <v>3791</v>
      </c>
    </row>
    <row r="13" spans="1:19" x14ac:dyDescent="0.25">
      <c r="A13" s="173" t="s">
        <v>12</v>
      </c>
      <c r="B13" s="174">
        <v>43795</v>
      </c>
      <c r="C13" s="197" t="s">
        <v>6147</v>
      </c>
      <c r="D13" s="173" t="s">
        <v>5246</v>
      </c>
      <c r="E13" s="173" t="s">
        <v>4800</v>
      </c>
      <c r="F13" s="173" t="s">
        <v>6148</v>
      </c>
      <c r="G13" s="173" t="s">
        <v>6149</v>
      </c>
      <c r="H13" s="173"/>
      <c r="I13" s="173"/>
      <c r="J13" s="173" t="s">
        <v>21</v>
      </c>
      <c r="K13" s="173">
        <v>14100</v>
      </c>
      <c r="L13" s="173" t="s">
        <v>6302</v>
      </c>
      <c r="M13" s="173" t="s">
        <v>6259</v>
      </c>
      <c r="N13" s="173"/>
      <c r="O13" s="173"/>
      <c r="P13" s="173" t="s">
        <v>6210</v>
      </c>
      <c r="Q13" s="216">
        <v>43844</v>
      </c>
      <c r="R13" s="173" t="s">
        <v>3791</v>
      </c>
    </row>
    <row r="14" spans="1:19" x14ac:dyDescent="0.25">
      <c r="A14" s="173" t="s">
        <v>12</v>
      </c>
      <c r="B14" s="174">
        <v>43815</v>
      </c>
      <c r="C14" s="197" t="s">
        <v>6144</v>
      </c>
      <c r="D14" s="173" t="s">
        <v>5246</v>
      </c>
      <c r="E14" s="173" t="s">
        <v>4800</v>
      </c>
      <c r="F14" s="173" t="s">
        <v>6145</v>
      </c>
      <c r="G14" s="173" t="s">
        <v>6146</v>
      </c>
      <c r="H14" s="173"/>
      <c r="I14" s="173"/>
      <c r="J14" s="173" t="s">
        <v>21</v>
      </c>
      <c r="K14" s="176">
        <v>1800</v>
      </c>
      <c r="L14" s="173" t="s">
        <v>6302</v>
      </c>
      <c r="M14" s="173" t="s">
        <v>6259</v>
      </c>
      <c r="N14" s="173"/>
      <c r="O14" s="173"/>
      <c r="P14" s="173" t="s">
        <v>6210</v>
      </c>
      <c r="Q14" s="216">
        <v>43844</v>
      </c>
      <c r="R14" s="173" t="s">
        <v>3791</v>
      </c>
    </row>
    <row r="15" spans="1:19" x14ac:dyDescent="0.25">
      <c r="A15" s="173" t="s">
        <v>12</v>
      </c>
      <c r="B15" s="174">
        <v>43543</v>
      </c>
      <c r="C15" s="195" t="s">
        <v>6058</v>
      </c>
      <c r="D15" s="173" t="s">
        <v>5246</v>
      </c>
      <c r="E15" s="173" t="s">
        <v>4800</v>
      </c>
      <c r="F15" s="173" t="s">
        <v>6059</v>
      </c>
      <c r="G15" s="173" t="s">
        <v>6060</v>
      </c>
      <c r="H15" s="173"/>
      <c r="I15" s="173"/>
      <c r="J15" s="173" t="s">
        <v>21</v>
      </c>
      <c r="K15" s="176">
        <v>2200</v>
      </c>
      <c r="L15" s="173" t="s">
        <v>6302</v>
      </c>
      <c r="M15" s="173" t="s">
        <v>6259</v>
      </c>
      <c r="N15" s="173"/>
      <c r="O15" s="173"/>
      <c r="P15" s="173" t="s">
        <v>6083</v>
      </c>
      <c r="Q15" s="216">
        <v>43645</v>
      </c>
      <c r="R15" s="173" t="s">
        <v>3791</v>
      </c>
    </row>
    <row r="16" spans="1:19" x14ac:dyDescent="0.25">
      <c r="A16" s="173" t="s">
        <v>12</v>
      </c>
      <c r="B16" s="174">
        <v>43565</v>
      </c>
      <c r="C16" s="195" t="s">
        <v>6029</v>
      </c>
      <c r="D16" s="173" t="s">
        <v>5246</v>
      </c>
      <c r="E16" s="173" t="s">
        <v>4800</v>
      </c>
      <c r="F16" s="173" t="s">
        <v>5474</v>
      </c>
      <c r="G16" s="173" t="s">
        <v>6030</v>
      </c>
      <c r="H16" s="173"/>
      <c r="I16" s="173"/>
      <c r="J16" s="173" t="s">
        <v>21</v>
      </c>
      <c r="K16" s="176">
        <v>2500</v>
      </c>
      <c r="L16" s="173" t="s">
        <v>6302</v>
      </c>
      <c r="M16" s="173" t="s">
        <v>6227</v>
      </c>
      <c r="N16" s="173"/>
      <c r="O16" s="173"/>
      <c r="P16" s="173" t="s">
        <v>6083</v>
      </c>
      <c r="Q16" s="216">
        <v>43645</v>
      </c>
      <c r="R16" s="173" t="s">
        <v>3186</v>
      </c>
    </row>
    <row r="17" spans="1:18" x14ac:dyDescent="0.25">
      <c r="A17" s="173" t="s">
        <v>12</v>
      </c>
      <c r="B17" s="174">
        <v>43584</v>
      </c>
      <c r="C17" s="195" t="s">
        <v>6027</v>
      </c>
      <c r="D17" s="173" t="s">
        <v>5246</v>
      </c>
      <c r="E17" s="173" t="s">
        <v>4800</v>
      </c>
      <c r="F17" s="173" t="s">
        <v>5474</v>
      </c>
      <c r="G17" s="173" t="s">
        <v>6028</v>
      </c>
      <c r="H17" s="173"/>
      <c r="I17" s="173"/>
      <c r="J17" s="173" t="s">
        <v>21</v>
      </c>
      <c r="K17" s="176">
        <v>9000</v>
      </c>
      <c r="L17" s="173" t="s">
        <v>6302</v>
      </c>
      <c r="M17" s="173" t="s">
        <v>6259</v>
      </c>
      <c r="N17" s="173"/>
      <c r="O17" s="173"/>
      <c r="P17" s="173" t="s">
        <v>6083</v>
      </c>
      <c r="Q17" s="216">
        <v>43645</v>
      </c>
      <c r="R17" s="173" t="s">
        <v>3791</v>
      </c>
    </row>
    <row r="18" spans="1:18" x14ac:dyDescent="0.25">
      <c r="A18" s="173" t="s">
        <v>12</v>
      </c>
      <c r="B18" s="174">
        <v>43655</v>
      </c>
      <c r="C18" s="197" t="s">
        <v>6130</v>
      </c>
      <c r="D18" s="173" t="s">
        <v>5246</v>
      </c>
      <c r="E18" s="173" t="s">
        <v>4800</v>
      </c>
      <c r="F18" s="173" t="s">
        <v>3210</v>
      </c>
      <c r="G18" s="173" t="s">
        <v>6131</v>
      </c>
      <c r="H18" s="173"/>
      <c r="I18" s="173"/>
      <c r="J18" s="173" t="s">
        <v>21</v>
      </c>
      <c r="K18" s="176">
        <v>3500</v>
      </c>
      <c r="L18" s="173"/>
      <c r="M18" s="173" t="s">
        <v>6250</v>
      </c>
      <c r="N18" s="173"/>
      <c r="O18" s="173"/>
      <c r="P18" s="173" t="s">
        <v>6140</v>
      </c>
      <c r="Q18" s="216">
        <v>43746</v>
      </c>
      <c r="R18" s="173" t="s">
        <v>3186</v>
      </c>
    </row>
    <row r="19" spans="1:18" x14ac:dyDescent="0.25">
      <c r="A19" s="173" t="s">
        <v>12</v>
      </c>
      <c r="B19" s="174">
        <v>43679</v>
      </c>
      <c r="C19" s="197" t="s">
        <v>6125</v>
      </c>
      <c r="D19" s="173" t="s">
        <v>5246</v>
      </c>
      <c r="E19" s="173" t="s">
        <v>4800</v>
      </c>
      <c r="F19" s="173" t="s">
        <v>3210</v>
      </c>
      <c r="G19" s="173" t="s">
        <v>6126</v>
      </c>
      <c r="H19" s="173"/>
      <c r="I19" s="173"/>
      <c r="J19" s="173" t="s">
        <v>21</v>
      </c>
      <c r="K19" s="176">
        <v>1000</v>
      </c>
      <c r="L19" s="173"/>
      <c r="M19" s="173" t="s">
        <v>6212</v>
      </c>
      <c r="N19" s="173"/>
      <c r="O19" s="173"/>
      <c r="P19" s="173" t="s">
        <v>6140</v>
      </c>
      <c r="Q19" s="216">
        <v>43746</v>
      </c>
      <c r="R19" s="173" t="s">
        <v>3186</v>
      </c>
    </row>
    <row r="20" spans="1:18" x14ac:dyDescent="0.25">
      <c r="A20" s="173" t="s">
        <v>12</v>
      </c>
      <c r="B20" s="174">
        <v>43741</v>
      </c>
      <c r="C20" s="197" t="s">
        <v>6170</v>
      </c>
      <c r="D20" s="173" t="s">
        <v>6169</v>
      </c>
      <c r="E20" s="173" t="s">
        <v>6171</v>
      </c>
      <c r="F20" s="173" t="s">
        <v>6172</v>
      </c>
      <c r="G20" s="173" t="s">
        <v>6173</v>
      </c>
      <c r="H20" s="173"/>
      <c r="I20" s="173"/>
      <c r="J20" s="173" t="s">
        <v>21</v>
      </c>
      <c r="K20" s="176">
        <v>7200</v>
      </c>
      <c r="L20" s="173" t="s">
        <v>6302</v>
      </c>
      <c r="M20" s="173" t="s">
        <v>6258</v>
      </c>
      <c r="N20" s="173"/>
      <c r="O20" s="173"/>
      <c r="P20" s="173" t="s">
        <v>6210</v>
      </c>
      <c r="Q20" s="216">
        <v>43844</v>
      </c>
      <c r="R20" s="173" t="s">
        <v>3186</v>
      </c>
    </row>
    <row r="21" spans="1:18" x14ac:dyDescent="0.25">
      <c r="A21" s="173" t="s">
        <v>12</v>
      </c>
      <c r="B21" s="174">
        <v>43741</v>
      </c>
      <c r="C21" s="197" t="s">
        <v>6174</v>
      </c>
      <c r="D21" s="173" t="s">
        <v>6169</v>
      </c>
      <c r="E21" s="173" t="s">
        <v>6171</v>
      </c>
      <c r="F21" s="173" t="s">
        <v>5100</v>
      </c>
      <c r="G21" s="173" t="s">
        <v>6175</v>
      </c>
      <c r="H21" s="173"/>
      <c r="I21" s="173"/>
      <c r="J21" s="173" t="s">
        <v>21</v>
      </c>
      <c r="K21" s="176">
        <v>9500</v>
      </c>
      <c r="L21" s="173" t="s">
        <v>6302</v>
      </c>
      <c r="M21" s="173" t="s">
        <v>6248</v>
      </c>
      <c r="N21" s="173"/>
      <c r="O21" s="173"/>
      <c r="P21" s="173" t="s">
        <v>6210</v>
      </c>
      <c r="Q21" s="216">
        <v>43844</v>
      </c>
      <c r="R21" s="173" t="s">
        <v>3186</v>
      </c>
    </row>
    <row r="22" spans="1:18" x14ac:dyDescent="0.25">
      <c r="A22" s="173" t="s">
        <v>12</v>
      </c>
      <c r="B22" s="174">
        <v>43774</v>
      </c>
      <c r="C22" s="197" t="s">
        <v>951</v>
      </c>
      <c r="D22" s="173" t="s">
        <v>3723</v>
      </c>
      <c r="E22" s="173" t="s">
        <v>3724</v>
      </c>
      <c r="F22" s="173" t="s">
        <v>3679</v>
      </c>
      <c r="G22" s="173" t="s">
        <v>3680</v>
      </c>
      <c r="H22" s="173"/>
      <c r="I22" s="173"/>
      <c r="J22" s="173" t="s">
        <v>21</v>
      </c>
      <c r="K22" s="176">
        <v>5000</v>
      </c>
      <c r="L22" s="173" t="s">
        <v>6302</v>
      </c>
      <c r="M22" s="173" t="s">
        <v>6241</v>
      </c>
      <c r="N22" s="173"/>
      <c r="O22" s="173"/>
      <c r="P22" s="173" t="s">
        <v>6210</v>
      </c>
      <c r="Q22" s="216">
        <v>43844</v>
      </c>
      <c r="R22" s="173" t="s">
        <v>3186</v>
      </c>
    </row>
    <row r="23" spans="1:18" x14ac:dyDescent="0.25">
      <c r="A23" s="173" t="s">
        <v>12</v>
      </c>
      <c r="B23" s="174">
        <v>43707</v>
      </c>
      <c r="C23" s="197">
        <v>146940</v>
      </c>
      <c r="D23" s="173" t="s">
        <v>6169</v>
      </c>
      <c r="E23" s="173" t="s">
        <v>6171</v>
      </c>
      <c r="F23" s="173" t="s">
        <v>5613</v>
      </c>
      <c r="G23" s="173" t="s">
        <v>6176</v>
      </c>
      <c r="H23" s="176">
        <v>5206.6099999999997</v>
      </c>
      <c r="I23" s="176">
        <v>1093.3880999999999</v>
      </c>
      <c r="J23" s="176"/>
      <c r="K23" s="176">
        <v>6299.9980999999998</v>
      </c>
      <c r="L23" s="173"/>
      <c r="M23" s="173" t="s">
        <v>6219</v>
      </c>
      <c r="N23" s="173"/>
      <c r="O23" s="173"/>
      <c r="P23" s="173" t="s">
        <v>6210</v>
      </c>
      <c r="Q23" s="216">
        <v>43844</v>
      </c>
      <c r="R23" s="173" t="s">
        <v>3186</v>
      </c>
    </row>
    <row r="24" spans="1:18" x14ac:dyDescent="0.25">
      <c r="A24" s="173" t="s">
        <v>12</v>
      </c>
      <c r="B24" s="174">
        <v>43707</v>
      </c>
      <c r="C24" s="197" t="s">
        <v>6177</v>
      </c>
      <c r="D24" s="173" t="s">
        <v>6169</v>
      </c>
      <c r="E24" s="173" t="s">
        <v>6171</v>
      </c>
      <c r="F24" s="173" t="s">
        <v>6178</v>
      </c>
      <c r="G24" s="173" t="s">
        <v>6179</v>
      </c>
      <c r="H24" s="173"/>
      <c r="I24" s="173"/>
      <c r="J24" s="173" t="s">
        <v>21</v>
      </c>
      <c r="K24" s="173">
        <v>7300</v>
      </c>
      <c r="L24" s="173" t="s">
        <v>6302</v>
      </c>
      <c r="M24" s="173" t="s">
        <v>6219</v>
      </c>
      <c r="N24" s="173"/>
      <c r="O24" s="173"/>
      <c r="P24" s="173" t="s">
        <v>6210</v>
      </c>
      <c r="Q24" s="216">
        <v>43844</v>
      </c>
      <c r="R24" s="173" t="s">
        <v>3186</v>
      </c>
    </row>
    <row r="25" spans="1:18" x14ac:dyDescent="0.25">
      <c r="A25" s="173" t="s">
        <v>12</v>
      </c>
      <c r="B25" s="174">
        <v>43668</v>
      </c>
      <c r="C25" s="197" t="s">
        <v>6183</v>
      </c>
      <c r="D25" s="173" t="s">
        <v>5808</v>
      </c>
      <c r="E25" s="173" t="s">
        <v>4797</v>
      </c>
      <c r="F25" s="173" t="s">
        <v>6180</v>
      </c>
      <c r="G25" s="173" t="s">
        <v>6181</v>
      </c>
      <c r="H25" s="176"/>
      <c r="I25" s="176"/>
      <c r="J25" s="176" t="s">
        <v>21</v>
      </c>
      <c r="K25" s="176">
        <v>5600</v>
      </c>
      <c r="L25" s="173"/>
      <c r="M25" s="173" t="s">
        <v>6251</v>
      </c>
      <c r="N25" s="173"/>
      <c r="O25" s="173"/>
      <c r="P25" s="173" t="s">
        <v>6210</v>
      </c>
      <c r="Q25" s="216">
        <v>43844</v>
      </c>
      <c r="R25" s="173" t="s">
        <v>3186</v>
      </c>
    </row>
    <row r="26" spans="1:18" x14ac:dyDescent="0.25">
      <c r="A26" s="173" t="s">
        <v>12</v>
      </c>
      <c r="B26" s="174">
        <v>43859</v>
      </c>
      <c r="C26" s="197" t="s">
        <v>951</v>
      </c>
      <c r="D26" s="173" t="s">
        <v>6278</v>
      </c>
      <c r="E26" s="173" t="s">
        <v>6279</v>
      </c>
      <c r="F26" s="173" t="s">
        <v>368</v>
      </c>
      <c r="G26" s="173" t="s">
        <v>6280</v>
      </c>
      <c r="H26" s="173"/>
      <c r="I26" s="173"/>
      <c r="J26" s="173" t="s">
        <v>21</v>
      </c>
      <c r="K26" s="176">
        <v>600</v>
      </c>
      <c r="L26" s="173" t="s">
        <v>6302</v>
      </c>
      <c r="M26" s="173" t="s">
        <v>6549</v>
      </c>
      <c r="N26" s="173"/>
      <c r="O26" s="173"/>
      <c r="P26" s="173" t="s">
        <v>6336</v>
      </c>
      <c r="Q26" s="187"/>
      <c r="R26" s="173" t="s">
        <v>3186</v>
      </c>
    </row>
    <row r="27" spans="1:18" x14ac:dyDescent="0.25">
      <c r="A27" s="173" t="s">
        <v>12</v>
      </c>
      <c r="B27" s="174">
        <v>43894</v>
      </c>
      <c r="C27" s="195" t="s">
        <v>6281</v>
      </c>
      <c r="D27" s="173" t="s">
        <v>5246</v>
      </c>
      <c r="E27" s="173" t="s">
        <v>4800</v>
      </c>
      <c r="F27" s="173" t="s">
        <v>5404</v>
      </c>
      <c r="G27" s="173" t="s">
        <v>6282</v>
      </c>
      <c r="H27" s="173"/>
      <c r="I27" s="173"/>
      <c r="J27" s="173" t="s">
        <v>21</v>
      </c>
      <c r="K27" s="176">
        <v>14000</v>
      </c>
      <c r="L27" s="173" t="s">
        <v>6302</v>
      </c>
      <c r="M27" s="173"/>
      <c r="N27" s="173"/>
      <c r="O27" s="173"/>
      <c r="P27" s="173" t="s">
        <v>6336</v>
      </c>
      <c r="Q27" s="187"/>
      <c r="R27" s="173"/>
    </row>
    <row r="28" spans="1:18" x14ac:dyDescent="0.25">
      <c r="A28" s="173" t="s">
        <v>12</v>
      </c>
      <c r="B28" s="174">
        <v>43866</v>
      </c>
      <c r="C28" s="195" t="s">
        <v>6283</v>
      </c>
      <c r="D28" s="173" t="s">
        <v>5246</v>
      </c>
      <c r="E28" s="173" t="s">
        <v>4800</v>
      </c>
      <c r="F28" s="173" t="s">
        <v>6284</v>
      </c>
      <c r="G28" s="173" t="s">
        <v>6285</v>
      </c>
      <c r="H28" s="173"/>
      <c r="I28" s="173"/>
      <c r="J28" s="173" t="s">
        <v>21</v>
      </c>
      <c r="K28" s="176">
        <v>14200</v>
      </c>
      <c r="L28" s="173" t="s">
        <v>6302</v>
      </c>
      <c r="M28" s="173"/>
      <c r="N28" s="173"/>
      <c r="O28" s="173"/>
      <c r="P28" s="173" t="s">
        <v>6336</v>
      </c>
      <c r="Q28" s="187"/>
      <c r="R28" s="173"/>
    </row>
    <row r="29" spans="1:18" x14ac:dyDescent="0.25">
      <c r="A29" s="173" t="s">
        <v>12</v>
      </c>
      <c r="B29" s="174">
        <v>43852</v>
      </c>
      <c r="C29" s="195" t="s">
        <v>6286</v>
      </c>
      <c r="D29" s="173" t="s">
        <v>5246</v>
      </c>
      <c r="E29" s="173" t="s">
        <v>4800</v>
      </c>
      <c r="F29" s="173" t="s">
        <v>6287</v>
      </c>
      <c r="G29" s="173" t="s">
        <v>6288</v>
      </c>
      <c r="H29" s="173"/>
      <c r="I29" s="173"/>
      <c r="J29" s="173" t="s">
        <v>21</v>
      </c>
      <c r="K29" s="176">
        <v>400</v>
      </c>
      <c r="L29" s="173" t="s">
        <v>6302</v>
      </c>
      <c r="M29" s="190"/>
      <c r="N29" s="173"/>
      <c r="O29" s="173"/>
      <c r="P29" s="173" t="s">
        <v>6336</v>
      </c>
      <c r="Q29" s="187"/>
      <c r="R29" s="190"/>
    </row>
    <row r="30" spans="1:18" x14ac:dyDescent="0.25">
      <c r="A30" s="173" t="s">
        <v>12</v>
      </c>
      <c r="B30" s="174">
        <v>43852</v>
      </c>
      <c r="C30" s="195" t="s">
        <v>6289</v>
      </c>
      <c r="D30" s="173" t="s">
        <v>5246</v>
      </c>
      <c r="E30" s="173" t="s">
        <v>4800</v>
      </c>
      <c r="F30" s="173" t="s">
        <v>6290</v>
      </c>
      <c r="G30" s="173" t="s">
        <v>6291</v>
      </c>
      <c r="H30" s="173"/>
      <c r="I30" s="173"/>
      <c r="J30" s="173" t="s">
        <v>21</v>
      </c>
      <c r="K30" s="176">
        <v>1400</v>
      </c>
      <c r="L30" s="218" t="s">
        <v>6302</v>
      </c>
      <c r="M30" s="173"/>
      <c r="N30" s="187"/>
      <c r="O30" s="173"/>
      <c r="P30" s="173" t="s">
        <v>6336</v>
      </c>
      <c r="Q30" s="188"/>
      <c r="R30" s="173"/>
    </row>
    <row r="31" spans="1:18" x14ac:dyDescent="0.25">
      <c r="A31" s="173" t="s">
        <v>12</v>
      </c>
      <c r="B31" s="174">
        <v>43854</v>
      </c>
      <c r="C31" s="195" t="s">
        <v>6292</v>
      </c>
      <c r="D31" s="173" t="s">
        <v>5246</v>
      </c>
      <c r="E31" s="173" t="s">
        <v>4800</v>
      </c>
      <c r="F31" s="173" t="s">
        <v>381</v>
      </c>
      <c r="G31" s="173" t="s">
        <v>6293</v>
      </c>
      <c r="H31" s="173"/>
      <c r="I31" s="173"/>
      <c r="J31" s="173" t="s">
        <v>21</v>
      </c>
      <c r="K31" s="176">
        <v>11500</v>
      </c>
      <c r="L31" s="173" t="s">
        <v>6302</v>
      </c>
      <c r="M31" s="185"/>
      <c r="N31" s="173"/>
      <c r="O31" s="173"/>
      <c r="P31" s="173" t="s">
        <v>6336</v>
      </c>
      <c r="Q31" s="187"/>
      <c r="R31" s="185"/>
    </row>
    <row r="32" spans="1:18" x14ac:dyDescent="0.25">
      <c r="A32" s="173" t="s">
        <v>12</v>
      </c>
      <c r="B32" s="174">
        <v>43845</v>
      </c>
      <c r="C32" s="195" t="s">
        <v>6294</v>
      </c>
      <c r="D32" s="173" t="s">
        <v>5246</v>
      </c>
      <c r="E32" s="173" t="s">
        <v>4800</v>
      </c>
      <c r="F32" s="173" t="s">
        <v>469</v>
      </c>
      <c r="G32" s="173" t="s">
        <v>6295</v>
      </c>
      <c r="H32" s="173"/>
      <c r="I32" s="173"/>
      <c r="J32" s="173" t="s">
        <v>21</v>
      </c>
      <c r="K32" s="176">
        <v>4100</v>
      </c>
      <c r="L32" s="173" t="s">
        <v>6302</v>
      </c>
      <c r="M32" s="173"/>
      <c r="N32" s="173"/>
      <c r="O32" s="173"/>
      <c r="P32" s="173" t="s">
        <v>6336</v>
      </c>
      <c r="Q32" s="187"/>
      <c r="R32" s="173"/>
    </row>
    <row r="33" spans="1:19" x14ac:dyDescent="0.25">
      <c r="A33" s="173" t="s">
        <v>12</v>
      </c>
      <c r="B33" s="174">
        <v>43845</v>
      </c>
      <c r="C33" s="195" t="s">
        <v>6296</v>
      </c>
      <c r="D33" s="173" t="s">
        <v>5246</v>
      </c>
      <c r="E33" s="173" t="s">
        <v>4800</v>
      </c>
      <c r="F33" s="173" t="s">
        <v>5193</v>
      </c>
      <c r="G33" s="173" t="s">
        <v>6297</v>
      </c>
      <c r="H33" s="173"/>
      <c r="I33" s="173"/>
      <c r="J33" s="173" t="s">
        <v>21</v>
      </c>
      <c r="K33" s="176">
        <v>8500</v>
      </c>
      <c r="L33" s="173" t="s">
        <v>6302</v>
      </c>
      <c r="M33" s="173"/>
      <c r="N33" s="173"/>
      <c r="O33" s="173"/>
      <c r="P33" s="173" t="s">
        <v>6336</v>
      </c>
      <c r="Q33" s="187"/>
      <c r="R33" s="173"/>
    </row>
    <row r="34" spans="1:19" x14ac:dyDescent="0.25">
      <c r="A34" s="173" t="s">
        <v>12</v>
      </c>
      <c r="B34" s="174">
        <v>43852</v>
      </c>
      <c r="C34" s="195" t="s">
        <v>6298</v>
      </c>
      <c r="D34" s="173" t="s">
        <v>5246</v>
      </c>
      <c r="E34" s="173" t="s">
        <v>4800</v>
      </c>
      <c r="F34" s="173" t="s">
        <v>6299</v>
      </c>
      <c r="G34" s="173" t="s">
        <v>6300</v>
      </c>
      <c r="H34" s="173"/>
      <c r="I34" s="173"/>
      <c r="J34" s="173" t="s">
        <v>21</v>
      </c>
      <c r="K34" s="176">
        <v>2800</v>
      </c>
      <c r="L34" s="173" t="s">
        <v>6302</v>
      </c>
      <c r="M34" s="173"/>
      <c r="N34" s="173"/>
      <c r="O34" s="173"/>
      <c r="P34" s="173" t="s">
        <v>6336</v>
      </c>
      <c r="Q34" s="187"/>
      <c r="R34" s="173"/>
    </row>
    <row r="35" spans="1:19" x14ac:dyDescent="0.25">
      <c r="A35" s="173" t="s">
        <v>408</v>
      </c>
      <c r="B35" s="174">
        <v>43832</v>
      </c>
      <c r="C35" s="173">
        <v>20001</v>
      </c>
      <c r="D35" s="173" t="s">
        <v>6301</v>
      </c>
      <c r="E35" s="173" t="s">
        <v>5983</v>
      </c>
      <c r="F35" s="173" t="s">
        <v>6153</v>
      </c>
      <c r="G35" s="173" t="s">
        <v>6154</v>
      </c>
      <c r="H35" s="173"/>
      <c r="I35" s="173"/>
      <c r="J35" s="173" t="s">
        <v>21</v>
      </c>
      <c r="K35" s="176">
        <v>2500</v>
      </c>
      <c r="L35" s="173" t="s">
        <v>6303</v>
      </c>
      <c r="M35" s="173" t="s">
        <v>6529</v>
      </c>
      <c r="N35" s="173"/>
      <c r="O35" s="173"/>
      <c r="P35" s="173" t="s">
        <v>6336</v>
      </c>
      <c r="Q35" s="187"/>
      <c r="R35" s="173" t="s">
        <v>3186</v>
      </c>
      <c r="S35" t="s">
        <v>6552</v>
      </c>
    </row>
    <row r="36" spans="1:19" x14ac:dyDescent="0.25">
      <c r="A36" s="173" t="s">
        <v>408</v>
      </c>
      <c r="B36" s="174">
        <v>43832</v>
      </c>
      <c r="C36" s="173">
        <v>20002</v>
      </c>
      <c r="D36" s="173" t="s">
        <v>6304</v>
      </c>
      <c r="E36" s="173" t="s">
        <v>6305</v>
      </c>
      <c r="F36" s="173" t="s">
        <v>6172</v>
      </c>
      <c r="G36" s="173" t="s">
        <v>6173</v>
      </c>
      <c r="H36" s="173"/>
      <c r="I36" s="173"/>
      <c r="J36" s="173" t="s">
        <v>21</v>
      </c>
      <c r="K36" s="176">
        <v>9995</v>
      </c>
      <c r="L36" s="173" t="s">
        <v>6306</v>
      </c>
      <c r="M36" s="173" t="s">
        <v>6540</v>
      </c>
      <c r="N36" s="173"/>
      <c r="O36" s="173"/>
      <c r="P36" s="173" t="s">
        <v>6336</v>
      </c>
      <c r="Q36" s="187"/>
      <c r="R36" s="173" t="s">
        <v>3186</v>
      </c>
      <c r="S36" t="s">
        <v>6551</v>
      </c>
    </row>
    <row r="37" spans="1:19" x14ac:dyDescent="0.25">
      <c r="A37" s="173" t="s">
        <v>408</v>
      </c>
      <c r="B37" s="174">
        <v>43843</v>
      </c>
      <c r="C37" s="173">
        <v>20003</v>
      </c>
      <c r="D37" s="173" t="s">
        <v>6307</v>
      </c>
      <c r="E37" s="173" t="s">
        <v>6308</v>
      </c>
      <c r="F37" s="173" t="s">
        <v>5782</v>
      </c>
      <c r="G37" s="173" t="s">
        <v>6165</v>
      </c>
      <c r="H37" s="173"/>
      <c r="I37" s="173"/>
      <c r="J37" s="173" t="s">
        <v>21</v>
      </c>
      <c r="K37" s="173">
        <v>16995</v>
      </c>
      <c r="L37" s="173" t="s">
        <v>6309</v>
      </c>
      <c r="M37" s="173" t="s">
        <v>6543</v>
      </c>
      <c r="N37" s="173"/>
      <c r="O37" s="173"/>
      <c r="P37" s="173" t="s">
        <v>6336</v>
      </c>
      <c r="Q37" s="187"/>
      <c r="R37" s="173" t="s">
        <v>3791</v>
      </c>
      <c r="S37" t="s">
        <v>6551</v>
      </c>
    </row>
    <row r="38" spans="1:19" x14ac:dyDescent="0.25">
      <c r="A38" s="173" t="s">
        <v>408</v>
      </c>
      <c r="B38" s="174">
        <v>43845</v>
      </c>
      <c r="C38" s="173">
        <v>20004</v>
      </c>
      <c r="D38" s="173" t="s">
        <v>5832</v>
      </c>
      <c r="E38" s="173" t="s">
        <v>5833</v>
      </c>
      <c r="F38" s="173" t="s">
        <v>5474</v>
      </c>
      <c r="G38" s="173" t="s">
        <v>6030</v>
      </c>
      <c r="H38" s="173"/>
      <c r="I38" s="173"/>
      <c r="J38" s="173" t="s">
        <v>21</v>
      </c>
      <c r="K38" s="176">
        <v>2000</v>
      </c>
      <c r="L38" s="173" t="s">
        <v>6310</v>
      </c>
      <c r="M38" s="173" t="s">
        <v>6521</v>
      </c>
      <c r="N38" s="173"/>
      <c r="O38" s="173"/>
      <c r="P38" s="173" t="s">
        <v>6336</v>
      </c>
      <c r="Q38" s="187"/>
      <c r="R38" s="173" t="s">
        <v>3186</v>
      </c>
      <c r="S38" t="s">
        <v>6553</v>
      </c>
    </row>
    <row r="39" spans="1:19" x14ac:dyDescent="0.25">
      <c r="A39" s="173" t="s">
        <v>408</v>
      </c>
      <c r="B39" s="174">
        <v>43845</v>
      </c>
      <c r="C39" s="173">
        <v>20005</v>
      </c>
      <c r="D39" s="173" t="s">
        <v>5832</v>
      </c>
      <c r="E39" s="173" t="s">
        <v>5833</v>
      </c>
      <c r="F39" s="173" t="s">
        <v>5474</v>
      </c>
      <c r="G39" s="173" t="s">
        <v>6159</v>
      </c>
      <c r="H39" s="173"/>
      <c r="I39" s="173"/>
      <c r="J39" s="173" t="s">
        <v>21</v>
      </c>
      <c r="K39" s="173">
        <v>5500</v>
      </c>
      <c r="L39" s="173" t="s">
        <v>6319</v>
      </c>
      <c r="M39" s="173" t="s">
        <v>6520</v>
      </c>
      <c r="N39" s="173"/>
      <c r="O39" s="173"/>
      <c r="P39" s="173" t="s">
        <v>6336</v>
      </c>
      <c r="Q39" s="187"/>
      <c r="R39" s="173" t="s">
        <v>3186</v>
      </c>
      <c r="S39" t="s">
        <v>6553</v>
      </c>
    </row>
    <row r="40" spans="1:19" x14ac:dyDescent="0.25">
      <c r="A40" s="173" t="s">
        <v>408</v>
      </c>
      <c r="B40" s="174">
        <v>43845</v>
      </c>
      <c r="C40" s="173">
        <v>20006</v>
      </c>
      <c r="D40" s="173" t="s">
        <v>6311</v>
      </c>
      <c r="E40" s="173" t="s">
        <v>6312</v>
      </c>
      <c r="F40" s="173" t="s">
        <v>5942</v>
      </c>
      <c r="G40" s="173" t="s">
        <v>5943</v>
      </c>
      <c r="H40" s="173"/>
      <c r="I40" s="173"/>
      <c r="J40" s="173" t="s">
        <v>21</v>
      </c>
      <c r="K40" s="173">
        <v>2300</v>
      </c>
      <c r="L40" s="173" t="s">
        <v>6076</v>
      </c>
      <c r="M40" s="173" t="s">
        <v>6330</v>
      </c>
      <c r="N40" s="173"/>
      <c r="O40" s="173"/>
      <c r="P40" s="173" t="s">
        <v>6336</v>
      </c>
      <c r="Q40" s="187"/>
      <c r="R40" s="173" t="s">
        <v>3186</v>
      </c>
      <c r="S40" t="s">
        <v>6552</v>
      </c>
    </row>
    <row r="41" spans="1:19" x14ac:dyDescent="0.25">
      <c r="A41" s="173" t="s">
        <v>408</v>
      </c>
      <c r="B41" s="174">
        <v>43847</v>
      </c>
      <c r="C41" s="173">
        <v>20007</v>
      </c>
      <c r="D41" s="173" t="s">
        <v>6313</v>
      </c>
      <c r="E41" s="173" t="s">
        <v>6314</v>
      </c>
      <c r="F41" s="173" t="s">
        <v>6145</v>
      </c>
      <c r="G41" s="173" t="s">
        <v>6146</v>
      </c>
      <c r="H41" s="173"/>
      <c r="I41" s="173"/>
      <c r="J41" s="173" t="s">
        <v>21</v>
      </c>
      <c r="K41" s="173">
        <v>3300</v>
      </c>
      <c r="L41" s="173" t="s">
        <v>6315</v>
      </c>
      <c r="M41" s="173" t="s">
        <v>6518</v>
      </c>
      <c r="N41" s="173"/>
      <c r="O41" s="173"/>
      <c r="P41" s="173" t="s">
        <v>6336</v>
      </c>
      <c r="Q41" s="187"/>
      <c r="R41" s="173" t="s">
        <v>3186</v>
      </c>
      <c r="S41" t="s">
        <v>6551</v>
      </c>
    </row>
    <row r="42" spans="1:19" x14ac:dyDescent="0.25">
      <c r="A42" s="173" t="s">
        <v>408</v>
      </c>
      <c r="B42" s="174">
        <v>43852</v>
      </c>
      <c r="C42" s="173">
        <v>20008</v>
      </c>
      <c r="D42" s="173" t="s">
        <v>6516</v>
      </c>
      <c r="E42" s="173" t="s">
        <v>6517</v>
      </c>
      <c r="F42" s="173" t="s">
        <v>908</v>
      </c>
      <c r="G42" s="173" t="s">
        <v>5950</v>
      </c>
      <c r="H42" s="173"/>
      <c r="I42" s="173"/>
      <c r="J42" s="173" t="s">
        <v>21</v>
      </c>
      <c r="K42" s="173">
        <v>1200</v>
      </c>
      <c r="L42" s="173" t="s">
        <v>6316</v>
      </c>
      <c r="M42" s="173" t="s">
        <v>6329</v>
      </c>
      <c r="N42" s="173"/>
      <c r="O42" s="173"/>
      <c r="P42" s="173" t="s">
        <v>6336</v>
      </c>
      <c r="Q42" s="187"/>
      <c r="R42" s="173" t="s">
        <v>3186</v>
      </c>
      <c r="S42" t="s">
        <v>6552</v>
      </c>
    </row>
    <row r="43" spans="1:19" x14ac:dyDescent="0.25">
      <c r="A43" s="173" t="s">
        <v>408</v>
      </c>
      <c r="B43" s="174">
        <v>43859</v>
      </c>
      <c r="C43" s="173">
        <v>20009</v>
      </c>
      <c r="D43" s="173" t="s">
        <v>6317</v>
      </c>
      <c r="E43" s="173" t="s">
        <v>6318</v>
      </c>
      <c r="F43" s="173" t="s">
        <v>6156</v>
      </c>
      <c r="G43" s="173" t="s">
        <v>6157</v>
      </c>
      <c r="H43" s="173"/>
      <c r="I43" s="173"/>
      <c r="J43" s="173" t="s">
        <v>21</v>
      </c>
      <c r="K43" s="173">
        <v>7995</v>
      </c>
      <c r="L43" s="173" t="s">
        <v>6319</v>
      </c>
      <c r="M43" s="173" t="s">
        <v>6505</v>
      </c>
      <c r="N43" s="173"/>
      <c r="O43" s="173"/>
      <c r="P43" s="173" t="s">
        <v>6336</v>
      </c>
      <c r="Q43" s="187"/>
      <c r="R43" s="173" t="s">
        <v>3186</v>
      </c>
      <c r="S43" t="s">
        <v>6551</v>
      </c>
    </row>
    <row r="44" spans="1:19" x14ac:dyDescent="0.25">
      <c r="A44" s="173" t="s">
        <v>408</v>
      </c>
      <c r="B44" s="174">
        <v>43875</v>
      </c>
      <c r="C44" s="173">
        <v>20011</v>
      </c>
      <c r="D44" s="173" t="s">
        <v>6320</v>
      </c>
      <c r="E44" s="173" t="s">
        <v>6461</v>
      </c>
      <c r="F44" s="173" t="s">
        <v>5474</v>
      </c>
      <c r="G44" s="173" t="s">
        <v>6028</v>
      </c>
      <c r="H44" s="173"/>
      <c r="I44" s="173"/>
      <c r="J44" s="173" t="s">
        <v>21</v>
      </c>
      <c r="K44" s="173">
        <v>10000</v>
      </c>
      <c r="L44" s="173" t="s">
        <v>6321</v>
      </c>
      <c r="M44" s="173" t="s">
        <v>6510</v>
      </c>
      <c r="N44" s="173"/>
      <c r="O44" s="173"/>
      <c r="P44" s="173" t="s">
        <v>6336</v>
      </c>
      <c r="Q44" s="187"/>
      <c r="R44" s="173" t="s">
        <v>3186</v>
      </c>
      <c r="S44" t="s">
        <v>6551</v>
      </c>
    </row>
    <row r="45" spans="1:19" x14ac:dyDescent="0.25">
      <c r="A45" s="173" t="s">
        <v>408</v>
      </c>
      <c r="B45" s="174">
        <v>43889</v>
      </c>
      <c r="C45" s="173">
        <v>20012</v>
      </c>
      <c r="D45" s="173" t="s">
        <v>6506</v>
      </c>
      <c r="E45" s="173" t="s">
        <v>6322</v>
      </c>
      <c r="F45" s="173" t="s">
        <v>381</v>
      </c>
      <c r="G45" s="173" t="s">
        <v>6122</v>
      </c>
      <c r="H45" s="173"/>
      <c r="I45" s="173"/>
      <c r="J45" s="173" t="s">
        <v>21</v>
      </c>
      <c r="K45" s="173">
        <v>1500</v>
      </c>
      <c r="L45" s="173" t="s">
        <v>6323</v>
      </c>
      <c r="M45" s="173" t="s">
        <v>6507</v>
      </c>
      <c r="N45" s="173"/>
      <c r="O45" s="173"/>
      <c r="P45" s="173" t="s">
        <v>6336</v>
      </c>
      <c r="Q45" s="173"/>
      <c r="R45" s="173" t="s">
        <v>3186</v>
      </c>
      <c r="S45" t="s">
        <v>6552</v>
      </c>
    </row>
    <row r="46" spans="1:19" x14ac:dyDescent="0.25">
      <c r="A46" s="173" t="s">
        <v>408</v>
      </c>
      <c r="B46" s="174">
        <v>43894</v>
      </c>
      <c r="C46" s="173">
        <v>20013</v>
      </c>
      <c r="D46" s="173" t="s">
        <v>6324</v>
      </c>
      <c r="E46" s="173" t="s">
        <v>5750</v>
      </c>
      <c r="F46" s="173" t="s">
        <v>3679</v>
      </c>
      <c r="G46" s="173" t="s">
        <v>3680</v>
      </c>
      <c r="H46" s="173"/>
      <c r="I46" s="173"/>
      <c r="J46" s="173" t="s">
        <v>21</v>
      </c>
      <c r="K46" s="176">
        <v>4500</v>
      </c>
      <c r="L46" s="218" t="s">
        <v>6325</v>
      </c>
      <c r="M46" s="173" t="s">
        <v>6537</v>
      </c>
      <c r="N46" s="187"/>
      <c r="O46" s="173"/>
      <c r="P46" s="173" t="s">
        <v>6336</v>
      </c>
      <c r="Q46" s="218"/>
      <c r="R46" s="173" t="s">
        <v>3186</v>
      </c>
      <c r="S46" t="s">
        <v>6551</v>
      </c>
    </row>
    <row r="47" spans="1:19" x14ac:dyDescent="0.25">
      <c r="A47" s="173" t="s">
        <v>12</v>
      </c>
      <c r="B47" s="174">
        <v>43762</v>
      </c>
      <c r="C47" s="173" t="s">
        <v>951</v>
      </c>
      <c r="D47" s="173" t="s">
        <v>6191</v>
      </c>
      <c r="E47" s="173" t="s">
        <v>6326</v>
      </c>
      <c r="F47" s="173" t="s">
        <v>472</v>
      </c>
      <c r="G47" s="173" t="s">
        <v>6327</v>
      </c>
      <c r="H47" s="173"/>
      <c r="I47" s="173"/>
      <c r="J47" s="173" t="s">
        <v>21</v>
      </c>
      <c r="K47" s="173">
        <v>300</v>
      </c>
      <c r="L47" s="173" t="s">
        <v>6302</v>
      </c>
      <c r="M47" s="202"/>
      <c r="N47" s="173"/>
      <c r="O47" s="173"/>
      <c r="P47" s="173" t="s">
        <v>6336</v>
      </c>
      <c r="Q47" s="173"/>
      <c r="R47" s="202"/>
    </row>
    <row r="48" spans="1:19" x14ac:dyDescent="0.25">
      <c r="A48" s="173" t="s">
        <v>408</v>
      </c>
      <c r="B48" s="174">
        <v>43872</v>
      </c>
      <c r="C48" s="173">
        <v>20010</v>
      </c>
      <c r="D48" s="173" t="s">
        <v>6324</v>
      </c>
      <c r="E48" s="173" t="s">
        <v>5750</v>
      </c>
      <c r="F48" s="173" t="s">
        <v>472</v>
      </c>
      <c r="G48" s="173" t="s">
        <v>6327</v>
      </c>
      <c r="H48" s="173"/>
      <c r="I48" s="173"/>
      <c r="J48" s="173" t="s">
        <v>21</v>
      </c>
      <c r="K48" s="173">
        <v>400</v>
      </c>
      <c r="L48" s="218" t="s">
        <v>6328</v>
      </c>
      <c r="M48" s="173" t="s">
        <v>6514</v>
      </c>
      <c r="N48" s="187"/>
      <c r="O48" s="173"/>
      <c r="P48" s="173" t="s">
        <v>6336</v>
      </c>
      <c r="Q48" s="218"/>
      <c r="R48" s="173" t="s">
        <v>3186</v>
      </c>
      <c r="S48" t="s">
        <v>6551</v>
      </c>
    </row>
    <row r="49" spans="1:19" x14ac:dyDescent="0.25">
      <c r="A49" s="173" t="s">
        <v>12</v>
      </c>
      <c r="B49" s="174">
        <v>43878</v>
      </c>
      <c r="C49" s="173" t="s">
        <v>951</v>
      </c>
      <c r="D49" s="173" t="s">
        <v>6331</v>
      </c>
      <c r="E49" s="173" t="s">
        <v>6332</v>
      </c>
      <c r="F49" s="173" t="s">
        <v>2629</v>
      </c>
      <c r="G49" s="173" t="s">
        <v>6340</v>
      </c>
      <c r="H49" s="173"/>
      <c r="I49" s="173"/>
      <c r="J49" s="173" t="s">
        <v>21</v>
      </c>
      <c r="K49" s="173">
        <v>9700</v>
      </c>
      <c r="L49" s="173" t="s">
        <v>6302</v>
      </c>
      <c r="M49" s="185" t="s">
        <v>6547</v>
      </c>
      <c r="N49" s="173"/>
      <c r="O49" s="173"/>
      <c r="P49" s="173" t="s">
        <v>6336</v>
      </c>
      <c r="Q49" s="173"/>
      <c r="R49" s="185" t="s">
        <v>3186</v>
      </c>
    </row>
    <row r="50" spans="1:19" x14ac:dyDescent="0.25">
      <c r="A50" s="190" t="s">
        <v>408</v>
      </c>
      <c r="B50" s="191">
        <v>43899</v>
      </c>
      <c r="C50" s="190">
        <v>20014</v>
      </c>
      <c r="D50" s="190" t="s">
        <v>6333</v>
      </c>
      <c r="E50" s="190" t="s">
        <v>6334</v>
      </c>
      <c r="F50" s="190" t="s">
        <v>2629</v>
      </c>
      <c r="G50" s="190" t="s">
        <v>6340</v>
      </c>
      <c r="H50" s="190"/>
      <c r="I50" s="190"/>
      <c r="J50" s="190" t="s">
        <v>21</v>
      </c>
      <c r="K50" s="190">
        <v>13000</v>
      </c>
      <c r="L50" s="190" t="s">
        <v>6335</v>
      </c>
      <c r="M50" s="190" t="s">
        <v>6545</v>
      </c>
      <c r="N50" s="190"/>
      <c r="O50" s="190"/>
      <c r="P50" s="190" t="s">
        <v>6336</v>
      </c>
      <c r="Q50" s="190"/>
      <c r="R50" s="190" t="s">
        <v>3186</v>
      </c>
      <c r="S50" t="s">
        <v>6551</v>
      </c>
    </row>
    <row r="51" spans="1:19" x14ac:dyDescent="0.25">
      <c r="A51" s="173" t="s">
        <v>12</v>
      </c>
      <c r="B51" s="174">
        <v>44014</v>
      </c>
      <c r="C51" s="173" t="s">
        <v>6337</v>
      </c>
      <c r="D51" s="173" t="s">
        <v>6338</v>
      </c>
      <c r="E51" s="173" t="s">
        <v>4800</v>
      </c>
      <c r="F51" s="173" t="s">
        <v>6339</v>
      </c>
      <c r="G51" s="173" t="s">
        <v>6341</v>
      </c>
      <c r="H51" s="173"/>
      <c r="I51" s="173"/>
      <c r="J51" s="173" t="s">
        <v>21</v>
      </c>
      <c r="K51" s="173">
        <v>900</v>
      </c>
      <c r="L51" s="173" t="s">
        <v>6302</v>
      </c>
      <c r="M51" s="173"/>
      <c r="N51" s="173"/>
      <c r="O51" s="173"/>
      <c r="P51" s="173" t="s">
        <v>6457</v>
      </c>
      <c r="Q51" s="173"/>
      <c r="R51" s="173"/>
    </row>
    <row r="52" spans="1:19" x14ac:dyDescent="0.25">
      <c r="A52" s="185" t="s">
        <v>12</v>
      </c>
      <c r="B52" s="183">
        <v>44011</v>
      </c>
      <c r="C52" s="185" t="s">
        <v>6342</v>
      </c>
      <c r="D52" s="185" t="s">
        <v>6338</v>
      </c>
      <c r="E52" s="185" t="s">
        <v>4800</v>
      </c>
      <c r="F52" s="185" t="s">
        <v>908</v>
      </c>
      <c r="G52" s="185" t="s">
        <v>6343</v>
      </c>
      <c r="H52" s="185"/>
      <c r="I52" s="185"/>
      <c r="J52" s="185" t="s">
        <v>21</v>
      </c>
      <c r="K52" s="185">
        <v>7500</v>
      </c>
      <c r="L52" s="185" t="s">
        <v>6302</v>
      </c>
      <c r="M52" s="185"/>
      <c r="N52" s="185"/>
      <c r="O52" s="185"/>
      <c r="P52" s="185" t="s">
        <v>6383</v>
      </c>
    </row>
    <row r="53" spans="1:19" x14ac:dyDescent="0.25">
      <c r="A53" s="173" t="s">
        <v>12</v>
      </c>
      <c r="B53" s="174">
        <v>44011</v>
      </c>
      <c r="C53" s="173" t="s">
        <v>6344</v>
      </c>
      <c r="D53" s="173" t="s">
        <v>6338</v>
      </c>
      <c r="E53" s="173" t="s">
        <v>4800</v>
      </c>
      <c r="F53" s="173" t="s">
        <v>6284</v>
      </c>
      <c r="G53" s="173" t="s">
        <v>6345</v>
      </c>
      <c r="H53" s="173"/>
      <c r="I53" s="173"/>
      <c r="J53" s="173" t="s">
        <v>21</v>
      </c>
      <c r="K53" s="173">
        <v>17500</v>
      </c>
      <c r="L53" s="173" t="s">
        <v>6302</v>
      </c>
      <c r="M53" s="173"/>
      <c r="N53" s="173"/>
      <c r="O53" s="173"/>
      <c r="P53" s="173" t="s">
        <v>6383</v>
      </c>
    </row>
    <row r="54" spans="1:19" x14ac:dyDescent="0.25">
      <c r="A54" s="173" t="s">
        <v>12</v>
      </c>
      <c r="B54" s="174">
        <v>44011</v>
      </c>
      <c r="C54" s="173" t="s">
        <v>6346</v>
      </c>
      <c r="D54" s="173" t="s">
        <v>6338</v>
      </c>
      <c r="E54" s="173" t="s">
        <v>4800</v>
      </c>
      <c r="F54" s="173" t="s">
        <v>6347</v>
      </c>
      <c r="G54" s="173" t="s">
        <v>6348</v>
      </c>
      <c r="H54" s="173"/>
      <c r="I54" s="173"/>
      <c r="J54" s="173" t="s">
        <v>21</v>
      </c>
      <c r="K54" s="173">
        <v>800</v>
      </c>
      <c r="L54" s="173"/>
      <c r="M54" s="173"/>
      <c r="N54" s="173"/>
      <c r="O54" s="173"/>
      <c r="P54" s="173" t="s">
        <v>6383</v>
      </c>
    </row>
    <row r="55" spans="1:19" x14ac:dyDescent="0.25">
      <c r="A55" s="173" t="s">
        <v>12</v>
      </c>
      <c r="B55" s="174">
        <v>44011</v>
      </c>
      <c r="C55" s="173" t="s">
        <v>6349</v>
      </c>
      <c r="D55" s="173" t="s">
        <v>6338</v>
      </c>
      <c r="E55" s="173" t="s">
        <v>4800</v>
      </c>
      <c r="F55" s="173" t="s">
        <v>3194</v>
      </c>
      <c r="G55" s="173" t="s">
        <v>6350</v>
      </c>
      <c r="H55" s="173"/>
      <c r="I55" s="173"/>
      <c r="J55" s="173" t="s">
        <v>21</v>
      </c>
      <c r="K55" s="173">
        <v>1500</v>
      </c>
      <c r="L55" s="173" t="s">
        <v>6302</v>
      </c>
      <c r="M55" s="173"/>
      <c r="N55" s="173"/>
      <c r="O55" s="173"/>
      <c r="P55" s="173" t="s">
        <v>6383</v>
      </c>
    </row>
    <row r="56" spans="1:19" x14ac:dyDescent="0.25">
      <c r="A56" s="173" t="s">
        <v>12</v>
      </c>
      <c r="B56" s="174">
        <v>44010</v>
      </c>
      <c r="C56" s="173" t="s">
        <v>6351</v>
      </c>
      <c r="D56" s="173" t="s">
        <v>6338</v>
      </c>
      <c r="E56" s="173" t="s">
        <v>4800</v>
      </c>
      <c r="F56" s="173" t="s">
        <v>6352</v>
      </c>
      <c r="G56" s="173" t="s">
        <v>6353</v>
      </c>
      <c r="H56" s="173"/>
      <c r="I56" s="173"/>
      <c r="J56" s="173" t="s">
        <v>21</v>
      </c>
      <c r="K56" s="173">
        <v>500</v>
      </c>
      <c r="L56" s="173" t="s">
        <v>6302</v>
      </c>
      <c r="M56" s="173"/>
      <c r="N56" s="173"/>
      <c r="O56" s="173"/>
      <c r="P56" s="173" t="s">
        <v>6383</v>
      </c>
    </row>
    <row r="57" spans="1:19" x14ac:dyDescent="0.25">
      <c r="A57" s="173" t="s">
        <v>12</v>
      </c>
      <c r="B57" s="174">
        <v>44010</v>
      </c>
      <c r="C57" s="173" t="s">
        <v>6354</v>
      </c>
      <c r="D57" s="173" t="s">
        <v>6338</v>
      </c>
      <c r="E57" s="173" t="s">
        <v>4800</v>
      </c>
      <c r="F57" s="173" t="s">
        <v>6355</v>
      </c>
      <c r="G57" s="173" t="s">
        <v>6356</v>
      </c>
      <c r="H57" s="173"/>
      <c r="I57" s="173"/>
      <c r="J57" s="173" t="s">
        <v>21</v>
      </c>
      <c r="K57" s="173">
        <v>250</v>
      </c>
      <c r="L57" s="173"/>
      <c r="M57" s="173"/>
      <c r="N57" s="173"/>
      <c r="O57" s="173"/>
      <c r="P57" s="173" t="s">
        <v>6383</v>
      </c>
    </row>
    <row r="58" spans="1:19" x14ac:dyDescent="0.25">
      <c r="A58" s="173" t="s">
        <v>12</v>
      </c>
      <c r="B58" s="174">
        <v>44010</v>
      </c>
      <c r="C58" s="173" t="s">
        <v>6357</v>
      </c>
      <c r="D58" s="173" t="s">
        <v>6338</v>
      </c>
      <c r="E58" s="173" t="s">
        <v>4800</v>
      </c>
      <c r="F58" s="173" t="s">
        <v>3344</v>
      </c>
      <c r="G58" s="173" t="s">
        <v>6358</v>
      </c>
      <c r="H58" s="173"/>
      <c r="I58" s="173"/>
      <c r="J58" s="173" t="s">
        <v>21</v>
      </c>
      <c r="K58" s="173">
        <v>1300</v>
      </c>
      <c r="L58" s="173"/>
      <c r="M58" s="173"/>
      <c r="N58" s="173"/>
      <c r="O58" s="173"/>
      <c r="P58" s="173" t="s">
        <v>6383</v>
      </c>
    </row>
    <row r="59" spans="1:19" x14ac:dyDescent="0.25">
      <c r="A59" s="173" t="s">
        <v>12</v>
      </c>
      <c r="B59" s="174">
        <v>44010</v>
      </c>
      <c r="C59" s="173" t="s">
        <v>6359</v>
      </c>
      <c r="D59" s="173" t="s">
        <v>6338</v>
      </c>
      <c r="E59" s="173" t="s">
        <v>4800</v>
      </c>
      <c r="F59" s="173" t="s">
        <v>6360</v>
      </c>
      <c r="G59" s="173" t="s">
        <v>6361</v>
      </c>
      <c r="H59" s="173"/>
      <c r="I59" s="173"/>
      <c r="J59" s="173" t="s">
        <v>21</v>
      </c>
      <c r="K59" s="173">
        <v>200</v>
      </c>
      <c r="L59" s="173" t="s">
        <v>6302</v>
      </c>
      <c r="M59" s="173"/>
      <c r="N59" s="173"/>
      <c r="O59" s="173"/>
      <c r="P59" s="173" t="s">
        <v>6383</v>
      </c>
    </row>
    <row r="60" spans="1:19" x14ac:dyDescent="0.25">
      <c r="A60" s="185" t="s">
        <v>408</v>
      </c>
      <c r="B60" s="183">
        <v>43983</v>
      </c>
      <c r="C60" s="185">
        <v>20015</v>
      </c>
      <c r="D60" s="185" t="s">
        <v>6362</v>
      </c>
      <c r="E60" s="185" t="s">
        <v>6363</v>
      </c>
      <c r="F60" s="185" t="s">
        <v>6284</v>
      </c>
      <c r="G60" s="185" t="s">
        <v>6285</v>
      </c>
      <c r="H60" s="185"/>
      <c r="I60" s="185"/>
      <c r="J60" s="185" t="s">
        <v>21</v>
      </c>
      <c r="K60" s="185">
        <v>21000</v>
      </c>
      <c r="L60" s="185" t="s">
        <v>6364</v>
      </c>
      <c r="M60" s="185" t="s">
        <v>6532</v>
      </c>
      <c r="N60" s="185"/>
      <c r="O60" s="185"/>
      <c r="P60" s="185" t="s">
        <v>6383</v>
      </c>
      <c r="R60" t="s">
        <v>3186</v>
      </c>
      <c r="S60" t="s">
        <v>6551</v>
      </c>
    </row>
    <row r="61" spans="1:19" x14ac:dyDescent="0.25">
      <c r="A61" s="173" t="s">
        <v>408</v>
      </c>
      <c r="B61" s="174">
        <v>43983</v>
      </c>
      <c r="C61" s="173">
        <v>20016</v>
      </c>
      <c r="D61" s="173" t="s">
        <v>6365</v>
      </c>
      <c r="E61" s="173" t="s">
        <v>6366</v>
      </c>
      <c r="F61" s="173" t="s">
        <v>6148</v>
      </c>
      <c r="G61" s="173" t="s">
        <v>6149</v>
      </c>
      <c r="H61" s="173"/>
      <c r="I61" s="173"/>
      <c r="J61" s="173" t="s">
        <v>21</v>
      </c>
      <c r="K61" s="173">
        <v>18800</v>
      </c>
      <c r="L61" s="173" t="s">
        <v>6367</v>
      </c>
      <c r="M61" s="173" t="s">
        <v>6534</v>
      </c>
      <c r="N61" s="173"/>
      <c r="O61" s="173"/>
      <c r="P61" s="173" t="s">
        <v>6383</v>
      </c>
      <c r="R61" t="s">
        <v>3186</v>
      </c>
      <c r="S61" t="s">
        <v>6551</v>
      </c>
    </row>
    <row r="62" spans="1:19" x14ac:dyDescent="0.25">
      <c r="A62" s="173" t="s">
        <v>408</v>
      </c>
      <c r="B62" s="174">
        <v>43994</v>
      </c>
      <c r="C62" s="173">
        <v>20018</v>
      </c>
      <c r="D62" s="173" t="s">
        <v>2931</v>
      </c>
      <c r="E62" s="173" t="s">
        <v>2352</v>
      </c>
      <c r="F62" s="173" t="s">
        <v>6142</v>
      </c>
      <c r="G62" s="173" t="s">
        <v>6143</v>
      </c>
      <c r="H62" s="173"/>
      <c r="I62" s="173"/>
      <c r="J62" s="173" t="s">
        <v>21</v>
      </c>
      <c r="K62" s="173">
        <v>8000</v>
      </c>
      <c r="L62" s="173" t="s">
        <v>6368</v>
      </c>
      <c r="M62" s="190" t="s">
        <v>6538</v>
      </c>
      <c r="N62" s="173"/>
      <c r="O62" s="173"/>
      <c r="P62" s="173" t="s">
        <v>6383</v>
      </c>
      <c r="R62" t="s">
        <v>3186</v>
      </c>
      <c r="S62" t="s">
        <v>6551</v>
      </c>
    </row>
    <row r="63" spans="1:19" x14ac:dyDescent="0.25">
      <c r="A63" s="173" t="s">
        <v>408</v>
      </c>
      <c r="B63" s="174">
        <v>44002</v>
      </c>
      <c r="C63" s="173">
        <v>20019</v>
      </c>
      <c r="D63" s="173" t="s">
        <v>6369</v>
      </c>
      <c r="E63" s="173" t="s">
        <v>6370</v>
      </c>
      <c r="F63" s="173" t="s">
        <v>6290</v>
      </c>
      <c r="G63" s="173" t="s">
        <v>6291</v>
      </c>
      <c r="H63" s="173"/>
      <c r="I63" s="173"/>
      <c r="J63" s="173" t="s">
        <v>21</v>
      </c>
      <c r="K63" s="173">
        <v>2399</v>
      </c>
      <c r="L63" s="218" t="s">
        <v>6371</v>
      </c>
      <c r="M63" s="173" t="s">
        <v>6515</v>
      </c>
      <c r="N63" s="187"/>
      <c r="O63" s="173"/>
      <c r="P63" s="173" t="s">
        <v>6383</v>
      </c>
      <c r="R63" s="173" t="s">
        <v>3186</v>
      </c>
      <c r="S63" t="s">
        <v>6552</v>
      </c>
    </row>
    <row r="64" spans="1:19" x14ac:dyDescent="0.25">
      <c r="A64" s="173" t="s">
        <v>12</v>
      </c>
      <c r="B64" s="174">
        <v>43844</v>
      </c>
      <c r="C64" s="173" t="s">
        <v>951</v>
      </c>
      <c r="D64" s="173" t="s">
        <v>6372</v>
      </c>
      <c r="E64" s="173" t="s">
        <v>6373</v>
      </c>
      <c r="F64" s="173" t="s">
        <v>6374</v>
      </c>
      <c r="G64" s="173" t="s">
        <v>6375</v>
      </c>
      <c r="H64" s="173"/>
      <c r="I64" s="173"/>
      <c r="J64" s="173" t="s">
        <v>21</v>
      </c>
      <c r="K64" s="173">
        <v>500</v>
      </c>
      <c r="L64" s="173" t="s">
        <v>6302</v>
      </c>
      <c r="M64" s="185"/>
      <c r="N64" s="173"/>
      <c r="O64" s="173"/>
      <c r="P64" s="173" t="s">
        <v>6383</v>
      </c>
    </row>
    <row r="65" spans="1:19" x14ac:dyDescent="0.25">
      <c r="A65" s="185" t="s">
        <v>408</v>
      </c>
      <c r="B65" s="183">
        <v>43992</v>
      </c>
      <c r="C65" s="185">
        <v>20017</v>
      </c>
      <c r="D65" s="185" t="s">
        <v>6376</v>
      </c>
      <c r="E65" s="185" t="s">
        <v>6377</v>
      </c>
      <c r="F65" s="185" t="s">
        <v>6374</v>
      </c>
      <c r="G65" s="185" t="s">
        <v>6375</v>
      </c>
      <c r="H65" s="185"/>
      <c r="I65" s="185"/>
      <c r="J65" s="185" t="s">
        <v>21</v>
      </c>
      <c r="K65" s="185">
        <v>1299</v>
      </c>
      <c r="L65" s="185" t="s">
        <v>6378</v>
      </c>
      <c r="M65" s="185" t="s">
        <v>6541</v>
      </c>
      <c r="N65" s="185"/>
      <c r="O65" s="185"/>
      <c r="P65" s="185" t="s">
        <v>6383</v>
      </c>
      <c r="R65" t="s">
        <v>3186</v>
      </c>
      <c r="S65" t="s">
        <v>6552</v>
      </c>
    </row>
    <row r="66" spans="1:19" x14ac:dyDescent="0.25">
      <c r="A66" s="173" t="s">
        <v>12</v>
      </c>
      <c r="B66" s="174">
        <v>43987</v>
      </c>
      <c r="C66" s="174" t="s">
        <v>951</v>
      </c>
      <c r="D66" s="173" t="s">
        <v>6365</v>
      </c>
      <c r="E66" s="173" t="s">
        <v>6366</v>
      </c>
      <c r="F66" s="173" t="s">
        <v>2657</v>
      </c>
      <c r="G66" s="173" t="s">
        <v>6379</v>
      </c>
      <c r="H66" s="173"/>
      <c r="I66" s="173"/>
      <c r="J66" s="173" t="s">
        <v>21</v>
      </c>
      <c r="K66" s="173">
        <v>1200</v>
      </c>
      <c r="L66" s="173" t="s">
        <v>6302</v>
      </c>
      <c r="M66" s="190"/>
      <c r="N66" s="173"/>
      <c r="O66" s="173"/>
      <c r="P66" s="173" t="s">
        <v>6383</v>
      </c>
    </row>
    <row r="67" spans="1:19" x14ac:dyDescent="0.25">
      <c r="A67" s="185" t="s">
        <v>408</v>
      </c>
      <c r="B67" s="183">
        <v>44004</v>
      </c>
      <c r="C67" s="185">
        <v>20020</v>
      </c>
      <c r="D67" s="185" t="s">
        <v>6324</v>
      </c>
      <c r="E67" s="185" t="s">
        <v>5750</v>
      </c>
      <c r="F67" s="185" t="s">
        <v>2657</v>
      </c>
      <c r="G67" s="185" t="s">
        <v>6379</v>
      </c>
      <c r="H67" s="185"/>
      <c r="I67" s="185"/>
      <c r="J67" s="185" t="s">
        <v>21</v>
      </c>
      <c r="K67" s="185">
        <v>3000</v>
      </c>
      <c r="L67" s="219" t="s">
        <v>6380</v>
      </c>
      <c r="M67" s="173" t="s">
        <v>6503</v>
      </c>
      <c r="N67" s="214"/>
      <c r="O67" s="185"/>
      <c r="P67" s="185" t="s">
        <v>6383</v>
      </c>
      <c r="R67" s="173" t="s">
        <v>3186</v>
      </c>
      <c r="S67" t="s">
        <v>6551</v>
      </c>
    </row>
    <row r="68" spans="1:19" x14ac:dyDescent="0.25">
      <c r="A68" s="173" t="s">
        <v>408</v>
      </c>
      <c r="B68" s="174">
        <v>44004</v>
      </c>
      <c r="C68" s="173">
        <v>20021</v>
      </c>
      <c r="D68" s="173" t="s">
        <v>6381</v>
      </c>
      <c r="E68" s="173" t="s">
        <v>6382</v>
      </c>
      <c r="F68" s="173" t="s">
        <v>6287</v>
      </c>
      <c r="G68" s="173" t="s">
        <v>6288</v>
      </c>
      <c r="H68" s="173"/>
      <c r="I68" s="173"/>
      <c r="J68" s="173" t="s">
        <v>21</v>
      </c>
      <c r="K68" s="173">
        <v>450</v>
      </c>
      <c r="L68" s="173" t="s">
        <v>6371</v>
      </c>
      <c r="M68" s="185" t="s">
        <v>31</v>
      </c>
      <c r="N68" s="173"/>
      <c r="O68" s="173"/>
      <c r="P68" s="173" t="s">
        <v>6383</v>
      </c>
      <c r="S68" t="s">
        <v>6552</v>
      </c>
    </row>
    <row r="69" spans="1:19" x14ac:dyDescent="0.25">
      <c r="A69" s="190" t="s">
        <v>12</v>
      </c>
      <c r="B69" s="191">
        <v>44011</v>
      </c>
      <c r="C69" s="190" t="s">
        <v>951</v>
      </c>
      <c r="D69" s="190" t="s">
        <v>6384</v>
      </c>
      <c r="E69" s="190" t="s">
        <v>6385</v>
      </c>
      <c r="F69" s="190" t="s">
        <v>6435</v>
      </c>
      <c r="G69" s="190" t="s">
        <v>6386</v>
      </c>
      <c r="H69" s="190"/>
      <c r="I69" s="190"/>
      <c r="J69" s="190" t="s">
        <v>21</v>
      </c>
      <c r="K69" s="190">
        <v>12000</v>
      </c>
      <c r="L69" s="190" t="s">
        <v>6302</v>
      </c>
      <c r="M69" s="190" t="s">
        <v>6546</v>
      </c>
      <c r="N69" s="190"/>
      <c r="O69" s="190"/>
      <c r="P69" s="190" t="s">
        <v>6383</v>
      </c>
      <c r="R69" t="s">
        <v>3186</v>
      </c>
    </row>
    <row r="70" spans="1:19" x14ac:dyDescent="0.25">
      <c r="A70" s="173" t="s">
        <v>12</v>
      </c>
      <c r="B70" s="174">
        <v>44019</v>
      </c>
      <c r="C70" s="173" t="s">
        <v>6387</v>
      </c>
      <c r="D70" s="173" t="s">
        <v>6338</v>
      </c>
      <c r="E70" s="173" t="s">
        <v>4800</v>
      </c>
      <c r="F70" s="173" t="s">
        <v>6388</v>
      </c>
      <c r="G70" s="173" t="s">
        <v>6389</v>
      </c>
      <c r="H70" s="173"/>
      <c r="I70" s="173"/>
      <c r="J70" s="173" t="s">
        <v>21</v>
      </c>
      <c r="K70" s="173">
        <v>4000</v>
      </c>
      <c r="L70" s="173" t="s">
        <v>6302</v>
      </c>
      <c r="M70" s="173"/>
      <c r="N70" s="173"/>
      <c r="O70" s="173"/>
      <c r="P70" s="173" t="s">
        <v>6457</v>
      </c>
      <c r="Q70" s="173"/>
      <c r="R70" s="173"/>
    </row>
    <row r="71" spans="1:19" x14ac:dyDescent="0.25">
      <c r="A71" s="173" t="s">
        <v>12</v>
      </c>
      <c r="B71" s="174">
        <v>44071</v>
      </c>
      <c r="C71" s="173" t="s">
        <v>6390</v>
      </c>
      <c r="D71" s="173" t="s">
        <v>6338</v>
      </c>
      <c r="E71" s="173" t="s">
        <v>4800</v>
      </c>
      <c r="F71" s="173" t="s">
        <v>6391</v>
      </c>
      <c r="G71" s="173" t="s">
        <v>6392</v>
      </c>
      <c r="H71" s="173"/>
      <c r="I71" s="173"/>
      <c r="J71" s="173" t="s">
        <v>21</v>
      </c>
      <c r="K71" s="173">
        <v>150</v>
      </c>
      <c r="L71" s="173"/>
      <c r="M71" s="173"/>
      <c r="N71" s="173"/>
      <c r="O71" s="173"/>
      <c r="P71" s="173" t="s">
        <v>6457</v>
      </c>
      <c r="Q71" s="173"/>
      <c r="R71" s="173"/>
    </row>
    <row r="72" spans="1:19" x14ac:dyDescent="0.25">
      <c r="A72" s="173" t="s">
        <v>12</v>
      </c>
      <c r="B72" s="174">
        <v>44019</v>
      </c>
      <c r="C72" s="173" t="s">
        <v>6393</v>
      </c>
      <c r="D72" s="173" t="s">
        <v>6338</v>
      </c>
      <c r="E72" s="173" t="s">
        <v>4800</v>
      </c>
      <c r="F72" s="173" t="s">
        <v>6394</v>
      </c>
      <c r="G72" s="173" t="s">
        <v>6395</v>
      </c>
      <c r="H72" s="173"/>
      <c r="I72" s="173"/>
      <c r="J72" s="173" t="s">
        <v>21</v>
      </c>
      <c r="K72" s="173">
        <v>1000</v>
      </c>
      <c r="L72" s="173" t="s">
        <v>6302</v>
      </c>
      <c r="M72" s="173"/>
      <c r="N72" s="173"/>
      <c r="O72" s="173"/>
      <c r="P72" s="173" t="s">
        <v>6457</v>
      </c>
      <c r="Q72" s="173"/>
      <c r="R72" s="173"/>
    </row>
    <row r="73" spans="1:19" x14ac:dyDescent="0.25">
      <c r="A73" s="173" t="s">
        <v>12</v>
      </c>
      <c r="B73" s="174">
        <v>44021</v>
      </c>
      <c r="C73" s="173" t="s">
        <v>6396</v>
      </c>
      <c r="D73" s="173" t="s">
        <v>6338</v>
      </c>
      <c r="E73" s="173" t="s">
        <v>4800</v>
      </c>
      <c r="F73" s="173" t="s">
        <v>6397</v>
      </c>
      <c r="G73" s="173" t="s">
        <v>6398</v>
      </c>
      <c r="H73" s="173"/>
      <c r="I73" s="173"/>
      <c r="J73" s="173" t="s">
        <v>21</v>
      </c>
      <c r="K73" s="173">
        <v>2000</v>
      </c>
      <c r="L73" s="173"/>
      <c r="M73" s="173"/>
      <c r="N73" s="173"/>
      <c r="O73" s="173"/>
      <c r="P73" s="173" t="s">
        <v>6457</v>
      </c>
      <c r="Q73" s="173"/>
      <c r="R73" s="173"/>
    </row>
    <row r="74" spans="1:19" x14ac:dyDescent="0.25">
      <c r="A74" s="173" t="s">
        <v>12</v>
      </c>
      <c r="B74" s="174">
        <v>44071</v>
      </c>
      <c r="C74" s="173" t="s">
        <v>6399</v>
      </c>
      <c r="D74" s="173" t="s">
        <v>6338</v>
      </c>
      <c r="E74" s="173" t="s">
        <v>4800</v>
      </c>
      <c r="F74" s="173" t="s">
        <v>6400</v>
      </c>
      <c r="G74" s="173" t="s">
        <v>6401</v>
      </c>
      <c r="H74" s="173"/>
      <c r="I74" s="173"/>
      <c r="J74" s="173" t="s">
        <v>21</v>
      </c>
      <c r="K74" s="173">
        <v>18500</v>
      </c>
      <c r="L74" s="173"/>
      <c r="M74" s="173"/>
      <c r="N74" s="173"/>
      <c r="O74" s="173"/>
      <c r="P74" s="173" t="s">
        <v>6457</v>
      </c>
      <c r="Q74" s="173"/>
      <c r="R74" s="173"/>
    </row>
    <row r="75" spans="1:19" x14ac:dyDescent="0.25">
      <c r="A75" s="173" t="s">
        <v>12</v>
      </c>
      <c r="B75" s="174">
        <v>44071</v>
      </c>
      <c r="C75" s="173" t="s">
        <v>6402</v>
      </c>
      <c r="D75" s="173" t="s">
        <v>6338</v>
      </c>
      <c r="E75" s="173" t="s">
        <v>4800</v>
      </c>
      <c r="F75" s="173" t="s">
        <v>6403</v>
      </c>
      <c r="G75" s="173" t="s">
        <v>6404</v>
      </c>
      <c r="H75" s="173"/>
      <c r="I75" s="173"/>
      <c r="J75" s="173" t="s">
        <v>21</v>
      </c>
      <c r="K75" s="173">
        <v>16800</v>
      </c>
      <c r="L75" s="173" t="s">
        <v>6302</v>
      </c>
      <c r="M75" s="173"/>
      <c r="N75" s="173"/>
      <c r="O75" s="173"/>
      <c r="P75" s="173" t="s">
        <v>6457</v>
      </c>
      <c r="Q75" s="173"/>
      <c r="R75" s="173"/>
    </row>
    <row r="76" spans="1:19" x14ac:dyDescent="0.25">
      <c r="A76" s="173" t="s">
        <v>12</v>
      </c>
      <c r="B76" s="174">
        <v>44071</v>
      </c>
      <c r="C76" s="173" t="s">
        <v>6405</v>
      </c>
      <c r="D76" s="173" t="s">
        <v>6338</v>
      </c>
      <c r="E76" s="173" t="s">
        <v>4800</v>
      </c>
      <c r="F76" s="173" t="s">
        <v>6406</v>
      </c>
      <c r="G76" s="173" t="s">
        <v>6407</v>
      </c>
      <c r="H76" s="173"/>
      <c r="I76" s="173"/>
      <c r="J76" s="173" t="s">
        <v>21</v>
      </c>
      <c r="K76" s="173">
        <v>150</v>
      </c>
      <c r="L76" s="173"/>
      <c r="M76" s="173"/>
      <c r="N76" s="173"/>
      <c r="O76" s="173"/>
      <c r="P76" s="173" t="s">
        <v>6457</v>
      </c>
      <c r="Q76" s="173"/>
      <c r="R76" s="173"/>
    </row>
    <row r="77" spans="1:19" x14ac:dyDescent="0.25">
      <c r="A77" s="173" t="s">
        <v>12</v>
      </c>
      <c r="B77" s="174">
        <v>44097</v>
      </c>
      <c r="C77" s="173" t="s">
        <v>6408</v>
      </c>
      <c r="D77" s="173" t="s">
        <v>6338</v>
      </c>
      <c r="E77" s="173" t="s">
        <v>4800</v>
      </c>
      <c r="F77" s="173" t="s">
        <v>6284</v>
      </c>
      <c r="G77" s="173" t="s">
        <v>6409</v>
      </c>
      <c r="H77" s="173"/>
      <c r="I77" s="173"/>
      <c r="J77" s="173" t="s">
        <v>21</v>
      </c>
      <c r="K77" s="173">
        <v>6500</v>
      </c>
      <c r="L77" s="173" t="s">
        <v>6302</v>
      </c>
      <c r="M77" s="173"/>
      <c r="N77" s="173"/>
      <c r="O77" s="173"/>
      <c r="P77" s="173" t="s">
        <v>6457</v>
      </c>
      <c r="Q77" s="173"/>
      <c r="R77" s="173"/>
    </row>
    <row r="78" spans="1:19" x14ac:dyDescent="0.25">
      <c r="A78" s="173" t="s">
        <v>12</v>
      </c>
      <c r="B78" s="174">
        <v>44071</v>
      </c>
      <c r="C78" s="173" t="s">
        <v>6410</v>
      </c>
      <c r="D78" s="173" t="s">
        <v>6338</v>
      </c>
      <c r="E78" s="173" t="s">
        <v>4800</v>
      </c>
      <c r="F78" s="173" t="s">
        <v>6412</v>
      </c>
      <c r="G78" s="173" t="s">
        <v>6411</v>
      </c>
      <c r="H78" s="173"/>
      <c r="I78" s="173"/>
      <c r="J78" s="173" t="s">
        <v>21</v>
      </c>
      <c r="K78" s="173">
        <v>150</v>
      </c>
      <c r="L78" s="173"/>
      <c r="M78" s="190"/>
      <c r="N78" s="173"/>
      <c r="O78" s="173"/>
      <c r="P78" s="173" t="s">
        <v>6457</v>
      </c>
      <c r="Q78" s="173"/>
      <c r="R78" s="190"/>
    </row>
    <row r="79" spans="1:19" x14ac:dyDescent="0.25">
      <c r="A79" s="173" t="s">
        <v>408</v>
      </c>
      <c r="B79" s="174">
        <v>44025</v>
      </c>
      <c r="C79" s="173">
        <v>20022</v>
      </c>
      <c r="D79" s="173" t="s">
        <v>6324</v>
      </c>
      <c r="E79" s="173" t="s">
        <v>5750</v>
      </c>
      <c r="F79" s="173" t="s">
        <v>6413</v>
      </c>
      <c r="G79" s="173" t="s">
        <v>6414</v>
      </c>
      <c r="H79" s="173"/>
      <c r="I79" s="173"/>
      <c r="J79" s="173" t="s">
        <v>21</v>
      </c>
      <c r="K79" s="173">
        <v>4800</v>
      </c>
      <c r="L79" s="220" t="s">
        <v>6415</v>
      </c>
      <c r="M79" s="173" t="s">
        <v>6504</v>
      </c>
      <c r="N79" s="187"/>
      <c r="O79" s="173"/>
      <c r="P79" s="173" t="s">
        <v>6457</v>
      </c>
      <c r="Q79" s="218"/>
      <c r="R79" s="173" t="s">
        <v>3186</v>
      </c>
      <c r="S79" t="s">
        <v>6551</v>
      </c>
    </row>
    <row r="80" spans="1:19" x14ac:dyDescent="0.25">
      <c r="A80" s="173" t="s">
        <v>408</v>
      </c>
      <c r="B80" s="174">
        <v>44025</v>
      </c>
      <c r="C80" s="173">
        <v>20023</v>
      </c>
      <c r="D80" s="173" t="s">
        <v>6320</v>
      </c>
      <c r="E80" s="173" t="s">
        <v>6416</v>
      </c>
      <c r="F80" s="173" t="s">
        <v>5404</v>
      </c>
      <c r="G80" s="173" t="s">
        <v>6282</v>
      </c>
      <c r="H80" s="173"/>
      <c r="I80" s="173"/>
      <c r="J80" s="173" t="s">
        <v>21</v>
      </c>
      <c r="K80" s="176">
        <v>15000</v>
      </c>
      <c r="L80" s="173" t="s">
        <v>6417</v>
      </c>
      <c r="M80" s="185" t="s">
        <v>6511</v>
      </c>
      <c r="N80" s="173"/>
      <c r="O80" s="173"/>
      <c r="P80" s="173" t="s">
        <v>6457</v>
      </c>
      <c r="Q80" s="173"/>
      <c r="R80" s="185" t="s">
        <v>3186</v>
      </c>
      <c r="S80" t="s">
        <v>6551</v>
      </c>
    </row>
    <row r="81" spans="1:19" x14ac:dyDescent="0.25">
      <c r="A81" s="173" t="s">
        <v>408</v>
      </c>
      <c r="B81" s="174">
        <v>44032</v>
      </c>
      <c r="C81" s="173">
        <v>20024</v>
      </c>
      <c r="D81" s="173" t="s">
        <v>3143</v>
      </c>
      <c r="E81" s="173" t="s">
        <v>3144</v>
      </c>
      <c r="F81" s="173" t="s">
        <v>6059</v>
      </c>
      <c r="G81" s="173" t="s">
        <v>6060</v>
      </c>
      <c r="H81" s="173"/>
      <c r="I81" s="173"/>
      <c r="J81" s="173" t="s">
        <v>21</v>
      </c>
      <c r="K81" s="176">
        <v>3850</v>
      </c>
      <c r="L81" s="173" t="s">
        <v>6418</v>
      </c>
      <c r="M81" s="173" t="s">
        <v>6502</v>
      </c>
      <c r="N81" s="173"/>
      <c r="O81" s="173"/>
      <c r="P81" s="173" t="s">
        <v>6457</v>
      </c>
      <c r="Q81" s="173"/>
      <c r="R81" s="173" t="s">
        <v>3186</v>
      </c>
      <c r="S81" t="s">
        <v>6551</v>
      </c>
    </row>
    <row r="82" spans="1:19" x14ac:dyDescent="0.25">
      <c r="A82" s="173" t="s">
        <v>408</v>
      </c>
      <c r="B82" s="174">
        <v>44034</v>
      </c>
      <c r="C82" s="173">
        <v>20025</v>
      </c>
      <c r="D82" s="173" t="s">
        <v>5832</v>
      </c>
      <c r="E82" s="173" t="s">
        <v>5833</v>
      </c>
      <c r="F82" s="173" t="s">
        <v>3194</v>
      </c>
      <c r="G82" s="173" t="s">
        <v>6350</v>
      </c>
      <c r="H82" s="173"/>
      <c r="I82" s="173"/>
      <c r="J82" s="173" t="s">
        <v>21</v>
      </c>
      <c r="K82" s="173">
        <v>2300</v>
      </c>
      <c r="L82" s="173" t="s">
        <v>6419</v>
      </c>
      <c r="M82" s="173" t="s">
        <v>6550</v>
      </c>
      <c r="N82" s="173"/>
      <c r="O82" s="173"/>
      <c r="P82" s="173" t="s">
        <v>6457</v>
      </c>
      <c r="Q82" s="173"/>
      <c r="R82" s="173" t="s">
        <v>3186</v>
      </c>
      <c r="S82" t="s">
        <v>6553</v>
      </c>
    </row>
    <row r="83" spans="1:19" x14ac:dyDescent="0.25">
      <c r="A83" s="173" t="s">
        <v>408</v>
      </c>
      <c r="B83" s="174">
        <v>44036</v>
      </c>
      <c r="C83" s="173">
        <v>20026</v>
      </c>
      <c r="D83" s="173" t="s">
        <v>6420</v>
      </c>
      <c r="E83" s="173" t="s">
        <v>6421</v>
      </c>
      <c r="F83" s="173" t="s">
        <v>5193</v>
      </c>
      <c r="G83" s="173" t="s">
        <v>6297</v>
      </c>
      <c r="H83" s="173"/>
      <c r="I83" s="173"/>
      <c r="J83" s="173" t="s">
        <v>21</v>
      </c>
      <c r="K83" s="176">
        <v>13500</v>
      </c>
      <c r="L83" s="173" t="s">
        <v>6422</v>
      </c>
      <c r="M83" s="173" t="s">
        <v>6512</v>
      </c>
      <c r="N83" s="173"/>
      <c r="O83" s="173"/>
      <c r="P83" s="173" t="s">
        <v>6457</v>
      </c>
      <c r="Q83" s="173"/>
      <c r="R83" s="173" t="s">
        <v>3186</v>
      </c>
      <c r="S83" t="s">
        <v>6551</v>
      </c>
    </row>
    <row r="84" spans="1:19" x14ac:dyDescent="0.25">
      <c r="A84" s="173" t="s">
        <v>408</v>
      </c>
      <c r="B84" s="174">
        <v>44036</v>
      </c>
      <c r="C84" s="173">
        <v>20027</v>
      </c>
      <c r="D84" s="173" t="s">
        <v>6423</v>
      </c>
      <c r="E84" s="173" t="s">
        <v>6424</v>
      </c>
      <c r="F84" s="173" t="s">
        <v>908</v>
      </c>
      <c r="G84" s="173" t="s">
        <v>6343</v>
      </c>
      <c r="H84" s="173"/>
      <c r="I84" s="173"/>
      <c r="J84" s="173" t="s">
        <v>21</v>
      </c>
      <c r="K84" s="173">
        <v>12500</v>
      </c>
      <c r="L84" s="173" t="s">
        <v>6419</v>
      </c>
      <c r="M84" s="173" t="s">
        <v>6548</v>
      </c>
      <c r="N84" s="173"/>
      <c r="O84" s="173"/>
      <c r="P84" s="173" t="s">
        <v>6457</v>
      </c>
      <c r="Q84" s="173"/>
      <c r="R84" s="173" t="s">
        <v>3186</v>
      </c>
      <c r="S84" t="s">
        <v>6551</v>
      </c>
    </row>
    <row r="85" spans="1:19" x14ac:dyDescent="0.25">
      <c r="A85" s="173" t="s">
        <v>408</v>
      </c>
      <c r="B85" s="174">
        <v>44044</v>
      </c>
      <c r="C85" s="173">
        <v>20028</v>
      </c>
      <c r="D85" s="173" t="s">
        <v>6425</v>
      </c>
      <c r="E85" s="173" t="s">
        <v>6426</v>
      </c>
      <c r="F85" s="173" t="s">
        <v>5100</v>
      </c>
      <c r="G85" s="173" t="s">
        <v>6175</v>
      </c>
      <c r="H85" s="173"/>
      <c r="I85" s="173"/>
      <c r="J85" s="173" t="s">
        <v>21</v>
      </c>
      <c r="K85" s="176">
        <v>10000</v>
      </c>
      <c r="L85" s="173" t="s">
        <v>6306</v>
      </c>
      <c r="M85" s="173" t="s">
        <v>6513</v>
      </c>
      <c r="N85" s="173"/>
      <c r="O85" s="173"/>
      <c r="P85" s="173" t="s">
        <v>6457</v>
      </c>
      <c r="Q85" s="173"/>
      <c r="R85" s="173" t="s">
        <v>3186</v>
      </c>
      <c r="S85" t="s">
        <v>6551</v>
      </c>
    </row>
    <row r="86" spans="1:19" x14ac:dyDescent="0.25">
      <c r="A86" s="173" t="s">
        <v>408</v>
      </c>
      <c r="B86" s="174">
        <v>44043</v>
      </c>
      <c r="C86" s="173">
        <v>20029</v>
      </c>
      <c r="D86" s="173" t="s">
        <v>6427</v>
      </c>
      <c r="E86" s="173" t="s">
        <v>6428</v>
      </c>
      <c r="F86" s="173" t="s">
        <v>6284</v>
      </c>
      <c r="G86" s="173" t="s">
        <v>6345</v>
      </c>
      <c r="H86" s="173"/>
      <c r="I86" s="173"/>
      <c r="J86" s="173" t="s">
        <v>21</v>
      </c>
      <c r="K86" s="173">
        <v>24500</v>
      </c>
      <c r="L86" s="173" t="s">
        <v>6419</v>
      </c>
      <c r="M86" s="173" t="s">
        <v>6522</v>
      </c>
      <c r="N86" s="173"/>
      <c r="O86" s="173"/>
      <c r="P86" s="173" t="s">
        <v>6457</v>
      </c>
      <c r="Q86" s="173"/>
      <c r="R86" s="173" t="s">
        <v>3186</v>
      </c>
      <c r="S86" t="s">
        <v>6551</v>
      </c>
    </row>
    <row r="87" spans="1:19" x14ac:dyDescent="0.25">
      <c r="A87" s="173" t="s">
        <v>408</v>
      </c>
      <c r="B87" s="174">
        <v>44047</v>
      </c>
      <c r="C87" s="173">
        <v>20030</v>
      </c>
      <c r="D87" s="173" t="s">
        <v>2931</v>
      </c>
      <c r="E87" s="173" t="s">
        <v>2352</v>
      </c>
      <c r="F87" s="173" t="s">
        <v>381</v>
      </c>
      <c r="G87" s="173" t="s">
        <v>6293</v>
      </c>
      <c r="H87" s="173"/>
      <c r="I87" s="173"/>
      <c r="J87" s="173" t="s">
        <v>21</v>
      </c>
      <c r="K87" s="173">
        <v>13750</v>
      </c>
      <c r="L87" s="173" t="s">
        <v>6429</v>
      </c>
      <c r="M87" s="173" t="s">
        <v>6539</v>
      </c>
      <c r="N87" s="173"/>
      <c r="O87" s="173"/>
      <c r="P87" s="173" t="s">
        <v>6457</v>
      </c>
      <c r="Q87" s="173"/>
      <c r="R87" s="173" t="s">
        <v>3186</v>
      </c>
      <c r="S87" t="s">
        <v>6551</v>
      </c>
    </row>
    <row r="88" spans="1:19" x14ac:dyDescent="0.25">
      <c r="A88" s="173" t="s">
        <v>408</v>
      </c>
      <c r="B88" s="174">
        <v>44054</v>
      </c>
      <c r="C88" s="173">
        <v>20031</v>
      </c>
      <c r="D88" s="173" t="s">
        <v>6430</v>
      </c>
      <c r="E88" s="173" t="s">
        <v>6431</v>
      </c>
      <c r="F88" s="173" t="s">
        <v>6394</v>
      </c>
      <c r="G88" s="173" t="s">
        <v>6395</v>
      </c>
      <c r="H88" s="173"/>
      <c r="I88" s="173"/>
      <c r="J88" s="173" t="s">
        <v>21</v>
      </c>
      <c r="K88" s="173">
        <v>1100</v>
      </c>
      <c r="L88" s="173" t="s">
        <v>6432</v>
      </c>
      <c r="M88" s="173" t="s">
        <v>31</v>
      </c>
      <c r="N88" s="173"/>
      <c r="O88" s="173"/>
      <c r="P88" s="173" t="s">
        <v>6457</v>
      </c>
      <c r="Q88" s="173"/>
      <c r="R88" s="173"/>
      <c r="S88" t="s">
        <v>6552</v>
      </c>
    </row>
    <row r="89" spans="1:19" x14ac:dyDescent="0.25">
      <c r="A89" s="173" t="s">
        <v>408</v>
      </c>
      <c r="B89" s="174">
        <v>44055</v>
      </c>
      <c r="C89" s="173">
        <v>20032</v>
      </c>
      <c r="D89" s="173" t="s">
        <v>6433</v>
      </c>
      <c r="E89" s="173" t="s">
        <v>6434</v>
      </c>
      <c r="F89" s="173" t="s">
        <v>6435</v>
      </c>
      <c r="G89" s="173" t="s">
        <v>6386</v>
      </c>
      <c r="H89" s="173"/>
      <c r="I89" s="173"/>
      <c r="J89" s="173" t="s">
        <v>21</v>
      </c>
      <c r="K89" s="173">
        <v>16999</v>
      </c>
      <c r="L89" s="173" t="s">
        <v>6436</v>
      </c>
      <c r="M89" s="173" t="s">
        <v>6535</v>
      </c>
      <c r="N89" s="173"/>
      <c r="O89" s="173"/>
      <c r="P89" s="173" t="s">
        <v>6457</v>
      </c>
      <c r="Q89" s="173"/>
      <c r="R89" s="173"/>
      <c r="S89" t="s">
        <v>6551</v>
      </c>
    </row>
    <row r="90" spans="1:19" x14ac:dyDescent="0.25">
      <c r="A90" s="173" t="s">
        <v>408</v>
      </c>
      <c r="B90" s="174">
        <v>44056</v>
      </c>
      <c r="C90" s="173">
        <v>20033</v>
      </c>
      <c r="D90" s="173" t="s">
        <v>6437</v>
      </c>
      <c r="E90" s="173" t="s">
        <v>6438</v>
      </c>
      <c r="F90" s="173" t="s">
        <v>469</v>
      </c>
      <c r="G90" s="173" t="s">
        <v>6295</v>
      </c>
      <c r="H90" s="173"/>
      <c r="I90" s="173"/>
      <c r="J90" s="173" t="s">
        <v>21</v>
      </c>
      <c r="K90" s="173">
        <v>8300</v>
      </c>
      <c r="L90" s="173" t="s">
        <v>6422</v>
      </c>
      <c r="M90" s="173" t="s">
        <v>6508</v>
      </c>
      <c r="N90" s="173"/>
      <c r="O90" s="173"/>
      <c r="P90" s="173" t="s">
        <v>6457</v>
      </c>
      <c r="Q90" s="173"/>
      <c r="R90" s="173" t="s">
        <v>3186</v>
      </c>
      <c r="S90" t="s">
        <v>6551</v>
      </c>
    </row>
    <row r="91" spans="1:19" x14ac:dyDescent="0.25">
      <c r="A91" s="173" t="s">
        <v>408</v>
      </c>
      <c r="B91" s="174">
        <v>44077</v>
      </c>
      <c r="C91" s="173">
        <v>20034</v>
      </c>
      <c r="D91" s="173" t="s">
        <v>6439</v>
      </c>
      <c r="E91" s="173" t="s">
        <v>6440</v>
      </c>
      <c r="F91" s="173" t="s">
        <v>6339</v>
      </c>
      <c r="G91" s="173" t="s">
        <v>6341</v>
      </c>
      <c r="H91" s="173"/>
      <c r="I91" s="173"/>
      <c r="J91" s="173" t="s">
        <v>21</v>
      </c>
      <c r="K91" s="173">
        <v>2250</v>
      </c>
      <c r="L91" s="173" t="s">
        <v>6441</v>
      </c>
      <c r="M91" s="173" t="s">
        <v>6523</v>
      </c>
      <c r="N91" s="173"/>
      <c r="O91" s="173"/>
      <c r="P91" s="173" t="s">
        <v>6457</v>
      </c>
      <c r="Q91" s="173"/>
      <c r="R91" s="173" t="s">
        <v>3186</v>
      </c>
      <c r="S91" t="s">
        <v>6552</v>
      </c>
    </row>
    <row r="92" spans="1:19" x14ac:dyDescent="0.25">
      <c r="A92" s="173" t="s">
        <v>408</v>
      </c>
      <c r="B92" s="174">
        <v>44079</v>
      </c>
      <c r="C92" s="173">
        <v>20035</v>
      </c>
      <c r="D92" s="173" t="s">
        <v>6442</v>
      </c>
      <c r="E92" s="173" t="s">
        <v>6443</v>
      </c>
      <c r="F92" s="173" t="s">
        <v>368</v>
      </c>
      <c r="G92" s="173" t="s">
        <v>6280</v>
      </c>
      <c r="H92" s="173"/>
      <c r="I92" s="173"/>
      <c r="J92" s="173" t="s">
        <v>21</v>
      </c>
      <c r="K92" s="173">
        <v>5995</v>
      </c>
      <c r="L92" s="173" t="s">
        <v>6444</v>
      </c>
      <c r="M92" s="173" t="s">
        <v>6544</v>
      </c>
      <c r="N92" s="173"/>
      <c r="O92" s="173"/>
      <c r="P92" s="173" t="s">
        <v>6457</v>
      </c>
      <c r="Q92" s="173"/>
      <c r="R92" s="173" t="s">
        <v>3186</v>
      </c>
      <c r="S92" t="s">
        <v>6551</v>
      </c>
    </row>
    <row r="93" spans="1:19" x14ac:dyDescent="0.25">
      <c r="A93" s="173" t="s">
        <v>408</v>
      </c>
      <c r="B93" s="174">
        <v>44088</v>
      </c>
      <c r="C93" s="173">
        <v>20036</v>
      </c>
      <c r="D93" s="173" t="s">
        <v>6445</v>
      </c>
      <c r="E93" s="173" t="s">
        <v>6446</v>
      </c>
      <c r="F93" s="173" t="s">
        <v>6178</v>
      </c>
      <c r="G93" s="173" t="s">
        <v>6179</v>
      </c>
      <c r="H93" s="173"/>
      <c r="I93" s="173"/>
      <c r="J93" s="173" t="s">
        <v>21</v>
      </c>
      <c r="K93" s="173">
        <v>8900</v>
      </c>
      <c r="L93" s="173" t="s">
        <v>6447</v>
      </c>
      <c r="M93" s="173" t="s">
        <v>6531</v>
      </c>
      <c r="N93" s="173"/>
      <c r="O93" s="173"/>
      <c r="P93" s="173" t="s">
        <v>6457</v>
      </c>
      <c r="Q93" s="173"/>
      <c r="R93" s="173" t="s">
        <v>3186</v>
      </c>
      <c r="S93" t="s">
        <v>6551</v>
      </c>
    </row>
    <row r="94" spans="1:19" x14ac:dyDescent="0.25">
      <c r="A94" s="173" t="s">
        <v>408</v>
      </c>
      <c r="B94" s="174">
        <v>44097</v>
      </c>
      <c r="C94" s="173">
        <v>20038</v>
      </c>
      <c r="D94" s="173" t="s">
        <v>6448</v>
      </c>
      <c r="E94" s="173" t="s">
        <v>6449</v>
      </c>
      <c r="F94" s="173" t="s">
        <v>6299</v>
      </c>
      <c r="G94" s="173" t="s">
        <v>6300</v>
      </c>
      <c r="H94" s="173"/>
      <c r="I94" s="173"/>
      <c r="J94" s="173" t="s">
        <v>21</v>
      </c>
      <c r="K94" s="173">
        <v>4149</v>
      </c>
      <c r="L94" s="173" t="s">
        <v>6371</v>
      </c>
      <c r="M94" s="173" t="s">
        <v>6530</v>
      </c>
      <c r="N94" s="173"/>
      <c r="O94" s="173"/>
      <c r="P94" s="173" t="s">
        <v>6457</v>
      </c>
      <c r="Q94" s="173"/>
      <c r="R94" s="173" t="s">
        <v>3186</v>
      </c>
      <c r="S94" t="s">
        <v>6551</v>
      </c>
    </row>
    <row r="95" spans="1:19" x14ac:dyDescent="0.25">
      <c r="A95" s="173" t="s">
        <v>12</v>
      </c>
      <c r="B95" s="174">
        <v>44055</v>
      </c>
      <c r="C95" s="173" t="s">
        <v>951</v>
      </c>
      <c r="D95" s="173" t="s">
        <v>6450</v>
      </c>
      <c r="E95" s="173" t="s">
        <v>6451</v>
      </c>
      <c r="F95" s="173" t="s">
        <v>6452</v>
      </c>
      <c r="G95" s="173" t="s">
        <v>6453</v>
      </c>
      <c r="H95" s="173"/>
      <c r="I95" s="173"/>
      <c r="J95" s="173" t="s">
        <v>21</v>
      </c>
      <c r="K95" s="173">
        <v>6000</v>
      </c>
      <c r="L95" s="173" t="s">
        <v>6302</v>
      </c>
      <c r="M95" s="173"/>
      <c r="N95" s="173"/>
      <c r="O95" s="173"/>
      <c r="P95" s="173" t="s">
        <v>6457</v>
      </c>
      <c r="Q95" s="173"/>
      <c r="R95" s="173"/>
      <c r="S95" t="s">
        <v>6551</v>
      </c>
    </row>
    <row r="96" spans="1:19" x14ac:dyDescent="0.25">
      <c r="A96" s="173" t="s">
        <v>408</v>
      </c>
      <c r="B96" s="174">
        <v>44092</v>
      </c>
      <c r="C96" s="173">
        <v>20037</v>
      </c>
      <c r="D96" s="173" t="s">
        <v>6454</v>
      </c>
      <c r="E96" s="173" t="s">
        <v>6455</v>
      </c>
      <c r="F96" s="173" t="s">
        <v>6452</v>
      </c>
      <c r="G96" s="173" t="s">
        <v>6453</v>
      </c>
      <c r="H96" s="173"/>
      <c r="I96" s="173"/>
      <c r="J96" s="173" t="s">
        <v>21</v>
      </c>
      <c r="K96" s="173">
        <v>6500</v>
      </c>
      <c r="L96" s="173" t="s">
        <v>6456</v>
      </c>
      <c r="M96" s="173" t="s">
        <v>6536</v>
      </c>
      <c r="N96" s="173"/>
      <c r="O96" s="173"/>
      <c r="P96" s="173" t="s">
        <v>6457</v>
      </c>
      <c r="Q96" s="173"/>
      <c r="R96" s="173"/>
      <c r="S96" t="s">
        <v>6551</v>
      </c>
    </row>
    <row r="97" spans="1:19" x14ac:dyDescent="0.25">
      <c r="A97" s="173" t="s">
        <v>12</v>
      </c>
      <c r="B97" s="174">
        <v>44102</v>
      </c>
      <c r="C97" s="173" t="s">
        <v>951</v>
      </c>
      <c r="D97" s="173" t="s">
        <v>6458</v>
      </c>
      <c r="E97" s="173" t="s">
        <v>6459</v>
      </c>
      <c r="F97" s="173" t="s">
        <v>5965</v>
      </c>
      <c r="G97" s="173" t="s">
        <v>6460</v>
      </c>
      <c r="H97" s="173"/>
      <c r="I97" s="173"/>
      <c r="J97" s="173" t="s">
        <v>21</v>
      </c>
      <c r="K97" s="173">
        <v>8200</v>
      </c>
      <c r="L97" s="173"/>
      <c r="M97" s="173" t="s">
        <v>6524</v>
      </c>
      <c r="N97" s="173"/>
      <c r="O97" s="173"/>
      <c r="P97" s="173" t="s">
        <v>6495</v>
      </c>
      <c r="Q97" s="174">
        <v>44207</v>
      </c>
      <c r="R97" s="173" t="s">
        <v>3186</v>
      </c>
    </row>
    <row r="98" spans="1:19" x14ac:dyDescent="0.25">
      <c r="A98" s="173" t="s">
        <v>408</v>
      </c>
      <c r="B98" s="174">
        <v>44109</v>
      </c>
      <c r="C98" s="173">
        <v>20039</v>
      </c>
      <c r="D98" s="173" t="s">
        <v>6320</v>
      </c>
      <c r="E98" s="173" t="s">
        <v>6461</v>
      </c>
      <c r="F98" s="173" t="s">
        <v>6135</v>
      </c>
      <c r="G98" s="173" t="s">
        <v>6136</v>
      </c>
      <c r="H98" s="176">
        <v>1000</v>
      </c>
      <c r="I98" s="176">
        <f>H98*0.21</f>
        <v>210</v>
      </c>
      <c r="J98" s="176"/>
      <c r="K98" s="176">
        <f>+H98+I98</f>
        <v>1210</v>
      </c>
      <c r="L98" s="173" t="s">
        <v>6462</v>
      </c>
      <c r="M98" s="173" t="s">
        <v>31</v>
      </c>
      <c r="N98" s="173"/>
      <c r="O98" s="173"/>
      <c r="P98" s="173" t="s">
        <v>6495</v>
      </c>
      <c r="Q98" s="174">
        <v>44207</v>
      </c>
      <c r="R98" s="173"/>
      <c r="S98" t="s">
        <v>6551</v>
      </c>
    </row>
    <row r="99" spans="1:19" x14ac:dyDescent="0.25">
      <c r="A99" s="173" t="s">
        <v>408</v>
      </c>
      <c r="B99" s="174">
        <v>44133</v>
      </c>
      <c r="C99" s="173">
        <v>20041</v>
      </c>
      <c r="D99" s="173" t="s">
        <v>6463</v>
      </c>
      <c r="E99" s="173" t="s">
        <v>6464</v>
      </c>
      <c r="F99" s="173" t="s">
        <v>6352</v>
      </c>
      <c r="G99" s="173" t="s">
        <v>6353</v>
      </c>
      <c r="H99" s="173"/>
      <c r="I99" s="173"/>
      <c r="J99" s="173" t="s">
        <v>21</v>
      </c>
      <c r="K99" s="173">
        <v>2699</v>
      </c>
      <c r="L99" s="173" t="s">
        <v>6465</v>
      </c>
      <c r="M99" s="173" t="s">
        <v>6533</v>
      </c>
      <c r="N99" s="173"/>
      <c r="O99" s="173"/>
      <c r="P99" s="173" t="s">
        <v>6495</v>
      </c>
      <c r="Q99" s="174">
        <v>44207</v>
      </c>
      <c r="R99" s="173" t="s">
        <v>3186</v>
      </c>
      <c r="S99" t="s">
        <v>6552</v>
      </c>
    </row>
    <row r="100" spans="1:19" x14ac:dyDescent="0.25">
      <c r="A100" s="173" t="s">
        <v>408</v>
      </c>
      <c r="B100" s="174">
        <v>44133</v>
      </c>
      <c r="C100" s="173">
        <v>20042</v>
      </c>
      <c r="D100" s="173" t="s">
        <v>6466</v>
      </c>
      <c r="E100" s="173" t="s">
        <v>6467</v>
      </c>
      <c r="F100" s="173" t="s">
        <v>6403</v>
      </c>
      <c r="G100" s="173" t="s">
        <v>6404</v>
      </c>
      <c r="H100" s="173"/>
      <c r="I100" s="173"/>
      <c r="J100" s="173" t="s">
        <v>21</v>
      </c>
      <c r="K100" s="173">
        <v>21995</v>
      </c>
      <c r="L100" s="173" t="s">
        <v>6468</v>
      </c>
      <c r="M100" s="173" t="s">
        <v>6509</v>
      </c>
      <c r="N100" s="173"/>
      <c r="O100" s="173"/>
      <c r="P100" s="173" t="s">
        <v>6495</v>
      </c>
      <c r="Q100" s="174">
        <v>44207</v>
      </c>
      <c r="R100" s="173" t="s">
        <v>3186</v>
      </c>
      <c r="S100" t="s">
        <v>6551</v>
      </c>
    </row>
    <row r="101" spans="1:19" x14ac:dyDescent="0.25">
      <c r="A101" s="173" t="s">
        <v>408</v>
      </c>
      <c r="B101" s="174">
        <v>44165</v>
      </c>
      <c r="C101" s="173">
        <v>20043</v>
      </c>
      <c r="D101" s="173" t="s">
        <v>6320</v>
      </c>
      <c r="E101" s="173" t="s">
        <v>6416</v>
      </c>
      <c r="F101" s="173" t="s">
        <v>6388</v>
      </c>
      <c r="G101" s="173" t="s">
        <v>6389</v>
      </c>
      <c r="H101" s="173"/>
      <c r="I101" s="173"/>
      <c r="J101" s="173" t="s">
        <v>21</v>
      </c>
      <c r="K101" s="173">
        <v>4200</v>
      </c>
      <c r="L101" s="173" t="s">
        <v>6432</v>
      </c>
      <c r="M101" s="173" t="s">
        <v>6519</v>
      </c>
      <c r="N101" s="173"/>
      <c r="O101" s="173"/>
      <c r="P101" s="173" t="s">
        <v>6495</v>
      </c>
      <c r="Q101" s="174">
        <v>44207</v>
      </c>
      <c r="R101" s="173" t="s">
        <v>3186</v>
      </c>
      <c r="S101" t="s">
        <v>6551</v>
      </c>
    </row>
    <row r="102" spans="1:19" x14ac:dyDescent="0.25">
      <c r="A102" s="173" t="s">
        <v>408</v>
      </c>
      <c r="B102" s="174">
        <v>44131</v>
      </c>
      <c r="C102" s="173">
        <v>20040</v>
      </c>
      <c r="D102" s="173" t="s">
        <v>6469</v>
      </c>
      <c r="E102" s="173" t="s">
        <v>6382</v>
      </c>
      <c r="F102" s="173" t="s">
        <v>6360</v>
      </c>
      <c r="G102" s="173" t="s">
        <v>6361</v>
      </c>
      <c r="H102" s="173"/>
      <c r="I102" s="173"/>
      <c r="J102" s="173" t="s">
        <v>21</v>
      </c>
      <c r="K102" s="173">
        <v>300</v>
      </c>
      <c r="L102" s="173" t="s">
        <v>6470</v>
      </c>
      <c r="M102" s="173" t="s">
        <v>31</v>
      </c>
      <c r="N102" s="173"/>
      <c r="O102" s="173"/>
      <c r="P102" s="173" t="s">
        <v>6495</v>
      </c>
      <c r="Q102" s="174">
        <v>44207</v>
      </c>
      <c r="R102" s="173"/>
      <c r="S102" t="s">
        <v>6552</v>
      </c>
    </row>
    <row r="103" spans="1:19" x14ac:dyDescent="0.25">
      <c r="A103" s="173" t="s">
        <v>12</v>
      </c>
      <c r="B103" s="174">
        <v>44161</v>
      </c>
      <c r="C103" s="173" t="s">
        <v>6471</v>
      </c>
      <c r="D103" s="173" t="s">
        <v>6338</v>
      </c>
      <c r="E103" s="173" t="s">
        <v>4800</v>
      </c>
      <c r="F103" s="173" t="s">
        <v>5249</v>
      </c>
      <c r="G103" s="173" t="s">
        <v>6472</v>
      </c>
      <c r="H103" s="173"/>
      <c r="I103" s="173"/>
      <c r="J103" s="173" t="s">
        <v>21</v>
      </c>
      <c r="K103" s="173">
        <v>1000</v>
      </c>
      <c r="L103" s="173"/>
      <c r="M103" s="173"/>
      <c r="N103" s="173"/>
      <c r="O103" s="173"/>
      <c r="P103" s="173" t="s">
        <v>6495</v>
      </c>
      <c r="Q103" s="174">
        <v>44207</v>
      </c>
      <c r="R103" s="173"/>
    </row>
    <row r="104" spans="1:19" x14ac:dyDescent="0.25">
      <c r="A104" s="173" t="s">
        <v>12</v>
      </c>
      <c r="B104" s="174">
        <v>44158</v>
      </c>
      <c r="C104" s="173" t="s">
        <v>6473</v>
      </c>
      <c r="D104" s="173" t="s">
        <v>6476</v>
      </c>
      <c r="E104" s="173" t="s">
        <v>6477</v>
      </c>
      <c r="F104" s="173" t="s">
        <v>6474</v>
      </c>
      <c r="G104" s="173" t="s">
        <v>6475</v>
      </c>
      <c r="H104" s="173"/>
      <c r="I104" s="173"/>
      <c r="J104" s="173" t="s">
        <v>21</v>
      </c>
      <c r="K104" s="173">
        <v>19500</v>
      </c>
      <c r="L104" s="173"/>
      <c r="M104" s="173"/>
      <c r="N104" s="173"/>
      <c r="O104" s="173"/>
      <c r="P104" s="173" t="s">
        <v>6495</v>
      </c>
      <c r="Q104" s="174">
        <v>44207</v>
      </c>
      <c r="R104" s="173"/>
    </row>
    <row r="105" spans="1:19" x14ac:dyDescent="0.25">
      <c r="A105" s="173" t="s">
        <v>12</v>
      </c>
      <c r="B105" s="174">
        <v>44153</v>
      </c>
      <c r="C105" s="173" t="s">
        <v>6479</v>
      </c>
      <c r="D105" s="173" t="s">
        <v>6338</v>
      </c>
      <c r="E105" s="173" t="s">
        <v>4800</v>
      </c>
      <c r="F105" s="173" t="s">
        <v>6480</v>
      </c>
      <c r="G105" s="173" t="s">
        <v>6478</v>
      </c>
      <c r="H105" s="173"/>
      <c r="I105" s="173"/>
      <c r="J105" s="173" t="s">
        <v>21</v>
      </c>
      <c r="K105" s="173">
        <v>1500</v>
      </c>
      <c r="L105" s="173"/>
      <c r="M105" s="173"/>
      <c r="N105" s="173"/>
      <c r="O105" s="173"/>
      <c r="P105" s="173" t="s">
        <v>6495</v>
      </c>
      <c r="Q105" s="174">
        <v>44207</v>
      </c>
      <c r="R105" s="173"/>
    </row>
    <row r="106" spans="1:19" x14ac:dyDescent="0.25">
      <c r="A106" s="173" t="s">
        <v>12</v>
      </c>
      <c r="B106" s="174">
        <v>44112</v>
      </c>
      <c r="C106" s="173" t="s">
        <v>6481</v>
      </c>
      <c r="D106" s="173" t="s">
        <v>6338</v>
      </c>
      <c r="E106" s="173" t="s">
        <v>4800</v>
      </c>
      <c r="F106" s="173" t="s">
        <v>5249</v>
      </c>
      <c r="G106" s="173" t="s">
        <v>6482</v>
      </c>
      <c r="H106" s="173"/>
      <c r="I106" s="173"/>
      <c r="J106" s="173" t="s">
        <v>21</v>
      </c>
      <c r="K106" s="173">
        <v>10000</v>
      </c>
      <c r="L106" s="173"/>
      <c r="M106" s="173"/>
      <c r="N106" s="173"/>
      <c r="O106" s="173"/>
      <c r="P106" s="173" t="s">
        <v>6495</v>
      </c>
      <c r="Q106" s="174">
        <v>44207</v>
      </c>
      <c r="R106" s="173"/>
    </row>
    <row r="107" spans="1:19" x14ac:dyDescent="0.25">
      <c r="A107" s="173" t="s">
        <v>12</v>
      </c>
      <c r="B107" s="174">
        <v>44106</v>
      </c>
      <c r="C107" s="173" t="s">
        <v>6484</v>
      </c>
      <c r="D107" s="173" t="s">
        <v>6338</v>
      </c>
      <c r="E107" s="173" t="s">
        <v>4800</v>
      </c>
      <c r="F107" s="173" t="s">
        <v>2718</v>
      </c>
      <c r="G107" s="173" t="s">
        <v>6483</v>
      </c>
      <c r="H107" s="173"/>
      <c r="I107" s="173"/>
      <c r="J107" s="173" t="s">
        <v>21</v>
      </c>
      <c r="K107" s="173">
        <v>18000</v>
      </c>
      <c r="L107" s="173"/>
      <c r="M107" s="173"/>
      <c r="N107" s="173"/>
      <c r="O107" s="173"/>
      <c r="P107" s="173" t="s">
        <v>6495</v>
      </c>
      <c r="Q107" s="174">
        <v>44207</v>
      </c>
      <c r="R107" s="173"/>
    </row>
    <row r="108" spans="1:19" x14ac:dyDescent="0.25">
      <c r="A108" s="173" t="s">
        <v>12</v>
      </c>
      <c r="B108" s="174">
        <v>44105</v>
      </c>
      <c r="C108" s="173" t="s">
        <v>6485</v>
      </c>
      <c r="D108" s="173" t="s">
        <v>6338</v>
      </c>
      <c r="E108" s="173" t="s">
        <v>4800</v>
      </c>
      <c r="F108" s="173" t="s">
        <v>6486</v>
      </c>
      <c r="G108" s="173" t="s">
        <v>6487</v>
      </c>
      <c r="H108" s="173"/>
      <c r="I108" s="173"/>
      <c r="J108" s="173" t="s">
        <v>21</v>
      </c>
      <c r="K108" s="173">
        <v>1200</v>
      </c>
      <c r="L108" s="173"/>
      <c r="M108" s="173"/>
      <c r="N108" s="173"/>
      <c r="O108" s="173"/>
      <c r="P108" s="173" t="s">
        <v>6495</v>
      </c>
      <c r="Q108" s="174">
        <v>44207</v>
      </c>
      <c r="R108" s="173"/>
    </row>
    <row r="109" spans="1:19" x14ac:dyDescent="0.25">
      <c r="A109" s="173" t="s">
        <v>12</v>
      </c>
      <c r="B109" s="174">
        <v>44105</v>
      </c>
      <c r="C109" s="173" t="s">
        <v>6488</v>
      </c>
      <c r="D109" s="173" t="s">
        <v>6338</v>
      </c>
      <c r="E109" s="173" t="s">
        <v>4800</v>
      </c>
      <c r="F109" s="173" t="s">
        <v>3807</v>
      </c>
      <c r="G109" s="173" t="s">
        <v>6489</v>
      </c>
      <c r="H109" s="173"/>
      <c r="I109" s="173"/>
      <c r="J109" s="173" t="s">
        <v>21</v>
      </c>
      <c r="K109" s="173">
        <v>1200</v>
      </c>
      <c r="L109" s="173"/>
      <c r="M109" s="173"/>
      <c r="N109" s="173"/>
      <c r="O109" s="173"/>
      <c r="P109" s="173" t="s">
        <v>6495</v>
      </c>
      <c r="Q109" s="174">
        <v>44207</v>
      </c>
      <c r="R109" s="173"/>
    </row>
    <row r="110" spans="1:19" x14ac:dyDescent="0.25">
      <c r="A110" s="173" t="s">
        <v>12</v>
      </c>
      <c r="B110" s="174">
        <v>44180</v>
      </c>
      <c r="C110" s="173" t="s">
        <v>6490</v>
      </c>
      <c r="D110" s="173" t="s">
        <v>6338</v>
      </c>
      <c r="E110" s="173" t="s">
        <v>4800</v>
      </c>
      <c r="F110" s="173" t="s">
        <v>3344</v>
      </c>
      <c r="G110" s="173" t="s">
        <v>6491</v>
      </c>
      <c r="H110" s="173"/>
      <c r="I110" s="173"/>
      <c r="J110" s="173" t="s">
        <v>21</v>
      </c>
      <c r="K110" s="173">
        <v>1500</v>
      </c>
      <c r="L110" s="173"/>
      <c r="M110" s="173"/>
      <c r="N110" s="173"/>
      <c r="O110" s="173"/>
      <c r="P110" s="173" t="s">
        <v>6495</v>
      </c>
      <c r="Q110" s="174">
        <v>44207</v>
      </c>
      <c r="R110" s="173"/>
    </row>
    <row r="111" spans="1:19" x14ac:dyDescent="0.25">
      <c r="A111" s="173" t="s">
        <v>12</v>
      </c>
      <c r="B111" s="174">
        <v>44188</v>
      </c>
      <c r="C111" s="173" t="s">
        <v>951</v>
      </c>
      <c r="D111" s="173" t="s">
        <v>6492</v>
      </c>
      <c r="E111" s="173" t="s">
        <v>6493</v>
      </c>
      <c r="F111" s="173" t="s">
        <v>6284</v>
      </c>
      <c r="G111" s="173" t="s">
        <v>6494</v>
      </c>
      <c r="H111" s="173"/>
      <c r="I111" s="173"/>
      <c r="J111" s="173" t="s">
        <v>21</v>
      </c>
      <c r="K111" s="173">
        <v>2000</v>
      </c>
      <c r="L111" s="173"/>
      <c r="M111" s="173"/>
      <c r="N111" s="173"/>
      <c r="O111" s="173"/>
      <c r="P111" s="173" t="s">
        <v>6495</v>
      </c>
      <c r="Q111" s="174">
        <v>44207</v>
      </c>
      <c r="R111" s="173"/>
    </row>
    <row r="112" spans="1:19" x14ac:dyDescent="0.25">
      <c r="A112" s="173" t="s">
        <v>12</v>
      </c>
      <c r="B112" s="174">
        <v>44180</v>
      </c>
      <c r="C112" s="173" t="s">
        <v>6496</v>
      </c>
      <c r="D112" s="173" t="s">
        <v>6497</v>
      </c>
      <c r="E112" s="173" t="s">
        <v>6498</v>
      </c>
      <c r="F112" s="173" t="s">
        <v>6499</v>
      </c>
      <c r="G112" s="173" t="s">
        <v>6500</v>
      </c>
      <c r="H112" s="173"/>
      <c r="I112" s="173"/>
      <c r="J112" s="173" t="s">
        <v>21</v>
      </c>
      <c r="K112" s="173">
        <v>3500</v>
      </c>
      <c r="L112" s="173"/>
      <c r="M112" s="173"/>
      <c r="N112" s="173"/>
      <c r="O112" s="173"/>
      <c r="P112" s="173" t="s">
        <v>6495</v>
      </c>
      <c r="Q112" s="174">
        <v>44207</v>
      </c>
      <c r="R112" s="173"/>
    </row>
    <row r="113" spans="1:19" x14ac:dyDescent="0.25">
      <c r="A113" s="173" t="s">
        <v>408</v>
      </c>
      <c r="B113" s="174">
        <v>44151</v>
      </c>
      <c r="C113" s="173">
        <v>20044</v>
      </c>
      <c r="D113" s="173" t="s">
        <v>5763</v>
      </c>
      <c r="E113" s="173" t="s">
        <v>5764</v>
      </c>
      <c r="F113" s="173" t="s">
        <v>6284</v>
      </c>
      <c r="G113" s="173" t="s">
        <v>6409</v>
      </c>
      <c r="H113" s="173"/>
      <c r="I113" s="173"/>
      <c r="J113" s="173" t="s">
        <v>21</v>
      </c>
      <c r="K113" s="173">
        <v>9000</v>
      </c>
      <c r="L113" s="173" t="s">
        <v>6501</v>
      </c>
      <c r="M113" s="173" t="s">
        <v>6542</v>
      </c>
      <c r="N113" s="173"/>
      <c r="O113" s="173"/>
      <c r="P113" s="173" t="s">
        <v>6495</v>
      </c>
      <c r="Q113" s="174">
        <v>44207</v>
      </c>
      <c r="R113" s="173" t="s">
        <v>3186</v>
      </c>
      <c r="S113" t="s">
        <v>6551</v>
      </c>
    </row>
    <row r="114" spans="1:19" x14ac:dyDescent="0.25">
      <c r="A114" s="173" t="s">
        <v>12</v>
      </c>
      <c r="B114" s="174">
        <v>44167</v>
      </c>
      <c r="C114" s="173" t="s">
        <v>951</v>
      </c>
      <c r="D114" s="173" t="s">
        <v>6525</v>
      </c>
      <c r="E114" s="173" t="s">
        <v>6526</v>
      </c>
      <c r="F114" s="173" t="s">
        <v>4255</v>
      </c>
      <c r="G114" s="173" t="s">
        <v>6527</v>
      </c>
      <c r="H114" s="173"/>
      <c r="I114" s="173"/>
      <c r="J114" s="173" t="s">
        <v>21</v>
      </c>
      <c r="K114" s="173">
        <v>4100</v>
      </c>
      <c r="L114" s="173"/>
      <c r="M114" s="173" t="s">
        <v>6528</v>
      </c>
      <c r="N114" s="173"/>
      <c r="O114" s="173"/>
      <c r="P114" s="173" t="s">
        <v>6495</v>
      </c>
      <c r="Q114" s="174">
        <v>44207</v>
      </c>
      <c r="R114" s="173" t="s">
        <v>3186</v>
      </c>
    </row>
  </sheetData>
  <autoFilter ref="A1:S114" xr:uid="{418F9D17-FFE9-41BF-B493-D6CFD0D9A72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126"/>
  <sheetViews>
    <sheetView workbookViewId="0">
      <pane ySplit="1" topLeftCell="A2" activePane="bottomLeft" state="frozen"/>
      <selection pane="bottomLeft" activeCell="L6" sqref="L6"/>
    </sheetView>
  </sheetViews>
  <sheetFormatPr baseColWidth="10" defaultRowHeight="15" x14ac:dyDescent="0.25"/>
  <cols>
    <col min="1" max="1" width="10.140625" customWidth="1"/>
    <col min="2" max="2" width="10.7109375" bestFit="1" customWidth="1"/>
    <col min="3" max="3" width="11.42578125" style="200" customWidth="1"/>
    <col min="4" max="4" width="20.42578125" customWidth="1"/>
    <col min="5" max="5" width="11.140625" bestFit="1" customWidth="1"/>
    <col min="6" max="6" width="31.85546875" customWidth="1"/>
    <col min="7" max="7" width="11.28515625" bestFit="1" customWidth="1"/>
    <col min="8" max="8" width="9.7109375" bestFit="1" customWidth="1"/>
    <col min="9" max="9" width="9.5703125" bestFit="1" customWidth="1"/>
    <col min="10" max="10" width="8" customWidth="1"/>
    <col min="11" max="11" width="10.5703125" bestFit="1" customWidth="1"/>
    <col min="12" max="12" width="34.7109375" customWidth="1"/>
    <col min="13" max="13" width="13.42578125" customWidth="1"/>
    <col min="14" max="14" width="6.85546875" customWidth="1"/>
    <col min="15" max="15" width="7" customWidth="1"/>
    <col min="16" max="16" width="9.85546875" customWidth="1"/>
    <col min="17" max="17" width="10.7109375" bestFit="1" customWidth="1"/>
    <col min="18" max="18" width="7.28515625" customWidth="1"/>
  </cols>
  <sheetData>
    <row r="1" spans="1:18" x14ac:dyDescent="0.25">
      <c r="A1" s="178" t="s">
        <v>12</v>
      </c>
      <c r="B1" s="179" t="s">
        <v>1</v>
      </c>
      <c r="C1" s="179" t="s">
        <v>2</v>
      </c>
      <c r="D1" s="180" t="s">
        <v>3</v>
      </c>
      <c r="E1" s="181" t="s">
        <v>4</v>
      </c>
      <c r="F1" s="180" t="s">
        <v>5</v>
      </c>
      <c r="G1" s="180" t="s">
        <v>6</v>
      </c>
      <c r="H1" s="180" t="s">
        <v>7</v>
      </c>
      <c r="I1" s="180" t="s">
        <v>3503</v>
      </c>
      <c r="J1" s="180" t="s">
        <v>1630</v>
      </c>
      <c r="K1" s="180" t="s">
        <v>9</v>
      </c>
      <c r="L1" s="180" t="s">
        <v>3508</v>
      </c>
      <c r="M1" s="180" t="s">
        <v>83</v>
      </c>
      <c r="N1" s="181" t="s">
        <v>85</v>
      </c>
      <c r="O1" s="180" t="s">
        <v>86</v>
      </c>
      <c r="P1" s="180" t="s">
        <v>11</v>
      </c>
      <c r="Q1" s="178" t="s">
        <v>30</v>
      </c>
      <c r="R1" s="178" t="s">
        <v>3784</v>
      </c>
    </row>
    <row r="2" spans="1:18" x14ac:dyDescent="0.25">
      <c r="A2" s="185" t="s">
        <v>12</v>
      </c>
      <c r="B2" s="183">
        <v>43066</v>
      </c>
      <c r="C2" s="184" t="s">
        <v>5468</v>
      </c>
      <c r="D2" s="185" t="s">
        <v>5246</v>
      </c>
      <c r="E2" s="185" t="s">
        <v>4800</v>
      </c>
      <c r="F2" s="185" t="s">
        <v>5469</v>
      </c>
      <c r="G2" s="185" t="s">
        <v>5470</v>
      </c>
      <c r="H2" s="185">
        <v>1652.89</v>
      </c>
      <c r="I2" s="186">
        <v>347.1069</v>
      </c>
      <c r="J2" s="186"/>
      <c r="K2" s="186">
        <v>1999.9969000000001</v>
      </c>
      <c r="L2" s="185" t="s">
        <v>5971</v>
      </c>
      <c r="M2" s="185"/>
      <c r="N2" s="185"/>
      <c r="O2" s="185"/>
      <c r="P2" s="185" t="s">
        <v>5523</v>
      </c>
      <c r="Q2" s="183">
        <v>43116</v>
      </c>
      <c r="R2" s="185"/>
    </row>
    <row r="3" spans="1:18" x14ac:dyDescent="0.25">
      <c r="A3" s="173" t="s">
        <v>12</v>
      </c>
      <c r="B3" s="174">
        <v>43070</v>
      </c>
      <c r="C3" s="173" t="s">
        <v>951</v>
      </c>
      <c r="D3" s="173" t="s">
        <v>6013</v>
      </c>
      <c r="E3" s="173" t="s">
        <v>6014</v>
      </c>
      <c r="F3" s="173" t="s">
        <v>4054</v>
      </c>
      <c r="G3" s="173" t="s">
        <v>6015</v>
      </c>
      <c r="H3" s="173"/>
      <c r="I3" s="173"/>
      <c r="J3" s="176" t="s">
        <v>21</v>
      </c>
      <c r="K3" s="173">
        <v>100</v>
      </c>
      <c r="L3" s="173" t="s">
        <v>5971</v>
      </c>
      <c r="M3" s="173"/>
      <c r="N3" s="173"/>
      <c r="O3" s="173"/>
      <c r="P3" s="173" t="s">
        <v>6020</v>
      </c>
      <c r="Q3" s="174">
        <v>43563</v>
      </c>
      <c r="R3" s="173"/>
    </row>
    <row r="4" spans="1:18" x14ac:dyDescent="0.25">
      <c r="A4" s="173" t="s">
        <v>12</v>
      </c>
      <c r="B4" s="174">
        <v>43124</v>
      </c>
      <c r="C4" s="173" t="s">
        <v>5617</v>
      </c>
      <c r="D4" s="173" t="s">
        <v>5808</v>
      </c>
      <c r="E4" s="173" t="s">
        <v>4797</v>
      </c>
      <c r="F4" s="173" t="s">
        <v>4061</v>
      </c>
      <c r="G4" s="173" t="s">
        <v>5618</v>
      </c>
      <c r="H4" s="173"/>
      <c r="I4" s="173"/>
      <c r="J4" s="176" t="s">
        <v>21</v>
      </c>
      <c r="K4" s="176">
        <v>2800</v>
      </c>
      <c r="L4" s="173" t="s">
        <v>5971</v>
      </c>
      <c r="M4" s="173" t="s">
        <v>6265</v>
      </c>
      <c r="N4" s="173"/>
      <c r="O4" s="173"/>
      <c r="P4" s="173" t="s">
        <v>5656</v>
      </c>
      <c r="Q4" s="174">
        <v>43198</v>
      </c>
      <c r="R4" s="173"/>
    </row>
    <row r="5" spans="1:18" hidden="1" x14ac:dyDescent="0.25">
      <c r="A5" s="173" t="s">
        <v>408</v>
      </c>
      <c r="B5" s="174">
        <v>43184</v>
      </c>
      <c r="C5" s="173">
        <v>19017</v>
      </c>
      <c r="D5" s="173" t="s">
        <v>5980</v>
      </c>
      <c r="E5" s="173" t="s">
        <v>5981</v>
      </c>
      <c r="F5" s="173" t="s">
        <v>2966</v>
      </c>
      <c r="G5" s="173" t="s">
        <v>5756</v>
      </c>
      <c r="H5" s="173"/>
      <c r="I5" s="173"/>
      <c r="J5" s="176" t="s">
        <v>21</v>
      </c>
      <c r="K5" s="173">
        <v>3500</v>
      </c>
      <c r="L5" s="173" t="s">
        <v>5982</v>
      </c>
      <c r="M5" s="173" t="s">
        <v>6275</v>
      </c>
      <c r="N5" s="173"/>
      <c r="O5" s="173"/>
      <c r="P5" s="173" t="s">
        <v>6020</v>
      </c>
      <c r="Q5" s="174">
        <v>43563</v>
      </c>
      <c r="R5" s="173" t="s">
        <v>3186</v>
      </c>
    </row>
    <row r="6" spans="1:18" x14ac:dyDescent="0.25">
      <c r="A6" s="173" t="s">
        <v>12</v>
      </c>
      <c r="B6" s="174">
        <v>43677</v>
      </c>
      <c r="C6" s="195" t="s">
        <v>6091</v>
      </c>
      <c r="D6" s="173" t="s">
        <v>6134</v>
      </c>
      <c r="E6" s="173" t="s">
        <v>6092</v>
      </c>
      <c r="F6" s="173" t="s">
        <v>6093</v>
      </c>
      <c r="G6" s="173" t="s">
        <v>6094</v>
      </c>
      <c r="H6" s="176">
        <f>11000/1.21</f>
        <v>9090.9090909090919</v>
      </c>
      <c r="I6" s="176">
        <f>+H6*0.21</f>
        <v>1909.0909090909092</v>
      </c>
      <c r="J6" s="176"/>
      <c r="K6" s="176">
        <f>+H6+I6</f>
        <v>11000.000000000002</v>
      </c>
      <c r="L6" s="173" t="s">
        <v>5971</v>
      </c>
      <c r="M6" s="173" t="s">
        <v>6263</v>
      </c>
      <c r="N6" s="173"/>
      <c r="O6" s="173"/>
      <c r="P6" s="173" t="s">
        <v>6140</v>
      </c>
      <c r="Q6" s="174">
        <v>43746</v>
      </c>
      <c r="R6" s="173" t="s">
        <v>3186</v>
      </c>
    </row>
    <row r="7" spans="1:18" x14ac:dyDescent="0.25">
      <c r="A7" s="173" t="s">
        <v>12</v>
      </c>
      <c r="B7" s="174">
        <v>43677</v>
      </c>
      <c r="C7" s="195" t="s">
        <v>6095</v>
      </c>
      <c r="D7" s="173" t="s">
        <v>6134</v>
      </c>
      <c r="E7" s="173" t="s">
        <v>6133</v>
      </c>
      <c r="F7" s="173" t="s">
        <v>4043</v>
      </c>
      <c r="G7" s="173" t="s">
        <v>6096</v>
      </c>
      <c r="H7" s="173"/>
      <c r="I7" s="173"/>
      <c r="J7" s="173" t="s">
        <v>21</v>
      </c>
      <c r="K7" s="176">
        <v>6000</v>
      </c>
      <c r="L7" s="173" t="s">
        <v>5971</v>
      </c>
      <c r="M7" s="173" t="s">
        <v>6264</v>
      </c>
      <c r="N7" s="173"/>
      <c r="O7" s="173"/>
      <c r="P7" s="173" t="s">
        <v>6140</v>
      </c>
      <c r="Q7" s="174">
        <v>43746</v>
      </c>
      <c r="R7" s="173" t="s">
        <v>3186</v>
      </c>
    </row>
    <row r="8" spans="1:18" x14ac:dyDescent="0.25">
      <c r="A8" s="173" t="s">
        <v>12</v>
      </c>
      <c r="B8" s="174">
        <v>43742</v>
      </c>
      <c r="C8" s="195" t="s">
        <v>6164</v>
      </c>
      <c r="D8" s="173" t="s">
        <v>6134</v>
      </c>
      <c r="E8" s="173" t="s">
        <v>6133</v>
      </c>
      <c r="F8" s="173" t="s">
        <v>5782</v>
      </c>
      <c r="G8" s="173" t="s">
        <v>6165</v>
      </c>
      <c r="H8" s="173"/>
      <c r="I8" s="173"/>
      <c r="J8" s="173" t="s">
        <v>21</v>
      </c>
      <c r="K8" s="173">
        <v>13500</v>
      </c>
      <c r="L8" s="173"/>
      <c r="M8" s="173" t="s">
        <v>6260</v>
      </c>
      <c r="N8" s="173"/>
      <c r="O8" s="173"/>
      <c r="P8" s="173" t="s">
        <v>6210</v>
      </c>
      <c r="Q8" s="174">
        <v>43844</v>
      </c>
      <c r="R8" s="173" t="s">
        <v>3186</v>
      </c>
    </row>
    <row r="9" spans="1:18" x14ac:dyDescent="0.25">
      <c r="A9" s="173" t="s">
        <v>12</v>
      </c>
      <c r="B9" s="174">
        <v>43651</v>
      </c>
      <c r="C9" s="195" t="s">
        <v>6132</v>
      </c>
      <c r="D9" s="173" t="s">
        <v>5246</v>
      </c>
      <c r="E9" s="173" t="s">
        <v>4800</v>
      </c>
      <c r="F9" s="173" t="s">
        <v>6135</v>
      </c>
      <c r="G9" s="173" t="s">
        <v>6136</v>
      </c>
      <c r="H9" s="176">
        <f>900/1.21</f>
        <v>743.80165289256206</v>
      </c>
      <c r="I9" s="176">
        <f>+H9*0.21</f>
        <v>156.19834710743802</v>
      </c>
      <c r="J9" s="176"/>
      <c r="K9" s="176">
        <f>+H9+I9</f>
        <v>900.00000000000011</v>
      </c>
      <c r="L9" s="173"/>
      <c r="M9" s="173" t="s">
        <v>6238</v>
      </c>
      <c r="N9" s="173"/>
      <c r="O9" s="173"/>
      <c r="P9" s="173" t="s">
        <v>6140</v>
      </c>
      <c r="Q9" s="174">
        <v>43746</v>
      </c>
      <c r="R9" s="173" t="s">
        <v>3186</v>
      </c>
    </row>
    <row r="10" spans="1:18" x14ac:dyDescent="0.25">
      <c r="A10" s="173" t="s">
        <v>12</v>
      </c>
      <c r="B10" s="174">
        <v>43322</v>
      </c>
      <c r="C10" s="173" t="s">
        <v>951</v>
      </c>
      <c r="D10" s="173" t="s">
        <v>5780</v>
      </c>
      <c r="E10" s="173" t="s">
        <v>5781</v>
      </c>
      <c r="F10" s="173" t="s">
        <v>5782</v>
      </c>
      <c r="G10" s="173" t="s">
        <v>5783</v>
      </c>
      <c r="H10" s="173"/>
      <c r="I10" s="173"/>
      <c r="J10" s="176" t="s">
        <v>21</v>
      </c>
      <c r="K10" s="176">
        <v>2600</v>
      </c>
      <c r="L10" s="173" t="s">
        <v>5971</v>
      </c>
      <c r="M10" s="173" t="s">
        <v>5905</v>
      </c>
      <c r="N10" s="173"/>
      <c r="O10" s="173"/>
      <c r="P10" s="173" t="s">
        <v>5790</v>
      </c>
      <c r="Q10" s="174">
        <v>43375</v>
      </c>
      <c r="R10" s="173" t="s">
        <v>3186</v>
      </c>
    </row>
    <row r="11" spans="1:18" x14ac:dyDescent="0.25">
      <c r="A11" s="173" t="s">
        <v>12</v>
      </c>
      <c r="B11" s="174">
        <v>43326</v>
      </c>
      <c r="C11" s="173" t="s">
        <v>951</v>
      </c>
      <c r="D11" s="173" t="s">
        <v>5846</v>
      </c>
      <c r="E11" s="173" t="s">
        <v>5847</v>
      </c>
      <c r="F11" s="173" t="s">
        <v>3210</v>
      </c>
      <c r="G11" s="173" t="s">
        <v>5848</v>
      </c>
      <c r="H11" s="173"/>
      <c r="I11" s="173"/>
      <c r="J11" s="176" t="s">
        <v>21</v>
      </c>
      <c r="K11" s="176">
        <v>2200</v>
      </c>
      <c r="L11" s="173" t="s">
        <v>5971</v>
      </c>
      <c r="M11" s="173" t="s">
        <v>5906</v>
      </c>
      <c r="N11" s="173"/>
      <c r="O11" s="173"/>
      <c r="P11" s="173" t="s">
        <v>5937</v>
      </c>
      <c r="Q11" s="173"/>
      <c r="R11" s="173" t="s">
        <v>3186</v>
      </c>
    </row>
    <row r="12" spans="1:18" x14ac:dyDescent="0.25">
      <c r="A12" s="173" t="s">
        <v>12</v>
      </c>
      <c r="B12" s="174">
        <v>43588</v>
      </c>
      <c r="C12" s="195" t="s">
        <v>6021</v>
      </c>
      <c r="D12" s="173" t="s">
        <v>5246</v>
      </c>
      <c r="E12" s="173" t="s">
        <v>4800</v>
      </c>
      <c r="F12" s="173" t="s">
        <v>6022</v>
      </c>
      <c r="G12" s="173" t="s">
        <v>6023</v>
      </c>
      <c r="H12" s="173"/>
      <c r="I12" s="173"/>
      <c r="J12" s="173" t="s">
        <v>21</v>
      </c>
      <c r="K12" s="176">
        <v>12000</v>
      </c>
      <c r="L12" s="173" t="s">
        <v>5971</v>
      </c>
      <c r="M12" s="173" t="s">
        <v>6228</v>
      </c>
      <c r="N12" s="173"/>
      <c r="O12" s="173"/>
      <c r="P12" s="173" t="s">
        <v>6083</v>
      </c>
      <c r="Q12" s="174">
        <v>43645</v>
      </c>
      <c r="R12" s="173" t="s">
        <v>3186</v>
      </c>
    </row>
    <row r="13" spans="1:18" x14ac:dyDescent="0.25">
      <c r="A13" s="173" t="s">
        <v>12</v>
      </c>
      <c r="B13" s="174">
        <v>43494</v>
      </c>
      <c r="C13" s="175" t="s">
        <v>5953</v>
      </c>
      <c r="D13" s="173" t="s">
        <v>5246</v>
      </c>
      <c r="E13" s="173" t="s">
        <v>4800</v>
      </c>
      <c r="F13" s="173" t="s">
        <v>5954</v>
      </c>
      <c r="G13" s="173" t="s">
        <v>5955</v>
      </c>
      <c r="H13" s="173"/>
      <c r="I13" s="173"/>
      <c r="J13" s="173" t="s">
        <v>21</v>
      </c>
      <c r="K13" s="176">
        <v>8500</v>
      </c>
      <c r="L13" s="173" t="s">
        <v>5971</v>
      </c>
      <c r="M13" s="173" t="s">
        <v>6259</v>
      </c>
      <c r="N13" s="173"/>
      <c r="O13" s="173"/>
      <c r="P13" s="173" t="s">
        <v>6020</v>
      </c>
      <c r="Q13" s="174">
        <v>43563</v>
      </c>
      <c r="R13" s="173" t="s">
        <v>3791</v>
      </c>
    </row>
    <row r="14" spans="1:18" x14ac:dyDescent="0.25">
      <c r="A14" s="173" t="s">
        <v>12</v>
      </c>
      <c r="B14" s="174">
        <v>43517</v>
      </c>
      <c r="C14" s="175" t="s">
        <v>5959</v>
      </c>
      <c r="D14" s="173" t="s">
        <v>5246</v>
      </c>
      <c r="E14" s="173" t="s">
        <v>4800</v>
      </c>
      <c r="F14" s="173" t="s">
        <v>5660</v>
      </c>
      <c r="G14" s="173" t="s">
        <v>5960</v>
      </c>
      <c r="H14" s="173"/>
      <c r="I14" s="173"/>
      <c r="J14" s="173" t="s">
        <v>21</v>
      </c>
      <c r="K14" s="176">
        <v>9500</v>
      </c>
      <c r="L14" s="173" t="s">
        <v>5971</v>
      </c>
      <c r="M14" s="173" t="s">
        <v>6259</v>
      </c>
      <c r="N14" s="173"/>
      <c r="O14" s="173"/>
      <c r="P14" s="173" t="s">
        <v>6020</v>
      </c>
      <c r="Q14" s="174">
        <v>43563</v>
      </c>
      <c r="R14" s="173" t="s">
        <v>3791</v>
      </c>
    </row>
    <row r="15" spans="1:18" x14ac:dyDescent="0.25">
      <c r="A15" s="173" t="s">
        <v>12</v>
      </c>
      <c r="B15" s="174">
        <v>43444</v>
      </c>
      <c r="C15" s="173" t="s">
        <v>5809</v>
      </c>
      <c r="D15" s="173" t="s">
        <v>5808</v>
      </c>
      <c r="E15" s="173" t="s">
        <v>4797</v>
      </c>
      <c r="F15" s="173" t="s">
        <v>5810</v>
      </c>
      <c r="G15" s="173" t="s">
        <v>5811</v>
      </c>
      <c r="H15" s="173"/>
      <c r="I15" s="173"/>
      <c r="J15" s="176" t="s">
        <v>21</v>
      </c>
      <c r="K15" s="173">
        <v>6200</v>
      </c>
      <c r="L15" s="173" t="s">
        <v>5971</v>
      </c>
      <c r="M15" s="173" t="s">
        <v>5907</v>
      </c>
      <c r="N15" s="173"/>
      <c r="O15" s="173"/>
      <c r="P15" s="173" t="s">
        <v>5937</v>
      </c>
      <c r="Q15" s="173"/>
      <c r="R15" s="173" t="s">
        <v>3186</v>
      </c>
    </row>
    <row r="16" spans="1:18" x14ac:dyDescent="0.25">
      <c r="A16" s="173" t="s">
        <v>12</v>
      </c>
      <c r="B16" s="174">
        <v>43446</v>
      </c>
      <c r="C16" s="173" t="s">
        <v>951</v>
      </c>
      <c r="D16" s="173" t="s">
        <v>6005</v>
      </c>
      <c r="E16" s="173" t="s">
        <v>6006</v>
      </c>
      <c r="F16" s="173" t="s">
        <v>6007</v>
      </c>
      <c r="G16" s="173" t="s">
        <v>6008</v>
      </c>
      <c r="H16" s="173"/>
      <c r="I16" s="173"/>
      <c r="J16" s="176" t="s">
        <v>21</v>
      </c>
      <c r="K16" s="173">
        <v>1500</v>
      </c>
      <c r="L16" s="173" t="s">
        <v>5971</v>
      </c>
      <c r="M16" s="173"/>
      <c r="N16" s="173"/>
      <c r="O16" s="173"/>
      <c r="P16" s="173" t="s">
        <v>6020</v>
      </c>
      <c r="Q16" s="174">
        <v>43563</v>
      </c>
      <c r="R16" s="173"/>
    </row>
    <row r="17" spans="1:18" x14ac:dyDescent="0.25">
      <c r="A17" s="173" t="s">
        <v>12</v>
      </c>
      <c r="B17" s="174">
        <v>43493</v>
      </c>
      <c r="C17" s="175" t="s">
        <v>5951</v>
      </c>
      <c r="D17" s="173" t="s">
        <v>5246</v>
      </c>
      <c r="E17" s="173" t="s">
        <v>4800</v>
      </c>
      <c r="F17" s="173" t="s">
        <v>4054</v>
      </c>
      <c r="G17" s="173" t="s">
        <v>5952</v>
      </c>
      <c r="H17" s="173"/>
      <c r="I17" s="173"/>
      <c r="J17" s="173" t="s">
        <v>21</v>
      </c>
      <c r="K17" s="176">
        <v>11000</v>
      </c>
      <c r="L17" s="173" t="s">
        <v>5971</v>
      </c>
      <c r="M17" s="173" t="s">
        <v>6222</v>
      </c>
      <c r="N17" s="173"/>
      <c r="O17" s="173"/>
      <c r="P17" s="173" t="s">
        <v>6020</v>
      </c>
      <c r="Q17" s="174">
        <v>43563</v>
      </c>
      <c r="R17" s="173" t="s">
        <v>3186</v>
      </c>
    </row>
    <row r="18" spans="1:18" x14ac:dyDescent="0.25">
      <c r="A18" s="173" t="s">
        <v>12</v>
      </c>
      <c r="B18" s="174">
        <v>43451</v>
      </c>
      <c r="C18" s="173" t="s">
        <v>5936</v>
      </c>
      <c r="D18" s="173" t="s">
        <v>5808</v>
      </c>
      <c r="E18" s="173" t="s">
        <v>4797</v>
      </c>
      <c r="F18" s="173" t="s">
        <v>5404</v>
      </c>
      <c r="G18" s="173" t="s">
        <v>5903</v>
      </c>
      <c r="H18" s="173"/>
      <c r="I18" s="173"/>
      <c r="J18" s="173" t="s">
        <v>21</v>
      </c>
      <c r="K18" s="173">
        <v>11500</v>
      </c>
      <c r="L18" s="173" t="s">
        <v>5971</v>
      </c>
      <c r="M18" s="173" t="s">
        <v>5904</v>
      </c>
      <c r="N18" s="173"/>
      <c r="O18" s="173"/>
      <c r="P18" s="173" t="s">
        <v>5937</v>
      </c>
      <c r="Q18" s="173"/>
      <c r="R18" s="173" t="s">
        <v>3791</v>
      </c>
    </row>
    <row r="19" spans="1:18" x14ac:dyDescent="0.25">
      <c r="A19" s="173" t="s">
        <v>12</v>
      </c>
      <c r="B19" s="174">
        <v>43517</v>
      </c>
      <c r="C19" s="175" t="s">
        <v>5961</v>
      </c>
      <c r="D19" s="173" t="s">
        <v>5246</v>
      </c>
      <c r="E19" s="173" t="s">
        <v>4800</v>
      </c>
      <c r="F19" s="173" t="s">
        <v>5962</v>
      </c>
      <c r="G19" s="173" t="s">
        <v>5963</v>
      </c>
      <c r="H19" s="173"/>
      <c r="I19" s="173"/>
      <c r="J19" s="173" t="s">
        <v>21</v>
      </c>
      <c r="K19" s="176">
        <v>11500</v>
      </c>
      <c r="L19" s="173" t="s">
        <v>5971</v>
      </c>
      <c r="M19" s="173" t="s">
        <v>6211</v>
      </c>
      <c r="N19" s="173"/>
      <c r="O19" s="173"/>
      <c r="P19" s="173" t="s">
        <v>6020</v>
      </c>
      <c r="Q19" s="174">
        <v>43563</v>
      </c>
      <c r="R19" s="173" t="s">
        <v>3186</v>
      </c>
    </row>
    <row r="20" spans="1:18" x14ac:dyDescent="0.25">
      <c r="A20" s="173" t="s">
        <v>12</v>
      </c>
      <c r="B20" s="174">
        <v>43455</v>
      </c>
      <c r="C20" s="173" t="s">
        <v>951</v>
      </c>
      <c r="D20" s="173" t="s">
        <v>5879</v>
      </c>
      <c r="E20" s="173" t="s">
        <v>5938</v>
      </c>
      <c r="F20" s="173" t="s">
        <v>3677</v>
      </c>
      <c r="G20" s="173" t="s">
        <v>5939</v>
      </c>
      <c r="H20" s="173"/>
      <c r="I20" s="173"/>
      <c r="J20" s="173"/>
      <c r="K20" s="173">
        <v>10500</v>
      </c>
      <c r="L20" s="173" t="s">
        <v>5971</v>
      </c>
      <c r="M20" s="173" t="s">
        <v>5940</v>
      </c>
      <c r="N20" s="173"/>
      <c r="O20" s="173"/>
      <c r="P20" s="173" t="s">
        <v>6020</v>
      </c>
      <c r="Q20" s="174">
        <v>43563</v>
      </c>
      <c r="R20" s="173"/>
    </row>
    <row r="21" spans="1:18" hidden="1" x14ac:dyDescent="0.25">
      <c r="A21" s="173" t="s">
        <v>408</v>
      </c>
      <c r="B21" s="174">
        <v>43469</v>
      </c>
      <c r="C21" s="173">
        <v>19001</v>
      </c>
      <c r="D21" s="173" t="s">
        <v>5969</v>
      </c>
      <c r="E21" s="173" t="s">
        <v>5970</v>
      </c>
      <c r="F21" s="173" t="s">
        <v>4061</v>
      </c>
      <c r="G21" s="173" t="s">
        <v>5618</v>
      </c>
      <c r="H21" s="173"/>
      <c r="I21" s="173"/>
      <c r="J21" s="176" t="s">
        <v>21</v>
      </c>
      <c r="K21" s="173">
        <v>3300</v>
      </c>
      <c r="L21" s="173" t="s">
        <v>5972</v>
      </c>
      <c r="M21" s="173" t="s">
        <v>6267</v>
      </c>
      <c r="N21" s="173"/>
      <c r="O21" s="173"/>
      <c r="P21" s="173" t="s">
        <v>6020</v>
      </c>
      <c r="Q21" s="174">
        <v>43563</v>
      </c>
      <c r="R21" s="173" t="s">
        <v>3186</v>
      </c>
    </row>
    <row r="22" spans="1:18" hidden="1" x14ac:dyDescent="0.25">
      <c r="A22" s="173" t="s">
        <v>408</v>
      </c>
      <c r="B22" s="174">
        <v>43486</v>
      </c>
      <c r="C22" s="173">
        <v>19002</v>
      </c>
      <c r="D22" s="173" t="s">
        <v>2931</v>
      </c>
      <c r="E22" s="173" t="s">
        <v>2352</v>
      </c>
      <c r="F22" s="173" t="s">
        <v>5404</v>
      </c>
      <c r="G22" s="173" t="s">
        <v>5903</v>
      </c>
      <c r="H22" s="173"/>
      <c r="I22" s="173"/>
      <c r="J22" s="173" t="s">
        <v>21</v>
      </c>
      <c r="K22" s="173">
        <v>12000</v>
      </c>
      <c r="L22" s="173" t="s">
        <v>6012</v>
      </c>
      <c r="M22" s="173"/>
      <c r="N22" s="173"/>
      <c r="O22" s="173"/>
      <c r="P22" s="173" t="s">
        <v>6020</v>
      </c>
      <c r="Q22" s="174">
        <v>43563</v>
      </c>
      <c r="R22" s="173"/>
    </row>
    <row r="23" spans="1:18" x14ac:dyDescent="0.25">
      <c r="A23" s="173" t="s">
        <v>12</v>
      </c>
      <c r="B23" s="174">
        <v>43544</v>
      </c>
      <c r="C23" s="175" t="s">
        <v>5964</v>
      </c>
      <c r="D23" s="173" t="s">
        <v>5246</v>
      </c>
      <c r="E23" s="173" t="s">
        <v>4800</v>
      </c>
      <c r="F23" s="173" t="s">
        <v>5965</v>
      </c>
      <c r="G23" s="173" t="s">
        <v>5966</v>
      </c>
      <c r="H23" s="173"/>
      <c r="I23" s="173"/>
      <c r="J23" s="173" t="s">
        <v>21</v>
      </c>
      <c r="K23" s="176">
        <v>9000</v>
      </c>
      <c r="L23" s="173" t="s">
        <v>5971</v>
      </c>
      <c r="M23" s="173" t="s">
        <v>6259</v>
      </c>
      <c r="N23" s="173"/>
      <c r="O23" s="173"/>
      <c r="P23" s="173" t="s">
        <v>6020</v>
      </c>
      <c r="Q23" s="174">
        <v>43563</v>
      </c>
      <c r="R23" s="173" t="s">
        <v>3791</v>
      </c>
    </row>
    <row r="24" spans="1:18" hidden="1" x14ac:dyDescent="0.25">
      <c r="A24" s="173" t="s">
        <v>408</v>
      </c>
      <c r="B24" s="174">
        <v>43487</v>
      </c>
      <c r="C24" s="173">
        <v>19003</v>
      </c>
      <c r="D24" s="173" t="s">
        <v>5978</v>
      </c>
      <c r="E24" s="173" t="s">
        <v>5979</v>
      </c>
      <c r="F24" s="173" t="s">
        <v>5456</v>
      </c>
      <c r="G24" s="173" t="s">
        <v>5658</v>
      </c>
      <c r="H24" s="173"/>
      <c r="I24" s="173"/>
      <c r="J24" s="176" t="s">
        <v>21</v>
      </c>
      <c r="K24" s="173">
        <v>9999</v>
      </c>
      <c r="L24" s="173" t="s">
        <v>5733</v>
      </c>
      <c r="M24" s="173" t="s">
        <v>6274</v>
      </c>
      <c r="N24" s="173"/>
      <c r="O24" s="173"/>
      <c r="P24" s="173" t="s">
        <v>6020</v>
      </c>
      <c r="Q24" s="174">
        <v>43563</v>
      </c>
      <c r="R24" s="173" t="s">
        <v>3186</v>
      </c>
    </row>
    <row r="25" spans="1:18" hidden="1" x14ac:dyDescent="0.25">
      <c r="A25" s="173" t="s">
        <v>408</v>
      </c>
      <c r="B25" s="174">
        <v>43491</v>
      </c>
      <c r="C25" s="173">
        <v>19005</v>
      </c>
      <c r="D25" s="173" t="s">
        <v>5973</v>
      </c>
      <c r="E25" s="173" t="s">
        <v>5974</v>
      </c>
      <c r="F25" s="173" t="s">
        <v>5474</v>
      </c>
      <c r="G25" s="173" t="s">
        <v>5670</v>
      </c>
      <c r="H25" s="173"/>
      <c r="I25" s="173"/>
      <c r="J25" s="176" t="s">
        <v>21</v>
      </c>
      <c r="K25" s="173">
        <v>28000</v>
      </c>
      <c r="L25" s="173" t="s">
        <v>5762</v>
      </c>
      <c r="M25" s="173" t="s">
        <v>6246</v>
      </c>
      <c r="N25" s="173"/>
      <c r="O25" s="173"/>
      <c r="P25" s="173" t="s">
        <v>6020</v>
      </c>
      <c r="Q25" s="174">
        <v>43563</v>
      </c>
      <c r="R25" s="173" t="s">
        <v>3186</v>
      </c>
    </row>
    <row r="26" spans="1:18" hidden="1" x14ac:dyDescent="0.25">
      <c r="A26" s="173" t="s">
        <v>408</v>
      </c>
      <c r="B26" s="174">
        <v>43491</v>
      </c>
      <c r="C26" s="173">
        <v>19004</v>
      </c>
      <c r="D26" s="173" t="s">
        <v>5975</v>
      </c>
      <c r="E26" s="173" t="s">
        <v>5976</v>
      </c>
      <c r="F26" s="173" t="s">
        <v>3677</v>
      </c>
      <c r="G26" s="173" t="s">
        <v>5939</v>
      </c>
      <c r="H26" s="173"/>
      <c r="I26" s="173"/>
      <c r="J26" s="173"/>
      <c r="K26" s="173">
        <v>12500</v>
      </c>
      <c r="L26" s="173" t="s">
        <v>5977</v>
      </c>
      <c r="M26" s="173" t="s">
        <v>6247</v>
      </c>
      <c r="N26" s="173"/>
      <c r="O26" s="173"/>
      <c r="P26" s="173" t="s">
        <v>6020</v>
      </c>
      <c r="Q26" s="174">
        <v>43563</v>
      </c>
      <c r="R26" s="173" t="s">
        <v>3186</v>
      </c>
    </row>
    <row r="27" spans="1:18" x14ac:dyDescent="0.25">
      <c r="A27" s="173" t="s">
        <v>12</v>
      </c>
      <c r="B27" s="174">
        <v>43550</v>
      </c>
      <c r="C27" s="175" t="s">
        <v>5941</v>
      </c>
      <c r="D27" s="173" t="s">
        <v>5246</v>
      </c>
      <c r="E27" s="173" t="s">
        <v>4800</v>
      </c>
      <c r="F27" s="173" t="s">
        <v>5942</v>
      </c>
      <c r="G27" s="173" t="s">
        <v>5943</v>
      </c>
      <c r="H27" s="173"/>
      <c r="I27" s="173"/>
      <c r="J27" s="173" t="s">
        <v>21</v>
      </c>
      <c r="K27" s="176">
        <v>1000</v>
      </c>
      <c r="L27" s="173"/>
      <c r="M27" s="173" t="s">
        <v>6226</v>
      </c>
      <c r="N27" s="173"/>
      <c r="O27" s="173"/>
      <c r="P27" s="173" t="s">
        <v>6020</v>
      </c>
      <c r="Q27" s="174">
        <v>43563</v>
      </c>
      <c r="R27" s="173" t="s">
        <v>3791</v>
      </c>
    </row>
    <row r="28" spans="1:18" x14ac:dyDescent="0.25">
      <c r="A28" s="173" t="s">
        <v>12</v>
      </c>
      <c r="B28" s="174">
        <v>43550</v>
      </c>
      <c r="C28" s="175" t="s">
        <v>5944</v>
      </c>
      <c r="D28" s="173" t="s">
        <v>5246</v>
      </c>
      <c r="E28" s="173" t="s">
        <v>4800</v>
      </c>
      <c r="F28" s="173" t="s">
        <v>5945</v>
      </c>
      <c r="G28" s="173" t="s">
        <v>5946</v>
      </c>
      <c r="H28" s="173"/>
      <c r="I28" s="173"/>
      <c r="J28" s="173" t="s">
        <v>21</v>
      </c>
      <c r="K28" s="176">
        <v>1000</v>
      </c>
      <c r="L28" s="173" t="s">
        <v>5971</v>
      </c>
      <c r="M28" s="173" t="s">
        <v>6226</v>
      </c>
      <c r="N28" s="173"/>
      <c r="O28" s="173"/>
      <c r="P28" s="173" t="s">
        <v>6020</v>
      </c>
      <c r="Q28" s="174">
        <v>43563</v>
      </c>
      <c r="R28" s="173" t="s">
        <v>3791</v>
      </c>
    </row>
    <row r="29" spans="1:18" hidden="1" x14ac:dyDescent="0.25">
      <c r="A29" s="173" t="s">
        <v>408</v>
      </c>
      <c r="B29" s="174">
        <v>43500</v>
      </c>
      <c r="C29" s="173">
        <v>19006</v>
      </c>
      <c r="D29" s="173" t="s">
        <v>6009</v>
      </c>
      <c r="E29" s="173" t="s">
        <v>6010</v>
      </c>
      <c r="F29" s="173" t="s">
        <v>6007</v>
      </c>
      <c r="G29" s="173" t="s">
        <v>6008</v>
      </c>
      <c r="H29" s="173"/>
      <c r="I29" s="173"/>
      <c r="J29" s="176" t="s">
        <v>21</v>
      </c>
      <c r="K29" s="173">
        <v>2000</v>
      </c>
      <c r="L29" s="173" t="s">
        <v>6011</v>
      </c>
      <c r="M29" s="173"/>
      <c r="N29" s="173"/>
      <c r="O29" s="173"/>
      <c r="P29" s="173" t="s">
        <v>6020</v>
      </c>
      <c r="Q29" s="174">
        <v>43563</v>
      </c>
      <c r="R29" s="173"/>
    </row>
    <row r="30" spans="1:18" hidden="1" x14ac:dyDescent="0.25">
      <c r="A30" s="173" t="s">
        <v>408</v>
      </c>
      <c r="B30" s="174">
        <v>43503</v>
      </c>
      <c r="C30" s="173">
        <v>19007</v>
      </c>
      <c r="D30" s="173" t="s">
        <v>2931</v>
      </c>
      <c r="E30" s="173" t="s">
        <v>2352</v>
      </c>
      <c r="F30" s="173" t="s">
        <v>5954</v>
      </c>
      <c r="G30" s="173" t="s">
        <v>5955</v>
      </c>
      <c r="H30" s="173"/>
      <c r="I30" s="173"/>
      <c r="J30" s="173" t="s">
        <v>21</v>
      </c>
      <c r="K30" s="173">
        <v>9750</v>
      </c>
      <c r="L30" s="173" t="s">
        <v>6004</v>
      </c>
      <c r="M30" s="173"/>
      <c r="N30" s="173"/>
      <c r="O30" s="173"/>
      <c r="P30" s="173" t="s">
        <v>6020</v>
      </c>
      <c r="Q30" s="174">
        <v>43563</v>
      </c>
      <c r="R30" s="173"/>
    </row>
    <row r="31" spans="1:18" hidden="1" x14ac:dyDescent="0.25">
      <c r="A31" s="173" t="s">
        <v>408</v>
      </c>
      <c r="B31" s="174">
        <v>43512</v>
      </c>
      <c r="C31" s="173">
        <v>19008</v>
      </c>
      <c r="D31" s="173" t="s">
        <v>6001</v>
      </c>
      <c r="E31" s="173" t="s">
        <v>6002</v>
      </c>
      <c r="F31" s="173" t="s">
        <v>5193</v>
      </c>
      <c r="G31" s="173" t="s">
        <v>5794</v>
      </c>
      <c r="H31" s="173"/>
      <c r="I31" s="173"/>
      <c r="J31" s="176" t="s">
        <v>21</v>
      </c>
      <c r="K31" s="173">
        <v>15000</v>
      </c>
      <c r="L31" s="173" t="s">
        <v>6003</v>
      </c>
      <c r="M31" s="173" t="s">
        <v>6216</v>
      </c>
      <c r="N31" s="173"/>
      <c r="O31" s="173"/>
      <c r="P31" s="173" t="s">
        <v>6020</v>
      </c>
      <c r="Q31" s="174">
        <v>43563</v>
      </c>
      <c r="R31" s="173" t="s">
        <v>3186</v>
      </c>
    </row>
    <row r="32" spans="1:18" hidden="1" x14ac:dyDescent="0.25">
      <c r="A32" s="173" t="s">
        <v>408</v>
      </c>
      <c r="B32" s="174">
        <v>43515</v>
      </c>
      <c r="C32" s="173">
        <v>19009</v>
      </c>
      <c r="D32" s="173" t="s">
        <v>2931</v>
      </c>
      <c r="E32" s="173" t="s">
        <v>2352</v>
      </c>
      <c r="F32" s="173" t="s">
        <v>5810</v>
      </c>
      <c r="G32" s="173" t="s">
        <v>5811</v>
      </c>
      <c r="H32" s="173"/>
      <c r="I32" s="173"/>
      <c r="J32" s="176" t="s">
        <v>21</v>
      </c>
      <c r="K32" s="173">
        <v>6500</v>
      </c>
      <c r="L32" s="173" t="s">
        <v>5998</v>
      </c>
      <c r="M32" s="173"/>
      <c r="N32" s="173"/>
      <c r="O32" s="173"/>
      <c r="P32" s="173" t="s">
        <v>6020</v>
      </c>
      <c r="Q32" s="174">
        <v>43563</v>
      </c>
      <c r="R32" s="173"/>
    </row>
    <row r="33" spans="1:18" x14ac:dyDescent="0.25">
      <c r="A33" s="173" t="s">
        <v>12</v>
      </c>
      <c r="B33" s="174">
        <v>43550</v>
      </c>
      <c r="C33" s="175" t="s">
        <v>5947</v>
      </c>
      <c r="D33" s="173" t="s">
        <v>5246</v>
      </c>
      <c r="E33" s="173" t="s">
        <v>4800</v>
      </c>
      <c r="F33" s="173" t="s">
        <v>2657</v>
      </c>
      <c r="G33" s="173" t="s">
        <v>5948</v>
      </c>
      <c r="H33" s="173"/>
      <c r="I33" s="173"/>
      <c r="J33" s="173" t="s">
        <v>21</v>
      </c>
      <c r="K33" s="176">
        <v>1200</v>
      </c>
      <c r="L33" s="173" t="s">
        <v>5971</v>
      </c>
      <c r="M33" s="173" t="s">
        <v>6226</v>
      </c>
      <c r="N33" s="173"/>
      <c r="O33" s="173"/>
      <c r="P33" s="173" t="s">
        <v>6020</v>
      </c>
      <c r="Q33" s="174">
        <v>43563</v>
      </c>
      <c r="R33" s="173" t="s">
        <v>3791</v>
      </c>
    </row>
    <row r="34" spans="1:18" x14ac:dyDescent="0.25">
      <c r="A34" s="173" t="s">
        <v>12</v>
      </c>
      <c r="B34" s="174">
        <v>43517</v>
      </c>
      <c r="C34" s="175" t="s">
        <v>5949</v>
      </c>
      <c r="D34" s="173" t="s">
        <v>5246</v>
      </c>
      <c r="E34" s="173" t="s">
        <v>4800</v>
      </c>
      <c r="F34" s="173" t="s">
        <v>908</v>
      </c>
      <c r="G34" s="173" t="s">
        <v>5950</v>
      </c>
      <c r="H34" s="173"/>
      <c r="I34" s="173"/>
      <c r="J34" s="173" t="s">
        <v>21</v>
      </c>
      <c r="K34" s="176">
        <v>1000</v>
      </c>
      <c r="L34" s="173"/>
      <c r="M34" s="173" t="s">
        <v>6259</v>
      </c>
      <c r="N34" s="173"/>
      <c r="O34" s="173"/>
      <c r="P34" s="173" t="s">
        <v>6020</v>
      </c>
      <c r="Q34" s="174">
        <v>43563</v>
      </c>
      <c r="R34" s="173" t="s">
        <v>3791</v>
      </c>
    </row>
    <row r="35" spans="1:18" x14ac:dyDescent="0.25">
      <c r="A35" s="173" t="s">
        <v>12</v>
      </c>
      <c r="B35" s="174">
        <v>43517</v>
      </c>
      <c r="C35" s="175" t="s">
        <v>5956</v>
      </c>
      <c r="D35" s="173" t="s">
        <v>5246</v>
      </c>
      <c r="E35" s="173" t="s">
        <v>4800</v>
      </c>
      <c r="F35" s="173" t="s">
        <v>5957</v>
      </c>
      <c r="G35" s="173" t="s">
        <v>5958</v>
      </c>
      <c r="H35" s="173"/>
      <c r="I35" s="173"/>
      <c r="J35" s="173" t="s">
        <v>21</v>
      </c>
      <c r="K35" s="176">
        <v>7000</v>
      </c>
      <c r="L35" s="173" t="s">
        <v>5971</v>
      </c>
      <c r="M35" s="173" t="s">
        <v>6259</v>
      </c>
      <c r="N35" s="173"/>
      <c r="O35" s="173"/>
      <c r="P35" s="173" t="s">
        <v>6020</v>
      </c>
      <c r="Q35" s="174">
        <v>43563</v>
      </c>
      <c r="R35" s="173" t="s">
        <v>3791</v>
      </c>
    </row>
    <row r="36" spans="1:18" x14ac:dyDescent="0.25">
      <c r="A36" s="173" t="s">
        <v>12</v>
      </c>
      <c r="B36" s="174">
        <v>43487</v>
      </c>
      <c r="C36" s="175" t="s">
        <v>5967</v>
      </c>
      <c r="D36" s="173" t="s">
        <v>5246</v>
      </c>
      <c r="E36" s="173" t="s">
        <v>4800</v>
      </c>
      <c r="F36" s="173" t="s">
        <v>381</v>
      </c>
      <c r="G36" s="173" t="s">
        <v>5968</v>
      </c>
      <c r="H36" s="173"/>
      <c r="I36" s="173"/>
      <c r="J36" s="173" t="s">
        <v>21</v>
      </c>
      <c r="K36" s="176">
        <v>1000</v>
      </c>
      <c r="L36" s="173" t="s">
        <v>5971</v>
      </c>
      <c r="M36" s="173" t="s">
        <v>6221</v>
      </c>
      <c r="N36" s="173"/>
      <c r="O36" s="173"/>
      <c r="P36" s="173" t="s">
        <v>6020</v>
      </c>
      <c r="Q36" s="174">
        <v>43563</v>
      </c>
      <c r="R36" s="173"/>
    </row>
    <row r="37" spans="1:18" hidden="1" x14ac:dyDescent="0.25">
      <c r="A37" s="173" t="s">
        <v>408</v>
      </c>
      <c r="B37" s="174">
        <v>43517</v>
      </c>
      <c r="C37" s="173">
        <v>19010</v>
      </c>
      <c r="D37" s="173" t="s">
        <v>5999</v>
      </c>
      <c r="E37" s="173" t="s">
        <v>5750</v>
      </c>
      <c r="F37" s="173" t="s">
        <v>5782</v>
      </c>
      <c r="G37" s="173" t="s">
        <v>5783</v>
      </c>
      <c r="H37" s="173"/>
      <c r="I37" s="173"/>
      <c r="J37" s="176" t="s">
        <v>21</v>
      </c>
      <c r="K37" s="173">
        <v>2800</v>
      </c>
      <c r="L37" s="173" t="s">
        <v>6000</v>
      </c>
      <c r="M37" s="173" t="s">
        <v>6268</v>
      </c>
      <c r="N37" s="173"/>
      <c r="O37" s="173"/>
      <c r="P37" s="173" t="s">
        <v>6020</v>
      </c>
      <c r="Q37" s="174">
        <v>43563</v>
      </c>
      <c r="R37" s="173"/>
    </row>
    <row r="38" spans="1:18" x14ac:dyDescent="0.25">
      <c r="A38" s="173" t="s">
        <v>12</v>
      </c>
      <c r="B38" s="174">
        <v>43522</v>
      </c>
      <c r="C38" s="197" t="s">
        <v>951</v>
      </c>
      <c r="D38" s="173" t="s">
        <v>6088</v>
      </c>
      <c r="E38" s="173" t="s">
        <v>6089</v>
      </c>
      <c r="F38" s="173" t="s">
        <v>6078</v>
      </c>
      <c r="G38" s="173" t="s">
        <v>6079</v>
      </c>
      <c r="H38" s="173"/>
      <c r="I38" s="173"/>
      <c r="J38" s="173" t="s">
        <v>21</v>
      </c>
      <c r="K38" s="173">
        <v>500</v>
      </c>
      <c r="L38" s="173" t="s">
        <v>5971</v>
      </c>
      <c r="M38" s="173"/>
      <c r="N38" s="173"/>
      <c r="O38" s="173"/>
      <c r="P38" s="173" t="s">
        <v>6083</v>
      </c>
      <c r="Q38" s="174">
        <v>43645</v>
      </c>
      <c r="R38" s="173"/>
    </row>
    <row r="39" spans="1:18" hidden="1" x14ac:dyDescent="0.25">
      <c r="A39" s="173" t="s">
        <v>408</v>
      </c>
      <c r="B39" s="174">
        <v>43524</v>
      </c>
      <c r="C39" s="173">
        <v>19011</v>
      </c>
      <c r="D39" s="173" t="s">
        <v>5992</v>
      </c>
      <c r="E39" s="173" t="s">
        <v>5993</v>
      </c>
      <c r="F39" s="173" t="s">
        <v>3210</v>
      </c>
      <c r="G39" s="173" t="s">
        <v>5848</v>
      </c>
      <c r="H39" s="173"/>
      <c r="I39" s="173"/>
      <c r="J39" s="173" t="s">
        <v>21</v>
      </c>
      <c r="K39" s="173">
        <v>2400</v>
      </c>
      <c r="L39" s="173" t="s">
        <v>5994</v>
      </c>
      <c r="M39" s="173" t="s">
        <v>6223</v>
      </c>
      <c r="N39" s="173"/>
      <c r="O39" s="173"/>
      <c r="P39" s="173" t="s">
        <v>6020</v>
      </c>
      <c r="Q39" s="174">
        <v>43563</v>
      </c>
      <c r="R39" s="173" t="s">
        <v>3186</v>
      </c>
    </row>
    <row r="40" spans="1:18" hidden="1" x14ac:dyDescent="0.25">
      <c r="A40" s="173" t="s">
        <v>408</v>
      </c>
      <c r="B40" s="174">
        <v>43524</v>
      </c>
      <c r="C40" s="173">
        <v>19012</v>
      </c>
      <c r="D40" s="173" t="s">
        <v>5995</v>
      </c>
      <c r="E40" s="173" t="s">
        <v>5996</v>
      </c>
      <c r="F40" s="173" t="s">
        <v>400</v>
      </c>
      <c r="G40" s="173" t="s">
        <v>5792</v>
      </c>
      <c r="H40" s="173"/>
      <c r="I40" s="173"/>
      <c r="J40" s="176" t="s">
        <v>21</v>
      </c>
      <c r="K40" s="173">
        <v>7999</v>
      </c>
      <c r="L40" s="173" t="s">
        <v>5997</v>
      </c>
      <c r="M40" s="173" t="s">
        <v>6224</v>
      </c>
      <c r="N40" s="173"/>
      <c r="O40" s="173"/>
      <c r="P40" s="173" t="s">
        <v>6020</v>
      </c>
      <c r="Q40" s="174">
        <v>43563</v>
      </c>
      <c r="R40" s="173" t="s">
        <v>3186</v>
      </c>
    </row>
    <row r="41" spans="1:18" hidden="1" x14ac:dyDescent="0.25">
      <c r="A41" s="173" t="s">
        <v>408</v>
      </c>
      <c r="B41" s="174">
        <v>43529</v>
      </c>
      <c r="C41" s="173">
        <v>19013</v>
      </c>
      <c r="D41" s="173" t="s">
        <v>5988</v>
      </c>
      <c r="E41" s="173" t="s">
        <v>5989</v>
      </c>
      <c r="F41" s="173" t="s">
        <v>3807</v>
      </c>
      <c r="G41" s="173" t="s">
        <v>5743</v>
      </c>
      <c r="H41" s="173"/>
      <c r="I41" s="173"/>
      <c r="J41" s="176" t="s">
        <v>21</v>
      </c>
      <c r="K41" s="176">
        <v>2400</v>
      </c>
      <c r="L41" s="173" t="s">
        <v>5990</v>
      </c>
      <c r="M41" s="173" t="s">
        <v>6225</v>
      </c>
      <c r="N41" s="173"/>
      <c r="O41" s="173"/>
      <c r="P41" s="173" t="s">
        <v>6020</v>
      </c>
      <c r="Q41" s="174">
        <v>43563</v>
      </c>
      <c r="R41" s="173" t="s">
        <v>3791</v>
      </c>
    </row>
    <row r="42" spans="1:18" hidden="1" x14ac:dyDescent="0.25">
      <c r="A42" s="173" t="s">
        <v>408</v>
      </c>
      <c r="B42" s="174">
        <v>43529</v>
      </c>
      <c r="C42" s="173">
        <v>19014</v>
      </c>
      <c r="D42" s="173" t="s">
        <v>2931</v>
      </c>
      <c r="E42" s="173" t="s">
        <v>2352</v>
      </c>
      <c r="F42" s="173" t="s">
        <v>5962</v>
      </c>
      <c r="G42" s="173" t="s">
        <v>5963</v>
      </c>
      <c r="H42" s="173"/>
      <c r="I42" s="173"/>
      <c r="J42" s="173" t="s">
        <v>21</v>
      </c>
      <c r="K42" s="173">
        <v>12500</v>
      </c>
      <c r="L42" s="173" t="s">
        <v>5991</v>
      </c>
      <c r="M42" s="173" t="s">
        <v>6272</v>
      </c>
      <c r="N42" s="173"/>
      <c r="O42" s="173"/>
      <c r="P42" s="173" t="s">
        <v>6020</v>
      </c>
      <c r="Q42" s="174">
        <v>43563</v>
      </c>
      <c r="R42" s="173"/>
    </row>
    <row r="43" spans="1:18" x14ac:dyDescent="0.25">
      <c r="A43" s="173" t="s">
        <v>12</v>
      </c>
      <c r="B43" s="174">
        <v>43531</v>
      </c>
      <c r="C43" s="195" t="s">
        <v>944</v>
      </c>
      <c r="D43" s="173" t="s">
        <v>6047</v>
      </c>
      <c r="E43" s="173" t="s">
        <v>6048</v>
      </c>
      <c r="F43" s="173" t="s">
        <v>2718</v>
      </c>
      <c r="G43" s="173" t="s">
        <v>6049</v>
      </c>
      <c r="H43" s="173"/>
      <c r="I43" s="173"/>
      <c r="J43" s="173" t="s">
        <v>21</v>
      </c>
      <c r="K43" s="176">
        <v>3500</v>
      </c>
      <c r="L43" s="173" t="s">
        <v>5971</v>
      </c>
      <c r="M43" s="173" t="s">
        <v>6255</v>
      </c>
      <c r="N43" s="173"/>
      <c r="O43" s="173"/>
      <c r="P43" s="173" t="s">
        <v>6083</v>
      </c>
      <c r="Q43" s="174">
        <v>43645</v>
      </c>
      <c r="R43" s="173" t="s">
        <v>3186</v>
      </c>
    </row>
    <row r="44" spans="1:18" hidden="1" x14ac:dyDescent="0.25">
      <c r="A44" s="173" t="s">
        <v>408</v>
      </c>
      <c r="B44" s="174">
        <v>43532</v>
      </c>
      <c r="C44" s="173">
        <v>19015</v>
      </c>
      <c r="D44" s="173" t="s">
        <v>5986</v>
      </c>
      <c r="E44" s="173" t="s">
        <v>5987</v>
      </c>
      <c r="F44" s="173" t="s">
        <v>5469</v>
      </c>
      <c r="G44" s="173" t="s">
        <v>5470</v>
      </c>
      <c r="H44" s="173">
        <f>2500/1.21</f>
        <v>2066.1157024793388</v>
      </c>
      <c r="I44" s="176">
        <f>+H44*0.21</f>
        <v>433.88429752066111</v>
      </c>
      <c r="J44" s="176"/>
      <c r="K44" s="176">
        <f>+H44+I44</f>
        <v>2500</v>
      </c>
      <c r="L44" s="173" t="s">
        <v>5985</v>
      </c>
      <c r="M44" s="173" t="s">
        <v>6276</v>
      </c>
      <c r="N44" s="173"/>
      <c r="O44" s="173"/>
      <c r="P44" s="173" t="s">
        <v>6020</v>
      </c>
      <c r="Q44" s="174">
        <v>43563</v>
      </c>
      <c r="R44" s="173" t="s">
        <v>3791</v>
      </c>
    </row>
    <row r="45" spans="1:18" hidden="1" x14ac:dyDescent="0.25">
      <c r="A45" s="173" t="s">
        <v>408</v>
      </c>
      <c r="B45" s="174">
        <v>43535</v>
      </c>
      <c r="C45" s="173" t="s">
        <v>6016</v>
      </c>
      <c r="D45" s="173" t="s">
        <v>6017</v>
      </c>
      <c r="E45" s="173" t="s">
        <v>6018</v>
      </c>
      <c r="F45" s="173" t="s">
        <v>4054</v>
      </c>
      <c r="G45" s="173" t="s">
        <v>6015</v>
      </c>
      <c r="H45" s="173"/>
      <c r="I45" s="173"/>
      <c r="J45" s="176" t="s">
        <v>21</v>
      </c>
      <c r="K45" s="173">
        <v>150</v>
      </c>
      <c r="L45" s="173" t="s">
        <v>6019</v>
      </c>
      <c r="M45" s="173"/>
      <c r="N45" s="173"/>
      <c r="O45" s="173"/>
      <c r="P45" s="173" t="s">
        <v>6020</v>
      </c>
      <c r="Q45" s="174">
        <v>43563</v>
      </c>
      <c r="R45" s="173"/>
    </row>
    <row r="46" spans="1:18" x14ac:dyDescent="0.25">
      <c r="A46" s="173" t="s">
        <v>12</v>
      </c>
      <c r="B46" s="174">
        <v>43314</v>
      </c>
      <c r="C46" s="175" t="s">
        <v>5755</v>
      </c>
      <c r="D46" s="173" t="s">
        <v>5246</v>
      </c>
      <c r="E46" s="173" t="s">
        <v>4800</v>
      </c>
      <c r="F46" s="173" t="s">
        <v>2966</v>
      </c>
      <c r="G46" s="173" t="s">
        <v>5756</v>
      </c>
      <c r="H46" s="173"/>
      <c r="I46" s="173"/>
      <c r="J46" s="176" t="s">
        <v>21</v>
      </c>
      <c r="K46" s="176">
        <v>3000</v>
      </c>
      <c r="L46" s="173" t="s">
        <v>5971</v>
      </c>
      <c r="M46" s="173"/>
      <c r="N46" s="173"/>
      <c r="O46" s="173"/>
      <c r="P46" s="173" t="s">
        <v>5790</v>
      </c>
      <c r="Q46" s="174">
        <v>43375</v>
      </c>
      <c r="R46" s="173"/>
    </row>
    <row r="47" spans="1:18" x14ac:dyDescent="0.25">
      <c r="A47" s="173" t="s">
        <v>12</v>
      </c>
      <c r="B47" s="174">
        <v>43718</v>
      </c>
      <c r="C47" s="197" t="s">
        <v>6123</v>
      </c>
      <c r="D47" s="173" t="s">
        <v>5246</v>
      </c>
      <c r="E47" s="173" t="s">
        <v>4800</v>
      </c>
      <c r="F47" s="173" t="s">
        <v>4255</v>
      </c>
      <c r="G47" s="173" t="s">
        <v>6124</v>
      </c>
      <c r="H47" s="173"/>
      <c r="I47" s="173"/>
      <c r="J47" s="173" t="s">
        <v>21</v>
      </c>
      <c r="K47" s="176">
        <v>2200</v>
      </c>
      <c r="L47" s="173" t="s">
        <v>5971</v>
      </c>
      <c r="M47" s="173" t="s">
        <v>6213</v>
      </c>
      <c r="N47" s="173"/>
      <c r="O47" s="173"/>
      <c r="P47" s="173" t="s">
        <v>6140</v>
      </c>
      <c r="Q47" s="174">
        <v>43746</v>
      </c>
      <c r="R47" s="173" t="s">
        <v>3186</v>
      </c>
    </row>
    <row r="48" spans="1:18" hidden="1" x14ac:dyDescent="0.25">
      <c r="A48" s="173" t="s">
        <v>408</v>
      </c>
      <c r="B48" s="174">
        <v>43546</v>
      </c>
      <c r="C48" s="173">
        <v>19016</v>
      </c>
      <c r="D48" s="173" t="s">
        <v>6206</v>
      </c>
      <c r="E48" s="173" t="s">
        <v>5983</v>
      </c>
      <c r="F48" s="173" t="s">
        <v>5271</v>
      </c>
      <c r="G48" s="173" t="s">
        <v>5807</v>
      </c>
      <c r="H48" s="173"/>
      <c r="I48" s="173"/>
      <c r="J48" s="173" t="s">
        <v>21</v>
      </c>
      <c r="K48" s="173">
        <v>10999</v>
      </c>
      <c r="L48" s="173" t="s">
        <v>5984</v>
      </c>
      <c r="M48" s="173" t="s">
        <v>6271</v>
      </c>
      <c r="N48" s="173"/>
      <c r="O48" s="173"/>
      <c r="P48" s="173" t="s">
        <v>6020</v>
      </c>
      <c r="Q48" s="174">
        <v>43563</v>
      </c>
      <c r="R48" s="173" t="s">
        <v>3186</v>
      </c>
    </row>
    <row r="49" spans="1:18" x14ac:dyDescent="0.25">
      <c r="A49" s="173" t="s">
        <v>12</v>
      </c>
      <c r="B49" s="174">
        <v>43721</v>
      </c>
      <c r="C49" s="197" t="s">
        <v>6121</v>
      </c>
      <c r="D49" s="173" t="s">
        <v>5246</v>
      </c>
      <c r="E49" s="173" t="s">
        <v>4800</v>
      </c>
      <c r="F49" s="173" t="s">
        <v>381</v>
      </c>
      <c r="G49" s="173" t="s">
        <v>6122</v>
      </c>
      <c r="H49" s="173"/>
      <c r="I49" s="173"/>
      <c r="J49" s="173" t="s">
        <v>21</v>
      </c>
      <c r="K49" s="176">
        <v>1000</v>
      </c>
      <c r="L49" s="173"/>
      <c r="M49" s="173" t="s">
        <v>6237</v>
      </c>
      <c r="N49" s="173"/>
      <c r="O49" s="173"/>
      <c r="P49" s="173" t="s">
        <v>6140</v>
      </c>
      <c r="Q49" s="174">
        <v>43746</v>
      </c>
      <c r="R49" s="173" t="s">
        <v>3186</v>
      </c>
    </row>
    <row r="50" spans="1:18" x14ac:dyDescent="0.25">
      <c r="A50" s="173" t="s">
        <v>12</v>
      </c>
      <c r="B50" s="174">
        <v>43747</v>
      </c>
      <c r="C50" s="197" t="s">
        <v>6150</v>
      </c>
      <c r="D50" s="173" t="s">
        <v>5246</v>
      </c>
      <c r="E50" s="173" t="s">
        <v>4800</v>
      </c>
      <c r="F50" s="173" t="s">
        <v>5404</v>
      </c>
      <c r="G50" s="173" t="s">
        <v>6151</v>
      </c>
      <c r="H50" s="173"/>
      <c r="I50" s="173"/>
      <c r="J50" s="173" t="s">
        <v>21</v>
      </c>
      <c r="K50" s="176">
        <v>1000</v>
      </c>
      <c r="L50" s="173" t="s">
        <v>43</v>
      </c>
      <c r="M50" s="173" t="s">
        <v>6214</v>
      </c>
      <c r="N50" s="173"/>
      <c r="O50" s="173"/>
      <c r="P50" s="173" t="s">
        <v>6210</v>
      </c>
      <c r="Q50" s="174">
        <v>43844</v>
      </c>
      <c r="R50" s="173" t="s">
        <v>3186</v>
      </c>
    </row>
    <row r="51" spans="1:18" x14ac:dyDescent="0.25">
      <c r="A51" s="173" t="s">
        <v>12</v>
      </c>
      <c r="B51" s="174">
        <v>43760</v>
      </c>
      <c r="C51" s="197" t="s">
        <v>6141</v>
      </c>
      <c r="D51" s="173" t="s">
        <v>5246</v>
      </c>
      <c r="E51" s="173" t="s">
        <v>4800</v>
      </c>
      <c r="F51" s="173" t="s">
        <v>6142</v>
      </c>
      <c r="G51" s="173" t="s">
        <v>6143</v>
      </c>
      <c r="H51" s="173"/>
      <c r="I51" s="173"/>
      <c r="J51" s="173" t="s">
        <v>21</v>
      </c>
      <c r="K51" s="176">
        <v>3000</v>
      </c>
      <c r="L51" s="173"/>
      <c r="M51" s="173" t="s">
        <v>6259</v>
      </c>
      <c r="N51" s="173"/>
      <c r="O51" s="173"/>
      <c r="P51" s="173" t="s">
        <v>6210</v>
      </c>
      <c r="Q51" s="174">
        <v>43844</v>
      </c>
      <c r="R51" s="173" t="s">
        <v>3791</v>
      </c>
    </row>
    <row r="52" spans="1:18" x14ac:dyDescent="0.25">
      <c r="A52" s="173" t="s">
        <v>12</v>
      </c>
      <c r="B52" s="174">
        <v>43553</v>
      </c>
      <c r="C52" s="197" t="s">
        <v>6056</v>
      </c>
      <c r="D52" s="173" t="s">
        <v>5808</v>
      </c>
      <c r="E52" s="173" t="s">
        <v>4797</v>
      </c>
      <c r="F52" s="173" t="s">
        <v>4043</v>
      </c>
      <c r="G52" s="173" t="s">
        <v>6057</v>
      </c>
      <c r="H52" s="173"/>
      <c r="I52" s="173"/>
      <c r="J52" s="173" t="s">
        <v>21</v>
      </c>
      <c r="K52" s="173">
        <v>4800</v>
      </c>
      <c r="L52" s="173" t="s">
        <v>5971</v>
      </c>
      <c r="M52" s="173" t="s">
        <v>6257</v>
      </c>
      <c r="N52" s="173"/>
      <c r="O52" s="173"/>
      <c r="P52" s="173" t="s">
        <v>6083</v>
      </c>
      <c r="Q52" s="174">
        <v>43645</v>
      </c>
      <c r="R52" s="173" t="s">
        <v>3186</v>
      </c>
    </row>
    <row r="53" spans="1:18" x14ac:dyDescent="0.25">
      <c r="A53" s="173" t="s">
        <v>12</v>
      </c>
      <c r="B53" s="174">
        <v>43388</v>
      </c>
      <c r="C53" s="175" t="s">
        <v>5806</v>
      </c>
      <c r="D53" s="173" t="s">
        <v>5246</v>
      </c>
      <c r="E53" s="173" t="s">
        <v>4800</v>
      </c>
      <c r="F53" s="173" t="s">
        <v>5271</v>
      </c>
      <c r="G53" s="173" t="s">
        <v>5807</v>
      </c>
      <c r="H53" s="173"/>
      <c r="I53" s="173"/>
      <c r="J53" s="173" t="s">
        <v>21</v>
      </c>
      <c r="K53" s="173">
        <v>8500</v>
      </c>
      <c r="L53" s="173" t="s">
        <v>5971</v>
      </c>
      <c r="M53" s="173" t="s">
        <v>5820</v>
      </c>
      <c r="N53" s="173"/>
      <c r="O53" s="173"/>
      <c r="P53" s="173" t="s">
        <v>5937</v>
      </c>
      <c r="Q53" s="173"/>
      <c r="R53" s="173"/>
    </row>
    <row r="54" spans="1:18" hidden="1" x14ac:dyDescent="0.25">
      <c r="A54" s="173" t="s">
        <v>408</v>
      </c>
      <c r="B54" s="174">
        <v>43565</v>
      </c>
      <c r="C54" s="173">
        <v>19018</v>
      </c>
      <c r="D54" s="173" t="s">
        <v>2931</v>
      </c>
      <c r="E54" s="173" t="s">
        <v>6061</v>
      </c>
      <c r="F54" s="173" t="s">
        <v>3725</v>
      </c>
      <c r="G54" s="173" t="s">
        <v>5796</v>
      </c>
      <c r="H54" s="173"/>
      <c r="I54" s="173"/>
      <c r="J54" s="176" t="s">
        <v>21</v>
      </c>
      <c r="K54" s="176">
        <v>8100</v>
      </c>
      <c r="L54" s="173" t="s">
        <v>6062</v>
      </c>
      <c r="M54" s="173" t="s">
        <v>6272</v>
      </c>
      <c r="N54" s="173"/>
      <c r="O54" s="173"/>
      <c r="P54" s="173" t="s">
        <v>6083</v>
      </c>
      <c r="Q54" s="174">
        <v>43645</v>
      </c>
      <c r="R54" s="173"/>
    </row>
    <row r="55" spans="1:18" x14ac:dyDescent="0.25">
      <c r="A55" s="173" t="s">
        <v>12</v>
      </c>
      <c r="B55" s="174">
        <v>43773</v>
      </c>
      <c r="C55" s="197" t="s">
        <v>6158</v>
      </c>
      <c r="D55" s="173" t="s">
        <v>5246</v>
      </c>
      <c r="E55" s="173" t="s">
        <v>4800</v>
      </c>
      <c r="F55" s="173" t="s">
        <v>5474</v>
      </c>
      <c r="G55" s="173" t="s">
        <v>6159</v>
      </c>
      <c r="H55" s="173"/>
      <c r="I55" s="173"/>
      <c r="J55" s="173" t="s">
        <v>21</v>
      </c>
      <c r="K55" s="176">
        <v>5500</v>
      </c>
      <c r="L55" s="173"/>
      <c r="M55" s="173" t="s">
        <v>6259</v>
      </c>
      <c r="N55" s="173"/>
      <c r="O55" s="173"/>
      <c r="P55" s="173" t="s">
        <v>6210</v>
      </c>
      <c r="Q55" s="174">
        <v>43844</v>
      </c>
      <c r="R55" s="173" t="s">
        <v>3791</v>
      </c>
    </row>
    <row r="56" spans="1:18" x14ac:dyDescent="0.25">
      <c r="A56" s="173" t="s">
        <v>12</v>
      </c>
      <c r="B56" s="174">
        <v>43773</v>
      </c>
      <c r="C56" s="197" t="s">
        <v>6155</v>
      </c>
      <c r="D56" s="173" t="s">
        <v>5246</v>
      </c>
      <c r="E56" s="173" t="s">
        <v>4800</v>
      </c>
      <c r="F56" s="173" t="s">
        <v>6156</v>
      </c>
      <c r="G56" s="173" t="s">
        <v>6157</v>
      </c>
      <c r="H56" s="173"/>
      <c r="I56" s="173"/>
      <c r="J56" s="173" t="s">
        <v>21</v>
      </c>
      <c r="K56" s="176">
        <v>5000</v>
      </c>
      <c r="L56" s="173"/>
      <c r="M56" s="173" t="s">
        <v>6240</v>
      </c>
      <c r="N56" s="173"/>
      <c r="O56" s="173"/>
      <c r="P56" s="173" t="s">
        <v>6210</v>
      </c>
      <c r="Q56" s="174">
        <v>43844</v>
      </c>
      <c r="R56" s="173" t="s">
        <v>3186</v>
      </c>
    </row>
    <row r="57" spans="1:18" x14ac:dyDescent="0.25">
      <c r="A57" s="173" t="s">
        <v>12</v>
      </c>
      <c r="B57" s="174">
        <v>43774</v>
      </c>
      <c r="C57" s="197" t="s">
        <v>6152</v>
      </c>
      <c r="D57" s="173" t="s">
        <v>5246</v>
      </c>
      <c r="E57" s="173" t="s">
        <v>4800</v>
      </c>
      <c r="F57" s="173" t="s">
        <v>6153</v>
      </c>
      <c r="G57" s="173" t="s">
        <v>6154</v>
      </c>
      <c r="H57" s="173"/>
      <c r="I57" s="173"/>
      <c r="J57" s="173" t="s">
        <v>21</v>
      </c>
      <c r="K57" s="176">
        <v>1700</v>
      </c>
      <c r="L57" s="173"/>
      <c r="M57" s="173" t="s">
        <v>6240</v>
      </c>
      <c r="N57" s="173"/>
      <c r="O57" s="173"/>
      <c r="P57" s="173" t="s">
        <v>6210</v>
      </c>
      <c r="Q57" s="174">
        <v>43844</v>
      </c>
      <c r="R57" s="173" t="s">
        <v>3186</v>
      </c>
    </row>
    <row r="58" spans="1:18" hidden="1" x14ac:dyDescent="0.25">
      <c r="A58" s="173" t="s">
        <v>408</v>
      </c>
      <c r="B58" s="174">
        <v>43588</v>
      </c>
      <c r="C58" s="173">
        <v>19019</v>
      </c>
      <c r="D58" s="173" t="s">
        <v>2931</v>
      </c>
      <c r="E58" s="173" t="s">
        <v>6061</v>
      </c>
      <c r="F58" s="173" t="s">
        <v>4043</v>
      </c>
      <c r="G58" s="173" t="s">
        <v>6057</v>
      </c>
      <c r="H58" s="173"/>
      <c r="I58" s="173"/>
      <c r="J58" s="173" t="s">
        <v>21</v>
      </c>
      <c r="K58" s="173">
        <v>5350</v>
      </c>
      <c r="L58" s="173" t="s">
        <v>6063</v>
      </c>
      <c r="M58" s="173" t="s">
        <v>6272</v>
      </c>
      <c r="N58" s="173"/>
      <c r="O58" s="173"/>
      <c r="P58" s="173" t="s">
        <v>6083</v>
      </c>
      <c r="Q58" s="174">
        <v>43645</v>
      </c>
      <c r="R58" s="173"/>
    </row>
    <row r="59" spans="1:18" hidden="1" x14ac:dyDescent="0.25">
      <c r="A59" s="173" t="s">
        <v>408</v>
      </c>
      <c r="B59" s="174">
        <v>43591</v>
      </c>
      <c r="C59" s="173">
        <v>19020</v>
      </c>
      <c r="D59" s="173" t="s">
        <v>6064</v>
      </c>
      <c r="E59" s="173" t="s">
        <v>6065</v>
      </c>
      <c r="F59" s="173" t="s">
        <v>5965</v>
      </c>
      <c r="G59" s="173" t="s">
        <v>5966</v>
      </c>
      <c r="H59" s="173"/>
      <c r="I59" s="173"/>
      <c r="J59" s="173" t="s">
        <v>21</v>
      </c>
      <c r="K59" s="176">
        <v>9999</v>
      </c>
      <c r="L59" s="173" t="s">
        <v>6066</v>
      </c>
      <c r="M59" s="173" t="s">
        <v>6229</v>
      </c>
      <c r="N59" s="173"/>
      <c r="O59" s="173"/>
      <c r="P59" s="173" t="s">
        <v>6083</v>
      </c>
      <c r="Q59" s="174">
        <v>43645</v>
      </c>
      <c r="R59" s="173" t="s">
        <v>3791</v>
      </c>
    </row>
    <row r="60" spans="1:18" x14ac:dyDescent="0.25">
      <c r="A60" s="173" t="s">
        <v>12</v>
      </c>
      <c r="B60" s="174">
        <v>43594</v>
      </c>
      <c r="C60" s="197">
        <v>195005066</v>
      </c>
      <c r="D60" s="173" t="s">
        <v>6031</v>
      </c>
      <c r="E60" s="173" t="s">
        <v>6032</v>
      </c>
      <c r="F60" s="173" t="s">
        <v>381</v>
      </c>
      <c r="G60" s="173" t="s">
        <v>6046</v>
      </c>
      <c r="H60" s="173">
        <f>6776/1.21</f>
        <v>5600</v>
      </c>
      <c r="I60" s="176">
        <f>+H60*0.21</f>
        <v>1176</v>
      </c>
      <c r="J60" s="176"/>
      <c r="K60" s="176">
        <f>+H60+I60</f>
        <v>6776</v>
      </c>
      <c r="L60" s="173" t="s">
        <v>5971</v>
      </c>
      <c r="M60" s="173"/>
      <c r="N60" s="173"/>
      <c r="O60" s="173"/>
      <c r="P60" s="173" t="s">
        <v>6083</v>
      </c>
      <c r="Q60" s="174">
        <v>43645</v>
      </c>
      <c r="R60" s="173" t="s">
        <v>3186</v>
      </c>
    </row>
    <row r="61" spans="1:18" hidden="1" x14ac:dyDescent="0.25">
      <c r="A61" s="173" t="s">
        <v>408</v>
      </c>
      <c r="B61" s="174">
        <v>43596</v>
      </c>
      <c r="C61" s="173">
        <v>19021</v>
      </c>
      <c r="D61" s="173" t="s">
        <v>6067</v>
      </c>
      <c r="E61" s="173" t="s">
        <v>6068</v>
      </c>
      <c r="F61" s="173" t="s">
        <v>5660</v>
      </c>
      <c r="G61" s="173" t="s">
        <v>5960</v>
      </c>
      <c r="H61" s="173"/>
      <c r="I61" s="173"/>
      <c r="J61" s="173" t="s">
        <v>21</v>
      </c>
      <c r="K61" s="176">
        <v>9999</v>
      </c>
      <c r="L61" s="173" t="s">
        <v>5991</v>
      </c>
      <c r="M61" s="173" t="s">
        <v>6230</v>
      </c>
      <c r="N61" s="173"/>
      <c r="O61" s="173"/>
      <c r="P61" s="173" t="s">
        <v>6083</v>
      </c>
      <c r="Q61" s="174">
        <v>43645</v>
      </c>
      <c r="R61" s="173" t="s">
        <v>3186</v>
      </c>
    </row>
    <row r="62" spans="1:18" hidden="1" x14ac:dyDescent="0.25">
      <c r="A62" s="173" t="s">
        <v>408</v>
      </c>
      <c r="B62" s="174">
        <v>43606</v>
      </c>
      <c r="C62" s="173">
        <v>19022</v>
      </c>
      <c r="D62" s="173" t="s">
        <v>6220</v>
      </c>
      <c r="E62" s="173" t="s">
        <v>6069</v>
      </c>
      <c r="F62" s="173" t="s">
        <v>2718</v>
      </c>
      <c r="G62" s="173" t="s">
        <v>6049</v>
      </c>
      <c r="H62" s="173"/>
      <c r="I62" s="173"/>
      <c r="J62" s="173" t="s">
        <v>21</v>
      </c>
      <c r="K62" s="173">
        <v>4000</v>
      </c>
      <c r="L62" s="173" t="s">
        <v>6070</v>
      </c>
      <c r="M62" s="173" t="s">
        <v>6231</v>
      </c>
      <c r="N62" s="173"/>
      <c r="O62" s="173"/>
      <c r="P62" s="173" t="s">
        <v>6083</v>
      </c>
      <c r="Q62" s="174">
        <v>43645</v>
      </c>
      <c r="R62" s="173" t="s">
        <v>3186</v>
      </c>
    </row>
    <row r="63" spans="1:18" x14ac:dyDescent="0.25">
      <c r="A63" s="173" t="s">
        <v>12</v>
      </c>
      <c r="B63" s="174">
        <v>43608</v>
      </c>
      <c r="C63" s="197">
        <v>69909</v>
      </c>
      <c r="D63" s="173" t="s">
        <v>6031</v>
      </c>
      <c r="E63" s="173" t="s">
        <v>6032</v>
      </c>
      <c r="F63" s="173" t="s">
        <v>6033</v>
      </c>
      <c r="G63" s="173" t="s">
        <v>6034</v>
      </c>
      <c r="H63" s="173">
        <f>6776/1.21</f>
        <v>5600</v>
      </c>
      <c r="I63" s="176">
        <f>+H63*0.21</f>
        <v>1176</v>
      </c>
      <c r="J63" s="176"/>
      <c r="K63" s="176">
        <f>+H63+I63</f>
        <v>6776</v>
      </c>
      <c r="L63" s="173" t="s">
        <v>5971</v>
      </c>
      <c r="M63" s="173" t="s">
        <v>6232</v>
      </c>
      <c r="N63" s="173"/>
      <c r="O63" s="173"/>
      <c r="P63" s="173" t="s">
        <v>6083</v>
      </c>
      <c r="Q63" s="174">
        <v>43645</v>
      </c>
      <c r="R63" s="173" t="s">
        <v>3186</v>
      </c>
    </row>
    <row r="64" spans="1:18" x14ac:dyDescent="0.25">
      <c r="A64" s="173" t="s">
        <v>12</v>
      </c>
      <c r="B64" s="174">
        <v>43608</v>
      </c>
      <c r="C64" s="195" t="s">
        <v>6036</v>
      </c>
      <c r="D64" s="173" t="s">
        <v>6037</v>
      </c>
      <c r="E64" s="173" t="s">
        <v>6038</v>
      </c>
      <c r="F64" s="173" t="s">
        <v>2652</v>
      </c>
      <c r="G64" s="173" t="s">
        <v>6039</v>
      </c>
      <c r="H64" s="173"/>
      <c r="I64" s="173"/>
      <c r="J64" s="173" t="s">
        <v>21</v>
      </c>
      <c r="K64" s="176">
        <v>6380</v>
      </c>
      <c r="L64" s="173" t="s">
        <v>5971</v>
      </c>
      <c r="M64" s="173" t="s">
        <v>6233</v>
      </c>
      <c r="N64" s="173"/>
      <c r="O64" s="173"/>
      <c r="P64" s="173" t="s">
        <v>6083</v>
      </c>
      <c r="Q64" s="174">
        <v>43645</v>
      </c>
      <c r="R64" s="173" t="s">
        <v>3186</v>
      </c>
    </row>
    <row r="65" spans="1:18" x14ac:dyDescent="0.25">
      <c r="A65" s="173" t="s">
        <v>12</v>
      </c>
      <c r="B65" s="174">
        <v>43612</v>
      </c>
      <c r="C65" s="195" t="s">
        <v>6040</v>
      </c>
      <c r="D65" s="173" t="s">
        <v>6037</v>
      </c>
      <c r="E65" s="173" t="s">
        <v>6038</v>
      </c>
      <c r="F65" s="173" t="s">
        <v>3679</v>
      </c>
      <c r="G65" s="173" t="s">
        <v>6041</v>
      </c>
      <c r="H65" s="173"/>
      <c r="I65" s="173"/>
      <c r="J65" s="173" t="s">
        <v>21</v>
      </c>
      <c r="K65" s="176">
        <v>4680</v>
      </c>
      <c r="L65" s="173" t="s">
        <v>5971</v>
      </c>
      <c r="M65" s="173" t="s">
        <v>6218</v>
      </c>
      <c r="N65" s="173"/>
      <c r="O65" s="173"/>
      <c r="P65" s="173" t="s">
        <v>6083</v>
      </c>
      <c r="Q65" s="174">
        <v>43645</v>
      </c>
      <c r="R65" s="173" t="s">
        <v>3186</v>
      </c>
    </row>
    <row r="66" spans="1:18" hidden="1" x14ac:dyDescent="0.25">
      <c r="A66" s="173" t="s">
        <v>408</v>
      </c>
      <c r="B66" s="174">
        <v>43612</v>
      </c>
      <c r="C66" s="173">
        <v>19023</v>
      </c>
      <c r="D66" s="173" t="s">
        <v>6071</v>
      </c>
      <c r="E66" s="173" t="s">
        <v>6072</v>
      </c>
      <c r="F66" s="173" t="s">
        <v>5957</v>
      </c>
      <c r="G66" s="173" t="s">
        <v>5958</v>
      </c>
      <c r="H66" s="173"/>
      <c r="I66" s="173"/>
      <c r="J66" s="173" t="s">
        <v>21</v>
      </c>
      <c r="K66" s="176">
        <v>7999</v>
      </c>
      <c r="L66" s="173" t="s">
        <v>6073</v>
      </c>
      <c r="M66" s="173" t="s">
        <v>6253</v>
      </c>
      <c r="N66" s="173"/>
      <c r="O66" s="173"/>
      <c r="P66" s="173" t="s">
        <v>6083</v>
      </c>
      <c r="Q66" s="174">
        <v>43645</v>
      </c>
      <c r="R66" s="173" t="s">
        <v>3186</v>
      </c>
    </row>
    <row r="67" spans="1:18" x14ac:dyDescent="0.25">
      <c r="A67" s="173" t="s">
        <v>12</v>
      </c>
      <c r="B67" s="174">
        <v>43615</v>
      </c>
      <c r="C67" s="195" t="s">
        <v>951</v>
      </c>
      <c r="D67" s="173" t="s">
        <v>6050</v>
      </c>
      <c r="E67" s="173" t="s">
        <v>6051</v>
      </c>
      <c r="F67" s="173" t="s">
        <v>3210</v>
      </c>
      <c r="G67" s="173" t="s">
        <v>6052</v>
      </c>
      <c r="H67" s="173"/>
      <c r="I67" s="173"/>
      <c r="J67" s="173" t="s">
        <v>21</v>
      </c>
      <c r="K67" s="176">
        <v>3000</v>
      </c>
      <c r="L67" s="173" t="s">
        <v>5971</v>
      </c>
      <c r="M67" s="173" t="s">
        <v>6262</v>
      </c>
      <c r="N67" s="173"/>
      <c r="O67" s="173"/>
      <c r="P67" s="173" t="s">
        <v>6083</v>
      </c>
      <c r="Q67" s="174">
        <v>43645</v>
      </c>
      <c r="R67" s="173" t="s">
        <v>3186</v>
      </c>
    </row>
    <row r="68" spans="1:18" hidden="1" x14ac:dyDescent="0.25">
      <c r="A68" s="173" t="s">
        <v>408</v>
      </c>
      <c r="B68" s="174">
        <v>43619</v>
      </c>
      <c r="C68" s="173">
        <v>19024</v>
      </c>
      <c r="D68" s="173" t="s">
        <v>6074</v>
      </c>
      <c r="E68" s="173" t="s">
        <v>6075</v>
      </c>
      <c r="F68" s="173" t="s">
        <v>2657</v>
      </c>
      <c r="G68" s="173" t="s">
        <v>5948</v>
      </c>
      <c r="H68" s="173"/>
      <c r="I68" s="173"/>
      <c r="J68" s="173" t="s">
        <v>21</v>
      </c>
      <c r="K68" s="173">
        <v>2000</v>
      </c>
      <c r="L68" s="173" t="s">
        <v>6076</v>
      </c>
      <c r="M68" s="173" t="s">
        <v>6234</v>
      </c>
      <c r="N68" s="173"/>
      <c r="O68" s="173"/>
      <c r="P68" s="173" t="s">
        <v>6083</v>
      </c>
      <c r="Q68" s="174">
        <v>43645</v>
      </c>
      <c r="R68" s="173" t="s">
        <v>3186</v>
      </c>
    </row>
    <row r="69" spans="1:18" x14ac:dyDescent="0.25">
      <c r="A69" s="173" t="s">
        <v>12</v>
      </c>
      <c r="B69" s="174">
        <v>43620</v>
      </c>
      <c r="C69" s="195" t="s">
        <v>6035</v>
      </c>
      <c r="D69" s="173" t="s">
        <v>5701</v>
      </c>
      <c r="E69" s="173" t="s">
        <v>5702</v>
      </c>
      <c r="F69" s="173" t="s">
        <v>442</v>
      </c>
      <c r="G69" s="173" t="s">
        <v>5586</v>
      </c>
      <c r="H69" s="173"/>
      <c r="I69" s="173"/>
      <c r="J69" s="173" t="s">
        <v>21</v>
      </c>
      <c r="K69" s="176">
        <v>4500</v>
      </c>
      <c r="L69" s="173"/>
      <c r="M69" s="173"/>
      <c r="N69" s="173"/>
      <c r="O69" s="173"/>
      <c r="P69" s="173" t="s">
        <v>6083</v>
      </c>
      <c r="Q69" s="174">
        <v>43645</v>
      </c>
      <c r="R69" s="173"/>
    </row>
    <row r="70" spans="1:18" x14ac:dyDescent="0.25">
      <c r="A70" s="173" t="s">
        <v>12</v>
      </c>
      <c r="B70" s="174">
        <v>43620</v>
      </c>
      <c r="C70" s="197">
        <v>195101777</v>
      </c>
      <c r="D70" s="173" t="s">
        <v>6042</v>
      </c>
      <c r="E70" s="173" t="s">
        <v>6043</v>
      </c>
      <c r="F70" s="173" t="s">
        <v>6044</v>
      </c>
      <c r="G70" s="173" t="s">
        <v>6045</v>
      </c>
      <c r="H70" s="173">
        <f>10890/1.21</f>
        <v>9000</v>
      </c>
      <c r="I70" s="176">
        <f>+H70*0.21</f>
        <v>1890</v>
      </c>
      <c r="J70" s="176"/>
      <c r="K70" s="176">
        <f>+H70+I70</f>
        <v>10890</v>
      </c>
      <c r="L70" s="173" t="s">
        <v>6139</v>
      </c>
      <c r="M70" s="173" t="s">
        <v>6252</v>
      </c>
      <c r="N70" s="173"/>
      <c r="O70" s="173"/>
      <c r="P70" s="173" t="s">
        <v>6083</v>
      </c>
      <c r="Q70" s="174">
        <v>43645</v>
      </c>
      <c r="R70" s="173" t="s">
        <v>3186</v>
      </c>
    </row>
    <row r="71" spans="1:18" hidden="1" x14ac:dyDescent="0.25">
      <c r="A71" s="173" t="s">
        <v>408</v>
      </c>
      <c r="B71" s="174">
        <v>43621</v>
      </c>
      <c r="C71" s="173">
        <v>19025</v>
      </c>
      <c r="D71" s="173" t="s">
        <v>2931</v>
      </c>
      <c r="E71" s="173" t="s">
        <v>6061</v>
      </c>
      <c r="F71" s="173" t="s">
        <v>3210</v>
      </c>
      <c r="G71" s="173" t="s">
        <v>6052</v>
      </c>
      <c r="H71" s="173"/>
      <c r="I71" s="173"/>
      <c r="J71" s="173" t="s">
        <v>21</v>
      </c>
      <c r="K71" s="176">
        <v>5150</v>
      </c>
      <c r="L71" s="173" t="s">
        <v>6077</v>
      </c>
      <c r="M71" s="173" t="s">
        <v>6272</v>
      </c>
      <c r="N71" s="173"/>
      <c r="O71" s="173"/>
      <c r="P71" s="173" t="s">
        <v>6083</v>
      </c>
      <c r="Q71" s="174">
        <v>43645</v>
      </c>
      <c r="R71" s="173"/>
    </row>
    <row r="72" spans="1:18" x14ac:dyDescent="0.25">
      <c r="A72" s="173" t="s">
        <v>12</v>
      </c>
      <c r="B72" s="174">
        <v>43630</v>
      </c>
      <c r="C72" s="195" t="s">
        <v>951</v>
      </c>
      <c r="D72" s="173" t="s">
        <v>6053</v>
      </c>
      <c r="E72" s="173" t="s">
        <v>6054</v>
      </c>
      <c r="F72" s="173" t="s">
        <v>693</v>
      </c>
      <c r="G72" s="173" t="s">
        <v>6055</v>
      </c>
      <c r="H72" s="173"/>
      <c r="I72" s="173"/>
      <c r="J72" s="173" t="s">
        <v>21</v>
      </c>
      <c r="K72" s="176">
        <v>5000</v>
      </c>
      <c r="L72" s="173" t="s">
        <v>5971</v>
      </c>
      <c r="M72" s="173" t="s">
        <v>6256</v>
      </c>
      <c r="N72" s="173"/>
      <c r="O72" s="173"/>
      <c r="P72" s="173" t="s">
        <v>6083</v>
      </c>
      <c r="Q72" s="174">
        <v>43645</v>
      </c>
      <c r="R72" s="173" t="s">
        <v>3186</v>
      </c>
    </row>
    <row r="73" spans="1:18" hidden="1" x14ac:dyDescent="0.25">
      <c r="A73" s="173" t="s">
        <v>408</v>
      </c>
      <c r="B73" s="174">
        <v>43637</v>
      </c>
      <c r="C73" s="173">
        <v>19026</v>
      </c>
      <c r="D73" s="173" t="s">
        <v>6080</v>
      </c>
      <c r="E73" s="173" t="s">
        <v>6081</v>
      </c>
      <c r="F73" s="173" t="s">
        <v>2932</v>
      </c>
      <c r="G73" s="173" t="s">
        <v>6079</v>
      </c>
      <c r="H73" s="173"/>
      <c r="I73" s="173"/>
      <c r="J73" s="173" t="s">
        <v>21</v>
      </c>
      <c r="K73" s="176">
        <v>800</v>
      </c>
      <c r="L73" s="173" t="s">
        <v>6082</v>
      </c>
      <c r="M73" s="173" t="s">
        <v>6235</v>
      </c>
      <c r="N73" s="173"/>
      <c r="O73" s="173"/>
      <c r="P73" s="173" t="s">
        <v>6083</v>
      </c>
      <c r="Q73" s="174">
        <v>43645</v>
      </c>
      <c r="R73" s="173" t="s">
        <v>3791</v>
      </c>
    </row>
    <row r="74" spans="1:18" x14ac:dyDescent="0.25">
      <c r="A74" s="173" t="s">
        <v>12</v>
      </c>
      <c r="B74" s="174">
        <v>43596</v>
      </c>
      <c r="C74" s="197" t="s">
        <v>951</v>
      </c>
      <c r="D74" s="173" t="s">
        <v>6084</v>
      </c>
      <c r="E74" s="173" t="s">
        <v>6085</v>
      </c>
      <c r="F74" s="173" t="s">
        <v>5445</v>
      </c>
      <c r="G74" s="173" t="s">
        <v>6086</v>
      </c>
      <c r="H74" s="173"/>
      <c r="I74" s="173"/>
      <c r="J74" s="173" t="s">
        <v>21</v>
      </c>
      <c r="K74" s="176">
        <v>550</v>
      </c>
      <c r="L74" s="173" t="s">
        <v>5971</v>
      </c>
      <c r="M74" s="173" t="s">
        <v>6261</v>
      </c>
      <c r="N74" s="173"/>
      <c r="O74" s="173"/>
      <c r="P74" s="173" t="s">
        <v>6090</v>
      </c>
      <c r="Q74" s="174">
        <v>43648</v>
      </c>
      <c r="R74" s="173" t="s">
        <v>3186</v>
      </c>
    </row>
    <row r="75" spans="1:18" hidden="1" x14ac:dyDescent="0.25">
      <c r="A75" s="173" t="s">
        <v>408</v>
      </c>
      <c r="B75" s="174">
        <v>43643</v>
      </c>
      <c r="C75" s="197">
        <v>19027</v>
      </c>
      <c r="D75" s="173" t="s">
        <v>2931</v>
      </c>
      <c r="E75" s="173" t="s">
        <v>6061</v>
      </c>
      <c r="F75" s="173" t="s">
        <v>5445</v>
      </c>
      <c r="G75" s="173" t="s">
        <v>6086</v>
      </c>
      <c r="H75" s="173"/>
      <c r="I75" s="173"/>
      <c r="J75" s="173" t="s">
        <v>21</v>
      </c>
      <c r="K75" s="201">
        <v>400</v>
      </c>
      <c r="L75" s="173" t="s">
        <v>6087</v>
      </c>
      <c r="M75" s="173" t="s">
        <v>6272</v>
      </c>
      <c r="N75" s="173"/>
      <c r="O75" s="173"/>
      <c r="P75" s="173" t="s">
        <v>6090</v>
      </c>
      <c r="Q75" s="174">
        <v>43648</v>
      </c>
      <c r="R75" s="173"/>
    </row>
    <row r="76" spans="1:18" x14ac:dyDescent="0.25">
      <c r="A76" s="173" t="s">
        <v>12</v>
      </c>
      <c r="B76" s="174">
        <v>43790</v>
      </c>
      <c r="C76" s="197" t="s">
        <v>6160</v>
      </c>
      <c r="D76" s="173" t="s">
        <v>5246</v>
      </c>
      <c r="E76" s="173" t="s">
        <v>4800</v>
      </c>
      <c r="F76" s="173" t="s">
        <v>6161</v>
      </c>
      <c r="G76" s="173" t="s">
        <v>6162</v>
      </c>
      <c r="H76" s="173"/>
      <c r="I76" s="173"/>
      <c r="J76" s="173" t="s">
        <v>21</v>
      </c>
      <c r="K76" s="176">
        <v>1800</v>
      </c>
      <c r="L76" s="173"/>
      <c r="M76" s="173" t="s">
        <v>6259</v>
      </c>
      <c r="N76" s="173"/>
      <c r="O76" s="173"/>
      <c r="P76" s="173" t="s">
        <v>6210</v>
      </c>
      <c r="Q76" s="174">
        <v>43844</v>
      </c>
      <c r="R76" s="173" t="s">
        <v>3791</v>
      </c>
    </row>
    <row r="77" spans="1:18" x14ac:dyDescent="0.25">
      <c r="A77" s="173" t="s">
        <v>12</v>
      </c>
      <c r="B77" s="174">
        <v>43795</v>
      </c>
      <c r="C77" s="197" t="s">
        <v>6147</v>
      </c>
      <c r="D77" s="173" t="s">
        <v>5246</v>
      </c>
      <c r="E77" s="173" t="s">
        <v>4800</v>
      </c>
      <c r="F77" s="173" t="s">
        <v>6148</v>
      </c>
      <c r="G77" s="173" t="s">
        <v>6149</v>
      </c>
      <c r="H77" s="173"/>
      <c r="I77" s="173"/>
      <c r="J77" s="173" t="s">
        <v>21</v>
      </c>
      <c r="K77" s="173">
        <v>14100</v>
      </c>
      <c r="L77" s="173"/>
      <c r="M77" s="173" t="s">
        <v>6259</v>
      </c>
      <c r="N77" s="173"/>
      <c r="O77" s="173"/>
      <c r="P77" s="173" t="s">
        <v>6210</v>
      </c>
      <c r="Q77" s="174">
        <v>43844</v>
      </c>
      <c r="R77" s="173" t="s">
        <v>3791</v>
      </c>
    </row>
    <row r="78" spans="1:18" x14ac:dyDescent="0.25">
      <c r="A78" s="173" t="s">
        <v>12</v>
      </c>
      <c r="B78" s="174">
        <v>43651</v>
      </c>
      <c r="C78" s="197" t="s">
        <v>6097</v>
      </c>
      <c r="D78" s="173" t="s">
        <v>6167</v>
      </c>
      <c r="E78" s="173" t="s">
        <v>6098</v>
      </c>
      <c r="F78" s="173" t="s">
        <v>6099</v>
      </c>
      <c r="G78" s="173" t="s">
        <v>6100</v>
      </c>
      <c r="H78" s="173"/>
      <c r="I78" s="173"/>
      <c r="J78" s="173" t="s">
        <v>21</v>
      </c>
      <c r="K78" s="176">
        <v>11200</v>
      </c>
      <c r="L78" s="173" t="s">
        <v>5971</v>
      </c>
      <c r="M78" s="173" t="s">
        <v>6249</v>
      </c>
      <c r="N78" s="173"/>
      <c r="O78" s="173"/>
      <c r="P78" s="173" t="s">
        <v>6140</v>
      </c>
      <c r="Q78" s="174">
        <v>43746</v>
      </c>
      <c r="R78" s="173" t="s">
        <v>3186</v>
      </c>
    </row>
    <row r="79" spans="1:18" hidden="1" x14ac:dyDescent="0.25">
      <c r="A79" s="173" t="s">
        <v>408</v>
      </c>
      <c r="B79" s="174">
        <v>43647</v>
      </c>
      <c r="C79" s="197">
        <v>19028</v>
      </c>
      <c r="D79" s="173" t="s">
        <v>6101</v>
      </c>
      <c r="E79" s="173" t="s">
        <v>6102</v>
      </c>
      <c r="F79" s="173" t="s">
        <v>4054</v>
      </c>
      <c r="G79" s="173" t="s">
        <v>5952</v>
      </c>
      <c r="H79" s="173"/>
      <c r="I79" s="173"/>
      <c r="J79" s="173" t="s">
        <v>21</v>
      </c>
      <c r="K79" s="173">
        <v>13400</v>
      </c>
      <c r="L79" s="173" t="s">
        <v>6103</v>
      </c>
      <c r="M79" s="173" t="s">
        <v>6217</v>
      </c>
      <c r="N79" s="173"/>
      <c r="O79" s="173"/>
      <c r="P79" s="173" t="s">
        <v>6140</v>
      </c>
      <c r="Q79" s="174">
        <v>43746</v>
      </c>
      <c r="R79" s="173" t="s">
        <v>3186</v>
      </c>
    </row>
    <row r="80" spans="1:18" hidden="1" x14ac:dyDescent="0.25">
      <c r="A80" s="173" t="s">
        <v>408</v>
      </c>
      <c r="B80" s="174">
        <v>43647</v>
      </c>
      <c r="C80" s="197">
        <v>19029</v>
      </c>
      <c r="D80" s="173" t="s">
        <v>2931</v>
      </c>
      <c r="E80" s="173" t="s">
        <v>2352</v>
      </c>
      <c r="F80" s="173" t="s">
        <v>381</v>
      </c>
      <c r="G80" s="173" t="s">
        <v>5968</v>
      </c>
      <c r="H80" s="173"/>
      <c r="I80" s="173"/>
      <c r="J80" s="173" t="s">
        <v>21</v>
      </c>
      <c r="K80" s="176">
        <v>1500</v>
      </c>
      <c r="L80" s="173" t="s">
        <v>6104</v>
      </c>
      <c r="M80" s="173" t="s">
        <v>6272</v>
      </c>
      <c r="N80" s="173"/>
      <c r="O80" s="173"/>
      <c r="P80" s="173" t="s">
        <v>6140</v>
      </c>
      <c r="Q80" s="174">
        <v>43746</v>
      </c>
      <c r="R80" s="173"/>
    </row>
    <row r="81" spans="1:18" hidden="1" x14ac:dyDescent="0.25">
      <c r="A81" s="173" t="s">
        <v>408</v>
      </c>
      <c r="B81" s="174">
        <v>43659</v>
      </c>
      <c r="C81" s="197">
        <v>19030</v>
      </c>
      <c r="D81" s="173" t="s">
        <v>6105</v>
      </c>
      <c r="E81" s="173" t="s">
        <v>6106</v>
      </c>
      <c r="F81" s="173" t="s">
        <v>3679</v>
      </c>
      <c r="G81" s="173" t="s">
        <v>6041</v>
      </c>
      <c r="H81" s="173"/>
      <c r="I81" s="173"/>
      <c r="J81" s="173" t="s">
        <v>21</v>
      </c>
      <c r="K81" s="173">
        <v>5000</v>
      </c>
      <c r="L81" s="173" t="s">
        <v>6107</v>
      </c>
      <c r="M81" s="173" t="s">
        <v>6245</v>
      </c>
      <c r="N81" s="173"/>
      <c r="O81" s="173"/>
      <c r="P81" s="173" t="s">
        <v>6140</v>
      </c>
      <c r="Q81" s="174">
        <v>43746</v>
      </c>
      <c r="R81" s="173" t="s">
        <v>3186</v>
      </c>
    </row>
    <row r="82" spans="1:18" hidden="1" x14ac:dyDescent="0.25">
      <c r="A82" s="173" t="s">
        <v>408</v>
      </c>
      <c r="B82" s="174">
        <v>43666</v>
      </c>
      <c r="C82" s="197">
        <v>19032</v>
      </c>
      <c r="D82" s="197" t="s">
        <v>6108</v>
      </c>
      <c r="E82" s="173" t="s">
        <v>6109</v>
      </c>
      <c r="F82" s="173" t="s">
        <v>693</v>
      </c>
      <c r="G82" s="173" t="s">
        <v>6055</v>
      </c>
      <c r="H82" s="173"/>
      <c r="I82" s="173"/>
      <c r="J82" s="173" t="s">
        <v>21</v>
      </c>
      <c r="K82" s="176">
        <v>8900</v>
      </c>
      <c r="L82" s="173" t="s">
        <v>6110</v>
      </c>
      <c r="M82" s="173" t="s">
        <v>6236</v>
      </c>
      <c r="N82" s="173"/>
      <c r="O82" s="173"/>
      <c r="P82" s="173" t="s">
        <v>6140</v>
      </c>
      <c r="Q82" s="174">
        <v>43746</v>
      </c>
      <c r="R82" s="173" t="s">
        <v>3186</v>
      </c>
    </row>
    <row r="83" spans="1:18" hidden="1" x14ac:dyDescent="0.25">
      <c r="A83" s="173" t="s">
        <v>408</v>
      </c>
      <c r="B83" s="174">
        <v>43667</v>
      </c>
      <c r="C83" s="197">
        <v>19033</v>
      </c>
      <c r="D83" s="173" t="s">
        <v>6111</v>
      </c>
      <c r="E83" s="173" t="s">
        <v>6112</v>
      </c>
      <c r="F83" s="173" t="s">
        <v>5945</v>
      </c>
      <c r="G83" s="173" t="s">
        <v>5946</v>
      </c>
      <c r="H83" s="173"/>
      <c r="I83" s="173"/>
      <c r="J83" s="173" t="s">
        <v>21</v>
      </c>
      <c r="K83" s="176">
        <v>1500</v>
      </c>
      <c r="L83" s="173" t="s">
        <v>6076</v>
      </c>
      <c r="M83" s="173"/>
      <c r="N83" s="173"/>
      <c r="O83" s="173"/>
      <c r="P83" s="173" t="s">
        <v>6140</v>
      </c>
      <c r="Q83" s="174">
        <v>43746</v>
      </c>
      <c r="R83" s="173"/>
    </row>
    <row r="84" spans="1:18" hidden="1" x14ac:dyDescent="0.25">
      <c r="A84" s="173" t="s">
        <v>408</v>
      </c>
      <c r="B84" s="174">
        <v>43667</v>
      </c>
      <c r="C84" s="197">
        <v>19034</v>
      </c>
      <c r="D84" s="173" t="s">
        <v>2931</v>
      </c>
      <c r="E84" s="173" t="s">
        <v>2352</v>
      </c>
      <c r="F84" s="173" t="s">
        <v>6099</v>
      </c>
      <c r="G84" s="173" t="s">
        <v>6100</v>
      </c>
      <c r="H84" s="173"/>
      <c r="I84" s="173"/>
      <c r="J84" s="173" t="s">
        <v>21</v>
      </c>
      <c r="K84" s="176">
        <v>12350</v>
      </c>
      <c r="L84" s="173" t="s">
        <v>6113</v>
      </c>
      <c r="M84" s="173" t="s">
        <v>6272</v>
      </c>
      <c r="N84" s="173"/>
      <c r="O84" s="173"/>
      <c r="P84" s="173" t="s">
        <v>6140</v>
      </c>
      <c r="Q84" s="174">
        <v>43746</v>
      </c>
      <c r="R84" s="173"/>
    </row>
    <row r="85" spans="1:18" hidden="1" x14ac:dyDescent="0.25">
      <c r="A85" s="173" t="s">
        <v>408</v>
      </c>
      <c r="B85" s="174">
        <v>43678</v>
      </c>
      <c r="C85" s="197" t="s">
        <v>6114</v>
      </c>
      <c r="D85" s="173" t="s">
        <v>6115</v>
      </c>
      <c r="E85" s="173" t="s">
        <v>6116</v>
      </c>
      <c r="F85" s="173" t="s">
        <v>2652</v>
      </c>
      <c r="G85" s="173" t="s">
        <v>6039</v>
      </c>
      <c r="H85" s="173"/>
      <c r="I85" s="173"/>
      <c r="J85" s="173" t="s">
        <v>21</v>
      </c>
      <c r="K85" s="176">
        <v>8999</v>
      </c>
      <c r="L85" s="173" t="s">
        <v>6117</v>
      </c>
      <c r="M85" s="173" t="s">
        <v>6269</v>
      </c>
      <c r="N85" s="173"/>
      <c r="O85" s="173"/>
      <c r="P85" s="173" t="s">
        <v>6140</v>
      </c>
      <c r="Q85" s="174">
        <v>43746</v>
      </c>
      <c r="R85" s="173" t="s">
        <v>3791</v>
      </c>
    </row>
    <row r="86" spans="1:18" hidden="1" x14ac:dyDescent="0.25">
      <c r="A86" s="173" t="s">
        <v>408</v>
      </c>
      <c r="B86" s="174">
        <v>43724</v>
      </c>
      <c r="C86" s="197">
        <v>19036</v>
      </c>
      <c r="D86" s="173" t="s">
        <v>6118</v>
      </c>
      <c r="E86" s="173" t="s">
        <v>6119</v>
      </c>
      <c r="F86" s="173" t="s">
        <v>6093</v>
      </c>
      <c r="G86" s="173" t="s">
        <v>6094</v>
      </c>
      <c r="H86" s="176">
        <f>16300/1.21</f>
        <v>13471.07438016529</v>
      </c>
      <c r="I86" s="176">
        <f>+H86*0.21</f>
        <v>2828.9256198347107</v>
      </c>
      <c r="J86" s="176"/>
      <c r="K86" s="176">
        <f>+H86+I86</f>
        <v>16300</v>
      </c>
      <c r="L86" s="173" t="s">
        <v>6120</v>
      </c>
      <c r="M86" s="173" t="s">
        <v>6277</v>
      </c>
      <c r="N86" s="173"/>
      <c r="O86" s="173"/>
      <c r="P86" s="173" t="s">
        <v>6140</v>
      </c>
      <c r="Q86" s="174">
        <v>43746</v>
      </c>
      <c r="R86" s="173" t="s">
        <v>3791</v>
      </c>
    </row>
    <row r="87" spans="1:18" x14ac:dyDescent="0.25">
      <c r="A87" s="173" t="s">
        <v>12</v>
      </c>
      <c r="B87" s="174">
        <v>43437</v>
      </c>
      <c r="C87" s="175" t="s">
        <v>5795</v>
      </c>
      <c r="D87" s="173" t="s">
        <v>5246</v>
      </c>
      <c r="E87" s="173" t="s">
        <v>4800</v>
      </c>
      <c r="F87" s="173" t="s">
        <v>3725</v>
      </c>
      <c r="G87" s="173" t="s">
        <v>5796</v>
      </c>
      <c r="H87" s="173"/>
      <c r="I87" s="173"/>
      <c r="J87" s="176" t="s">
        <v>21</v>
      </c>
      <c r="K87" s="176">
        <v>5200</v>
      </c>
      <c r="L87" s="173" t="s">
        <v>5971</v>
      </c>
      <c r="M87" s="173" t="s">
        <v>5817</v>
      </c>
      <c r="N87" s="173"/>
      <c r="O87" s="173"/>
      <c r="P87" s="173" t="s">
        <v>5937</v>
      </c>
      <c r="Q87" s="173"/>
      <c r="R87" s="173"/>
    </row>
    <row r="88" spans="1:18" x14ac:dyDescent="0.25">
      <c r="A88" s="173" t="s">
        <v>12</v>
      </c>
      <c r="B88" s="174">
        <v>43437</v>
      </c>
      <c r="C88" s="175" t="s">
        <v>5797</v>
      </c>
      <c r="D88" s="173" t="s">
        <v>5246</v>
      </c>
      <c r="E88" s="173" t="s">
        <v>4800</v>
      </c>
      <c r="F88" s="173" t="s">
        <v>5798</v>
      </c>
      <c r="G88" s="173" t="s">
        <v>5799</v>
      </c>
      <c r="H88" s="173"/>
      <c r="I88" s="173"/>
      <c r="J88" s="176" t="s">
        <v>21</v>
      </c>
      <c r="K88" s="176">
        <v>6500</v>
      </c>
      <c r="L88" s="173" t="s">
        <v>5971</v>
      </c>
      <c r="M88" s="173" t="s">
        <v>5818</v>
      </c>
      <c r="N88" s="173"/>
      <c r="O88" s="173"/>
      <c r="P88" s="173" t="s">
        <v>5937</v>
      </c>
      <c r="Q88" s="173"/>
      <c r="R88" s="173"/>
    </row>
    <row r="89" spans="1:18" x14ac:dyDescent="0.25">
      <c r="A89" s="173" t="s">
        <v>12</v>
      </c>
      <c r="B89" s="174">
        <v>43448</v>
      </c>
      <c r="C89" s="175" t="s">
        <v>5793</v>
      </c>
      <c r="D89" s="173" t="s">
        <v>5246</v>
      </c>
      <c r="E89" s="173" t="s">
        <v>4800</v>
      </c>
      <c r="F89" s="173" t="s">
        <v>5193</v>
      </c>
      <c r="G89" s="173" t="s">
        <v>5794</v>
      </c>
      <c r="H89" s="173"/>
      <c r="I89" s="173"/>
      <c r="J89" s="176" t="s">
        <v>21</v>
      </c>
      <c r="K89" s="176">
        <v>14500</v>
      </c>
      <c r="L89" s="173" t="s">
        <v>5971</v>
      </c>
      <c r="M89" s="173" t="s">
        <v>5816</v>
      </c>
      <c r="N89" s="173"/>
      <c r="O89" s="173"/>
      <c r="P89" s="173" t="s">
        <v>5937</v>
      </c>
      <c r="Q89" s="173"/>
      <c r="R89" s="173" t="s">
        <v>3186</v>
      </c>
    </row>
    <row r="90" spans="1:18" x14ac:dyDescent="0.25">
      <c r="A90" s="173" t="s">
        <v>12</v>
      </c>
      <c r="B90" s="174">
        <v>43452</v>
      </c>
      <c r="C90" s="175" t="s">
        <v>5791</v>
      </c>
      <c r="D90" s="173" t="s">
        <v>5246</v>
      </c>
      <c r="E90" s="173" t="s">
        <v>4800</v>
      </c>
      <c r="F90" s="173" t="s">
        <v>400</v>
      </c>
      <c r="G90" s="173" t="s">
        <v>5792</v>
      </c>
      <c r="H90" s="173"/>
      <c r="I90" s="173"/>
      <c r="J90" s="176" t="s">
        <v>21</v>
      </c>
      <c r="K90" s="176">
        <v>6200</v>
      </c>
      <c r="L90" s="173" t="s">
        <v>5971</v>
      </c>
      <c r="M90" s="173" t="s">
        <v>5815</v>
      </c>
      <c r="N90" s="173"/>
      <c r="O90" s="173"/>
      <c r="P90" s="173" t="s">
        <v>5937</v>
      </c>
      <c r="Q90" s="173"/>
      <c r="R90" s="173" t="s">
        <v>3186</v>
      </c>
    </row>
    <row r="91" spans="1:18" x14ac:dyDescent="0.25">
      <c r="A91" s="173" t="s">
        <v>12</v>
      </c>
      <c r="B91" s="174">
        <v>43815</v>
      </c>
      <c r="C91" s="197" t="s">
        <v>6144</v>
      </c>
      <c r="D91" s="173" t="s">
        <v>5246</v>
      </c>
      <c r="E91" s="173" t="s">
        <v>4800</v>
      </c>
      <c r="F91" s="173" t="s">
        <v>6145</v>
      </c>
      <c r="G91" s="173" t="s">
        <v>6146</v>
      </c>
      <c r="H91" s="173"/>
      <c r="I91" s="173"/>
      <c r="J91" s="173" t="s">
        <v>21</v>
      </c>
      <c r="K91" s="176">
        <v>1800</v>
      </c>
      <c r="L91" s="173"/>
      <c r="M91" s="173" t="s">
        <v>6259</v>
      </c>
      <c r="N91" s="173"/>
      <c r="O91" s="173"/>
      <c r="P91" s="173" t="s">
        <v>6210</v>
      </c>
      <c r="Q91" s="174">
        <v>43844</v>
      </c>
      <c r="R91" s="173" t="s">
        <v>3791</v>
      </c>
    </row>
    <row r="92" spans="1:18" x14ac:dyDescent="0.25">
      <c r="A92" s="173" t="s">
        <v>12</v>
      </c>
      <c r="B92" s="174">
        <v>43543</v>
      </c>
      <c r="C92" s="195" t="s">
        <v>6058</v>
      </c>
      <c r="D92" s="173" t="s">
        <v>5246</v>
      </c>
      <c r="E92" s="173" t="s">
        <v>4800</v>
      </c>
      <c r="F92" s="173" t="s">
        <v>6059</v>
      </c>
      <c r="G92" s="173" t="s">
        <v>6060</v>
      </c>
      <c r="H92" s="173"/>
      <c r="I92" s="173"/>
      <c r="J92" s="173" t="s">
        <v>21</v>
      </c>
      <c r="K92" s="176">
        <v>2200</v>
      </c>
      <c r="L92" s="173"/>
      <c r="M92" s="173" t="s">
        <v>6259</v>
      </c>
      <c r="N92" s="173"/>
      <c r="O92" s="173"/>
      <c r="P92" s="173" t="s">
        <v>6083</v>
      </c>
      <c r="Q92" s="174">
        <v>43645</v>
      </c>
      <c r="R92" s="173" t="s">
        <v>3791</v>
      </c>
    </row>
    <row r="93" spans="1:18" hidden="1" x14ac:dyDescent="0.25">
      <c r="A93" s="173" t="s">
        <v>408</v>
      </c>
      <c r="B93" s="174">
        <v>43663</v>
      </c>
      <c r="C93" s="197" t="s">
        <v>6137</v>
      </c>
      <c r="D93" s="173" t="s">
        <v>2931</v>
      </c>
      <c r="E93" s="173" t="s">
        <v>2352</v>
      </c>
      <c r="F93" s="173" t="s">
        <v>6025</v>
      </c>
      <c r="G93" s="173" t="s">
        <v>6026</v>
      </c>
      <c r="H93" s="173"/>
      <c r="I93" s="173"/>
      <c r="J93" s="173" t="s">
        <v>21</v>
      </c>
      <c r="K93" s="176">
        <v>7300</v>
      </c>
      <c r="L93" s="173" t="s">
        <v>6138</v>
      </c>
      <c r="M93" s="173" t="s">
        <v>6272</v>
      </c>
      <c r="N93" s="173"/>
      <c r="O93" s="173"/>
      <c r="P93" s="173" t="s">
        <v>6140</v>
      </c>
      <c r="Q93" s="174">
        <v>43746</v>
      </c>
      <c r="R93" s="173"/>
    </row>
    <row r="94" spans="1:18" hidden="1" x14ac:dyDescent="0.25">
      <c r="A94" s="173" t="s">
        <v>43</v>
      </c>
      <c r="B94" s="174">
        <v>43675</v>
      </c>
      <c r="C94" s="197">
        <v>195102270</v>
      </c>
      <c r="D94" s="173" t="s">
        <v>6042</v>
      </c>
      <c r="E94" s="173" t="s">
        <v>6043</v>
      </c>
      <c r="F94" s="173" t="s">
        <v>6044</v>
      </c>
      <c r="G94" s="173" t="s">
        <v>6045</v>
      </c>
      <c r="H94" s="173">
        <f>-10890/1.21</f>
        <v>-9000</v>
      </c>
      <c r="I94" s="176">
        <f>+H94*0.21</f>
        <v>-1890</v>
      </c>
      <c r="J94" s="176"/>
      <c r="K94" s="176">
        <f>+H94+I94</f>
        <v>-10890</v>
      </c>
      <c r="L94" s="173" t="s">
        <v>43</v>
      </c>
      <c r="M94" s="173" t="s">
        <v>6239</v>
      </c>
      <c r="N94" s="173"/>
      <c r="O94" s="173"/>
      <c r="P94" s="173" t="s">
        <v>6083</v>
      </c>
      <c r="Q94" s="174">
        <v>43839</v>
      </c>
      <c r="R94" s="173" t="s">
        <v>3186</v>
      </c>
    </row>
    <row r="95" spans="1:18" x14ac:dyDescent="0.25">
      <c r="A95" s="173" t="s">
        <v>12</v>
      </c>
      <c r="B95" s="174">
        <v>43235</v>
      </c>
      <c r="C95" s="173" t="s">
        <v>5657</v>
      </c>
      <c r="D95" s="173" t="s">
        <v>5246</v>
      </c>
      <c r="E95" s="173" t="s">
        <v>4800</v>
      </c>
      <c r="F95" s="173" t="s">
        <v>5456</v>
      </c>
      <c r="G95" s="173" t="s">
        <v>5658</v>
      </c>
      <c r="H95" s="173"/>
      <c r="I95" s="173"/>
      <c r="J95" s="176" t="s">
        <v>21</v>
      </c>
      <c r="K95" s="173">
        <v>3500</v>
      </c>
      <c r="L95" s="173" t="s">
        <v>5971</v>
      </c>
      <c r="M95" s="173" t="s">
        <v>5908</v>
      </c>
      <c r="N95" s="173"/>
      <c r="O95" s="173"/>
      <c r="P95" s="173" t="s">
        <v>5723</v>
      </c>
      <c r="Q95" s="174">
        <v>43286</v>
      </c>
      <c r="R95" s="173" t="s">
        <v>3791</v>
      </c>
    </row>
    <row r="96" spans="1:18" x14ac:dyDescent="0.25">
      <c r="A96" s="173" t="s">
        <v>12</v>
      </c>
      <c r="B96" s="174">
        <v>43565</v>
      </c>
      <c r="C96" s="195" t="s">
        <v>6029</v>
      </c>
      <c r="D96" s="173" t="s">
        <v>5246</v>
      </c>
      <c r="E96" s="173" t="s">
        <v>4800</v>
      </c>
      <c r="F96" s="173" t="s">
        <v>5474</v>
      </c>
      <c r="G96" s="173" t="s">
        <v>6030</v>
      </c>
      <c r="H96" s="173"/>
      <c r="I96" s="173"/>
      <c r="J96" s="173" t="s">
        <v>21</v>
      </c>
      <c r="K96" s="176">
        <v>2500</v>
      </c>
      <c r="L96" s="173"/>
      <c r="M96" s="173" t="s">
        <v>6227</v>
      </c>
      <c r="N96" s="173"/>
      <c r="O96" s="173"/>
      <c r="P96" s="173" t="s">
        <v>6083</v>
      </c>
      <c r="Q96" s="174">
        <v>43645</v>
      </c>
      <c r="R96" s="173" t="s">
        <v>3186</v>
      </c>
    </row>
    <row r="97" spans="1:18" x14ac:dyDescent="0.25">
      <c r="A97" s="173" t="s">
        <v>12</v>
      </c>
      <c r="B97" s="174">
        <v>43584</v>
      </c>
      <c r="C97" s="195" t="s">
        <v>6027</v>
      </c>
      <c r="D97" s="173" t="s">
        <v>5246</v>
      </c>
      <c r="E97" s="173" t="s">
        <v>4800</v>
      </c>
      <c r="F97" s="173" t="s">
        <v>5474</v>
      </c>
      <c r="G97" s="173" t="s">
        <v>6028</v>
      </c>
      <c r="H97" s="173"/>
      <c r="I97" s="173"/>
      <c r="J97" s="173" t="s">
        <v>21</v>
      </c>
      <c r="K97" s="176">
        <v>9000</v>
      </c>
      <c r="L97" s="173"/>
      <c r="M97" s="173" t="s">
        <v>6259</v>
      </c>
      <c r="N97" s="173"/>
      <c r="O97" s="173"/>
      <c r="P97" s="173" t="s">
        <v>6083</v>
      </c>
      <c r="Q97" s="174">
        <v>43645</v>
      </c>
      <c r="R97" s="173" t="s">
        <v>3791</v>
      </c>
    </row>
    <row r="98" spans="1:18" x14ac:dyDescent="0.25">
      <c r="A98" s="173" t="s">
        <v>12</v>
      </c>
      <c r="B98" s="174">
        <v>43244</v>
      </c>
      <c r="C98" s="173" t="s">
        <v>5742</v>
      </c>
      <c r="D98" s="173" t="s">
        <v>5246</v>
      </c>
      <c r="E98" s="173" t="s">
        <v>4800</v>
      </c>
      <c r="F98" s="173" t="s">
        <v>3807</v>
      </c>
      <c r="G98" s="173" t="s">
        <v>5743</v>
      </c>
      <c r="H98" s="173"/>
      <c r="I98" s="173"/>
      <c r="J98" s="176" t="s">
        <v>21</v>
      </c>
      <c r="K98" s="176">
        <v>1700</v>
      </c>
      <c r="L98" s="173" t="s">
        <v>5971</v>
      </c>
      <c r="M98" s="173"/>
      <c r="N98" s="173"/>
      <c r="O98" s="173"/>
      <c r="P98" s="173" t="s">
        <v>5723</v>
      </c>
      <c r="Q98" s="174">
        <v>43286</v>
      </c>
      <c r="R98" s="173"/>
    </row>
    <row r="99" spans="1:18" x14ac:dyDescent="0.25">
      <c r="A99" s="173" t="s">
        <v>12</v>
      </c>
      <c r="B99" s="174">
        <v>43588</v>
      </c>
      <c r="C99" s="195" t="s">
        <v>6024</v>
      </c>
      <c r="D99" s="173" t="s">
        <v>5246</v>
      </c>
      <c r="E99" s="173" t="s">
        <v>4800</v>
      </c>
      <c r="F99" s="173" t="s">
        <v>6025</v>
      </c>
      <c r="G99" s="173" t="s">
        <v>6026</v>
      </c>
      <c r="H99" s="173"/>
      <c r="I99" s="173"/>
      <c r="J99" s="173" t="s">
        <v>21</v>
      </c>
      <c r="K99" s="176">
        <v>6600</v>
      </c>
      <c r="L99" s="173" t="s">
        <v>5971</v>
      </c>
      <c r="M99" s="173" t="s">
        <v>6259</v>
      </c>
      <c r="N99" s="173"/>
      <c r="O99" s="173"/>
      <c r="P99" s="173" t="s">
        <v>6083</v>
      </c>
      <c r="Q99" s="174">
        <v>43645</v>
      </c>
      <c r="R99" s="173" t="s">
        <v>3791</v>
      </c>
    </row>
    <row r="100" spans="1:18" x14ac:dyDescent="0.25">
      <c r="A100" s="173" t="s">
        <v>12</v>
      </c>
      <c r="B100" s="174">
        <v>43264</v>
      </c>
      <c r="C100" s="173" t="s">
        <v>5677</v>
      </c>
      <c r="D100" s="173" t="s">
        <v>5246</v>
      </c>
      <c r="E100" s="173" t="s">
        <v>4800</v>
      </c>
      <c r="F100" s="173" t="s">
        <v>5474</v>
      </c>
      <c r="G100" s="173" t="s">
        <v>5670</v>
      </c>
      <c r="H100" s="173"/>
      <c r="I100" s="173"/>
      <c r="J100" s="176" t="s">
        <v>21</v>
      </c>
      <c r="K100" s="173">
        <v>15500</v>
      </c>
      <c r="L100" s="173" t="s">
        <v>5971</v>
      </c>
      <c r="M100" s="173"/>
      <c r="N100" s="173"/>
      <c r="O100" s="173"/>
      <c r="P100" s="173" t="s">
        <v>5723</v>
      </c>
      <c r="Q100" s="174">
        <v>43286</v>
      </c>
      <c r="R100" s="173"/>
    </row>
    <row r="101" spans="1:18" x14ac:dyDescent="0.25">
      <c r="A101" s="173" t="s">
        <v>12</v>
      </c>
      <c r="B101" s="174">
        <v>43655</v>
      </c>
      <c r="C101" s="197" t="s">
        <v>6130</v>
      </c>
      <c r="D101" s="173" t="s">
        <v>5246</v>
      </c>
      <c r="E101" s="173" t="s">
        <v>4800</v>
      </c>
      <c r="F101" s="173" t="s">
        <v>3210</v>
      </c>
      <c r="G101" s="173" t="s">
        <v>6131</v>
      </c>
      <c r="H101" s="173"/>
      <c r="I101" s="173"/>
      <c r="J101" s="173" t="s">
        <v>21</v>
      </c>
      <c r="K101" s="176">
        <v>3500</v>
      </c>
      <c r="L101" s="173"/>
      <c r="M101" s="173" t="s">
        <v>6250</v>
      </c>
      <c r="N101" s="173"/>
      <c r="O101" s="173"/>
      <c r="P101" s="173" t="s">
        <v>6140</v>
      </c>
      <c r="Q101" s="174">
        <v>43746</v>
      </c>
      <c r="R101" s="173" t="s">
        <v>3186</v>
      </c>
    </row>
    <row r="102" spans="1:18" x14ac:dyDescent="0.25">
      <c r="A102" s="173" t="s">
        <v>12</v>
      </c>
      <c r="B102" s="174">
        <v>43678</v>
      </c>
      <c r="C102" s="197" t="s">
        <v>6127</v>
      </c>
      <c r="D102" s="173" t="s">
        <v>5246</v>
      </c>
      <c r="E102" s="173" t="s">
        <v>4800</v>
      </c>
      <c r="F102" s="173" t="s">
        <v>6128</v>
      </c>
      <c r="G102" s="173" t="s">
        <v>6129</v>
      </c>
      <c r="H102" s="173"/>
      <c r="I102" s="173"/>
      <c r="J102" s="173" t="s">
        <v>21</v>
      </c>
      <c r="K102" s="176">
        <v>5500</v>
      </c>
      <c r="L102" s="173" t="s">
        <v>5971</v>
      </c>
      <c r="M102" s="173" t="s">
        <v>6212</v>
      </c>
      <c r="N102" s="173"/>
      <c r="O102" s="173"/>
      <c r="P102" s="173" t="s">
        <v>6140</v>
      </c>
      <c r="Q102" s="174">
        <v>43746</v>
      </c>
      <c r="R102" s="173" t="s">
        <v>3186</v>
      </c>
    </row>
    <row r="103" spans="1:18" x14ac:dyDescent="0.25">
      <c r="A103" s="173" t="s">
        <v>12</v>
      </c>
      <c r="B103" s="174">
        <v>43679</v>
      </c>
      <c r="C103" s="197" t="s">
        <v>6125</v>
      </c>
      <c r="D103" s="173" t="s">
        <v>5246</v>
      </c>
      <c r="E103" s="173" t="s">
        <v>4800</v>
      </c>
      <c r="F103" s="173" t="s">
        <v>3210</v>
      </c>
      <c r="G103" s="173" t="s">
        <v>6126</v>
      </c>
      <c r="H103" s="173"/>
      <c r="I103" s="173"/>
      <c r="J103" s="173" t="s">
        <v>21</v>
      </c>
      <c r="K103" s="176">
        <v>1000</v>
      </c>
      <c r="L103" s="173"/>
      <c r="M103" s="173" t="s">
        <v>6212</v>
      </c>
      <c r="N103" s="173"/>
      <c r="O103" s="173"/>
      <c r="P103" s="173" t="s">
        <v>6140</v>
      </c>
      <c r="Q103" s="174">
        <v>43746</v>
      </c>
      <c r="R103" s="173" t="s">
        <v>3186</v>
      </c>
    </row>
    <row r="104" spans="1:18" hidden="1" x14ac:dyDescent="0.25">
      <c r="A104" s="173" t="s">
        <v>43</v>
      </c>
      <c r="B104" s="174">
        <v>43760</v>
      </c>
      <c r="C104" s="197" t="s">
        <v>6163</v>
      </c>
      <c r="D104" s="173" t="s">
        <v>5246</v>
      </c>
      <c r="E104" s="173" t="s">
        <v>4800</v>
      </c>
      <c r="F104" s="173" t="s">
        <v>5404</v>
      </c>
      <c r="G104" s="173" t="s">
        <v>6151</v>
      </c>
      <c r="H104" s="173"/>
      <c r="I104" s="173"/>
      <c r="J104" s="173" t="s">
        <v>21</v>
      </c>
      <c r="K104" s="176">
        <v>-1000</v>
      </c>
      <c r="L104" s="173" t="s">
        <v>43</v>
      </c>
      <c r="M104" s="173"/>
      <c r="N104" s="173"/>
      <c r="O104" s="173"/>
      <c r="P104" s="173" t="s">
        <v>6210</v>
      </c>
      <c r="Q104" s="174">
        <v>43844</v>
      </c>
      <c r="R104" s="173"/>
    </row>
    <row r="105" spans="1:18" x14ac:dyDescent="0.25">
      <c r="A105" s="173" t="s">
        <v>12</v>
      </c>
      <c r="B105" s="174">
        <v>43682</v>
      </c>
      <c r="C105" s="197" t="s">
        <v>6166</v>
      </c>
      <c r="D105" s="173" t="s">
        <v>6167</v>
      </c>
      <c r="E105" s="173" t="s">
        <v>6098</v>
      </c>
      <c r="F105" s="173" t="s">
        <v>906</v>
      </c>
      <c r="G105" s="173" t="s">
        <v>6168</v>
      </c>
      <c r="H105" s="173"/>
      <c r="I105" s="173"/>
      <c r="J105" s="173" t="s">
        <v>21</v>
      </c>
      <c r="K105" s="176">
        <v>6700.01</v>
      </c>
      <c r="L105" s="173" t="s">
        <v>5971</v>
      </c>
      <c r="M105" s="173" t="s">
        <v>6266</v>
      </c>
      <c r="N105" s="173"/>
      <c r="O105" s="173"/>
      <c r="P105" s="173" t="s">
        <v>6210</v>
      </c>
      <c r="Q105" s="174">
        <v>43844</v>
      </c>
      <c r="R105" s="173" t="s">
        <v>3186</v>
      </c>
    </row>
    <row r="106" spans="1:18" x14ac:dyDescent="0.25">
      <c r="A106" s="173" t="s">
        <v>12</v>
      </c>
      <c r="B106" s="174">
        <v>43741</v>
      </c>
      <c r="C106" s="197" t="s">
        <v>6170</v>
      </c>
      <c r="D106" s="173" t="s">
        <v>6169</v>
      </c>
      <c r="E106" s="173" t="s">
        <v>6171</v>
      </c>
      <c r="F106" s="173" t="s">
        <v>6172</v>
      </c>
      <c r="G106" s="173" t="s">
        <v>6173</v>
      </c>
      <c r="H106" s="173"/>
      <c r="I106" s="173"/>
      <c r="J106" s="173" t="s">
        <v>21</v>
      </c>
      <c r="K106" s="176">
        <v>7200</v>
      </c>
      <c r="L106" s="173"/>
      <c r="M106" s="173" t="s">
        <v>6258</v>
      </c>
      <c r="N106" s="173"/>
      <c r="O106" s="173"/>
      <c r="P106" s="173" t="s">
        <v>6210</v>
      </c>
      <c r="Q106" s="174">
        <v>43844</v>
      </c>
      <c r="R106" s="173" t="s">
        <v>3186</v>
      </c>
    </row>
    <row r="107" spans="1:18" x14ac:dyDescent="0.25">
      <c r="A107" s="173" t="s">
        <v>12</v>
      </c>
      <c r="B107" s="174">
        <v>43741</v>
      </c>
      <c r="C107" s="197" t="s">
        <v>6174</v>
      </c>
      <c r="D107" s="173" t="s">
        <v>6169</v>
      </c>
      <c r="E107" s="173" t="s">
        <v>6171</v>
      </c>
      <c r="F107" s="173" t="s">
        <v>5100</v>
      </c>
      <c r="G107" s="173" t="s">
        <v>6175</v>
      </c>
      <c r="H107" s="173"/>
      <c r="I107" s="173"/>
      <c r="J107" s="173" t="s">
        <v>21</v>
      </c>
      <c r="K107" s="176">
        <v>9500</v>
      </c>
      <c r="L107" s="173"/>
      <c r="M107" s="173" t="s">
        <v>6248</v>
      </c>
      <c r="N107" s="173"/>
      <c r="O107" s="173"/>
      <c r="P107" s="173" t="s">
        <v>6210</v>
      </c>
      <c r="Q107" s="174">
        <v>43844</v>
      </c>
      <c r="R107" s="173" t="s">
        <v>3186</v>
      </c>
    </row>
    <row r="108" spans="1:18" x14ac:dyDescent="0.25">
      <c r="A108" s="173" t="s">
        <v>12</v>
      </c>
      <c r="B108" s="174">
        <v>43774</v>
      </c>
      <c r="C108" s="197" t="s">
        <v>951</v>
      </c>
      <c r="D108" s="173" t="s">
        <v>3723</v>
      </c>
      <c r="E108" s="173" t="s">
        <v>3724</v>
      </c>
      <c r="F108" s="173" t="s">
        <v>3679</v>
      </c>
      <c r="G108" s="173" t="s">
        <v>3680</v>
      </c>
      <c r="H108" s="173"/>
      <c r="I108" s="173"/>
      <c r="J108" s="173" t="s">
        <v>21</v>
      </c>
      <c r="K108" s="176">
        <v>5000</v>
      </c>
      <c r="L108" s="173"/>
      <c r="M108" s="173" t="s">
        <v>6241</v>
      </c>
      <c r="N108" s="173"/>
      <c r="O108" s="173"/>
      <c r="P108" s="173" t="s">
        <v>6210</v>
      </c>
      <c r="Q108" s="174">
        <v>43844</v>
      </c>
      <c r="R108" s="173" t="s">
        <v>3186</v>
      </c>
    </row>
    <row r="109" spans="1:18" x14ac:dyDescent="0.25">
      <c r="A109" s="173" t="s">
        <v>12</v>
      </c>
      <c r="B109" s="174">
        <v>43707</v>
      </c>
      <c r="C109" s="197">
        <v>146940</v>
      </c>
      <c r="D109" s="173" t="s">
        <v>6169</v>
      </c>
      <c r="E109" s="173" t="s">
        <v>6171</v>
      </c>
      <c r="F109" s="173" t="s">
        <v>5613</v>
      </c>
      <c r="G109" s="173" t="s">
        <v>6176</v>
      </c>
      <c r="H109" s="176">
        <v>5206.6099999999997</v>
      </c>
      <c r="I109" s="176">
        <f>H109*0.21</f>
        <v>1093.3880999999999</v>
      </c>
      <c r="J109" s="176"/>
      <c r="K109" s="176">
        <f>+H109+I109</f>
        <v>6299.9980999999998</v>
      </c>
      <c r="L109" s="173"/>
      <c r="M109" s="173" t="s">
        <v>6219</v>
      </c>
      <c r="N109" s="173"/>
      <c r="O109" s="173"/>
      <c r="P109" s="173" t="s">
        <v>6210</v>
      </c>
      <c r="Q109" s="174">
        <v>43844</v>
      </c>
      <c r="R109" s="173" t="s">
        <v>3186</v>
      </c>
    </row>
    <row r="110" spans="1:18" x14ac:dyDescent="0.25">
      <c r="A110" s="173" t="s">
        <v>12</v>
      </c>
      <c r="B110" s="174">
        <v>43707</v>
      </c>
      <c r="C110" s="197" t="s">
        <v>6177</v>
      </c>
      <c r="D110" s="173" t="s">
        <v>6169</v>
      </c>
      <c r="E110" s="173" t="s">
        <v>6171</v>
      </c>
      <c r="F110" s="173" t="s">
        <v>6178</v>
      </c>
      <c r="G110" s="173" t="s">
        <v>6179</v>
      </c>
      <c r="H110" s="173"/>
      <c r="I110" s="173"/>
      <c r="J110" s="173" t="s">
        <v>21</v>
      </c>
      <c r="K110" s="173">
        <v>7300</v>
      </c>
      <c r="L110" s="173"/>
      <c r="M110" s="173" t="s">
        <v>6219</v>
      </c>
      <c r="N110" s="173"/>
      <c r="O110" s="173"/>
      <c r="P110" s="173" t="s">
        <v>6210</v>
      </c>
      <c r="Q110" s="174">
        <v>43844</v>
      </c>
      <c r="R110" s="173" t="s">
        <v>3186</v>
      </c>
    </row>
    <row r="111" spans="1:18" x14ac:dyDescent="0.25">
      <c r="A111" s="173" t="s">
        <v>12</v>
      </c>
      <c r="B111" s="174">
        <v>43668</v>
      </c>
      <c r="C111" s="197" t="s">
        <v>6183</v>
      </c>
      <c r="D111" s="173" t="s">
        <v>5808</v>
      </c>
      <c r="E111" s="173" t="s">
        <v>4797</v>
      </c>
      <c r="F111" s="173" t="s">
        <v>6180</v>
      </c>
      <c r="G111" s="173" t="s">
        <v>6181</v>
      </c>
      <c r="H111" s="176"/>
      <c r="I111" s="176"/>
      <c r="J111" s="176" t="s">
        <v>21</v>
      </c>
      <c r="K111" s="176">
        <v>5600</v>
      </c>
      <c r="L111" s="173"/>
      <c r="M111" s="173" t="s">
        <v>6251</v>
      </c>
      <c r="N111" s="173"/>
      <c r="O111" s="173"/>
      <c r="P111" s="173" t="s">
        <v>6210</v>
      </c>
      <c r="Q111" s="174">
        <v>43844</v>
      </c>
      <c r="R111" s="173" t="s">
        <v>3186</v>
      </c>
    </row>
    <row r="112" spans="1:18" x14ac:dyDescent="0.25">
      <c r="A112" s="173" t="s">
        <v>12</v>
      </c>
      <c r="B112" s="174">
        <v>43735</v>
      </c>
      <c r="C112" s="197" t="s">
        <v>6182</v>
      </c>
      <c r="D112" s="173" t="s">
        <v>5808</v>
      </c>
      <c r="E112" s="173" t="s">
        <v>4797</v>
      </c>
      <c r="F112" s="173" t="s">
        <v>442</v>
      </c>
      <c r="G112" s="173" t="s">
        <v>6184</v>
      </c>
      <c r="H112" s="173"/>
      <c r="I112" s="173"/>
      <c r="J112" s="173" t="s">
        <v>21</v>
      </c>
      <c r="K112" s="173">
        <v>700</v>
      </c>
      <c r="L112" s="173" t="s">
        <v>5971</v>
      </c>
      <c r="M112" s="173"/>
      <c r="N112" s="173"/>
      <c r="O112" s="173"/>
      <c r="P112" s="173" t="s">
        <v>6210</v>
      </c>
      <c r="Q112" s="174">
        <v>43844</v>
      </c>
      <c r="R112" s="173"/>
    </row>
    <row r="113" spans="1:18" hidden="1" x14ac:dyDescent="0.25">
      <c r="A113" s="173" t="s">
        <v>408</v>
      </c>
      <c r="B113" s="174">
        <v>43711</v>
      </c>
      <c r="C113" s="197">
        <v>19035</v>
      </c>
      <c r="D113" s="173" t="s">
        <v>6185</v>
      </c>
      <c r="E113" s="173" t="s">
        <v>6186</v>
      </c>
      <c r="F113" s="173" t="s">
        <v>2932</v>
      </c>
      <c r="G113" s="173" t="s">
        <v>6168</v>
      </c>
      <c r="H113" s="173"/>
      <c r="I113" s="173"/>
      <c r="J113" s="173" t="s">
        <v>21</v>
      </c>
      <c r="K113" s="173">
        <v>9999</v>
      </c>
      <c r="L113" s="173" t="s">
        <v>6187</v>
      </c>
      <c r="M113" s="173" t="s">
        <v>6254</v>
      </c>
      <c r="N113" s="173"/>
      <c r="O113" s="173"/>
      <c r="P113" s="173" t="s">
        <v>6210</v>
      </c>
      <c r="Q113" s="174">
        <v>43844</v>
      </c>
      <c r="R113" s="173" t="s">
        <v>3186</v>
      </c>
    </row>
    <row r="114" spans="1:18" hidden="1" x14ac:dyDescent="0.25">
      <c r="A114" s="173" t="s">
        <v>408</v>
      </c>
      <c r="B114" s="174">
        <v>43728</v>
      </c>
      <c r="C114" s="197">
        <v>19037</v>
      </c>
      <c r="D114" s="173" t="s">
        <v>6188</v>
      </c>
      <c r="E114" s="173" t="s">
        <v>6189</v>
      </c>
      <c r="F114" s="173" t="s">
        <v>6022</v>
      </c>
      <c r="G114" s="173" t="s">
        <v>6023</v>
      </c>
      <c r="H114" s="173"/>
      <c r="I114" s="173"/>
      <c r="J114" s="173" t="s">
        <v>21</v>
      </c>
      <c r="K114" s="176">
        <v>15500</v>
      </c>
      <c r="L114" s="173" t="s">
        <v>6138</v>
      </c>
      <c r="M114" s="173" t="s">
        <v>6270</v>
      </c>
      <c r="N114" s="173"/>
      <c r="O114" s="173"/>
      <c r="P114" s="173" t="s">
        <v>6210</v>
      </c>
      <c r="Q114" s="174">
        <v>43844</v>
      </c>
      <c r="R114" s="173" t="s">
        <v>3186</v>
      </c>
    </row>
    <row r="115" spans="1:18" hidden="1" x14ac:dyDescent="0.25">
      <c r="A115" s="173" t="s">
        <v>408</v>
      </c>
      <c r="B115" s="174">
        <v>43733</v>
      </c>
      <c r="C115" s="197">
        <v>19038</v>
      </c>
      <c r="D115" s="173" t="s">
        <v>2931</v>
      </c>
      <c r="E115" s="173" t="s">
        <v>2352</v>
      </c>
      <c r="F115" s="173" t="s">
        <v>4255</v>
      </c>
      <c r="G115" s="173" t="s">
        <v>6124</v>
      </c>
      <c r="H115" s="173"/>
      <c r="I115" s="173"/>
      <c r="J115" s="173" t="s">
        <v>21</v>
      </c>
      <c r="K115" s="176">
        <v>2300</v>
      </c>
      <c r="L115" s="173" t="s">
        <v>6190</v>
      </c>
      <c r="M115" s="173" t="s">
        <v>6272</v>
      </c>
      <c r="N115" s="173"/>
      <c r="O115" s="173"/>
      <c r="P115" s="173" t="s">
        <v>6210</v>
      </c>
      <c r="Q115" s="174">
        <v>43844</v>
      </c>
      <c r="R115" s="173"/>
    </row>
    <row r="116" spans="1:18" hidden="1" x14ac:dyDescent="0.25">
      <c r="A116" s="173" t="s">
        <v>408</v>
      </c>
      <c r="B116" s="174">
        <v>43711</v>
      </c>
      <c r="C116" s="197">
        <v>19039</v>
      </c>
      <c r="D116" s="173" t="s">
        <v>6191</v>
      </c>
      <c r="E116" s="173" t="s">
        <v>6192</v>
      </c>
      <c r="F116" s="173" t="s">
        <v>6033</v>
      </c>
      <c r="G116" s="173" t="s">
        <v>6034</v>
      </c>
      <c r="H116" s="176">
        <f>8650/1.21</f>
        <v>7148.7603305785124</v>
      </c>
      <c r="I116" s="176">
        <f>+H116*0.21</f>
        <v>1501.2396694214876</v>
      </c>
      <c r="J116" s="176"/>
      <c r="K116" s="176">
        <f>+H116+I116</f>
        <v>8650</v>
      </c>
      <c r="L116" s="173" t="s">
        <v>6193</v>
      </c>
      <c r="M116" s="173" t="s">
        <v>6242</v>
      </c>
      <c r="N116" s="173"/>
      <c r="O116" s="173"/>
      <c r="P116" s="173" t="s">
        <v>6210</v>
      </c>
      <c r="Q116" s="174">
        <v>43844</v>
      </c>
      <c r="R116" s="173" t="s">
        <v>3186</v>
      </c>
    </row>
    <row r="117" spans="1:18" hidden="1" x14ac:dyDescent="0.25">
      <c r="A117" s="173" t="s">
        <v>408</v>
      </c>
      <c r="B117" s="174">
        <v>43787</v>
      </c>
      <c r="C117" s="197">
        <v>19041</v>
      </c>
      <c r="D117" s="173" t="s">
        <v>5999</v>
      </c>
      <c r="E117" s="173" t="s">
        <v>5750</v>
      </c>
      <c r="F117" s="173" t="s">
        <v>442</v>
      </c>
      <c r="G117" s="173" t="s">
        <v>6184</v>
      </c>
      <c r="H117" s="173"/>
      <c r="I117" s="173"/>
      <c r="J117" s="173" t="s">
        <v>21</v>
      </c>
      <c r="K117" s="173">
        <v>1170</v>
      </c>
      <c r="L117" s="173" t="s">
        <v>6194</v>
      </c>
      <c r="M117" s="173" t="s">
        <v>6243</v>
      </c>
      <c r="N117" s="173"/>
      <c r="O117" s="173"/>
      <c r="P117" s="173" t="s">
        <v>6210</v>
      </c>
      <c r="Q117" s="174">
        <v>43844</v>
      </c>
      <c r="R117" s="173" t="s">
        <v>3186</v>
      </c>
    </row>
    <row r="118" spans="1:18" hidden="1" x14ac:dyDescent="0.25">
      <c r="A118" s="173" t="s">
        <v>408</v>
      </c>
      <c r="B118" s="174">
        <v>43792</v>
      </c>
      <c r="C118" s="197">
        <v>19043</v>
      </c>
      <c r="D118" s="173" t="s">
        <v>2931</v>
      </c>
      <c r="E118" s="173" t="s">
        <v>2352</v>
      </c>
      <c r="F118" s="173" t="s">
        <v>5798</v>
      </c>
      <c r="G118" s="173" t="s">
        <v>5799</v>
      </c>
      <c r="H118" s="173"/>
      <c r="I118" s="173"/>
      <c r="J118" s="176" t="s">
        <v>21</v>
      </c>
      <c r="K118" s="176">
        <v>7000</v>
      </c>
      <c r="L118" s="173" t="s">
        <v>6195</v>
      </c>
      <c r="M118" s="173" t="s">
        <v>6272</v>
      </c>
      <c r="N118" s="173"/>
      <c r="O118" s="173"/>
      <c r="P118" s="173" t="s">
        <v>6210</v>
      </c>
      <c r="Q118" s="174">
        <v>43844</v>
      </c>
      <c r="R118" s="173"/>
    </row>
    <row r="119" spans="1:18" hidden="1" x14ac:dyDescent="0.25">
      <c r="A119" s="173" t="s">
        <v>408</v>
      </c>
      <c r="B119" s="174">
        <v>43794</v>
      </c>
      <c r="C119" s="197">
        <v>19044</v>
      </c>
      <c r="D119" s="173" t="s">
        <v>6196</v>
      </c>
      <c r="E119" s="173" t="s">
        <v>6197</v>
      </c>
      <c r="F119" s="173" t="s">
        <v>4043</v>
      </c>
      <c r="G119" s="173" t="s">
        <v>6096</v>
      </c>
      <c r="H119" s="173"/>
      <c r="I119" s="173"/>
      <c r="J119" s="173" t="s">
        <v>21</v>
      </c>
      <c r="K119" s="176">
        <v>10150</v>
      </c>
      <c r="L119" s="173" t="s">
        <v>6120</v>
      </c>
      <c r="M119" s="173" t="s">
        <v>6273</v>
      </c>
      <c r="N119" s="173"/>
      <c r="O119" s="173"/>
      <c r="P119" s="173" t="s">
        <v>6210</v>
      </c>
      <c r="Q119" s="174">
        <v>43844</v>
      </c>
      <c r="R119" s="173" t="s">
        <v>3186</v>
      </c>
    </row>
    <row r="120" spans="1:18" hidden="1" x14ac:dyDescent="0.25">
      <c r="A120" s="173" t="s">
        <v>408</v>
      </c>
      <c r="B120" s="174">
        <v>43815</v>
      </c>
      <c r="C120" s="197">
        <v>19046</v>
      </c>
      <c r="D120" s="173" t="s">
        <v>6198</v>
      </c>
      <c r="E120" s="173" t="s">
        <v>6199</v>
      </c>
      <c r="F120" s="173" t="s">
        <v>381</v>
      </c>
      <c r="G120" s="173" t="s">
        <v>6046</v>
      </c>
      <c r="H120" s="176">
        <f>7995/1.21</f>
        <v>6607.4380165289258</v>
      </c>
      <c r="I120" s="176">
        <f>+H120*0.21</f>
        <v>1387.5619834710744</v>
      </c>
      <c r="J120" s="176"/>
      <c r="K120" s="176">
        <f>+H120+I120</f>
        <v>7995</v>
      </c>
      <c r="L120" s="173" t="s">
        <v>6200</v>
      </c>
      <c r="M120" s="173" t="s">
        <v>6215</v>
      </c>
      <c r="N120" s="173"/>
      <c r="O120" s="173"/>
      <c r="P120" s="173" t="s">
        <v>6210</v>
      </c>
      <c r="Q120" s="174">
        <v>43844</v>
      </c>
      <c r="R120" s="173" t="s">
        <v>3186</v>
      </c>
    </row>
    <row r="121" spans="1:18" x14ac:dyDescent="0.25">
      <c r="A121" s="173" t="s">
        <v>12</v>
      </c>
      <c r="B121" s="174">
        <v>43724</v>
      </c>
      <c r="C121" s="197" t="s">
        <v>951</v>
      </c>
      <c r="D121" s="173" t="s">
        <v>6118</v>
      </c>
      <c r="E121" s="173" t="s">
        <v>6119</v>
      </c>
      <c r="F121" s="173" t="s">
        <v>6201</v>
      </c>
      <c r="G121" s="173" t="s">
        <v>6202</v>
      </c>
      <c r="H121" s="173"/>
      <c r="I121" s="173"/>
      <c r="J121" s="173" t="s">
        <v>21</v>
      </c>
      <c r="K121" s="176">
        <v>1000</v>
      </c>
      <c r="L121" s="173" t="s">
        <v>5971</v>
      </c>
      <c r="M121" s="173"/>
      <c r="N121" s="173"/>
      <c r="O121" s="173"/>
      <c r="P121" s="173" t="s">
        <v>6210</v>
      </c>
      <c r="Q121" s="174">
        <v>43844</v>
      </c>
      <c r="R121" s="173"/>
    </row>
    <row r="122" spans="1:18" hidden="1" x14ac:dyDescent="0.25">
      <c r="A122" s="173" t="s">
        <v>408</v>
      </c>
      <c r="B122" s="174">
        <v>43787</v>
      </c>
      <c r="C122" s="197">
        <v>19042</v>
      </c>
      <c r="D122" s="173" t="s">
        <v>5999</v>
      </c>
      <c r="E122" s="173" t="s">
        <v>5750</v>
      </c>
      <c r="F122" s="173" t="s">
        <v>6201</v>
      </c>
      <c r="G122" s="173" t="s">
        <v>6202</v>
      </c>
      <c r="H122" s="173"/>
      <c r="I122" s="173"/>
      <c r="J122" s="173" t="s">
        <v>21</v>
      </c>
      <c r="K122" s="176">
        <v>1170</v>
      </c>
      <c r="L122" s="173" t="s">
        <v>6203</v>
      </c>
      <c r="M122" s="173" t="s">
        <v>6243</v>
      </c>
      <c r="N122" s="173"/>
      <c r="O122" s="173"/>
      <c r="P122" s="173" t="s">
        <v>6210</v>
      </c>
      <c r="Q122" s="174">
        <v>43844</v>
      </c>
      <c r="R122" s="173" t="s">
        <v>3186</v>
      </c>
    </row>
    <row r="123" spans="1:18" hidden="1" x14ac:dyDescent="0.25">
      <c r="A123" s="173" t="s">
        <v>408</v>
      </c>
      <c r="B123" s="174">
        <v>43774</v>
      </c>
      <c r="C123" s="197">
        <v>19040</v>
      </c>
      <c r="D123" s="173" t="s">
        <v>2964</v>
      </c>
      <c r="E123" s="173" t="s">
        <v>2965</v>
      </c>
      <c r="F123" s="173" t="s">
        <v>6128</v>
      </c>
      <c r="G123" s="173" t="s">
        <v>6129</v>
      </c>
      <c r="H123" s="173"/>
      <c r="I123" s="173"/>
      <c r="J123" s="173" t="s">
        <v>21</v>
      </c>
      <c r="K123" s="176">
        <v>6000</v>
      </c>
      <c r="L123" s="173" t="s">
        <v>6204</v>
      </c>
      <c r="M123" s="173"/>
      <c r="N123" s="173"/>
      <c r="O123" s="173"/>
      <c r="P123" s="173" t="s">
        <v>6210</v>
      </c>
      <c r="Q123" s="174">
        <v>43844</v>
      </c>
      <c r="R123" s="173"/>
    </row>
    <row r="124" spans="1:18" x14ac:dyDescent="0.25">
      <c r="A124" s="173" t="s">
        <v>12</v>
      </c>
      <c r="B124" s="174">
        <v>43546</v>
      </c>
      <c r="C124" s="197" t="s">
        <v>6205</v>
      </c>
      <c r="D124" s="173" t="s">
        <v>6206</v>
      </c>
      <c r="E124" s="173" t="s">
        <v>6207</v>
      </c>
      <c r="F124" s="173" t="s">
        <v>2657</v>
      </c>
      <c r="G124" s="173" t="s">
        <v>6208</v>
      </c>
      <c r="H124" s="173"/>
      <c r="I124" s="173"/>
      <c r="J124" s="173" t="s">
        <v>21</v>
      </c>
      <c r="K124" s="176">
        <v>1000</v>
      </c>
      <c r="L124" s="173" t="s">
        <v>5971</v>
      </c>
      <c r="M124" s="173"/>
      <c r="N124" s="173"/>
      <c r="O124" s="173"/>
      <c r="P124" s="173" t="s">
        <v>6210</v>
      </c>
      <c r="Q124" s="174">
        <v>43844</v>
      </c>
      <c r="R124" s="173"/>
    </row>
    <row r="125" spans="1:18" hidden="1" x14ac:dyDescent="0.25">
      <c r="A125" s="173" t="s">
        <v>408</v>
      </c>
      <c r="B125" s="174">
        <v>43802</v>
      </c>
      <c r="C125" s="197">
        <v>19045</v>
      </c>
      <c r="D125" s="173" t="s">
        <v>5999</v>
      </c>
      <c r="E125" s="173" t="s">
        <v>5750</v>
      </c>
      <c r="F125" s="173" t="s">
        <v>2657</v>
      </c>
      <c r="G125" s="173" t="s">
        <v>6208</v>
      </c>
      <c r="H125" s="173"/>
      <c r="I125" s="173"/>
      <c r="J125" s="173" t="s">
        <v>21</v>
      </c>
      <c r="K125" s="176">
        <v>1000</v>
      </c>
      <c r="L125" s="173" t="s">
        <v>6209</v>
      </c>
      <c r="M125" s="173" t="s">
        <v>6244</v>
      </c>
      <c r="N125" s="173"/>
      <c r="O125" s="173"/>
      <c r="P125" s="173" t="s">
        <v>6210</v>
      </c>
      <c r="Q125" s="174">
        <v>43844</v>
      </c>
      <c r="R125" s="173" t="s">
        <v>3186</v>
      </c>
    </row>
    <row r="126" spans="1:18" x14ac:dyDescent="0.25">
      <c r="A126" s="202" t="s">
        <v>12</v>
      </c>
      <c r="B126" s="207">
        <v>43859</v>
      </c>
      <c r="C126" s="200" t="s">
        <v>951</v>
      </c>
      <c r="D126" s="202" t="s">
        <v>6278</v>
      </c>
      <c r="E126" s="202" t="s">
        <v>6279</v>
      </c>
      <c r="F126" s="202" t="s">
        <v>368</v>
      </c>
      <c r="G126" s="202" t="s">
        <v>6280</v>
      </c>
      <c r="J126" s="202" t="s">
        <v>21</v>
      </c>
      <c r="K126" s="208">
        <v>600</v>
      </c>
    </row>
  </sheetData>
  <autoFilter ref="A1:R126" xr:uid="{00000000-0009-0000-0000-000001000000}">
    <filterColumn colId="0">
      <filters>
        <filter val="COMPRA"/>
      </filters>
    </filterColumn>
    <sortState xmlns:xlrd2="http://schemas.microsoft.com/office/spreadsheetml/2017/richdata2" ref="A2:R104">
      <sortCondition ref="C1:C125"/>
    </sortState>
  </autoFilter>
  <sortState xmlns:xlrd2="http://schemas.microsoft.com/office/spreadsheetml/2017/richdata2" ref="A2:R75">
    <sortCondition ref="B2:B75"/>
  </sortState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R122"/>
  <sheetViews>
    <sheetView workbookViewId="0">
      <pane ySplit="1" topLeftCell="A97" activePane="bottomLeft" state="frozen"/>
      <selection pane="bottomLeft" activeCell="K118" sqref="K118"/>
    </sheetView>
  </sheetViews>
  <sheetFormatPr baseColWidth="10" defaultRowHeight="15" x14ac:dyDescent="0.25"/>
  <cols>
    <col min="1" max="1" width="8.85546875" bestFit="1" customWidth="1"/>
    <col min="2" max="2" width="10.7109375" bestFit="1" customWidth="1"/>
    <col min="3" max="3" width="16.42578125" customWidth="1"/>
    <col min="4" max="4" width="32.42578125" customWidth="1"/>
    <col min="5" max="5" width="11.5703125" bestFit="1" customWidth="1"/>
    <col min="6" max="6" width="21.85546875" customWidth="1"/>
    <col min="7" max="7" width="11.28515625" bestFit="1" customWidth="1"/>
    <col min="8" max="8" width="8.85546875" customWidth="1"/>
    <col min="9" max="9" width="11.5703125" bestFit="1" customWidth="1"/>
    <col min="10" max="10" width="8" bestFit="1" customWidth="1"/>
    <col min="11" max="11" width="9.7109375" bestFit="1" customWidth="1"/>
    <col min="12" max="12" width="28.28515625" bestFit="1" customWidth="1"/>
    <col min="13" max="13" width="17.85546875" customWidth="1"/>
    <col min="14" max="14" width="6.28515625" customWidth="1"/>
    <col min="15" max="15" width="10.7109375" bestFit="1" customWidth="1"/>
    <col min="16" max="16" width="6.5703125" customWidth="1"/>
    <col min="17" max="17" width="10.7109375" bestFit="1" customWidth="1"/>
    <col min="18" max="18" width="7.85546875" bestFit="1" customWidth="1"/>
  </cols>
  <sheetData>
    <row r="1" spans="1:18" x14ac:dyDescent="0.25">
      <c r="A1" s="178" t="s">
        <v>0</v>
      </c>
      <c r="B1" s="179" t="s">
        <v>1</v>
      </c>
      <c r="C1" s="179" t="s">
        <v>2</v>
      </c>
      <c r="D1" s="180" t="s">
        <v>3</v>
      </c>
      <c r="E1" s="181" t="s">
        <v>4</v>
      </c>
      <c r="F1" s="180" t="s">
        <v>5</v>
      </c>
      <c r="G1" s="180" t="s">
        <v>6</v>
      </c>
      <c r="H1" s="180" t="s">
        <v>7</v>
      </c>
      <c r="I1" s="180" t="s">
        <v>3503</v>
      </c>
      <c r="J1" s="180" t="s">
        <v>1630</v>
      </c>
      <c r="K1" s="180" t="s">
        <v>9</v>
      </c>
      <c r="L1" s="180" t="s">
        <v>3508</v>
      </c>
      <c r="M1" s="180" t="s">
        <v>83</v>
      </c>
      <c r="N1" s="181" t="s">
        <v>85</v>
      </c>
      <c r="O1" s="180" t="s">
        <v>86</v>
      </c>
      <c r="P1" s="180" t="s">
        <v>11</v>
      </c>
      <c r="Q1" s="178" t="s">
        <v>30</v>
      </c>
      <c r="R1" s="178" t="s">
        <v>3784</v>
      </c>
    </row>
    <row r="2" spans="1:18" x14ac:dyDescent="0.25">
      <c r="A2" s="185" t="s">
        <v>12</v>
      </c>
      <c r="B2" s="183">
        <v>42944</v>
      </c>
      <c r="C2" s="185" t="s">
        <v>5390</v>
      </c>
      <c r="D2" s="185" t="s">
        <v>4041</v>
      </c>
      <c r="E2" s="185" t="s">
        <v>4042</v>
      </c>
      <c r="F2" s="185" t="s">
        <v>2718</v>
      </c>
      <c r="G2" s="185" t="s">
        <v>5391</v>
      </c>
      <c r="H2" s="185"/>
      <c r="I2" s="185"/>
      <c r="J2" s="186" t="s">
        <v>21</v>
      </c>
      <c r="K2" s="186">
        <v>1946</v>
      </c>
      <c r="L2" s="185" t="s">
        <v>5593</v>
      </c>
      <c r="M2" s="185" t="s">
        <v>5563</v>
      </c>
      <c r="N2" s="185"/>
      <c r="O2" s="185"/>
      <c r="P2" s="185" t="s">
        <v>5444</v>
      </c>
      <c r="Q2" s="183">
        <v>43016</v>
      </c>
      <c r="R2" s="185"/>
    </row>
    <row r="3" spans="1:18" x14ac:dyDescent="0.25">
      <c r="A3" s="173" t="s">
        <v>12</v>
      </c>
      <c r="B3" s="174">
        <v>42787</v>
      </c>
      <c r="C3" s="173" t="s">
        <v>5253</v>
      </c>
      <c r="D3" s="173" t="s">
        <v>5246</v>
      </c>
      <c r="E3" s="173" t="s">
        <v>4800</v>
      </c>
      <c r="F3" s="173" t="s">
        <v>5445</v>
      </c>
      <c r="G3" s="173" t="s">
        <v>5254</v>
      </c>
      <c r="H3" s="173"/>
      <c r="I3" s="173"/>
      <c r="J3" s="176" t="s">
        <v>21</v>
      </c>
      <c r="K3" s="176">
        <v>2000</v>
      </c>
      <c r="L3" s="173" t="s">
        <v>5593</v>
      </c>
      <c r="M3" s="173" t="s">
        <v>5255</v>
      </c>
      <c r="N3" s="173"/>
      <c r="O3" s="173"/>
      <c r="P3" s="173" t="s">
        <v>5444</v>
      </c>
      <c r="Q3" s="174">
        <v>43016</v>
      </c>
      <c r="R3" s="173"/>
    </row>
    <row r="4" spans="1:18" x14ac:dyDescent="0.25">
      <c r="A4" s="173" t="s">
        <v>12</v>
      </c>
      <c r="B4" s="174">
        <v>43070</v>
      </c>
      <c r="C4" s="173" t="s">
        <v>5450</v>
      </c>
      <c r="D4" s="173" t="s">
        <v>4041</v>
      </c>
      <c r="E4" s="173" t="s">
        <v>4042</v>
      </c>
      <c r="F4" s="173" t="s">
        <v>5451</v>
      </c>
      <c r="G4" s="173" t="s">
        <v>5452</v>
      </c>
      <c r="H4" s="173"/>
      <c r="I4" s="173"/>
      <c r="J4" s="173" t="s">
        <v>21</v>
      </c>
      <c r="K4" s="173">
        <v>9946</v>
      </c>
      <c r="L4" s="173" t="s">
        <v>5593</v>
      </c>
      <c r="M4" s="173"/>
      <c r="N4" s="173"/>
      <c r="O4" s="173"/>
      <c r="P4" s="173" t="s">
        <v>5523</v>
      </c>
      <c r="Q4" s="174">
        <v>43116</v>
      </c>
      <c r="R4" s="173"/>
    </row>
    <row r="5" spans="1:18" x14ac:dyDescent="0.25">
      <c r="A5" s="173" t="s">
        <v>12</v>
      </c>
      <c r="B5" s="174">
        <v>43028</v>
      </c>
      <c r="C5" s="173" t="s">
        <v>5458</v>
      </c>
      <c r="D5" s="173" t="s">
        <v>5246</v>
      </c>
      <c r="E5" s="173" t="s">
        <v>4800</v>
      </c>
      <c r="F5" s="173" t="s">
        <v>4406</v>
      </c>
      <c r="G5" s="173" t="s">
        <v>5459</v>
      </c>
      <c r="H5" s="173"/>
      <c r="I5" s="173"/>
      <c r="J5" s="176" t="s">
        <v>21</v>
      </c>
      <c r="K5" s="176">
        <v>1000</v>
      </c>
      <c r="L5" s="173" t="s">
        <v>5593</v>
      </c>
      <c r="M5" s="173"/>
      <c r="N5" s="173"/>
      <c r="O5" s="173"/>
      <c r="P5" s="173" t="s">
        <v>5523</v>
      </c>
      <c r="Q5" s="174">
        <v>43116</v>
      </c>
      <c r="R5" s="173"/>
    </row>
    <row r="6" spans="1:18" x14ac:dyDescent="0.25">
      <c r="A6" s="173" t="s">
        <v>12</v>
      </c>
      <c r="B6" s="174">
        <v>43028</v>
      </c>
      <c r="C6" s="173" t="s">
        <v>5462</v>
      </c>
      <c r="D6" s="173" t="s">
        <v>5246</v>
      </c>
      <c r="E6" s="173" t="s">
        <v>4800</v>
      </c>
      <c r="F6" s="173" t="s">
        <v>5463</v>
      </c>
      <c r="G6" s="173" t="s">
        <v>5464</v>
      </c>
      <c r="H6" s="173"/>
      <c r="I6" s="173"/>
      <c r="J6" s="176" t="s">
        <v>21</v>
      </c>
      <c r="K6" s="176">
        <v>1000</v>
      </c>
      <c r="L6" s="173" t="s">
        <v>5593</v>
      </c>
      <c r="M6" s="173"/>
      <c r="N6" s="173"/>
      <c r="O6" s="173"/>
      <c r="P6" s="173" t="s">
        <v>5523</v>
      </c>
      <c r="Q6" s="174">
        <v>43116</v>
      </c>
      <c r="R6" s="173"/>
    </row>
    <row r="7" spans="1:18" x14ac:dyDescent="0.25">
      <c r="A7" s="190" t="s">
        <v>12</v>
      </c>
      <c r="B7" s="191">
        <v>43040</v>
      </c>
      <c r="C7" s="213" t="s">
        <v>5465</v>
      </c>
      <c r="D7" s="190" t="s">
        <v>5246</v>
      </c>
      <c r="E7" s="190" t="s">
        <v>4800</v>
      </c>
      <c r="F7" s="190" t="s">
        <v>5466</v>
      </c>
      <c r="G7" s="190" t="s">
        <v>5467</v>
      </c>
      <c r="H7" s="190">
        <v>826.45</v>
      </c>
      <c r="I7" s="192">
        <v>173.55449999999999</v>
      </c>
      <c r="J7" s="192"/>
      <c r="K7" s="192">
        <v>1000.0045</v>
      </c>
      <c r="L7" s="190" t="s">
        <v>5593</v>
      </c>
      <c r="M7" s="190"/>
      <c r="N7" s="190"/>
      <c r="O7" s="190"/>
      <c r="P7" s="190" t="s">
        <v>5523</v>
      </c>
      <c r="Q7" s="191">
        <v>43116</v>
      </c>
      <c r="R7" s="190"/>
    </row>
    <row r="8" spans="1:18" x14ac:dyDescent="0.25">
      <c r="A8" s="173" t="s">
        <v>12</v>
      </c>
      <c r="B8" s="174">
        <v>43066</v>
      </c>
      <c r="C8" s="175" t="s">
        <v>5468</v>
      </c>
      <c r="D8" s="173" t="s">
        <v>5246</v>
      </c>
      <c r="E8" s="173" t="s">
        <v>4800</v>
      </c>
      <c r="F8" s="173" t="s">
        <v>5469</v>
      </c>
      <c r="G8" s="173" t="s">
        <v>5470</v>
      </c>
      <c r="H8" s="173">
        <v>1652.89</v>
      </c>
      <c r="I8" s="176">
        <v>347.1069</v>
      </c>
      <c r="J8" s="176"/>
      <c r="K8" s="176">
        <v>1999.9969000000001</v>
      </c>
      <c r="L8" s="173"/>
      <c r="M8" s="173"/>
      <c r="N8" s="173"/>
      <c r="O8" s="173"/>
      <c r="P8" s="173" t="s">
        <v>5523</v>
      </c>
      <c r="Q8" s="174">
        <v>43116</v>
      </c>
      <c r="R8" s="173"/>
    </row>
    <row r="9" spans="1:18" x14ac:dyDescent="0.25">
      <c r="A9" s="185" t="s">
        <v>12</v>
      </c>
      <c r="B9" s="183">
        <v>43073</v>
      </c>
      <c r="C9" s="199">
        <v>645</v>
      </c>
      <c r="D9" s="185" t="s">
        <v>4579</v>
      </c>
      <c r="E9" s="185" t="s">
        <v>4580</v>
      </c>
      <c r="F9" s="185" t="s">
        <v>5471</v>
      </c>
      <c r="G9" s="185" t="s">
        <v>5472</v>
      </c>
      <c r="H9" s="185"/>
      <c r="I9" s="185"/>
      <c r="J9" s="186" t="s">
        <v>21</v>
      </c>
      <c r="K9" s="186">
        <v>1300</v>
      </c>
      <c r="L9" s="185" t="s">
        <v>5593</v>
      </c>
      <c r="M9" s="185"/>
      <c r="N9" s="185"/>
      <c r="O9" s="185"/>
      <c r="P9" s="185" t="s">
        <v>5523</v>
      </c>
      <c r="Q9" s="183">
        <v>43116</v>
      </c>
      <c r="R9" s="185"/>
    </row>
    <row r="10" spans="1:18" x14ac:dyDescent="0.25">
      <c r="A10" s="173" t="s">
        <v>12</v>
      </c>
      <c r="B10" s="174">
        <v>43096</v>
      </c>
      <c r="C10" s="173" t="s">
        <v>5473</v>
      </c>
      <c r="D10" s="173" t="s">
        <v>5246</v>
      </c>
      <c r="E10" s="173" t="s">
        <v>4800</v>
      </c>
      <c r="F10" s="173" t="s">
        <v>5474</v>
      </c>
      <c r="G10" s="173" t="s">
        <v>5475</v>
      </c>
      <c r="H10" s="173"/>
      <c r="I10" s="173"/>
      <c r="J10" s="176" t="s">
        <v>21</v>
      </c>
      <c r="K10" s="176">
        <v>5300</v>
      </c>
      <c r="L10" s="173" t="s">
        <v>5593</v>
      </c>
      <c r="M10" s="173" t="s">
        <v>5562</v>
      </c>
      <c r="N10" s="173"/>
      <c r="O10" s="173"/>
      <c r="P10" s="173" t="s">
        <v>5523</v>
      </c>
      <c r="Q10" s="174">
        <v>43116</v>
      </c>
      <c r="R10" s="173"/>
    </row>
    <row r="11" spans="1:18" x14ac:dyDescent="0.25">
      <c r="A11" s="173" t="s">
        <v>12</v>
      </c>
      <c r="B11" s="174">
        <v>43096</v>
      </c>
      <c r="C11" s="173" t="s">
        <v>5476</v>
      </c>
      <c r="D11" s="173" t="s">
        <v>5246</v>
      </c>
      <c r="E11" s="173" t="s">
        <v>4800</v>
      </c>
      <c r="F11" s="173" t="s">
        <v>5477</v>
      </c>
      <c r="G11" s="173" t="s">
        <v>5478</v>
      </c>
      <c r="H11" s="173"/>
      <c r="I11" s="173"/>
      <c r="J11" s="176" t="s">
        <v>21</v>
      </c>
      <c r="K11" s="176">
        <v>8500</v>
      </c>
      <c r="L11" s="173" t="s">
        <v>5593</v>
      </c>
      <c r="M11" s="173" t="s">
        <v>5562</v>
      </c>
      <c r="N11" s="173"/>
      <c r="O11" s="173"/>
      <c r="P11" s="173" t="s">
        <v>5523</v>
      </c>
      <c r="Q11" s="174">
        <v>43116</v>
      </c>
      <c r="R11" s="173"/>
    </row>
    <row r="12" spans="1:18" x14ac:dyDescent="0.25">
      <c r="A12" s="173" t="s">
        <v>12</v>
      </c>
      <c r="B12" s="174">
        <v>43096</v>
      </c>
      <c r="C12" s="173" t="s">
        <v>5479</v>
      </c>
      <c r="D12" s="173" t="s">
        <v>5246</v>
      </c>
      <c r="E12" s="173" t="s">
        <v>4800</v>
      </c>
      <c r="F12" s="173" t="s">
        <v>5480</v>
      </c>
      <c r="G12" s="173" t="s">
        <v>5481</v>
      </c>
      <c r="H12" s="173"/>
      <c r="I12" s="173"/>
      <c r="J12" s="176" t="s">
        <v>21</v>
      </c>
      <c r="K12" s="176">
        <v>1000</v>
      </c>
      <c r="L12" s="173" t="s">
        <v>5593</v>
      </c>
      <c r="M12" s="173"/>
      <c r="N12" s="173"/>
      <c r="O12" s="173"/>
      <c r="P12" s="173" t="s">
        <v>5523</v>
      </c>
      <c r="Q12" s="174">
        <v>43116</v>
      </c>
      <c r="R12" s="173"/>
    </row>
    <row r="13" spans="1:18" x14ac:dyDescent="0.25">
      <c r="A13" s="173" t="s">
        <v>12</v>
      </c>
      <c r="B13" s="174">
        <v>43096</v>
      </c>
      <c r="C13" s="173" t="s">
        <v>5482</v>
      </c>
      <c r="D13" s="173" t="s">
        <v>5246</v>
      </c>
      <c r="E13" s="173" t="s">
        <v>4800</v>
      </c>
      <c r="F13" s="173" t="s">
        <v>3344</v>
      </c>
      <c r="G13" s="173" t="s">
        <v>5483</v>
      </c>
      <c r="H13" s="173"/>
      <c r="I13" s="173"/>
      <c r="J13" s="176" t="s">
        <v>21</v>
      </c>
      <c r="K13" s="176">
        <v>3300</v>
      </c>
      <c r="L13" s="173" t="s">
        <v>5593</v>
      </c>
      <c r="M13" s="173"/>
      <c r="N13" s="173"/>
      <c r="O13" s="173"/>
      <c r="P13" s="173" t="s">
        <v>5523</v>
      </c>
      <c r="Q13" s="174">
        <v>43116</v>
      </c>
      <c r="R13" s="173"/>
    </row>
    <row r="14" spans="1:18" x14ac:dyDescent="0.25">
      <c r="A14" s="173" t="s">
        <v>12</v>
      </c>
      <c r="B14" s="174">
        <v>43080</v>
      </c>
      <c r="C14" s="173">
        <v>15103497</v>
      </c>
      <c r="D14" s="173" t="s">
        <v>5139</v>
      </c>
      <c r="E14" s="173" t="s">
        <v>5138</v>
      </c>
      <c r="F14" s="173" t="s">
        <v>5576</v>
      </c>
      <c r="G14" s="173" t="s">
        <v>5577</v>
      </c>
      <c r="H14" s="173"/>
      <c r="I14" s="173"/>
      <c r="J14" s="176" t="s">
        <v>21</v>
      </c>
      <c r="K14" s="176">
        <v>4300</v>
      </c>
      <c r="L14" s="173" t="s">
        <v>5593</v>
      </c>
      <c r="M14" s="173"/>
      <c r="N14" s="173"/>
      <c r="O14" s="174">
        <v>43080</v>
      </c>
      <c r="P14" s="173" t="s">
        <v>5656</v>
      </c>
      <c r="Q14" s="174">
        <v>43198</v>
      </c>
      <c r="R14" s="173"/>
    </row>
    <row r="15" spans="1:18" x14ac:dyDescent="0.25">
      <c r="A15" s="173" t="s">
        <v>12</v>
      </c>
      <c r="B15" s="174">
        <v>43131</v>
      </c>
      <c r="C15" s="173" t="s">
        <v>5578</v>
      </c>
      <c r="D15" s="173" t="s">
        <v>4041</v>
      </c>
      <c r="E15" s="173" t="s">
        <v>4042</v>
      </c>
      <c r="F15" s="173" t="s">
        <v>693</v>
      </c>
      <c r="G15" s="173" t="s">
        <v>5579</v>
      </c>
      <c r="H15" s="173"/>
      <c r="I15" s="173"/>
      <c r="J15" s="176" t="s">
        <v>21</v>
      </c>
      <c r="K15" s="176">
        <v>8646</v>
      </c>
      <c r="L15" s="173" t="s">
        <v>5593</v>
      </c>
      <c r="M15" s="173" t="s">
        <v>5876</v>
      </c>
      <c r="N15" s="173"/>
      <c r="O15" s="173"/>
      <c r="P15" s="173" t="s">
        <v>5656</v>
      </c>
      <c r="Q15" s="174">
        <v>43198</v>
      </c>
      <c r="R15" s="173" t="s">
        <v>3186</v>
      </c>
    </row>
    <row r="16" spans="1:18" x14ac:dyDescent="0.25">
      <c r="A16" s="190" t="s">
        <v>12</v>
      </c>
      <c r="B16" s="191">
        <v>43131</v>
      </c>
      <c r="C16" s="190" t="s">
        <v>5580</v>
      </c>
      <c r="D16" s="190" t="s">
        <v>4041</v>
      </c>
      <c r="E16" s="190" t="s">
        <v>4042</v>
      </c>
      <c r="F16" s="190" t="s">
        <v>5581</v>
      </c>
      <c r="G16" s="190" t="s">
        <v>5582</v>
      </c>
      <c r="H16" s="190"/>
      <c r="I16" s="190"/>
      <c r="J16" s="192" t="s">
        <v>21</v>
      </c>
      <c r="K16" s="192">
        <v>2546</v>
      </c>
      <c r="L16" s="190" t="s">
        <v>5593</v>
      </c>
      <c r="M16" s="190" t="s">
        <v>5867</v>
      </c>
      <c r="N16" s="190"/>
      <c r="O16" s="190"/>
      <c r="P16" s="190" t="s">
        <v>5656</v>
      </c>
      <c r="Q16" s="191">
        <v>43198</v>
      </c>
      <c r="R16" s="190" t="s">
        <v>3791</v>
      </c>
    </row>
    <row r="17" spans="1:18" x14ac:dyDescent="0.25">
      <c r="A17" s="173" t="s">
        <v>12</v>
      </c>
      <c r="B17" s="174">
        <v>43159</v>
      </c>
      <c r="C17" s="173" t="s">
        <v>5583</v>
      </c>
      <c r="D17" s="173" t="s">
        <v>4041</v>
      </c>
      <c r="E17" s="173" t="s">
        <v>4042</v>
      </c>
      <c r="F17" s="173" t="s">
        <v>2718</v>
      </c>
      <c r="G17" s="173" t="s">
        <v>5584</v>
      </c>
      <c r="H17" s="176">
        <f>7946/1.21</f>
        <v>6566.9421487603304</v>
      </c>
      <c r="I17" s="176">
        <f>+H17*0.21</f>
        <v>1379.0578512396694</v>
      </c>
      <c r="J17" s="176"/>
      <c r="K17" s="176">
        <f>+H17+I17</f>
        <v>7946</v>
      </c>
      <c r="L17" s="173" t="s">
        <v>5593</v>
      </c>
      <c r="M17" s="173" t="s">
        <v>5877</v>
      </c>
      <c r="N17" s="173"/>
      <c r="O17" s="173"/>
      <c r="P17" s="173" t="s">
        <v>5656</v>
      </c>
      <c r="Q17" s="174">
        <v>43198</v>
      </c>
      <c r="R17" s="173" t="s">
        <v>3186</v>
      </c>
    </row>
    <row r="18" spans="1:18" x14ac:dyDescent="0.25">
      <c r="A18" s="185" t="s">
        <v>12</v>
      </c>
      <c r="B18" s="183">
        <v>43186</v>
      </c>
      <c r="C18" s="185" t="s">
        <v>5585</v>
      </c>
      <c r="D18" s="185" t="s">
        <v>5246</v>
      </c>
      <c r="E18" s="185" t="s">
        <v>4800</v>
      </c>
      <c r="F18" s="185" t="s">
        <v>442</v>
      </c>
      <c r="G18" s="185" t="s">
        <v>5586</v>
      </c>
      <c r="H18" s="185"/>
      <c r="I18" s="185"/>
      <c r="J18" s="186" t="s">
        <v>21</v>
      </c>
      <c r="K18" s="186">
        <v>3500</v>
      </c>
      <c r="L18" s="185" t="s">
        <v>5593</v>
      </c>
      <c r="M18" s="185"/>
      <c r="N18" s="185"/>
      <c r="O18" s="185"/>
      <c r="P18" s="185" t="s">
        <v>5656</v>
      </c>
      <c r="Q18" s="183">
        <v>43198</v>
      </c>
      <c r="R18" s="185"/>
    </row>
    <row r="19" spans="1:18" x14ac:dyDescent="0.25">
      <c r="A19" s="173" t="s">
        <v>12</v>
      </c>
      <c r="B19" s="174">
        <v>43039</v>
      </c>
      <c r="C19" s="173" t="s">
        <v>5587</v>
      </c>
      <c r="D19" s="173" t="s">
        <v>5246</v>
      </c>
      <c r="E19" s="173" t="s">
        <v>4800</v>
      </c>
      <c r="F19" s="173" t="s">
        <v>5588</v>
      </c>
      <c r="G19" s="173" t="s">
        <v>5589</v>
      </c>
      <c r="H19" s="173"/>
      <c r="I19" s="173"/>
      <c r="J19" s="176" t="s">
        <v>21</v>
      </c>
      <c r="K19" s="176">
        <v>5500</v>
      </c>
      <c r="L19" s="173" t="s">
        <v>5593</v>
      </c>
      <c r="M19" s="173"/>
      <c r="N19" s="173"/>
      <c r="O19" s="174">
        <v>43039</v>
      </c>
      <c r="P19" s="173" t="s">
        <v>5656</v>
      </c>
      <c r="Q19" s="174">
        <v>43198</v>
      </c>
      <c r="R19" s="173"/>
    </row>
    <row r="20" spans="1:18" x14ac:dyDescent="0.25">
      <c r="A20" s="173" t="s">
        <v>408</v>
      </c>
      <c r="B20" s="174">
        <v>43133</v>
      </c>
      <c r="C20" s="173">
        <v>222018</v>
      </c>
      <c r="D20" s="173" t="s">
        <v>5590</v>
      </c>
      <c r="E20" s="173" t="s">
        <v>5591</v>
      </c>
      <c r="F20" s="173" t="s">
        <v>2718</v>
      </c>
      <c r="G20" s="173" t="s">
        <v>5391</v>
      </c>
      <c r="H20" s="173"/>
      <c r="I20" s="173"/>
      <c r="J20" s="176" t="s">
        <v>21</v>
      </c>
      <c r="K20" s="173">
        <v>2800</v>
      </c>
      <c r="L20" s="173" t="s">
        <v>5592</v>
      </c>
      <c r="M20" s="173" t="s">
        <v>5918</v>
      </c>
      <c r="N20" s="173"/>
      <c r="O20" s="173"/>
      <c r="P20" s="173" t="s">
        <v>5656</v>
      </c>
      <c r="Q20" s="174">
        <v>43198</v>
      </c>
      <c r="R20" s="173" t="s">
        <v>3791</v>
      </c>
    </row>
    <row r="21" spans="1:18" x14ac:dyDescent="0.25">
      <c r="A21" s="173" t="s">
        <v>408</v>
      </c>
      <c r="B21" s="174">
        <v>43147</v>
      </c>
      <c r="C21" s="173">
        <v>16022018</v>
      </c>
      <c r="D21" s="173" t="s">
        <v>5594</v>
      </c>
      <c r="E21" s="173" t="s">
        <v>5595</v>
      </c>
      <c r="F21" s="173" t="s">
        <v>5588</v>
      </c>
      <c r="G21" s="173" t="s">
        <v>5589</v>
      </c>
      <c r="H21" s="173"/>
      <c r="I21" s="173"/>
      <c r="J21" s="176" t="s">
        <v>21</v>
      </c>
      <c r="K21" s="173">
        <v>6000</v>
      </c>
      <c r="L21" s="173" t="s">
        <v>5596</v>
      </c>
      <c r="M21" s="173" t="s">
        <v>5890</v>
      </c>
      <c r="N21" s="173"/>
      <c r="O21" s="173"/>
      <c r="P21" s="173" t="s">
        <v>5656</v>
      </c>
      <c r="Q21" s="174">
        <v>43198</v>
      </c>
      <c r="R21" s="173" t="s">
        <v>3791</v>
      </c>
    </row>
    <row r="22" spans="1:18" x14ac:dyDescent="0.25">
      <c r="A22" s="173" t="s">
        <v>408</v>
      </c>
      <c r="B22" s="174">
        <v>43130</v>
      </c>
      <c r="C22" s="173">
        <v>1022018</v>
      </c>
      <c r="D22" s="173" t="s">
        <v>5597</v>
      </c>
      <c r="E22" s="173" t="s">
        <v>5598</v>
      </c>
      <c r="F22" s="173" t="s">
        <v>5463</v>
      </c>
      <c r="G22" s="173" t="s">
        <v>5464</v>
      </c>
      <c r="H22" s="173"/>
      <c r="I22" s="173"/>
      <c r="J22" s="176" t="s">
        <v>21</v>
      </c>
      <c r="K22" s="173">
        <v>1500</v>
      </c>
      <c r="L22" s="173" t="s">
        <v>5494</v>
      </c>
      <c r="M22" s="173" t="s">
        <v>5887</v>
      </c>
      <c r="N22" s="173"/>
      <c r="O22" s="173"/>
      <c r="P22" s="173" t="s">
        <v>5656</v>
      </c>
      <c r="Q22" s="174">
        <v>43198</v>
      </c>
      <c r="R22" s="173" t="s">
        <v>3791</v>
      </c>
    </row>
    <row r="23" spans="1:18" x14ac:dyDescent="0.25">
      <c r="A23" s="173" t="s">
        <v>408</v>
      </c>
      <c r="B23" s="174">
        <v>43125</v>
      </c>
      <c r="C23" s="173" t="s">
        <v>5599</v>
      </c>
      <c r="D23" s="173" t="s">
        <v>5600</v>
      </c>
      <c r="E23" s="173" t="s">
        <v>5601</v>
      </c>
      <c r="F23" s="173" t="s">
        <v>2718</v>
      </c>
      <c r="G23" s="173" t="s">
        <v>5602</v>
      </c>
      <c r="H23" s="176">
        <f>1200/1.21</f>
        <v>991.73553719008271</v>
      </c>
      <c r="I23" s="173">
        <f>+H23*0.21</f>
        <v>208.26446280991735</v>
      </c>
      <c r="J23" s="176"/>
      <c r="K23" s="176">
        <f>+H23+I23</f>
        <v>1200</v>
      </c>
      <c r="L23" s="173" t="s">
        <v>5603</v>
      </c>
      <c r="M23" s="173" t="s">
        <v>5611</v>
      </c>
      <c r="N23" s="173"/>
      <c r="O23" s="173"/>
      <c r="P23" s="173" t="s">
        <v>5656</v>
      </c>
      <c r="Q23" s="174">
        <v>43198</v>
      </c>
      <c r="R23" s="173" t="s">
        <v>3186</v>
      </c>
    </row>
    <row r="24" spans="1:18" x14ac:dyDescent="0.25">
      <c r="A24" s="173" t="s">
        <v>408</v>
      </c>
      <c r="B24" s="174">
        <v>43137</v>
      </c>
      <c r="C24" s="173">
        <v>6022018</v>
      </c>
      <c r="D24" s="173" t="s">
        <v>5604</v>
      </c>
      <c r="E24" s="173" t="s">
        <v>5605</v>
      </c>
      <c r="F24" s="173" t="s">
        <v>4406</v>
      </c>
      <c r="G24" s="173" t="s">
        <v>5459</v>
      </c>
      <c r="H24" s="173"/>
      <c r="I24" s="173"/>
      <c r="J24" s="176" t="s">
        <v>21</v>
      </c>
      <c r="K24" s="176">
        <v>1500</v>
      </c>
      <c r="L24" s="173" t="s">
        <v>5494</v>
      </c>
      <c r="M24" s="173" t="s">
        <v>5874</v>
      </c>
      <c r="N24" s="173"/>
      <c r="O24" s="173"/>
      <c r="P24" s="173" t="s">
        <v>5656</v>
      </c>
      <c r="Q24" s="174">
        <v>43198</v>
      </c>
      <c r="R24" s="173" t="s">
        <v>3186</v>
      </c>
    </row>
    <row r="25" spans="1:18" x14ac:dyDescent="0.25">
      <c r="A25" s="173" t="s">
        <v>408</v>
      </c>
      <c r="B25" s="174">
        <v>43125</v>
      </c>
      <c r="C25" s="173" t="s">
        <v>5606</v>
      </c>
      <c r="D25" s="173" t="s">
        <v>5607</v>
      </c>
      <c r="E25" s="173" t="s">
        <v>5608</v>
      </c>
      <c r="F25" s="173" t="s">
        <v>5471</v>
      </c>
      <c r="G25" s="173" t="s">
        <v>5472</v>
      </c>
      <c r="H25" s="173"/>
      <c r="I25" s="173"/>
      <c r="J25" s="173" t="s">
        <v>21</v>
      </c>
      <c r="K25" s="173">
        <v>1800</v>
      </c>
      <c r="L25" s="173" t="s">
        <v>5609</v>
      </c>
      <c r="M25" s="173" t="s">
        <v>5610</v>
      </c>
      <c r="N25" s="173"/>
      <c r="O25" s="173"/>
      <c r="P25" s="173" t="s">
        <v>5656</v>
      </c>
      <c r="Q25" s="174">
        <v>43198</v>
      </c>
      <c r="R25" s="173" t="s">
        <v>3791</v>
      </c>
    </row>
    <row r="26" spans="1:18" x14ac:dyDescent="0.25">
      <c r="A26" s="173" t="s">
        <v>12</v>
      </c>
      <c r="B26" s="174">
        <v>43021</v>
      </c>
      <c r="C26" s="173" t="s">
        <v>5612</v>
      </c>
      <c r="D26" s="173" t="s">
        <v>5808</v>
      </c>
      <c r="E26" s="173" t="s">
        <v>4797</v>
      </c>
      <c r="F26" s="173" t="s">
        <v>5613</v>
      </c>
      <c r="G26" s="173" t="s">
        <v>5614</v>
      </c>
      <c r="H26" s="173"/>
      <c r="I26" s="173"/>
      <c r="J26" s="176" t="s">
        <v>21</v>
      </c>
      <c r="K26" s="173">
        <v>9700</v>
      </c>
      <c r="L26" s="173" t="s">
        <v>5593</v>
      </c>
      <c r="M26" s="173"/>
      <c r="N26" s="173"/>
      <c r="O26" s="173"/>
      <c r="P26" s="173" t="s">
        <v>5656</v>
      </c>
      <c r="Q26" s="174">
        <v>43198</v>
      </c>
      <c r="R26" s="173"/>
    </row>
    <row r="27" spans="1:18" x14ac:dyDescent="0.25">
      <c r="A27" s="190" t="s">
        <v>12</v>
      </c>
      <c r="B27" s="191">
        <v>43187</v>
      </c>
      <c r="C27" s="190" t="s">
        <v>5615</v>
      </c>
      <c r="D27" s="190" t="s">
        <v>5808</v>
      </c>
      <c r="E27" s="190" t="s">
        <v>4797</v>
      </c>
      <c r="F27" s="190" t="s">
        <v>5404</v>
      </c>
      <c r="G27" s="190" t="s">
        <v>5616</v>
      </c>
      <c r="H27" s="192">
        <f>15500/1.21</f>
        <v>12809.917355371901</v>
      </c>
      <c r="I27" s="192">
        <f>+H27*0.21</f>
        <v>2690.0826446280989</v>
      </c>
      <c r="J27" s="192"/>
      <c r="K27" s="192">
        <f>+H27+I27</f>
        <v>15500</v>
      </c>
      <c r="L27" s="190" t="s">
        <v>5593</v>
      </c>
      <c r="M27" s="190" t="s">
        <v>5880</v>
      </c>
      <c r="N27" s="190"/>
      <c r="O27" s="190"/>
      <c r="P27" s="190" t="s">
        <v>5656</v>
      </c>
      <c r="Q27" s="191">
        <v>43198</v>
      </c>
      <c r="R27" s="190" t="s">
        <v>3791</v>
      </c>
    </row>
    <row r="28" spans="1:18" x14ac:dyDescent="0.25">
      <c r="A28" s="173" t="s">
        <v>12</v>
      </c>
      <c r="B28" s="174">
        <v>43124</v>
      </c>
      <c r="C28" s="173" t="s">
        <v>5617</v>
      </c>
      <c r="D28" s="173" t="s">
        <v>5808</v>
      </c>
      <c r="E28" s="173" t="s">
        <v>4797</v>
      </c>
      <c r="F28" s="173" t="s">
        <v>4061</v>
      </c>
      <c r="G28" s="173" t="s">
        <v>5618</v>
      </c>
      <c r="H28" s="173"/>
      <c r="I28" s="173"/>
      <c r="J28" s="176" t="s">
        <v>21</v>
      </c>
      <c r="K28" s="176">
        <v>2800</v>
      </c>
      <c r="L28" s="173"/>
      <c r="M28" s="173"/>
      <c r="N28" s="173"/>
      <c r="O28" s="173"/>
      <c r="P28" s="173" t="s">
        <v>5656</v>
      </c>
      <c r="Q28" s="174">
        <v>43198</v>
      </c>
      <c r="R28" s="173"/>
    </row>
    <row r="29" spans="1:18" x14ac:dyDescent="0.25">
      <c r="A29" s="185" t="s">
        <v>12</v>
      </c>
      <c r="B29" s="183">
        <v>43056</v>
      </c>
      <c r="C29" s="185" t="s">
        <v>5619</v>
      </c>
      <c r="D29" s="185" t="s">
        <v>5246</v>
      </c>
      <c r="E29" s="185" t="s">
        <v>4800</v>
      </c>
      <c r="F29" s="185" t="s">
        <v>5620</v>
      </c>
      <c r="G29" s="185" t="s">
        <v>5621</v>
      </c>
      <c r="H29" s="185"/>
      <c r="I29" s="185"/>
      <c r="J29" s="186" t="s">
        <v>21</v>
      </c>
      <c r="K29" s="186">
        <v>12300</v>
      </c>
      <c r="L29" s="185" t="s">
        <v>5593</v>
      </c>
      <c r="M29" s="185"/>
      <c r="N29" s="185"/>
      <c r="O29" s="185"/>
      <c r="P29" s="185" t="s">
        <v>5656</v>
      </c>
      <c r="Q29" s="183">
        <v>43198</v>
      </c>
      <c r="R29" s="185"/>
    </row>
    <row r="30" spans="1:18" x14ac:dyDescent="0.25">
      <c r="A30" s="173" t="s">
        <v>12</v>
      </c>
      <c r="B30" s="174">
        <v>43131</v>
      </c>
      <c r="C30" s="173" t="s">
        <v>5622</v>
      </c>
      <c r="D30" s="173" t="s">
        <v>5246</v>
      </c>
      <c r="E30" s="173" t="s">
        <v>4800</v>
      </c>
      <c r="F30" s="173" t="s">
        <v>5623</v>
      </c>
      <c r="G30" s="173" t="s">
        <v>5624</v>
      </c>
      <c r="H30" s="173"/>
      <c r="I30" s="173"/>
      <c r="J30" s="176" t="s">
        <v>21</v>
      </c>
      <c r="K30" s="176">
        <v>1900</v>
      </c>
      <c r="L30" s="173" t="s">
        <v>5593</v>
      </c>
      <c r="M30" s="173"/>
      <c r="N30" s="173"/>
      <c r="O30" s="173"/>
      <c r="P30" s="173" t="s">
        <v>5656</v>
      </c>
      <c r="Q30" s="174">
        <v>43198</v>
      </c>
      <c r="R30" s="173"/>
    </row>
    <row r="31" spans="1:18" x14ac:dyDescent="0.25">
      <c r="A31" s="173" t="s">
        <v>12</v>
      </c>
      <c r="B31" s="174">
        <v>43081</v>
      </c>
      <c r="C31" s="173" t="s">
        <v>5625</v>
      </c>
      <c r="D31" s="173" t="s">
        <v>5246</v>
      </c>
      <c r="E31" s="173" t="s">
        <v>4800</v>
      </c>
      <c r="F31" s="173" t="s">
        <v>368</v>
      </c>
      <c r="G31" s="173" t="s">
        <v>5626</v>
      </c>
      <c r="H31" s="173"/>
      <c r="I31" s="173"/>
      <c r="J31" s="176" t="s">
        <v>21</v>
      </c>
      <c r="K31" s="176">
        <v>1000</v>
      </c>
      <c r="L31" s="173" t="s">
        <v>5593</v>
      </c>
      <c r="M31" s="173"/>
      <c r="N31" s="173"/>
      <c r="O31" s="173"/>
      <c r="P31" s="173" t="s">
        <v>5656</v>
      </c>
      <c r="Q31" s="174">
        <v>43198</v>
      </c>
      <c r="R31" s="173"/>
    </row>
    <row r="32" spans="1:18" x14ac:dyDescent="0.25">
      <c r="A32" s="173" t="s">
        <v>12</v>
      </c>
      <c r="B32" s="174">
        <v>43089</v>
      </c>
      <c r="C32" s="173" t="s">
        <v>5627</v>
      </c>
      <c r="D32" s="173" t="s">
        <v>5246</v>
      </c>
      <c r="E32" s="173" t="s">
        <v>4800</v>
      </c>
      <c r="F32" s="173" t="s">
        <v>377</v>
      </c>
      <c r="G32" s="173" t="s">
        <v>5628</v>
      </c>
      <c r="H32" s="173"/>
      <c r="I32" s="173"/>
      <c r="J32" s="176" t="s">
        <v>21</v>
      </c>
      <c r="K32" s="176">
        <v>1000</v>
      </c>
      <c r="L32" s="173" t="s">
        <v>5593</v>
      </c>
      <c r="M32" s="173"/>
      <c r="N32" s="173"/>
      <c r="O32" s="173"/>
      <c r="P32" s="173" t="s">
        <v>5656</v>
      </c>
      <c r="Q32" s="174">
        <v>43198</v>
      </c>
      <c r="R32" s="173"/>
    </row>
    <row r="33" spans="1:18" x14ac:dyDescent="0.25">
      <c r="A33" s="173" t="s">
        <v>12</v>
      </c>
      <c r="B33" s="174">
        <v>43101</v>
      </c>
      <c r="C33" s="175" t="s">
        <v>5629</v>
      </c>
      <c r="D33" s="173" t="s">
        <v>5246</v>
      </c>
      <c r="E33" s="173" t="s">
        <v>4800</v>
      </c>
      <c r="F33" s="173" t="s">
        <v>5041</v>
      </c>
      <c r="G33" s="173" t="s">
        <v>5630</v>
      </c>
      <c r="H33" s="176">
        <f>3500/1.21</f>
        <v>2892.5619834710747</v>
      </c>
      <c r="I33" s="176">
        <f>+H33*0.21</f>
        <v>607.43801652892569</v>
      </c>
      <c r="J33" s="176"/>
      <c r="K33" s="176">
        <f>+H33+I33</f>
        <v>3500.0000000000005</v>
      </c>
      <c r="L33" s="173" t="s">
        <v>5593</v>
      </c>
      <c r="M33" s="173"/>
      <c r="N33" s="173"/>
      <c r="O33" s="173"/>
      <c r="P33" s="173" t="s">
        <v>5656</v>
      </c>
      <c r="Q33" s="174">
        <v>43198</v>
      </c>
      <c r="R33" s="173"/>
    </row>
    <row r="34" spans="1:18" x14ac:dyDescent="0.25">
      <c r="A34" s="173" t="s">
        <v>12</v>
      </c>
      <c r="B34" s="174">
        <v>43062</v>
      </c>
      <c r="C34" s="173" t="s">
        <v>5631</v>
      </c>
      <c r="D34" s="173" t="s">
        <v>5246</v>
      </c>
      <c r="E34" s="173" t="s">
        <v>4800</v>
      </c>
      <c r="F34" s="173" t="s">
        <v>5632</v>
      </c>
      <c r="G34" s="173" t="s">
        <v>5633</v>
      </c>
      <c r="H34" s="173"/>
      <c r="I34" s="173"/>
      <c r="J34" s="176" t="s">
        <v>21</v>
      </c>
      <c r="K34" s="176">
        <v>1000</v>
      </c>
      <c r="L34" s="173" t="s">
        <v>5593</v>
      </c>
      <c r="M34" s="173"/>
      <c r="N34" s="173"/>
      <c r="O34" s="173"/>
      <c r="P34" s="173" t="s">
        <v>5656</v>
      </c>
      <c r="Q34" s="174">
        <v>43198</v>
      </c>
      <c r="R34" s="173"/>
    </row>
    <row r="35" spans="1:18" x14ac:dyDescent="0.25">
      <c r="A35" s="173" t="s">
        <v>12</v>
      </c>
      <c r="B35" s="174">
        <v>42753</v>
      </c>
      <c r="C35" s="173" t="s">
        <v>5634</v>
      </c>
      <c r="D35" s="173" t="s">
        <v>5000</v>
      </c>
      <c r="E35" s="173" t="s">
        <v>5001</v>
      </c>
      <c r="F35" s="173" t="s">
        <v>5115</v>
      </c>
      <c r="G35" s="173" t="s">
        <v>5635</v>
      </c>
      <c r="H35" s="173"/>
      <c r="I35" s="173"/>
      <c r="J35" s="176" t="s">
        <v>21</v>
      </c>
      <c r="K35" s="176">
        <v>3500</v>
      </c>
      <c r="L35" s="173" t="s">
        <v>5593</v>
      </c>
      <c r="M35" s="173"/>
      <c r="N35" s="173"/>
      <c r="O35" s="173"/>
      <c r="P35" s="173" t="s">
        <v>5656</v>
      </c>
      <c r="Q35" s="174">
        <v>43198</v>
      </c>
      <c r="R35" s="173"/>
    </row>
    <row r="36" spans="1:18" x14ac:dyDescent="0.25">
      <c r="A36" s="173" t="s">
        <v>408</v>
      </c>
      <c r="B36" s="174">
        <v>43119</v>
      </c>
      <c r="C36" s="173" t="s">
        <v>5636</v>
      </c>
      <c r="D36" s="173" t="s">
        <v>5637</v>
      </c>
      <c r="E36" s="173" t="s">
        <v>5645</v>
      </c>
      <c r="F36" s="173" t="s">
        <v>5613</v>
      </c>
      <c r="G36" s="173" t="s">
        <v>5614</v>
      </c>
      <c r="H36" s="173"/>
      <c r="I36" s="173"/>
      <c r="J36" s="176" t="s">
        <v>21</v>
      </c>
      <c r="K36" s="173">
        <v>10000</v>
      </c>
      <c r="L36" s="173" t="s">
        <v>5638</v>
      </c>
      <c r="M36" s="173" t="s">
        <v>5883</v>
      </c>
      <c r="N36" s="173"/>
      <c r="O36" s="173"/>
      <c r="P36" s="173" t="s">
        <v>5656</v>
      </c>
      <c r="Q36" s="174">
        <v>43198</v>
      </c>
      <c r="R36" s="173" t="s">
        <v>3791</v>
      </c>
    </row>
    <row r="37" spans="1:18" x14ac:dyDescent="0.25">
      <c r="A37" s="173" t="s">
        <v>408</v>
      </c>
      <c r="B37" s="174">
        <v>43152</v>
      </c>
      <c r="C37" s="173">
        <v>21022018</v>
      </c>
      <c r="D37" s="173" t="s">
        <v>5639</v>
      </c>
      <c r="E37" s="173" t="s">
        <v>5640</v>
      </c>
      <c r="F37" s="173" t="s">
        <v>5115</v>
      </c>
      <c r="G37" s="173" t="s">
        <v>5635</v>
      </c>
      <c r="H37" s="173"/>
      <c r="I37" s="173"/>
      <c r="J37" s="176" t="s">
        <v>21</v>
      </c>
      <c r="K37" s="173">
        <v>4000</v>
      </c>
      <c r="L37" s="173" t="s">
        <v>5641</v>
      </c>
      <c r="M37" s="173" t="s">
        <v>5889</v>
      </c>
      <c r="N37" s="173"/>
      <c r="O37" s="173"/>
      <c r="P37" s="173" t="s">
        <v>5656</v>
      </c>
      <c r="Q37" s="174">
        <v>43198</v>
      </c>
      <c r="R37" s="173" t="s">
        <v>3186</v>
      </c>
    </row>
    <row r="38" spans="1:18" x14ac:dyDescent="0.25">
      <c r="A38" s="173" t="s">
        <v>408</v>
      </c>
      <c r="B38" s="174">
        <v>43151</v>
      </c>
      <c r="C38" s="173">
        <v>20022018</v>
      </c>
      <c r="D38" s="173" t="s">
        <v>5642</v>
      </c>
      <c r="E38" s="173" t="s">
        <v>5643</v>
      </c>
      <c r="F38" s="173" t="s">
        <v>5620</v>
      </c>
      <c r="G38" s="173" t="s">
        <v>5621</v>
      </c>
      <c r="H38" s="173"/>
      <c r="I38" s="173"/>
      <c r="J38" s="176" t="s">
        <v>21</v>
      </c>
      <c r="K38" s="173">
        <v>13000</v>
      </c>
      <c r="L38" s="173" t="s">
        <v>5644</v>
      </c>
      <c r="M38" s="173" t="s">
        <v>5891</v>
      </c>
      <c r="N38" s="173"/>
      <c r="O38" s="173"/>
      <c r="P38" s="173" t="s">
        <v>5656</v>
      </c>
      <c r="Q38" s="174">
        <v>43198</v>
      </c>
      <c r="R38" s="173" t="s">
        <v>3791</v>
      </c>
    </row>
    <row r="39" spans="1:18" x14ac:dyDescent="0.25">
      <c r="A39" s="173" t="s">
        <v>408</v>
      </c>
      <c r="B39" s="174">
        <v>43173</v>
      </c>
      <c r="C39" s="173">
        <v>140318</v>
      </c>
      <c r="D39" s="173" t="s">
        <v>5646</v>
      </c>
      <c r="E39" s="173" t="s">
        <v>5647</v>
      </c>
      <c r="F39" s="173" t="s">
        <v>368</v>
      </c>
      <c r="G39" s="173" t="s">
        <v>5626</v>
      </c>
      <c r="H39" s="173"/>
      <c r="I39" s="173"/>
      <c r="J39" s="176" t="s">
        <v>21</v>
      </c>
      <c r="K39" s="176">
        <v>1500</v>
      </c>
      <c r="L39" s="173" t="s">
        <v>5648</v>
      </c>
      <c r="M39" s="173" t="s">
        <v>5649</v>
      </c>
      <c r="N39" s="173"/>
      <c r="O39" s="173"/>
      <c r="P39" s="173" t="s">
        <v>5656</v>
      </c>
      <c r="Q39" s="174">
        <v>43198</v>
      </c>
      <c r="R39" s="173" t="s">
        <v>3791</v>
      </c>
    </row>
    <row r="40" spans="1:18" x14ac:dyDescent="0.25">
      <c r="A40" s="190" t="s">
        <v>12</v>
      </c>
      <c r="B40" s="191">
        <v>43137</v>
      </c>
      <c r="C40" s="190" t="s">
        <v>951</v>
      </c>
      <c r="D40" s="190" t="s">
        <v>5650</v>
      </c>
      <c r="E40" s="190" t="s">
        <v>5651</v>
      </c>
      <c r="F40" s="190" t="s">
        <v>4576</v>
      </c>
      <c r="G40" s="190" t="s">
        <v>5652</v>
      </c>
      <c r="H40" s="190"/>
      <c r="I40" s="190"/>
      <c r="J40" s="192" t="s">
        <v>21</v>
      </c>
      <c r="K40" s="190">
        <v>1000</v>
      </c>
      <c r="L40" s="190" t="s">
        <v>5593</v>
      </c>
      <c r="M40" s="190" t="s">
        <v>5928</v>
      </c>
      <c r="N40" s="190"/>
      <c r="O40" s="190"/>
      <c r="P40" s="190" t="s">
        <v>5656</v>
      </c>
      <c r="Q40" s="191">
        <v>43198</v>
      </c>
      <c r="R40" s="190" t="s">
        <v>3186</v>
      </c>
    </row>
    <row r="41" spans="1:18" x14ac:dyDescent="0.25">
      <c r="A41" s="190" t="s">
        <v>408</v>
      </c>
      <c r="B41" s="191">
        <v>43187</v>
      </c>
      <c r="C41" s="190">
        <v>28032018</v>
      </c>
      <c r="D41" s="190" t="s">
        <v>5653</v>
      </c>
      <c r="E41" s="190" t="s">
        <v>5654</v>
      </c>
      <c r="F41" s="190" t="s">
        <v>4576</v>
      </c>
      <c r="G41" s="190" t="s">
        <v>5652</v>
      </c>
      <c r="H41" s="190"/>
      <c r="I41" s="190"/>
      <c r="J41" s="192" t="s">
        <v>21</v>
      </c>
      <c r="K41" s="190">
        <v>1500</v>
      </c>
      <c r="L41" s="190" t="s">
        <v>5655</v>
      </c>
      <c r="M41" s="190" t="s">
        <v>31</v>
      </c>
      <c r="N41" s="190"/>
      <c r="O41" s="190"/>
      <c r="P41" s="190" t="s">
        <v>5656</v>
      </c>
      <c r="Q41" s="191">
        <v>43198</v>
      </c>
      <c r="R41" s="190"/>
    </row>
    <row r="42" spans="1:18" x14ac:dyDescent="0.25">
      <c r="A42" s="173" t="s">
        <v>12</v>
      </c>
      <c r="B42" s="174">
        <v>43235</v>
      </c>
      <c r="C42" s="173" t="s">
        <v>5657</v>
      </c>
      <c r="D42" s="173" t="s">
        <v>5246</v>
      </c>
      <c r="E42" s="173" t="s">
        <v>4800</v>
      </c>
      <c r="F42" s="173" t="s">
        <v>5456</v>
      </c>
      <c r="G42" s="173" t="s">
        <v>5658</v>
      </c>
      <c r="H42" s="173"/>
      <c r="I42" s="173"/>
      <c r="J42" s="176" t="s">
        <v>21</v>
      </c>
      <c r="K42" s="173">
        <v>3500</v>
      </c>
      <c r="L42" s="173"/>
      <c r="M42" s="173" t="s">
        <v>5908</v>
      </c>
      <c r="N42" s="173"/>
      <c r="O42" s="173"/>
      <c r="P42" s="173" t="s">
        <v>5723</v>
      </c>
      <c r="Q42" s="174">
        <v>43286</v>
      </c>
      <c r="R42" s="173" t="s">
        <v>3791</v>
      </c>
    </row>
    <row r="43" spans="1:18" x14ac:dyDescent="0.25">
      <c r="A43" s="185" t="s">
        <v>12</v>
      </c>
      <c r="B43" s="183">
        <v>43235</v>
      </c>
      <c r="C43" s="185" t="s">
        <v>5659</v>
      </c>
      <c r="D43" s="185" t="s">
        <v>5246</v>
      </c>
      <c r="E43" s="185" t="s">
        <v>4800</v>
      </c>
      <c r="F43" s="185" t="s">
        <v>5660</v>
      </c>
      <c r="G43" s="185" t="s">
        <v>5661</v>
      </c>
      <c r="H43" s="185"/>
      <c r="I43" s="185"/>
      <c r="J43" s="186" t="s">
        <v>21</v>
      </c>
      <c r="K43" s="185">
        <v>9800</v>
      </c>
      <c r="L43" s="185" t="s">
        <v>5593</v>
      </c>
      <c r="M43" s="185" t="s">
        <v>5916</v>
      </c>
      <c r="N43" s="185"/>
      <c r="O43" s="185"/>
      <c r="P43" s="185" t="s">
        <v>5723</v>
      </c>
      <c r="Q43" s="183">
        <v>43286</v>
      </c>
      <c r="R43" s="214" t="s">
        <v>3791</v>
      </c>
    </row>
    <row r="44" spans="1:18" x14ac:dyDescent="0.25">
      <c r="A44" s="173" t="s">
        <v>12</v>
      </c>
      <c r="B44" s="174">
        <v>43241</v>
      </c>
      <c r="C44" s="175" t="s">
        <v>5662</v>
      </c>
      <c r="D44" s="173" t="s">
        <v>5246</v>
      </c>
      <c r="E44" s="173" t="s">
        <v>4800</v>
      </c>
      <c r="F44" s="173" t="s">
        <v>5663</v>
      </c>
      <c r="G44" s="173" t="s">
        <v>5664</v>
      </c>
      <c r="H44" s="176">
        <f>3800/1.21</f>
        <v>3140.495867768595</v>
      </c>
      <c r="I44" s="176">
        <f>+H44*0.21</f>
        <v>659.50413223140492</v>
      </c>
      <c r="J44" s="176"/>
      <c r="K44" s="176">
        <f>+H44+I44</f>
        <v>3800</v>
      </c>
      <c r="L44" s="173" t="s">
        <v>5593</v>
      </c>
      <c r="M44" s="173"/>
      <c r="N44" s="173"/>
      <c r="O44" s="173"/>
      <c r="P44" s="173" t="s">
        <v>5723</v>
      </c>
      <c r="Q44" s="174">
        <v>43286</v>
      </c>
      <c r="R44" s="187"/>
    </row>
    <row r="45" spans="1:18" x14ac:dyDescent="0.25">
      <c r="A45" s="173" t="s">
        <v>12</v>
      </c>
      <c r="B45" s="174">
        <v>43255</v>
      </c>
      <c r="C45" s="173" t="s">
        <v>5665</v>
      </c>
      <c r="D45" s="173" t="s">
        <v>5246</v>
      </c>
      <c r="E45" s="173" t="s">
        <v>4800</v>
      </c>
      <c r="F45" s="173" t="s">
        <v>5193</v>
      </c>
      <c r="G45" s="173" t="s">
        <v>5666</v>
      </c>
      <c r="H45" s="173"/>
      <c r="I45" s="173"/>
      <c r="J45" s="176" t="s">
        <v>21</v>
      </c>
      <c r="K45" s="206">
        <v>15000</v>
      </c>
      <c r="L45" s="173" t="s">
        <v>5593</v>
      </c>
      <c r="M45" s="173"/>
      <c r="N45" s="173"/>
      <c r="O45" s="173"/>
      <c r="P45" s="173" t="s">
        <v>5723</v>
      </c>
      <c r="Q45" s="174">
        <v>43286</v>
      </c>
      <c r="R45" s="187"/>
    </row>
    <row r="46" spans="1:18" x14ac:dyDescent="0.25">
      <c r="A46" s="190" t="s">
        <v>12</v>
      </c>
      <c r="B46" s="191">
        <v>43258</v>
      </c>
      <c r="C46" s="190" t="s">
        <v>5667</v>
      </c>
      <c r="D46" s="190" t="s">
        <v>5246</v>
      </c>
      <c r="E46" s="190" t="s">
        <v>4800</v>
      </c>
      <c r="F46" s="190" t="s">
        <v>5668</v>
      </c>
      <c r="G46" s="190" t="s">
        <v>5669</v>
      </c>
      <c r="H46" s="190"/>
      <c r="I46" s="190"/>
      <c r="J46" s="192" t="s">
        <v>21</v>
      </c>
      <c r="K46" s="190">
        <v>3800</v>
      </c>
      <c r="L46" s="190" t="s">
        <v>5593</v>
      </c>
      <c r="M46" s="190"/>
      <c r="N46" s="190"/>
      <c r="O46" s="190"/>
      <c r="P46" s="190" t="s">
        <v>5723</v>
      </c>
      <c r="Q46" s="191">
        <v>43286</v>
      </c>
      <c r="R46" s="212"/>
    </row>
    <row r="47" spans="1:18" x14ac:dyDescent="0.25">
      <c r="A47" s="173" t="s">
        <v>12</v>
      </c>
      <c r="B47" s="174">
        <v>43264</v>
      </c>
      <c r="C47" s="173" t="s">
        <v>5677</v>
      </c>
      <c r="D47" s="173" t="s">
        <v>5246</v>
      </c>
      <c r="E47" s="173" t="s">
        <v>4800</v>
      </c>
      <c r="F47" s="173" t="s">
        <v>5474</v>
      </c>
      <c r="G47" s="173" t="s">
        <v>5670</v>
      </c>
      <c r="H47" s="173"/>
      <c r="I47" s="173"/>
      <c r="J47" s="176" t="s">
        <v>21</v>
      </c>
      <c r="K47" s="173">
        <v>15500</v>
      </c>
      <c r="L47" s="173"/>
      <c r="M47" s="173"/>
      <c r="N47" s="173"/>
      <c r="O47" s="173"/>
      <c r="P47" s="173" t="s">
        <v>5723</v>
      </c>
      <c r="Q47" s="174">
        <v>43286</v>
      </c>
      <c r="R47" s="173"/>
    </row>
    <row r="48" spans="1:18" x14ac:dyDescent="0.25">
      <c r="A48" s="185" t="s">
        <v>12</v>
      </c>
      <c r="B48" s="183">
        <v>43272</v>
      </c>
      <c r="C48" s="185" t="s">
        <v>5671</v>
      </c>
      <c r="D48" s="185" t="s">
        <v>5246</v>
      </c>
      <c r="E48" s="185" t="s">
        <v>4800</v>
      </c>
      <c r="F48" s="185" t="s">
        <v>5672</v>
      </c>
      <c r="G48" s="185" t="s">
        <v>5673</v>
      </c>
      <c r="H48" s="185"/>
      <c r="I48" s="185"/>
      <c r="J48" s="186" t="s">
        <v>21</v>
      </c>
      <c r="K48" s="185">
        <v>9000</v>
      </c>
      <c r="L48" s="185" t="s">
        <v>5593</v>
      </c>
      <c r="M48" s="185"/>
      <c r="N48" s="185"/>
      <c r="O48" s="185"/>
      <c r="P48" s="185" t="s">
        <v>5723</v>
      </c>
      <c r="Q48" s="183">
        <v>43286</v>
      </c>
      <c r="R48" s="214"/>
    </row>
    <row r="49" spans="1:18" x14ac:dyDescent="0.25">
      <c r="A49" s="173" t="s">
        <v>12</v>
      </c>
      <c r="B49" s="174">
        <v>43264</v>
      </c>
      <c r="C49" s="173" t="s">
        <v>5674</v>
      </c>
      <c r="D49" s="173" t="s">
        <v>5246</v>
      </c>
      <c r="E49" s="173" t="s">
        <v>4800</v>
      </c>
      <c r="F49" s="173" t="s">
        <v>5675</v>
      </c>
      <c r="G49" s="173" t="s">
        <v>5676</v>
      </c>
      <c r="H49" s="173"/>
      <c r="I49" s="173"/>
      <c r="J49" s="176" t="s">
        <v>21</v>
      </c>
      <c r="K49" s="173">
        <v>1000</v>
      </c>
      <c r="L49" s="173" t="s">
        <v>5593</v>
      </c>
      <c r="M49" s="173"/>
      <c r="N49" s="173"/>
      <c r="O49" s="173"/>
      <c r="P49" s="173" t="s">
        <v>5723</v>
      </c>
      <c r="Q49" s="174">
        <v>43286</v>
      </c>
      <c r="R49" s="187"/>
    </row>
    <row r="50" spans="1:18" x14ac:dyDescent="0.25">
      <c r="A50" s="173" t="s">
        <v>12</v>
      </c>
      <c r="B50" s="174">
        <v>43279</v>
      </c>
      <c r="C50" s="173">
        <v>663</v>
      </c>
      <c r="D50" s="173" t="s">
        <v>4579</v>
      </c>
      <c r="E50" s="173" t="s">
        <v>4580</v>
      </c>
      <c r="F50" s="173" t="s">
        <v>5092</v>
      </c>
      <c r="G50" s="173" t="s">
        <v>5678</v>
      </c>
      <c r="H50" s="173"/>
      <c r="I50" s="173"/>
      <c r="J50" s="173" t="s">
        <v>21</v>
      </c>
      <c r="K50" s="173">
        <v>5500</v>
      </c>
      <c r="L50" t="s">
        <v>5593</v>
      </c>
      <c r="M50" s="173" t="s">
        <v>5878</v>
      </c>
      <c r="N50" s="173"/>
      <c r="O50" s="173"/>
      <c r="P50" s="173" t="s">
        <v>5723</v>
      </c>
      <c r="Q50" s="174">
        <v>43286</v>
      </c>
      <c r="R50" s="187" t="s">
        <v>3186</v>
      </c>
    </row>
    <row r="51" spans="1:18" x14ac:dyDescent="0.25">
      <c r="A51" s="173" t="s">
        <v>12</v>
      </c>
      <c r="B51" s="174">
        <v>43021</v>
      </c>
      <c r="C51" s="173" t="s">
        <v>951</v>
      </c>
      <c r="D51" s="173" t="s">
        <v>5679</v>
      </c>
      <c r="E51" s="173" t="s">
        <v>5680</v>
      </c>
      <c r="F51" s="173" t="s">
        <v>5581</v>
      </c>
      <c r="G51" s="173" t="s">
        <v>5681</v>
      </c>
      <c r="H51" s="173"/>
      <c r="I51" s="173"/>
      <c r="J51" s="176" t="s">
        <v>21</v>
      </c>
      <c r="K51" s="173">
        <v>2400</v>
      </c>
      <c r="L51" s="173" t="s">
        <v>5593</v>
      </c>
      <c r="M51" s="173"/>
      <c r="N51" s="173"/>
      <c r="O51" s="173"/>
      <c r="P51" s="173" t="s">
        <v>5723</v>
      </c>
      <c r="Q51" s="174">
        <v>43286</v>
      </c>
      <c r="R51" s="187"/>
    </row>
    <row r="52" spans="1:18" x14ac:dyDescent="0.25">
      <c r="A52" s="173" t="s">
        <v>12</v>
      </c>
      <c r="B52" s="174">
        <v>43255</v>
      </c>
      <c r="C52" s="173" t="s">
        <v>951</v>
      </c>
      <c r="D52" s="173" t="s">
        <v>5682</v>
      </c>
      <c r="E52" s="173" t="s">
        <v>5683</v>
      </c>
      <c r="F52" s="173" t="s">
        <v>2657</v>
      </c>
      <c r="G52" s="173" t="s">
        <v>5684</v>
      </c>
      <c r="H52" s="173"/>
      <c r="I52" s="173"/>
      <c r="J52" s="176" t="s">
        <v>21</v>
      </c>
      <c r="K52" s="173">
        <v>4000</v>
      </c>
      <c r="L52" s="173" t="s">
        <v>5593</v>
      </c>
      <c r="M52" s="173" t="s">
        <v>5909</v>
      </c>
      <c r="N52" s="173"/>
      <c r="O52" s="173"/>
      <c r="P52" s="173" t="s">
        <v>5723</v>
      </c>
      <c r="Q52" s="174">
        <v>43286</v>
      </c>
      <c r="R52" s="187"/>
    </row>
    <row r="53" spans="1:18" x14ac:dyDescent="0.25">
      <c r="A53" s="173" t="s">
        <v>408</v>
      </c>
      <c r="B53" s="174">
        <v>43280</v>
      </c>
      <c r="C53" s="173">
        <v>29618</v>
      </c>
      <c r="D53" s="173" t="s">
        <v>5685</v>
      </c>
      <c r="E53" s="173" t="s">
        <v>5686</v>
      </c>
      <c r="F53" s="173" t="s">
        <v>2657</v>
      </c>
      <c r="G53" s="173" t="s">
        <v>5684</v>
      </c>
      <c r="H53" s="173"/>
      <c r="I53" s="173"/>
      <c r="J53" s="176" t="s">
        <v>21</v>
      </c>
      <c r="K53" s="173">
        <v>4500</v>
      </c>
      <c r="L53" s="173" t="s">
        <v>5687</v>
      </c>
      <c r="M53" s="173" t="s">
        <v>5922</v>
      </c>
      <c r="N53" s="173"/>
      <c r="O53" s="173"/>
      <c r="P53" s="173" t="s">
        <v>5723</v>
      </c>
      <c r="Q53" s="174">
        <v>43286</v>
      </c>
      <c r="R53" s="187" t="s">
        <v>3791</v>
      </c>
    </row>
    <row r="54" spans="1:18" x14ac:dyDescent="0.25">
      <c r="A54" s="173" t="s">
        <v>408</v>
      </c>
      <c r="B54" s="174">
        <v>43283</v>
      </c>
      <c r="C54" s="173">
        <v>2718</v>
      </c>
      <c r="D54" s="173" t="s">
        <v>5688</v>
      </c>
      <c r="E54" s="173" t="s">
        <v>5689</v>
      </c>
      <c r="F54" s="173" t="s">
        <v>5581</v>
      </c>
      <c r="G54" s="173" t="s">
        <v>5681</v>
      </c>
      <c r="H54" s="173"/>
      <c r="I54" s="173"/>
      <c r="J54" s="176" t="s">
        <v>21</v>
      </c>
      <c r="K54" s="173">
        <v>7500</v>
      </c>
      <c r="L54" s="173" t="s">
        <v>5722</v>
      </c>
      <c r="M54" s="173" t="s">
        <v>5922</v>
      </c>
      <c r="N54" s="173"/>
      <c r="O54" s="173"/>
      <c r="P54" s="173" t="s">
        <v>5723</v>
      </c>
      <c r="Q54" s="174">
        <v>43286</v>
      </c>
      <c r="R54" s="187" t="s">
        <v>3186</v>
      </c>
    </row>
    <row r="55" spans="1:18" x14ac:dyDescent="0.25">
      <c r="A55" s="173" t="s">
        <v>408</v>
      </c>
      <c r="B55" s="174">
        <v>43283</v>
      </c>
      <c r="C55" s="175">
        <v>20180702</v>
      </c>
      <c r="D55" s="173" t="s">
        <v>5690</v>
      </c>
      <c r="E55" s="173" t="s">
        <v>5691</v>
      </c>
      <c r="F55" s="173" t="s">
        <v>5480</v>
      </c>
      <c r="G55" s="173" t="s">
        <v>5481</v>
      </c>
      <c r="H55" s="173"/>
      <c r="I55" s="173"/>
      <c r="J55" s="176" t="s">
        <v>21</v>
      </c>
      <c r="K55" s="176">
        <v>3000</v>
      </c>
      <c r="L55" s="173" t="s">
        <v>5692</v>
      </c>
      <c r="M55" s="173" t="s">
        <v>5895</v>
      </c>
      <c r="N55" s="173"/>
      <c r="O55" s="173"/>
      <c r="P55" s="173" t="s">
        <v>5723</v>
      </c>
      <c r="Q55" s="174">
        <v>43286</v>
      </c>
      <c r="R55" s="187" t="s">
        <v>3186</v>
      </c>
    </row>
    <row r="56" spans="1:18" x14ac:dyDescent="0.25">
      <c r="A56" s="173" t="s">
        <v>408</v>
      </c>
      <c r="B56" s="174">
        <v>43216</v>
      </c>
      <c r="C56" s="173">
        <v>260418</v>
      </c>
      <c r="D56" s="173" t="s">
        <v>5693</v>
      </c>
      <c r="E56" s="173" t="s">
        <v>5694</v>
      </c>
      <c r="F56" s="173" t="s">
        <v>377</v>
      </c>
      <c r="G56" s="173" t="s">
        <v>5628</v>
      </c>
      <c r="H56" s="173"/>
      <c r="I56" s="173"/>
      <c r="J56" s="176" t="s">
        <v>21</v>
      </c>
      <c r="K56" s="176">
        <v>1500</v>
      </c>
      <c r="L56" s="173" t="s">
        <v>5695</v>
      </c>
      <c r="M56" s="173" t="s">
        <v>5875</v>
      </c>
      <c r="N56" s="173"/>
      <c r="O56" s="173"/>
      <c r="P56" s="173" t="s">
        <v>5723</v>
      </c>
      <c r="Q56" s="174">
        <v>43286</v>
      </c>
      <c r="R56" s="187"/>
    </row>
    <row r="57" spans="1:18" x14ac:dyDescent="0.25">
      <c r="A57" s="173" t="s">
        <v>408</v>
      </c>
      <c r="B57" s="174">
        <v>43252</v>
      </c>
      <c r="C57" s="173">
        <v>1062018</v>
      </c>
      <c r="D57" s="173" t="s">
        <v>5885</v>
      </c>
      <c r="E57" s="173" t="s">
        <v>5696</v>
      </c>
      <c r="F57" s="173" t="s">
        <v>5663</v>
      </c>
      <c r="G57" s="173" t="s">
        <v>5664</v>
      </c>
      <c r="H57" s="176">
        <f>5400/1.21</f>
        <v>4462.8099173553719</v>
      </c>
      <c r="I57" s="176">
        <f>+H57*0.21</f>
        <v>937.19008264462809</v>
      </c>
      <c r="J57" s="176"/>
      <c r="K57" s="176">
        <f>+H57+I57</f>
        <v>5400</v>
      </c>
      <c r="L57" s="173" t="s">
        <v>5697</v>
      </c>
      <c r="M57" s="173" t="s">
        <v>5886</v>
      </c>
      <c r="N57" s="173"/>
      <c r="O57" s="173"/>
      <c r="P57" s="173" t="s">
        <v>5723</v>
      </c>
      <c r="Q57" s="174">
        <v>43286</v>
      </c>
      <c r="R57" s="187" t="s">
        <v>3791</v>
      </c>
    </row>
    <row r="58" spans="1:18" x14ac:dyDescent="0.25">
      <c r="A58" s="173" t="s">
        <v>408</v>
      </c>
      <c r="B58" s="174">
        <v>43265</v>
      </c>
      <c r="C58" s="173">
        <v>14618</v>
      </c>
      <c r="D58" s="173" t="s">
        <v>5698</v>
      </c>
      <c r="E58" s="173" t="s">
        <v>5699</v>
      </c>
      <c r="F58" s="173" t="s">
        <v>5668</v>
      </c>
      <c r="G58" s="173" t="s">
        <v>5669</v>
      </c>
      <c r="H58" s="173"/>
      <c r="I58" s="173"/>
      <c r="J58" s="176" t="s">
        <v>21</v>
      </c>
      <c r="K58" s="173">
        <v>5995</v>
      </c>
      <c r="L58" s="173" t="s">
        <v>5700</v>
      </c>
      <c r="M58" s="173" t="s">
        <v>5868</v>
      </c>
      <c r="N58" s="173"/>
      <c r="O58" s="173"/>
      <c r="P58" s="173" t="s">
        <v>5723</v>
      </c>
      <c r="Q58" s="174">
        <v>43286</v>
      </c>
      <c r="R58" s="187"/>
    </row>
    <row r="59" spans="1:18" x14ac:dyDescent="0.25">
      <c r="A59" s="173" t="s">
        <v>408</v>
      </c>
      <c r="B59" s="174">
        <v>43223</v>
      </c>
      <c r="C59" s="173">
        <v>3052018</v>
      </c>
      <c r="D59" s="173" t="s">
        <v>5701</v>
      </c>
      <c r="E59" s="173" t="s">
        <v>5702</v>
      </c>
      <c r="F59" s="173" t="s">
        <v>5466</v>
      </c>
      <c r="G59" s="173" t="s">
        <v>5467</v>
      </c>
      <c r="H59" s="173">
        <f>1500/1.21</f>
        <v>1239.6694214876034</v>
      </c>
      <c r="I59" s="176">
        <f>+H59*0.21</f>
        <v>260.3305785123967</v>
      </c>
      <c r="J59" s="176"/>
      <c r="K59" s="176">
        <f>+H59+I59</f>
        <v>1500</v>
      </c>
      <c r="L59" s="173" t="s">
        <v>5703</v>
      </c>
      <c r="M59" s="173" t="s">
        <v>5900</v>
      </c>
      <c r="N59" s="173"/>
      <c r="O59" s="173"/>
      <c r="P59" s="173" t="s">
        <v>5723</v>
      </c>
      <c r="Q59" s="174">
        <v>43286</v>
      </c>
      <c r="R59" s="187"/>
    </row>
    <row r="60" spans="1:18" x14ac:dyDescent="0.25">
      <c r="A60" s="173" t="s">
        <v>12</v>
      </c>
      <c r="B60" s="174">
        <v>42808</v>
      </c>
      <c r="C60" s="173" t="s">
        <v>951</v>
      </c>
      <c r="D60" s="173" t="s">
        <v>5704</v>
      </c>
      <c r="E60" s="173" t="s">
        <v>5752</v>
      </c>
      <c r="F60" s="173" t="s">
        <v>5705</v>
      </c>
      <c r="G60" s="173" t="s">
        <v>5706</v>
      </c>
      <c r="H60" s="173"/>
      <c r="I60" s="173"/>
      <c r="J60" s="176" t="s">
        <v>21</v>
      </c>
      <c r="K60" s="176">
        <v>2700</v>
      </c>
      <c r="L60" s="173" t="s">
        <v>5593</v>
      </c>
      <c r="M60" s="173" t="s">
        <v>5910</v>
      </c>
      <c r="N60" s="173"/>
      <c r="O60" s="173"/>
      <c r="P60" s="173" t="s">
        <v>5723</v>
      </c>
      <c r="Q60" s="174">
        <v>43286</v>
      </c>
      <c r="R60" s="187" t="s">
        <v>3791</v>
      </c>
    </row>
    <row r="61" spans="1:18" x14ac:dyDescent="0.25">
      <c r="A61" s="173" t="s">
        <v>408</v>
      </c>
      <c r="B61" s="174">
        <v>43228</v>
      </c>
      <c r="C61" s="173">
        <v>8052018</v>
      </c>
      <c r="D61" s="173" t="s">
        <v>5707</v>
      </c>
      <c r="E61" s="173" t="s">
        <v>5708</v>
      </c>
      <c r="F61" s="173" t="s">
        <v>5705</v>
      </c>
      <c r="G61" s="173" t="s">
        <v>5706</v>
      </c>
      <c r="H61" s="173"/>
      <c r="I61" s="173"/>
      <c r="J61" s="176" t="s">
        <v>21</v>
      </c>
      <c r="K61" s="176">
        <v>3300</v>
      </c>
      <c r="L61" s="173" t="s">
        <v>5709</v>
      </c>
      <c r="M61" s="173" t="s">
        <v>5882</v>
      </c>
      <c r="N61" s="173"/>
      <c r="O61" s="173"/>
      <c r="P61" s="173" t="s">
        <v>5723</v>
      </c>
      <c r="Q61" s="174">
        <v>43286</v>
      </c>
      <c r="R61" s="187" t="s">
        <v>3186</v>
      </c>
    </row>
    <row r="62" spans="1:18" x14ac:dyDescent="0.25">
      <c r="A62" s="173" t="s">
        <v>408</v>
      </c>
      <c r="B62" s="174">
        <v>43235</v>
      </c>
      <c r="C62" s="173">
        <v>15052018</v>
      </c>
      <c r="D62" s="173" t="s">
        <v>5710</v>
      </c>
      <c r="E62" s="173" t="s">
        <v>5711</v>
      </c>
      <c r="F62" s="173" t="s">
        <v>693</v>
      </c>
      <c r="G62" s="173" t="s">
        <v>5579</v>
      </c>
      <c r="H62" s="173"/>
      <c r="I62" s="173"/>
      <c r="J62" s="176" t="s">
        <v>21</v>
      </c>
      <c r="K62" s="176">
        <v>10700</v>
      </c>
      <c r="L62" s="173" t="s">
        <v>5712</v>
      </c>
      <c r="M62" s="173" t="s">
        <v>5894</v>
      </c>
      <c r="N62" s="173"/>
      <c r="O62" s="173"/>
      <c r="P62" s="173" t="s">
        <v>5723</v>
      </c>
      <c r="Q62" s="174">
        <v>43286</v>
      </c>
      <c r="R62" s="187" t="s">
        <v>3791</v>
      </c>
    </row>
    <row r="63" spans="1:18" x14ac:dyDescent="0.25">
      <c r="A63" s="173" t="s">
        <v>408</v>
      </c>
      <c r="B63" s="174">
        <v>43237</v>
      </c>
      <c r="C63" s="173">
        <v>17052018</v>
      </c>
      <c r="D63" s="173" t="s">
        <v>5679</v>
      </c>
      <c r="E63" s="173" t="s">
        <v>5680</v>
      </c>
      <c r="F63" s="173" t="s">
        <v>5041</v>
      </c>
      <c r="G63" s="173" t="s">
        <v>5630</v>
      </c>
      <c r="H63" s="176">
        <f>7000/1.21</f>
        <v>5785.1239669421493</v>
      </c>
      <c r="I63" s="176">
        <f>+H63*0.21</f>
        <v>1214.8760330578514</v>
      </c>
      <c r="J63" s="176"/>
      <c r="K63" s="176">
        <f>+H63+I63</f>
        <v>7000.0000000000009</v>
      </c>
      <c r="L63" s="173" t="s">
        <v>5713</v>
      </c>
      <c r="M63" s="173" t="s">
        <v>5872</v>
      </c>
      <c r="N63" s="173"/>
      <c r="O63" s="173"/>
      <c r="P63" s="173" t="s">
        <v>5723</v>
      </c>
      <c r="Q63" s="174">
        <v>43286</v>
      </c>
      <c r="R63" s="187" t="s">
        <v>3791</v>
      </c>
    </row>
    <row r="64" spans="1:18" x14ac:dyDescent="0.25">
      <c r="A64" s="190" t="s">
        <v>12</v>
      </c>
      <c r="B64" s="191">
        <v>43027</v>
      </c>
      <c r="C64" s="190" t="s">
        <v>951</v>
      </c>
      <c r="D64" s="190" t="s">
        <v>5714</v>
      </c>
      <c r="E64" s="190" t="s">
        <v>5715</v>
      </c>
      <c r="F64" s="190" t="s">
        <v>353</v>
      </c>
      <c r="G64" s="190" t="s">
        <v>5716</v>
      </c>
      <c r="H64" s="190"/>
      <c r="I64" s="190"/>
      <c r="J64" s="192" t="s">
        <v>21</v>
      </c>
      <c r="K64" s="192">
        <v>200</v>
      </c>
      <c r="L64" s="190" t="s">
        <v>5593</v>
      </c>
      <c r="M64" s="190"/>
      <c r="N64" s="190"/>
      <c r="O64" s="190"/>
      <c r="P64" s="190" t="s">
        <v>5723</v>
      </c>
      <c r="Q64" s="191">
        <v>43286</v>
      </c>
      <c r="R64" s="212"/>
    </row>
    <row r="65" spans="1:18" x14ac:dyDescent="0.25">
      <c r="A65" s="173" t="s">
        <v>408</v>
      </c>
      <c r="B65" s="174">
        <v>43227</v>
      </c>
      <c r="C65" s="173">
        <v>7052018</v>
      </c>
      <c r="D65" s="173" t="s">
        <v>5717</v>
      </c>
      <c r="E65" s="173" t="s">
        <v>5718</v>
      </c>
      <c r="F65" s="173" t="s">
        <v>353</v>
      </c>
      <c r="G65" s="173" t="s">
        <v>5716</v>
      </c>
      <c r="H65" s="173"/>
      <c r="I65" s="173"/>
      <c r="J65" s="176" t="s">
        <v>21</v>
      </c>
      <c r="K65" s="176">
        <v>600</v>
      </c>
      <c r="L65" s="173" t="s">
        <v>5719</v>
      </c>
      <c r="M65" s="173" t="s">
        <v>31</v>
      </c>
      <c r="N65" s="173"/>
      <c r="O65" s="173"/>
      <c r="P65" s="173" t="s">
        <v>5723</v>
      </c>
      <c r="Q65" s="174">
        <v>43286</v>
      </c>
      <c r="R65" s="173"/>
    </row>
    <row r="66" spans="1:18" x14ac:dyDescent="0.25">
      <c r="A66" s="185" t="s">
        <v>408</v>
      </c>
      <c r="B66" s="183">
        <v>43224</v>
      </c>
      <c r="C66" s="185">
        <v>40518</v>
      </c>
      <c r="D66" s="185" t="s">
        <v>5720</v>
      </c>
      <c r="E66" s="185" t="s">
        <v>5721</v>
      </c>
      <c r="F66" s="185" t="s">
        <v>5477</v>
      </c>
      <c r="G66" s="185" t="s">
        <v>5478</v>
      </c>
      <c r="H66" s="185"/>
      <c r="I66" s="185"/>
      <c r="J66" s="186" t="s">
        <v>21</v>
      </c>
      <c r="K66" s="186">
        <v>9000</v>
      </c>
      <c r="L66" s="185" t="s">
        <v>5692</v>
      </c>
      <c r="M66" s="185" t="s">
        <v>5929</v>
      </c>
      <c r="N66" s="185"/>
      <c r="O66" s="185"/>
      <c r="P66" s="185" t="s">
        <v>5723</v>
      </c>
      <c r="Q66" s="183">
        <v>43286</v>
      </c>
      <c r="R66" s="214" t="s">
        <v>3186</v>
      </c>
    </row>
    <row r="67" spans="1:18" x14ac:dyDescent="0.25">
      <c r="A67" s="173" t="s">
        <v>408</v>
      </c>
      <c r="B67" s="174">
        <v>43105</v>
      </c>
      <c r="C67" s="173" t="s">
        <v>5724</v>
      </c>
      <c r="D67" s="173" t="s">
        <v>5725</v>
      </c>
      <c r="E67" s="173" t="s">
        <v>5726</v>
      </c>
      <c r="F67" s="173" t="s">
        <v>5576</v>
      </c>
      <c r="G67" s="173" t="s">
        <v>5577</v>
      </c>
      <c r="H67" s="173"/>
      <c r="I67" s="173"/>
      <c r="J67" s="176" t="s">
        <v>21</v>
      </c>
      <c r="K67" s="176">
        <v>4700</v>
      </c>
      <c r="L67" s="173" t="s">
        <v>5727</v>
      </c>
      <c r="M67" s="173" t="s">
        <v>5871</v>
      </c>
      <c r="N67" s="173"/>
      <c r="O67" s="173"/>
      <c r="P67" s="173" t="s">
        <v>5723</v>
      </c>
      <c r="Q67" s="174">
        <v>43286</v>
      </c>
      <c r="R67" t="s">
        <v>3791</v>
      </c>
    </row>
    <row r="68" spans="1:18" x14ac:dyDescent="0.25">
      <c r="A68" s="173" t="s">
        <v>408</v>
      </c>
      <c r="B68" s="174">
        <v>43105</v>
      </c>
      <c r="C68" s="173" t="s">
        <v>5728</v>
      </c>
      <c r="D68" s="173" t="s">
        <v>5725</v>
      </c>
      <c r="E68" s="173" t="s">
        <v>5726</v>
      </c>
      <c r="F68" s="173" t="s">
        <v>5445</v>
      </c>
      <c r="G68" s="173" t="s">
        <v>5254</v>
      </c>
      <c r="H68" s="173"/>
      <c r="I68" s="173"/>
      <c r="J68" s="176" t="s">
        <v>21</v>
      </c>
      <c r="K68" s="176">
        <v>2500</v>
      </c>
      <c r="L68" s="173" t="s">
        <v>5729</v>
      </c>
      <c r="M68" s="173" t="s">
        <v>5871</v>
      </c>
      <c r="N68" s="173"/>
      <c r="O68" s="173"/>
      <c r="P68" s="173" t="s">
        <v>5723</v>
      </c>
      <c r="Q68" s="174">
        <v>43286</v>
      </c>
      <c r="R68" t="s">
        <v>3791</v>
      </c>
    </row>
    <row r="69" spans="1:18" x14ac:dyDescent="0.25">
      <c r="A69" s="173" t="s">
        <v>408</v>
      </c>
      <c r="B69" s="174">
        <v>43250</v>
      </c>
      <c r="C69" s="173" t="s">
        <v>5731</v>
      </c>
      <c r="D69" s="173" t="s">
        <v>5730</v>
      </c>
      <c r="E69" s="173" t="s">
        <v>5732</v>
      </c>
      <c r="F69" s="173" t="s">
        <v>5660</v>
      </c>
      <c r="G69" s="173" t="s">
        <v>5661</v>
      </c>
      <c r="H69" s="173"/>
      <c r="I69" s="173"/>
      <c r="J69" s="176" t="s">
        <v>21</v>
      </c>
      <c r="K69" s="173">
        <v>12200</v>
      </c>
      <c r="L69" s="173" t="s">
        <v>5733</v>
      </c>
      <c r="M69" s="173" t="s">
        <v>5884</v>
      </c>
      <c r="N69" s="173"/>
      <c r="O69" s="173"/>
      <c r="P69" s="173" t="s">
        <v>5723</v>
      </c>
      <c r="Q69" s="174">
        <v>43286</v>
      </c>
      <c r="R69" t="s">
        <v>3791</v>
      </c>
    </row>
    <row r="70" spans="1:18" x14ac:dyDescent="0.25">
      <c r="A70" s="173" t="s">
        <v>408</v>
      </c>
      <c r="B70" s="174">
        <v>43194</v>
      </c>
      <c r="C70" s="173">
        <v>4042018</v>
      </c>
      <c r="D70" s="173" t="s">
        <v>5734</v>
      </c>
      <c r="E70" s="173" t="s">
        <v>5735</v>
      </c>
      <c r="F70" s="173" t="s">
        <v>5581</v>
      </c>
      <c r="G70" s="173" t="s">
        <v>5582</v>
      </c>
      <c r="H70" s="173"/>
      <c r="I70" s="173"/>
      <c r="J70" s="176" t="s">
        <v>21</v>
      </c>
      <c r="K70" s="176">
        <v>3500</v>
      </c>
      <c r="L70" s="173" t="s">
        <v>5736</v>
      </c>
      <c r="M70" s="173" t="s">
        <v>5915</v>
      </c>
      <c r="N70" s="173"/>
      <c r="O70" s="173"/>
      <c r="P70" s="173" t="s">
        <v>5723</v>
      </c>
      <c r="Q70" s="174">
        <v>43286</v>
      </c>
      <c r="R70" t="s">
        <v>3791</v>
      </c>
    </row>
    <row r="71" spans="1:18" x14ac:dyDescent="0.25">
      <c r="A71" s="173" t="s">
        <v>408</v>
      </c>
      <c r="B71" s="174">
        <v>43258</v>
      </c>
      <c r="C71" s="173">
        <v>70618</v>
      </c>
      <c r="D71" s="173" t="s">
        <v>5737</v>
      </c>
      <c r="E71" s="173" t="s">
        <v>5738</v>
      </c>
      <c r="F71" s="173" t="s">
        <v>5404</v>
      </c>
      <c r="G71" s="173" t="s">
        <v>5616</v>
      </c>
      <c r="H71" s="176">
        <f>19000/1.21</f>
        <v>15702.479338842975</v>
      </c>
      <c r="I71" s="176">
        <f>+H71*0.21</f>
        <v>3297.5206611570247</v>
      </c>
      <c r="J71" s="176"/>
      <c r="K71" s="176">
        <f>+H71+I71</f>
        <v>19000</v>
      </c>
      <c r="L71" s="173" t="s">
        <v>5739</v>
      </c>
      <c r="M71" s="173" t="s">
        <v>5870</v>
      </c>
      <c r="N71" s="173"/>
      <c r="O71" s="173"/>
      <c r="P71" s="173" t="s">
        <v>5723</v>
      </c>
      <c r="Q71" s="174">
        <v>43286</v>
      </c>
      <c r="R71" t="s">
        <v>5869</v>
      </c>
    </row>
    <row r="72" spans="1:18" x14ac:dyDescent="0.25">
      <c r="A72" s="190" t="s">
        <v>12</v>
      </c>
      <c r="B72" s="191">
        <v>43257</v>
      </c>
      <c r="C72" s="213" t="s">
        <v>5740</v>
      </c>
      <c r="D72" s="190" t="s">
        <v>5246</v>
      </c>
      <c r="E72" s="190" t="s">
        <v>4800</v>
      </c>
      <c r="F72" s="190" t="s">
        <v>5663</v>
      </c>
      <c r="G72" s="190" t="s">
        <v>5741</v>
      </c>
      <c r="H72" s="192">
        <f>3400/1.21</f>
        <v>2809.9173553719011</v>
      </c>
      <c r="I72" s="192">
        <f>+H72*0.21</f>
        <v>590.08264462809916</v>
      </c>
      <c r="J72" s="192"/>
      <c r="K72" s="192">
        <f>+H72+I72</f>
        <v>3400</v>
      </c>
      <c r="L72" s="190" t="s">
        <v>5593</v>
      </c>
      <c r="M72" s="190"/>
      <c r="N72" s="190"/>
      <c r="O72" s="190"/>
      <c r="P72" s="190" t="s">
        <v>5723</v>
      </c>
      <c r="Q72" s="191">
        <v>43286</v>
      </c>
    </row>
    <row r="73" spans="1:18" x14ac:dyDescent="0.25">
      <c r="A73" s="173" t="s">
        <v>12</v>
      </c>
      <c r="B73" s="174">
        <v>43244</v>
      </c>
      <c r="C73" s="173" t="s">
        <v>5742</v>
      </c>
      <c r="D73" s="173" t="s">
        <v>5246</v>
      </c>
      <c r="E73" s="173" t="s">
        <v>4800</v>
      </c>
      <c r="F73" s="173" t="s">
        <v>3807</v>
      </c>
      <c r="G73" s="173" t="s">
        <v>5743</v>
      </c>
      <c r="H73" s="173"/>
      <c r="I73" s="173"/>
      <c r="J73" s="176" t="s">
        <v>21</v>
      </c>
      <c r="K73" s="176">
        <v>1700</v>
      </c>
      <c r="L73" s="173"/>
      <c r="M73" s="173"/>
      <c r="N73" s="173"/>
      <c r="O73" s="173"/>
      <c r="P73" s="173" t="s">
        <v>5723</v>
      </c>
      <c r="Q73" s="174">
        <v>43286</v>
      </c>
      <c r="R73" s="173"/>
    </row>
    <row r="74" spans="1:18" x14ac:dyDescent="0.25">
      <c r="A74" s="185" t="s">
        <v>12</v>
      </c>
      <c r="B74" s="183">
        <v>43259</v>
      </c>
      <c r="C74" s="185" t="s">
        <v>5744</v>
      </c>
      <c r="D74" s="185" t="s">
        <v>5246</v>
      </c>
      <c r="E74" s="185" t="s">
        <v>4800</v>
      </c>
      <c r="F74" s="185" t="s">
        <v>900</v>
      </c>
      <c r="G74" s="185" t="s">
        <v>5745</v>
      </c>
      <c r="H74" s="185"/>
      <c r="I74" s="185"/>
      <c r="J74" s="186" t="s">
        <v>21</v>
      </c>
      <c r="K74" s="186">
        <v>6600</v>
      </c>
      <c r="L74" s="185" t="s">
        <v>5593</v>
      </c>
      <c r="M74" s="185"/>
      <c r="N74" s="185"/>
      <c r="O74" s="185"/>
      <c r="P74" s="185" t="s">
        <v>5723</v>
      </c>
      <c r="Q74" s="183">
        <v>43290</v>
      </c>
    </row>
    <row r="75" spans="1:18" x14ac:dyDescent="0.25">
      <c r="A75" s="190" t="s">
        <v>12</v>
      </c>
      <c r="B75" s="191">
        <v>43258</v>
      </c>
      <c r="C75" s="213" t="s">
        <v>5747</v>
      </c>
      <c r="D75" s="190" t="s">
        <v>5246</v>
      </c>
      <c r="E75" s="190" t="s">
        <v>4800</v>
      </c>
      <c r="F75" s="190" t="s">
        <v>5663</v>
      </c>
      <c r="G75" s="190" t="s">
        <v>5746</v>
      </c>
      <c r="H75" s="192">
        <f>3500/1.21</f>
        <v>2892.5619834710747</v>
      </c>
      <c r="I75" s="192">
        <f>+H75*0.21</f>
        <v>607.43801652892569</v>
      </c>
      <c r="J75" s="192"/>
      <c r="K75" s="192">
        <f>+H75+I75</f>
        <v>3500.0000000000005</v>
      </c>
      <c r="L75" s="190" t="s">
        <v>5593</v>
      </c>
      <c r="M75" s="190"/>
      <c r="N75" s="190"/>
      <c r="O75" s="190"/>
      <c r="P75" s="190" t="s">
        <v>5723</v>
      </c>
      <c r="Q75" s="191">
        <v>43292</v>
      </c>
    </row>
    <row r="76" spans="1:18" x14ac:dyDescent="0.25">
      <c r="A76" s="173" t="s">
        <v>408</v>
      </c>
      <c r="B76" s="174">
        <v>43259</v>
      </c>
      <c r="C76" s="175" t="s">
        <v>5748</v>
      </c>
      <c r="D76" s="173" t="s">
        <v>5749</v>
      </c>
      <c r="E76" s="173" t="s">
        <v>5750</v>
      </c>
      <c r="F76" s="173" t="s">
        <v>5663</v>
      </c>
      <c r="G76" s="173" t="s">
        <v>5746</v>
      </c>
      <c r="H76" s="176">
        <f>3800/1.21</f>
        <v>3140.495867768595</v>
      </c>
      <c r="I76" s="176">
        <f>+H76*0.21</f>
        <v>659.50413223140492</v>
      </c>
      <c r="J76" s="176"/>
      <c r="K76" s="176">
        <f>+H76+I76</f>
        <v>3800</v>
      </c>
      <c r="L76" s="173" t="s">
        <v>5751</v>
      </c>
      <c r="M76" s="173" t="s">
        <v>5934</v>
      </c>
      <c r="N76" s="173"/>
      <c r="O76" s="173"/>
      <c r="P76" s="173" t="s">
        <v>5723</v>
      </c>
      <c r="Q76" s="174">
        <v>43292</v>
      </c>
      <c r="R76" t="s">
        <v>3791</v>
      </c>
    </row>
    <row r="77" spans="1:18" x14ac:dyDescent="0.25">
      <c r="A77" s="202" t="s">
        <v>12</v>
      </c>
      <c r="B77" s="203">
        <v>43292</v>
      </c>
      <c r="C77" s="209" t="s">
        <v>5753</v>
      </c>
      <c r="D77" s="202" t="s">
        <v>5246</v>
      </c>
      <c r="E77" s="202" t="s">
        <v>4800</v>
      </c>
      <c r="F77" s="202" t="s">
        <v>5456</v>
      </c>
      <c r="G77" s="202" t="s">
        <v>5754</v>
      </c>
      <c r="H77" s="202"/>
      <c r="I77" s="202"/>
      <c r="J77" s="202" t="s">
        <v>21</v>
      </c>
      <c r="K77" s="202">
        <v>3300</v>
      </c>
      <c r="L77" s="202" t="s">
        <v>5593</v>
      </c>
      <c r="M77" s="202" t="s">
        <v>5912</v>
      </c>
      <c r="N77" s="202"/>
      <c r="O77" s="202"/>
      <c r="P77" s="202" t="s">
        <v>5790</v>
      </c>
      <c r="Q77" s="203">
        <v>43375</v>
      </c>
      <c r="R77" t="s">
        <v>3791</v>
      </c>
    </row>
    <row r="78" spans="1:18" x14ac:dyDescent="0.25">
      <c r="A78" s="173" t="s">
        <v>12</v>
      </c>
      <c r="B78" s="174">
        <v>43314</v>
      </c>
      <c r="C78" s="175" t="s">
        <v>5755</v>
      </c>
      <c r="D78" s="173" t="s">
        <v>5246</v>
      </c>
      <c r="E78" s="173" t="s">
        <v>4800</v>
      </c>
      <c r="F78" s="173" t="s">
        <v>2966</v>
      </c>
      <c r="G78" s="173" t="s">
        <v>5756</v>
      </c>
      <c r="H78" s="173"/>
      <c r="I78" s="173"/>
      <c r="J78" s="176" t="s">
        <v>21</v>
      </c>
      <c r="K78" s="176">
        <v>3000</v>
      </c>
      <c r="L78" s="173"/>
      <c r="M78" s="173"/>
      <c r="N78" s="173"/>
      <c r="O78" s="173"/>
      <c r="P78" s="173" t="s">
        <v>5790</v>
      </c>
      <c r="Q78" s="174">
        <v>43375</v>
      </c>
      <c r="R78" s="173"/>
    </row>
    <row r="79" spans="1:18" x14ac:dyDescent="0.25">
      <c r="A79" s="185" t="s">
        <v>12</v>
      </c>
      <c r="B79" s="183">
        <v>43319</v>
      </c>
      <c r="C79" s="184" t="s">
        <v>5757</v>
      </c>
      <c r="D79" s="185" t="s">
        <v>5246</v>
      </c>
      <c r="E79" s="185" t="s">
        <v>4800</v>
      </c>
      <c r="F79" s="185" t="s">
        <v>5663</v>
      </c>
      <c r="G79" s="185" t="s">
        <v>5758</v>
      </c>
      <c r="H79" s="186">
        <f>3500/1.21</f>
        <v>2892.5619834710747</v>
      </c>
      <c r="I79" s="186">
        <f>+H79*0.21</f>
        <v>607.43801652892569</v>
      </c>
      <c r="J79" s="186"/>
      <c r="K79" s="186">
        <f>+H79+I79</f>
        <v>3500.0000000000005</v>
      </c>
      <c r="L79" s="185" t="s">
        <v>5593</v>
      </c>
      <c r="M79" s="185" t="s">
        <v>5821</v>
      </c>
      <c r="N79" s="185"/>
      <c r="O79" s="185"/>
      <c r="P79" s="185" t="s">
        <v>5790</v>
      </c>
      <c r="Q79" s="183">
        <v>43375</v>
      </c>
    </row>
    <row r="80" spans="1:18" x14ac:dyDescent="0.25">
      <c r="A80" s="173" t="s">
        <v>408</v>
      </c>
      <c r="B80" s="174">
        <v>43304</v>
      </c>
      <c r="C80" s="173">
        <v>23072018</v>
      </c>
      <c r="D80" s="173" t="s">
        <v>5759</v>
      </c>
      <c r="E80" s="173" t="s">
        <v>5760</v>
      </c>
      <c r="F80" s="173" t="s">
        <v>5193</v>
      </c>
      <c r="G80" s="173" t="s">
        <v>5666</v>
      </c>
      <c r="H80" s="173"/>
      <c r="I80" s="173"/>
      <c r="J80" s="176" t="s">
        <v>21</v>
      </c>
      <c r="K80" s="173">
        <v>15995</v>
      </c>
      <c r="L80" s="173" t="s">
        <v>5761</v>
      </c>
      <c r="M80" s="173" t="s">
        <v>5896</v>
      </c>
      <c r="N80" s="173"/>
      <c r="O80" s="173"/>
      <c r="P80" s="173" t="s">
        <v>5790</v>
      </c>
      <c r="Q80" s="174">
        <v>43375</v>
      </c>
      <c r="R80" t="s">
        <v>3186</v>
      </c>
    </row>
    <row r="81" spans="1:18" x14ac:dyDescent="0.25">
      <c r="A81" s="173" t="s">
        <v>408</v>
      </c>
      <c r="B81" s="174">
        <v>43332</v>
      </c>
      <c r="C81" s="173">
        <v>8202018</v>
      </c>
      <c r="D81" s="173" t="s">
        <v>5749</v>
      </c>
      <c r="E81" s="173" t="s">
        <v>5750</v>
      </c>
      <c r="F81" s="173" t="s">
        <v>5675</v>
      </c>
      <c r="G81" s="173" t="s">
        <v>5676</v>
      </c>
      <c r="H81" s="173"/>
      <c r="I81" s="173"/>
      <c r="J81" s="176" t="s">
        <v>21</v>
      </c>
      <c r="K81" s="173">
        <v>1500</v>
      </c>
      <c r="L81" s="173" t="s">
        <v>5762</v>
      </c>
      <c r="M81" s="173" t="s">
        <v>5935</v>
      </c>
      <c r="N81" s="173"/>
      <c r="O81" s="173"/>
      <c r="P81" s="173" t="s">
        <v>5790</v>
      </c>
      <c r="Q81" s="174">
        <v>43375</v>
      </c>
      <c r="R81" t="s">
        <v>3791</v>
      </c>
    </row>
    <row r="82" spans="1:18" x14ac:dyDescent="0.25">
      <c r="A82" s="173" t="s">
        <v>408</v>
      </c>
      <c r="B82" s="174">
        <v>43285</v>
      </c>
      <c r="C82" s="173">
        <v>40718</v>
      </c>
      <c r="D82" s="173" t="s">
        <v>5763</v>
      </c>
      <c r="E82" s="173" t="s">
        <v>5764</v>
      </c>
      <c r="F82" s="173" t="s">
        <v>5672</v>
      </c>
      <c r="G82" s="173" t="s">
        <v>5673</v>
      </c>
      <c r="H82" s="173"/>
      <c r="I82" s="173"/>
      <c r="J82" s="176" t="s">
        <v>21</v>
      </c>
      <c r="K82" s="173">
        <v>9995</v>
      </c>
      <c r="L82" s="173" t="s">
        <v>5765</v>
      </c>
      <c r="M82" s="173" t="s">
        <v>5930</v>
      </c>
      <c r="N82" s="173"/>
      <c r="O82" s="173"/>
      <c r="P82" s="173" t="s">
        <v>5790</v>
      </c>
      <c r="Q82" s="174">
        <v>43375</v>
      </c>
      <c r="R82" t="s">
        <v>3186</v>
      </c>
    </row>
    <row r="83" spans="1:18" x14ac:dyDescent="0.25">
      <c r="A83" s="173" t="s">
        <v>408</v>
      </c>
      <c r="B83" s="174">
        <v>43355</v>
      </c>
      <c r="C83" s="173">
        <v>120918</v>
      </c>
      <c r="D83" s="173" t="s">
        <v>5766</v>
      </c>
      <c r="E83" s="173" t="s">
        <v>5767</v>
      </c>
      <c r="F83" s="173" t="s">
        <v>3344</v>
      </c>
      <c r="G83" s="173" t="s">
        <v>5483</v>
      </c>
      <c r="H83" s="173"/>
      <c r="I83" s="173"/>
      <c r="J83" s="176" t="s">
        <v>21</v>
      </c>
      <c r="K83" s="176">
        <v>9205</v>
      </c>
      <c r="L83" s="173" t="s">
        <v>5692</v>
      </c>
      <c r="M83" s="173" t="s">
        <v>5919</v>
      </c>
      <c r="N83" s="173"/>
      <c r="O83" s="173"/>
      <c r="P83" s="173" t="s">
        <v>5790</v>
      </c>
      <c r="Q83" s="174">
        <v>43375</v>
      </c>
      <c r="R83" t="s">
        <v>3186</v>
      </c>
    </row>
    <row r="84" spans="1:18" x14ac:dyDescent="0.25">
      <c r="A84" s="173" t="s">
        <v>408</v>
      </c>
      <c r="B84" s="174">
        <v>43353</v>
      </c>
      <c r="C84" s="173">
        <v>100918</v>
      </c>
      <c r="D84" s="173" t="s">
        <v>5768</v>
      </c>
      <c r="E84" s="173" t="s">
        <v>5772</v>
      </c>
      <c r="F84" s="173" t="s">
        <v>5632</v>
      </c>
      <c r="G84" s="173" t="s">
        <v>5633</v>
      </c>
      <c r="H84" s="173"/>
      <c r="I84" s="173"/>
      <c r="J84" s="176" t="s">
        <v>21</v>
      </c>
      <c r="K84" s="176">
        <v>2000</v>
      </c>
      <c r="L84" s="173" t="s">
        <v>5769</v>
      </c>
      <c r="M84" s="173" t="s">
        <v>5897</v>
      </c>
      <c r="N84" s="173"/>
      <c r="O84" s="173"/>
      <c r="P84" s="173" t="s">
        <v>5790</v>
      </c>
      <c r="Q84" s="174">
        <v>43375</v>
      </c>
      <c r="R84" t="s">
        <v>3791</v>
      </c>
    </row>
    <row r="85" spans="1:18" x14ac:dyDescent="0.25">
      <c r="A85" s="173" t="s">
        <v>408</v>
      </c>
      <c r="B85" s="174">
        <v>43315</v>
      </c>
      <c r="C85" s="173">
        <v>30818</v>
      </c>
      <c r="D85" s="173" t="s">
        <v>5770</v>
      </c>
      <c r="E85" s="173" t="s">
        <v>5773</v>
      </c>
      <c r="F85" s="173" t="s">
        <v>5663</v>
      </c>
      <c r="G85" s="173" t="s">
        <v>5741</v>
      </c>
      <c r="H85" s="176">
        <f>5400/1.21</f>
        <v>4462.8099173553719</v>
      </c>
      <c r="I85" s="176">
        <f>+H85*0.21</f>
        <v>937.19008264462809</v>
      </c>
      <c r="J85" s="176"/>
      <c r="K85" s="176">
        <f>+H85+I85</f>
        <v>5400</v>
      </c>
      <c r="L85" s="173" t="s">
        <v>5771</v>
      </c>
      <c r="M85" s="173" t="s">
        <v>5892</v>
      </c>
      <c r="N85" s="173"/>
      <c r="O85" s="173"/>
      <c r="P85" s="173" t="s">
        <v>5790</v>
      </c>
      <c r="Q85" s="174">
        <v>43375</v>
      </c>
      <c r="R85" t="s">
        <v>3791</v>
      </c>
    </row>
    <row r="86" spans="1:18" x14ac:dyDescent="0.25">
      <c r="A86" s="173" t="s">
        <v>12</v>
      </c>
      <c r="B86" s="174">
        <v>43283</v>
      </c>
      <c r="C86" s="173" t="s">
        <v>951</v>
      </c>
      <c r="D86" s="173" t="s">
        <v>5688</v>
      </c>
      <c r="E86" s="173" t="s">
        <v>5689</v>
      </c>
      <c r="F86" s="173" t="s">
        <v>3206</v>
      </c>
      <c r="G86" s="173" t="s">
        <v>5774</v>
      </c>
      <c r="H86" s="173"/>
      <c r="I86" s="173"/>
      <c r="J86" s="176" t="s">
        <v>21</v>
      </c>
      <c r="K86" s="176">
        <v>300</v>
      </c>
      <c r="L86" s="173" t="s">
        <v>5593</v>
      </c>
      <c r="M86" s="173"/>
      <c r="N86" s="173"/>
      <c r="O86" s="173"/>
      <c r="P86" s="173" t="s">
        <v>5790</v>
      </c>
      <c r="Q86" s="174">
        <v>43375</v>
      </c>
    </row>
    <row r="87" spans="1:18" x14ac:dyDescent="0.25">
      <c r="A87" s="173" t="s">
        <v>408</v>
      </c>
      <c r="B87" s="174">
        <v>43354</v>
      </c>
      <c r="C87" s="173">
        <v>110918</v>
      </c>
      <c r="D87" s="173" t="s">
        <v>5701</v>
      </c>
      <c r="E87" s="173" t="s">
        <v>5702</v>
      </c>
      <c r="F87" s="173" t="s">
        <v>3206</v>
      </c>
      <c r="G87" s="173" t="s">
        <v>5774</v>
      </c>
      <c r="H87" s="173"/>
      <c r="I87" s="173"/>
      <c r="J87" s="176" t="s">
        <v>21</v>
      </c>
      <c r="K87" s="176">
        <v>700</v>
      </c>
      <c r="L87" s="173" t="s">
        <v>5775</v>
      </c>
      <c r="M87" s="173" t="s">
        <v>5900</v>
      </c>
      <c r="N87" s="173"/>
      <c r="O87" s="173"/>
      <c r="P87" s="173" t="s">
        <v>5790</v>
      </c>
      <c r="Q87" s="174">
        <v>43375</v>
      </c>
      <c r="R87" t="s">
        <v>3186</v>
      </c>
    </row>
    <row r="88" spans="1:18" x14ac:dyDescent="0.25">
      <c r="A88" s="173" t="s">
        <v>408</v>
      </c>
      <c r="B88" s="174">
        <v>43314</v>
      </c>
      <c r="C88" s="173">
        <v>208718</v>
      </c>
      <c r="D88" s="173" t="s">
        <v>5776</v>
      </c>
      <c r="E88" s="173" t="s">
        <v>5777</v>
      </c>
      <c r="F88" s="173" t="s">
        <v>5451</v>
      </c>
      <c r="G88" s="173" t="s">
        <v>5452</v>
      </c>
      <c r="H88" s="173"/>
      <c r="I88" s="173"/>
      <c r="J88" s="173" t="s">
        <v>21</v>
      </c>
      <c r="K88" s="173">
        <v>11490</v>
      </c>
      <c r="L88" s="173" t="s">
        <v>5778</v>
      </c>
      <c r="M88" s="173" t="s">
        <v>5881</v>
      </c>
      <c r="N88" s="173"/>
      <c r="O88" s="173"/>
      <c r="P88" s="173" t="s">
        <v>5790</v>
      </c>
      <c r="Q88" s="174">
        <v>43375</v>
      </c>
      <c r="R88" t="s">
        <v>3186</v>
      </c>
    </row>
    <row r="89" spans="1:18" x14ac:dyDescent="0.25">
      <c r="A89" s="190" t="s">
        <v>408</v>
      </c>
      <c r="B89" s="191">
        <v>43312</v>
      </c>
      <c r="C89" s="190">
        <v>310718</v>
      </c>
      <c r="D89" s="190" t="s">
        <v>5701</v>
      </c>
      <c r="E89" s="190" t="s">
        <v>5702</v>
      </c>
      <c r="F89" s="190" t="s">
        <v>442</v>
      </c>
      <c r="G89" s="190" t="s">
        <v>5586</v>
      </c>
      <c r="H89" s="190"/>
      <c r="I89" s="190"/>
      <c r="J89" s="192" t="s">
        <v>21</v>
      </c>
      <c r="K89" s="192">
        <v>4000</v>
      </c>
      <c r="L89" s="190" t="s">
        <v>5779</v>
      </c>
      <c r="M89" s="190" t="s">
        <v>5900</v>
      </c>
      <c r="N89" s="190"/>
      <c r="O89" s="190"/>
      <c r="P89" s="190" t="s">
        <v>5790</v>
      </c>
      <c r="Q89" s="191">
        <v>43375</v>
      </c>
    </row>
    <row r="90" spans="1:18" x14ac:dyDescent="0.25">
      <c r="A90" s="173" t="s">
        <v>12</v>
      </c>
      <c r="B90" s="174">
        <v>43322</v>
      </c>
      <c r="C90" s="173" t="s">
        <v>951</v>
      </c>
      <c r="D90" s="173" t="s">
        <v>5780</v>
      </c>
      <c r="E90" s="173" t="s">
        <v>5781</v>
      </c>
      <c r="F90" s="173" t="s">
        <v>5782</v>
      </c>
      <c r="G90" s="173" t="s">
        <v>5783</v>
      </c>
      <c r="H90" s="173"/>
      <c r="I90" s="173"/>
      <c r="J90" s="176" t="s">
        <v>21</v>
      </c>
      <c r="K90" s="176">
        <v>2600</v>
      </c>
      <c r="L90" s="173"/>
      <c r="M90" s="173" t="s">
        <v>5905</v>
      </c>
      <c r="N90" s="173"/>
      <c r="O90" s="173"/>
      <c r="P90" s="173" t="s">
        <v>5790</v>
      </c>
      <c r="Q90" s="174">
        <v>43375</v>
      </c>
      <c r="R90" s="173" t="s">
        <v>3186</v>
      </c>
    </row>
    <row r="91" spans="1:18" x14ac:dyDescent="0.25">
      <c r="A91" s="202" t="s">
        <v>12</v>
      </c>
      <c r="B91" s="203">
        <v>43314</v>
      </c>
      <c r="C91" s="202" t="s">
        <v>951</v>
      </c>
      <c r="D91" s="202" t="s">
        <v>5784</v>
      </c>
      <c r="E91" s="202" t="s">
        <v>5785</v>
      </c>
      <c r="F91" s="202" t="s">
        <v>5115</v>
      </c>
      <c r="G91" s="202" t="s">
        <v>5786</v>
      </c>
      <c r="H91" s="202"/>
      <c r="I91" s="202"/>
      <c r="J91" s="208" t="s">
        <v>21</v>
      </c>
      <c r="K91" s="208">
        <v>800</v>
      </c>
      <c r="L91" s="202" t="s">
        <v>5593</v>
      </c>
      <c r="M91" s="202"/>
      <c r="N91" s="202"/>
      <c r="O91" s="202"/>
      <c r="P91" s="202" t="s">
        <v>5790</v>
      </c>
      <c r="Q91" s="203">
        <v>43375</v>
      </c>
    </row>
    <row r="92" spans="1:18" x14ac:dyDescent="0.25">
      <c r="A92" s="190" t="s">
        <v>408</v>
      </c>
      <c r="B92" s="191">
        <v>43369</v>
      </c>
      <c r="C92" s="190">
        <v>260918</v>
      </c>
      <c r="D92" s="190" t="s">
        <v>5787</v>
      </c>
      <c r="E92" s="190" t="s">
        <v>5789</v>
      </c>
      <c r="F92" s="190" t="s">
        <v>5115</v>
      </c>
      <c r="G92" s="190" t="s">
        <v>5786</v>
      </c>
      <c r="H92" s="190"/>
      <c r="I92" s="190"/>
      <c r="J92" s="192" t="s">
        <v>21</v>
      </c>
      <c r="K92" s="192">
        <v>1100</v>
      </c>
      <c r="L92" s="190" t="s">
        <v>5788</v>
      </c>
      <c r="M92" s="190" t="s">
        <v>31</v>
      </c>
      <c r="N92" s="190"/>
      <c r="O92" s="190"/>
      <c r="P92" s="190" t="s">
        <v>5790</v>
      </c>
      <c r="Q92" s="191">
        <v>43375</v>
      </c>
      <c r="R92" s="190"/>
    </row>
    <row r="93" spans="1:18" x14ac:dyDescent="0.25">
      <c r="A93" s="173" t="s">
        <v>12</v>
      </c>
      <c r="B93" s="174">
        <v>43452</v>
      </c>
      <c r="C93" s="175" t="s">
        <v>5791</v>
      </c>
      <c r="D93" s="173" t="s">
        <v>5246</v>
      </c>
      <c r="E93" s="173" t="s">
        <v>4800</v>
      </c>
      <c r="F93" s="173" t="s">
        <v>400</v>
      </c>
      <c r="G93" s="173" t="s">
        <v>5792</v>
      </c>
      <c r="H93" s="173"/>
      <c r="I93" s="173"/>
      <c r="J93" s="176" t="s">
        <v>21</v>
      </c>
      <c r="K93" s="176">
        <v>6200</v>
      </c>
      <c r="L93" s="173"/>
      <c r="M93" s="173" t="s">
        <v>5815</v>
      </c>
      <c r="N93" s="173"/>
      <c r="O93" s="173"/>
      <c r="P93" s="173" t="s">
        <v>5937</v>
      </c>
      <c r="Q93" s="173"/>
      <c r="R93" s="173" t="s">
        <v>3186</v>
      </c>
    </row>
    <row r="94" spans="1:18" x14ac:dyDescent="0.25">
      <c r="A94" s="173" t="s">
        <v>12</v>
      </c>
      <c r="B94" s="174">
        <v>43448</v>
      </c>
      <c r="C94" s="175" t="s">
        <v>5793</v>
      </c>
      <c r="D94" s="173" t="s">
        <v>5246</v>
      </c>
      <c r="E94" s="173" t="s">
        <v>4800</v>
      </c>
      <c r="F94" s="173" t="s">
        <v>5193</v>
      </c>
      <c r="G94" s="173" t="s">
        <v>5794</v>
      </c>
      <c r="H94" s="173"/>
      <c r="I94" s="173"/>
      <c r="J94" s="176" t="s">
        <v>21</v>
      </c>
      <c r="K94" s="176">
        <v>14500</v>
      </c>
      <c r="L94" s="173"/>
      <c r="M94" s="173" t="s">
        <v>5816</v>
      </c>
      <c r="N94" s="173"/>
      <c r="O94" s="173"/>
      <c r="P94" s="173" t="s">
        <v>5937</v>
      </c>
      <c r="Q94" s="173"/>
      <c r="R94" s="173" t="s">
        <v>3186</v>
      </c>
    </row>
    <row r="95" spans="1:18" x14ac:dyDescent="0.25">
      <c r="A95" s="173" t="s">
        <v>12</v>
      </c>
      <c r="B95" s="174">
        <v>43437</v>
      </c>
      <c r="C95" s="175" t="s">
        <v>5795</v>
      </c>
      <c r="D95" s="173" t="s">
        <v>5246</v>
      </c>
      <c r="E95" s="173" t="s">
        <v>4800</v>
      </c>
      <c r="F95" s="173" t="s">
        <v>3725</v>
      </c>
      <c r="G95" s="173" t="s">
        <v>5796</v>
      </c>
      <c r="H95" s="173"/>
      <c r="I95" s="173"/>
      <c r="J95" s="176" t="s">
        <v>21</v>
      </c>
      <c r="K95" s="176">
        <v>5200</v>
      </c>
      <c r="L95" s="173"/>
      <c r="M95" s="173" t="s">
        <v>5817</v>
      </c>
      <c r="N95" s="173"/>
      <c r="O95" s="173"/>
      <c r="P95" s="173" t="s">
        <v>5937</v>
      </c>
      <c r="Q95" s="173"/>
      <c r="R95" s="173"/>
    </row>
    <row r="96" spans="1:18" x14ac:dyDescent="0.25">
      <c r="A96" s="173" t="s">
        <v>12</v>
      </c>
      <c r="B96" s="174">
        <v>43437</v>
      </c>
      <c r="C96" s="175" t="s">
        <v>5797</v>
      </c>
      <c r="D96" s="173" t="s">
        <v>5246</v>
      </c>
      <c r="E96" s="173" t="s">
        <v>4800</v>
      </c>
      <c r="F96" s="173" t="s">
        <v>5798</v>
      </c>
      <c r="G96" s="173" t="s">
        <v>5799</v>
      </c>
      <c r="H96" s="173"/>
      <c r="I96" s="173"/>
      <c r="J96" s="176" t="s">
        <v>21</v>
      </c>
      <c r="K96" s="176">
        <v>6500</v>
      </c>
      <c r="L96" s="173"/>
      <c r="M96" s="173" t="s">
        <v>5818</v>
      </c>
      <c r="N96" s="173"/>
      <c r="O96" s="173"/>
      <c r="P96" s="173" t="s">
        <v>5937</v>
      </c>
      <c r="Q96" s="173"/>
      <c r="R96" s="173"/>
    </row>
    <row r="97" spans="1:18" x14ac:dyDescent="0.25">
      <c r="A97" s="185" t="s">
        <v>12</v>
      </c>
      <c r="B97" s="207">
        <v>43403</v>
      </c>
      <c r="C97" s="184" t="s">
        <v>5800</v>
      </c>
      <c r="D97" s="185" t="s">
        <v>5246</v>
      </c>
      <c r="E97" s="185" t="s">
        <v>4800</v>
      </c>
      <c r="F97" s="202" t="s">
        <v>5663</v>
      </c>
      <c r="G97" s="202" t="s">
        <v>5801</v>
      </c>
      <c r="H97" s="186">
        <f>4000.01/1.21</f>
        <v>3305.7933884297522</v>
      </c>
      <c r="I97" s="186">
        <f>+H97*0.21</f>
        <v>694.21661157024789</v>
      </c>
      <c r="J97" s="186"/>
      <c r="K97" s="186">
        <f>+H97+I97</f>
        <v>4000.01</v>
      </c>
      <c r="L97" t="s">
        <v>5593</v>
      </c>
      <c r="M97" t="s">
        <v>5819</v>
      </c>
      <c r="P97" s="173" t="s">
        <v>5937</v>
      </c>
    </row>
    <row r="98" spans="1:18" x14ac:dyDescent="0.25">
      <c r="A98" s="173" t="s">
        <v>12</v>
      </c>
      <c r="B98" s="207">
        <v>43403</v>
      </c>
      <c r="C98" s="175" t="s">
        <v>5802</v>
      </c>
      <c r="D98" s="173" t="s">
        <v>5246</v>
      </c>
      <c r="E98" s="173" t="s">
        <v>4800</v>
      </c>
      <c r="F98" s="202" t="s">
        <v>5663</v>
      </c>
      <c r="G98" s="202" t="s">
        <v>5803</v>
      </c>
      <c r="H98" s="176">
        <f>4000.01/1.21</f>
        <v>3305.7933884297522</v>
      </c>
      <c r="I98" s="176">
        <f>+H98*0.21</f>
        <v>694.21661157024789</v>
      </c>
      <c r="J98" s="176"/>
      <c r="K98" s="176">
        <f>+H98+I98</f>
        <v>4000.01</v>
      </c>
      <c r="L98" t="s">
        <v>5593</v>
      </c>
      <c r="M98" t="s">
        <v>5819</v>
      </c>
      <c r="P98" s="173" t="s">
        <v>5937</v>
      </c>
    </row>
    <row r="99" spans="1:18" x14ac:dyDescent="0.25">
      <c r="A99" s="202" t="s">
        <v>12</v>
      </c>
      <c r="B99" s="207">
        <v>43397</v>
      </c>
      <c r="C99" s="213" t="s">
        <v>5804</v>
      </c>
      <c r="D99" s="190" t="s">
        <v>5246</v>
      </c>
      <c r="E99" s="190" t="s">
        <v>4800</v>
      </c>
      <c r="F99" s="202" t="s">
        <v>5663</v>
      </c>
      <c r="G99" s="202" t="s">
        <v>5805</v>
      </c>
      <c r="H99" s="192">
        <f>3800.01/1.21</f>
        <v>3140.504132231405</v>
      </c>
      <c r="I99" s="192">
        <f>+H99*0.21</f>
        <v>659.50586776859507</v>
      </c>
      <c r="J99" s="192"/>
      <c r="K99" s="192">
        <f>+H99+I99</f>
        <v>3800.01</v>
      </c>
      <c r="L99" t="s">
        <v>5593</v>
      </c>
      <c r="P99" s="173" t="s">
        <v>5937</v>
      </c>
    </row>
    <row r="100" spans="1:18" x14ac:dyDescent="0.25">
      <c r="A100" s="173" t="s">
        <v>12</v>
      </c>
      <c r="B100" s="174">
        <v>43388</v>
      </c>
      <c r="C100" s="175" t="s">
        <v>5806</v>
      </c>
      <c r="D100" s="173" t="s">
        <v>5246</v>
      </c>
      <c r="E100" s="173" t="s">
        <v>4800</v>
      </c>
      <c r="F100" s="173" t="s">
        <v>5271</v>
      </c>
      <c r="G100" s="173" t="s">
        <v>5807</v>
      </c>
      <c r="H100" s="173"/>
      <c r="I100" s="173"/>
      <c r="J100" s="173" t="s">
        <v>21</v>
      </c>
      <c r="K100" s="173">
        <v>8500</v>
      </c>
      <c r="L100" s="173"/>
      <c r="M100" s="173" t="s">
        <v>5820</v>
      </c>
      <c r="N100" s="173"/>
      <c r="O100" s="173"/>
      <c r="P100" s="173" t="s">
        <v>5937</v>
      </c>
      <c r="Q100" s="173"/>
      <c r="R100" s="173"/>
    </row>
    <row r="101" spans="1:18" x14ac:dyDescent="0.25">
      <c r="A101" s="173" t="s">
        <v>12</v>
      </c>
      <c r="B101" s="174">
        <v>43444</v>
      </c>
      <c r="C101" s="173" t="s">
        <v>5809</v>
      </c>
      <c r="D101" s="173" t="s">
        <v>5808</v>
      </c>
      <c r="E101" s="173" t="s">
        <v>4797</v>
      </c>
      <c r="F101" s="173" t="s">
        <v>5810</v>
      </c>
      <c r="G101" s="173" t="s">
        <v>5811</v>
      </c>
      <c r="H101" s="173"/>
      <c r="I101" s="173"/>
      <c r="J101" s="176" t="s">
        <v>21</v>
      </c>
      <c r="K101" s="173">
        <v>6200</v>
      </c>
      <c r="L101" s="173"/>
      <c r="M101" s="173" t="s">
        <v>5907</v>
      </c>
      <c r="N101" s="173"/>
      <c r="O101" s="173"/>
      <c r="P101" s="173" t="s">
        <v>5937</v>
      </c>
      <c r="Q101" s="173"/>
      <c r="R101" s="173" t="s">
        <v>3186</v>
      </c>
    </row>
    <row r="102" spans="1:18" x14ac:dyDescent="0.25">
      <c r="A102" s="202" t="s">
        <v>12</v>
      </c>
      <c r="B102" s="207">
        <v>43395</v>
      </c>
      <c r="C102" s="209" t="s">
        <v>951</v>
      </c>
      <c r="D102" s="202" t="s">
        <v>5812</v>
      </c>
      <c r="E102" s="202" t="s">
        <v>5813</v>
      </c>
      <c r="F102" s="202" t="s">
        <v>5814</v>
      </c>
      <c r="G102" t="s">
        <v>5577</v>
      </c>
      <c r="J102" t="s">
        <v>21</v>
      </c>
      <c r="K102">
        <v>4500</v>
      </c>
      <c r="L102" t="s">
        <v>5593</v>
      </c>
      <c r="M102" t="s">
        <v>5911</v>
      </c>
      <c r="P102" s="173" t="s">
        <v>5937</v>
      </c>
      <c r="R102" t="s">
        <v>3791</v>
      </c>
    </row>
    <row r="103" spans="1:18" x14ac:dyDescent="0.25">
      <c r="A103" t="s">
        <v>408</v>
      </c>
      <c r="B103" s="207">
        <v>43454</v>
      </c>
      <c r="C103">
        <v>201218</v>
      </c>
      <c r="D103" t="s">
        <v>5822</v>
      </c>
      <c r="E103" t="s">
        <v>5823</v>
      </c>
      <c r="F103" s="173" t="s">
        <v>5092</v>
      </c>
      <c r="G103" s="173" t="s">
        <v>5678</v>
      </c>
      <c r="H103" s="173"/>
      <c r="I103" s="173"/>
      <c r="J103" s="173" t="s">
        <v>21</v>
      </c>
      <c r="K103" s="173">
        <v>8150</v>
      </c>
      <c r="L103" t="s">
        <v>5824</v>
      </c>
      <c r="M103" t="s">
        <v>5888</v>
      </c>
      <c r="P103" s="173" t="s">
        <v>5937</v>
      </c>
      <c r="R103" t="s">
        <v>3791</v>
      </c>
    </row>
    <row r="104" spans="1:18" x14ac:dyDescent="0.25">
      <c r="A104" t="s">
        <v>408</v>
      </c>
      <c r="B104" s="207">
        <v>43426</v>
      </c>
      <c r="C104">
        <v>221118</v>
      </c>
      <c r="D104" t="s">
        <v>5920</v>
      </c>
      <c r="E104" t="s">
        <v>5825</v>
      </c>
      <c r="F104" s="202" t="s">
        <v>5663</v>
      </c>
      <c r="G104" s="202" t="s">
        <v>5801</v>
      </c>
      <c r="H104" s="176">
        <f>5800/1.21</f>
        <v>4793.3884297520663</v>
      </c>
      <c r="I104" s="176">
        <f>+H104*0.21</f>
        <v>1006.6115702479339</v>
      </c>
      <c r="J104" s="176"/>
      <c r="K104" s="176">
        <f>+H104+I104</f>
        <v>5800</v>
      </c>
      <c r="L104" t="s">
        <v>5826</v>
      </c>
      <c r="M104" t="s">
        <v>5921</v>
      </c>
      <c r="P104" s="173" t="s">
        <v>5937</v>
      </c>
      <c r="R104" t="s">
        <v>3791</v>
      </c>
    </row>
    <row r="105" spans="1:18" x14ac:dyDescent="0.25">
      <c r="A105" t="s">
        <v>408</v>
      </c>
      <c r="B105" s="207">
        <v>43432</v>
      </c>
      <c r="C105">
        <v>281118</v>
      </c>
      <c r="D105" t="s">
        <v>5827</v>
      </c>
      <c r="E105" t="s">
        <v>5828</v>
      </c>
      <c r="F105" s="202" t="s">
        <v>5663</v>
      </c>
      <c r="G105" s="202" t="s">
        <v>5803</v>
      </c>
      <c r="H105" s="176">
        <f>5000/1.21</f>
        <v>4132.2314049586776</v>
      </c>
      <c r="I105" s="176">
        <f>+H105*0.21</f>
        <v>867.76859504132221</v>
      </c>
      <c r="J105" s="176"/>
      <c r="K105" s="176">
        <f>+H105+I105</f>
        <v>5000</v>
      </c>
      <c r="L105" t="s">
        <v>5826</v>
      </c>
      <c r="M105" t="s">
        <v>5893</v>
      </c>
      <c r="P105" s="173" t="s">
        <v>5937</v>
      </c>
      <c r="R105" t="s">
        <v>3791</v>
      </c>
    </row>
    <row r="106" spans="1:18" x14ac:dyDescent="0.25">
      <c r="A106" t="s">
        <v>408</v>
      </c>
      <c r="B106" s="207">
        <v>43427</v>
      </c>
      <c r="C106">
        <v>23112018</v>
      </c>
      <c r="D106" t="s">
        <v>5829</v>
      </c>
      <c r="E106" t="s">
        <v>5830</v>
      </c>
      <c r="F106" s="173" t="s">
        <v>5623</v>
      </c>
      <c r="G106" s="173" t="s">
        <v>5624</v>
      </c>
      <c r="H106" s="173"/>
      <c r="I106" s="173"/>
      <c r="J106" s="176" t="s">
        <v>21</v>
      </c>
      <c r="K106" s="176">
        <v>3000</v>
      </c>
      <c r="L106" t="s">
        <v>5831</v>
      </c>
      <c r="M106" t="s">
        <v>5933</v>
      </c>
      <c r="P106" s="173" t="s">
        <v>5937</v>
      </c>
      <c r="R106" t="s">
        <v>3791</v>
      </c>
    </row>
    <row r="107" spans="1:18" x14ac:dyDescent="0.25">
      <c r="A107" t="s">
        <v>408</v>
      </c>
      <c r="B107" s="207">
        <v>43409</v>
      </c>
      <c r="C107">
        <v>51118</v>
      </c>
      <c r="D107" t="s">
        <v>5832</v>
      </c>
      <c r="E107" t="s">
        <v>5833</v>
      </c>
      <c r="F107" s="173" t="s">
        <v>5474</v>
      </c>
      <c r="G107" s="173" t="s">
        <v>5475</v>
      </c>
      <c r="H107" s="173"/>
      <c r="I107" s="173"/>
      <c r="J107" s="176" t="s">
        <v>21</v>
      </c>
      <c r="K107" s="176">
        <v>8000</v>
      </c>
      <c r="L107" t="s">
        <v>5692</v>
      </c>
      <c r="M107" t="s">
        <v>5899</v>
      </c>
      <c r="P107" s="173" t="s">
        <v>5937</v>
      </c>
      <c r="R107" t="s">
        <v>3186</v>
      </c>
    </row>
    <row r="108" spans="1:18" x14ac:dyDescent="0.25">
      <c r="A108" t="s">
        <v>408</v>
      </c>
      <c r="B108" s="207">
        <v>43374</v>
      </c>
      <c r="C108">
        <v>11018</v>
      </c>
      <c r="D108" t="s">
        <v>5901</v>
      </c>
      <c r="E108" t="s">
        <v>5834</v>
      </c>
      <c r="F108" s="173" t="s">
        <v>5456</v>
      </c>
      <c r="G108" s="173" t="s">
        <v>5754</v>
      </c>
      <c r="H108" s="173"/>
      <c r="I108" s="173"/>
      <c r="J108" s="173" t="s">
        <v>21</v>
      </c>
      <c r="K108" s="173">
        <v>4500</v>
      </c>
      <c r="L108" t="s">
        <v>5835</v>
      </c>
      <c r="M108" t="s">
        <v>5898</v>
      </c>
      <c r="P108" s="173" t="s">
        <v>5937</v>
      </c>
      <c r="R108" t="s">
        <v>3186</v>
      </c>
    </row>
    <row r="109" spans="1:18" x14ac:dyDescent="0.25">
      <c r="A109" s="202" t="s">
        <v>408</v>
      </c>
      <c r="B109" s="207">
        <v>43399</v>
      </c>
      <c r="C109">
        <v>261018</v>
      </c>
      <c r="D109" s="202" t="s">
        <v>5836</v>
      </c>
      <c r="E109" s="202" t="s">
        <v>5837</v>
      </c>
      <c r="F109" s="202" t="s">
        <v>5814</v>
      </c>
      <c r="G109" t="s">
        <v>5577</v>
      </c>
      <c r="J109" t="s">
        <v>21</v>
      </c>
      <c r="K109">
        <v>4600</v>
      </c>
      <c r="L109" t="s">
        <v>5838</v>
      </c>
      <c r="M109" t="s">
        <v>5917</v>
      </c>
      <c r="P109" s="173" t="s">
        <v>5937</v>
      </c>
      <c r="R109" t="s">
        <v>3791</v>
      </c>
    </row>
    <row r="110" spans="1:18" x14ac:dyDescent="0.25">
      <c r="A110" t="s">
        <v>408</v>
      </c>
      <c r="B110" s="207">
        <v>43402</v>
      </c>
      <c r="C110">
        <v>291018</v>
      </c>
      <c r="D110" t="s">
        <v>2931</v>
      </c>
      <c r="E110" t="s">
        <v>5839</v>
      </c>
      <c r="F110" s="202" t="s">
        <v>5663</v>
      </c>
      <c r="G110" s="202" t="s">
        <v>5805</v>
      </c>
      <c r="H110" s="176">
        <f>4650/1.21</f>
        <v>3842.9752066115702</v>
      </c>
      <c r="I110" s="176">
        <f>+H110*0.21</f>
        <v>807.02479338842977</v>
      </c>
      <c r="J110" s="176"/>
      <c r="K110" s="176">
        <f>+H110+I110</f>
        <v>4650</v>
      </c>
      <c r="L110" t="s">
        <v>5840</v>
      </c>
      <c r="M110" t="s">
        <v>5932</v>
      </c>
      <c r="P110" s="173" t="s">
        <v>5937</v>
      </c>
      <c r="R110" t="s">
        <v>3186</v>
      </c>
    </row>
    <row r="111" spans="1:18" x14ac:dyDescent="0.25">
      <c r="A111" t="s">
        <v>408</v>
      </c>
      <c r="B111" s="207">
        <v>43395</v>
      </c>
      <c r="C111">
        <v>221018</v>
      </c>
      <c r="D111" t="s">
        <v>5841</v>
      </c>
      <c r="E111" t="s">
        <v>5842</v>
      </c>
      <c r="F111" s="173" t="s">
        <v>5663</v>
      </c>
      <c r="G111" s="173" t="s">
        <v>5758</v>
      </c>
      <c r="H111" s="176">
        <f>3800/1.21</f>
        <v>3140.495867768595</v>
      </c>
      <c r="I111" s="176">
        <f>+H111*0.21</f>
        <v>659.50413223140492</v>
      </c>
      <c r="J111" s="176"/>
      <c r="K111" s="176">
        <f>+H111+I111</f>
        <v>3800</v>
      </c>
      <c r="L111" t="s">
        <v>5843</v>
      </c>
      <c r="M111" t="s">
        <v>5913</v>
      </c>
      <c r="P111" s="173" t="s">
        <v>5937</v>
      </c>
      <c r="R111" t="s">
        <v>3186</v>
      </c>
    </row>
    <row r="112" spans="1:18" x14ac:dyDescent="0.25">
      <c r="A112" t="s">
        <v>408</v>
      </c>
      <c r="B112" s="207">
        <v>43378</v>
      </c>
      <c r="C112">
        <v>5102018</v>
      </c>
      <c r="D112" t="s">
        <v>5844</v>
      </c>
      <c r="E112" t="s">
        <v>5845</v>
      </c>
      <c r="F112" s="190" t="s">
        <v>900</v>
      </c>
      <c r="G112" s="190" t="s">
        <v>5745</v>
      </c>
      <c r="H112" s="190"/>
      <c r="I112" s="190"/>
      <c r="J112" s="192" t="s">
        <v>21</v>
      </c>
      <c r="K112" s="192">
        <v>10000</v>
      </c>
      <c r="L112" t="s">
        <v>5923</v>
      </c>
      <c r="M112" t="s">
        <v>5924</v>
      </c>
      <c r="P112" s="173" t="s">
        <v>5937</v>
      </c>
      <c r="R112" t="s">
        <v>3186</v>
      </c>
    </row>
    <row r="113" spans="1:18" x14ac:dyDescent="0.25">
      <c r="A113" s="173" t="s">
        <v>12</v>
      </c>
      <c r="B113" s="174">
        <v>43326</v>
      </c>
      <c r="C113" s="173" t="s">
        <v>951</v>
      </c>
      <c r="D113" s="173" t="s">
        <v>5846</v>
      </c>
      <c r="E113" s="173" t="s">
        <v>5847</v>
      </c>
      <c r="F113" s="173" t="s">
        <v>3210</v>
      </c>
      <c r="G113" s="173" t="s">
        <v>5848</v>
      </c>
      <c r="H113" s="173"/>
      <c r="I113" s="173"/>
      <c r="J113" s="176" t="s">
        <v>21</v>
      </c>
      <c r="K113" s="176">
        <v>2200</v>
      </c>
      <c r="L113" s="173"/>
      <c r="M113" s="173" t="s">
        <v>5906</v>
      </c>
      <c r="N113" s="173"/>
      <c r="O113" s="173"/>
      <c r="P113" s="173" t="s">
        <v>5937</v>
      </c>
      <c r="Q113" s="173"/>
      <c r="R113" s="173" t="s">
        <v>3186</v>
      </c>
    </row>
    <row r="114" spans="1:18" x14ac:dyDescent="0.25">
      <c r="A114" t="s">
        <v>12</v>
      </c>
      <c r="B114" s="207">
        <v>43321</v>
      </c>
      <c r="C114" t="s">
        <v>951</v>
      </c>
      <c r="D114" t="s">
        <v>5849</v>
      </c>
      <c r="E114" t="s">
        <v>5850</v>
      </c>
      <c r="F114" s="202" t="s">
        <v>2718</v>
      </c>
      <c r="G114" s="210" t="s">
        <v>5851</v>
      </c>
      <c r="J114" s="211" t="s">
        <v>21</v>
      </c>
      <c r="K114" s="211">
        <v>600</v>
      </c>
      <c r="L114" t="s">
        <v>5593</v>
      </c>
      <c r="M114" t="s">
        <v>5927</v>
      </c>
      <c r="P114" s="173" t="s">
        <v>5937</v>
      </c>
      <c r="R114" t="s">
        <v>3791</v>
      </c>
    </row>
    <row r="115" spans="1:18" x14ac:dyDescent="0.25">
      <c r="A115" t="s">
        <v>12</v>
      </c>
      <c r="B115" s="207">
        <v>43287</v>
      </c>
      <c r="C115" t="s">
        <v>951</v>
      </c>
      <c r="D115" t="s">
        <v>5852</v>
      </c>
      <c r="E115" t="s">
        <v>5853</v>
      </c>
      <c r="F115" t="s">
        <v>4120</v>
      </c>
      <c r="G115" s="210" t="s">
        <v>5854</v>
      </c>
      <c r="J115" s="211" t="s">
        <v>21</v>
      </c>
      <c r="K115" s="211">
        <v>4000</v>
      </c>
      <c r="L115" t="s">
        <v>5593</v>
      </c>
      <c r="M115" t="s">
        <v>5902</v>
      </c>
      <c r="P115" s="173" t="s">
        <v>5937</v>
      </c>
      <c r="R115" t="s">
        <v>3186</v>
      </c>
    </row>
    <row r="116" spans="1:18" x14ac:dyDescent="0.25">
      <c r="A116" t="s">
        <v>12</v>
      </c>
      <c r="B116" s="207">
        <v>43381</v>
      </c>
      <c r="C116" t="s">
        <v>951</v>
      </c>
      <c r="D116" t="s">
        <v>5855</v>
      </c>
      <c r="E116" t="s">
        <v>5856</v>
      </c>
      <c r="F116" t="s">
        <v>4223</v>
      </c>
      <c r="G116" s="210" t="s">
        <v>5857</v>
      </c>
      <c r="J116" s="211" t="s">
        <v>21</v>
      </c>
      <c r="K116" s="211">
        <v>6000</v>
      </c>
      <c r="L116" t="s">
        <v>5593</v>
      </c>
      <c r="M116" t="s">
        <v>5914</v>
      </c>
      <c r="P116" s="173" t="s">
        <v>5937</v>
      </c>
      <c r="R116" t="s">
        <v>3791</v>
      </c>
    </row>
    <row r="117" spans="1:18" x14ac:dyDescent="0.25">
      <c r="A117" s="173" t="s">
        <v>408</v>
      </c>
      <c r="B117" s="174">
        <v>43404</v>
      </c>
      <c r="C117" s="173">
        <v>311018</v>
      </c>
      <c r="D117" s="173" t="s">
        <v>5858</v>
      </c>
      <c r="E117" s="173" t="s">
        <v>5859</v>
      </c>
      <c r="F117" s="173" t="s">
        <v>2718</v>
      </c>
      <c r="G117" s="173" t="s">
        <v>5851</v>
      </c>
      <c r="H117" s="173"/>
      <c r="I117" s="173"/>
      <c r="J117" s="176" t="s">
        <v>21</v>
      </c>
      <c r="K117" s="176">
        <v>1000</v>
      </c>
      <c r="L117" s="173" t="s">
        <v>5860</v>
      </c>
      <c r="M117" s="173" t="s">
        <v>31</v>
      </c>
      <c r="N117" s="173"/>
      <c r="O117" s="173"/>
      <c r="P117" s="173" t="s">
        <v>5937</v>
      </c>
      <c r="Q117" s="173"/>
      <c r="R117" s="173"/>
    </row>
    <row r="118" spans="1:18" x14ac:dyDescent="0.25">
      <c r="A118" t="s">
        <v>408</v>
      </c>
      <c r="B118" s="207">
        <v>43384</v>
      </c>
      <c r="C118">
        <v>111018</v>
      </c>
      <c r="D118" t="s">
        <v>5861</v>
      </c>
      <c r="E118" t="s">
        <v>5862</v>
      </c>
      <c r="F118" t="s">
        <v>4223</v>
      </c>
      <c r="G118" s="210" t="s">
        <v>5857</v>
      </c>
      <c r="J118" s="211" t="s">
        <v>21</v>
      </c>
      <c r="K118" s="211">
        <v>6500</v>
      </c>
      <c r="L118" t="s">
        <v>5863</v>
      </c>
      <c r="M118" t="s">
        <v>5931</v>
      </c>
      <c r="P118" s="173" t="s">
        <v>5937</v>
      </c>
      <c r="R118" t="s">
        <v>3186</v>
      </c>
    </row>
    <row r="119" spans="1:18" x14ac:dyDescent="0.25">
      <c r="A119" s="173" t="s">
        <v>408</v>
      </c>
      <c r="B119" s="174">
        <v>43403</v>
      </c>
      <c r="C119" s="173">
        <v>301018</v>
      </c>
      <c r="D119" s="173" t="s">
        <v>5864</v>
      </c>
      <c r="E119" s="173" t="s">
        <v>5865</v>
      </c>
      <c r="F119" s="173" t="s">
        <v>4120</v>
      </c>
      <c r="G119" s="173" t="s">
        <v>5854</v>
      </c>
      <c r="H119" s="173"/>
      <c r="I119" s="173"/>
      <c r="J119" s="176" t="s">
        <v>21</v>
      </c>
      <c r="K119" s="176">
        <v>4500</v>
      </c>
      <c r="L119" s="173" t="s">
        <v>5866</v>
      </c>
      <c r="M119" s="173" t="s">
        <v>5873</v>
      </c>
      <c r="N119" s="173"/>
      <c r="O119" s="173"/>
      <c r="P119" s="173" t="s">
        <v>5937</v>
      </c>
      <c r="Q119" s="173"/>
      <c r="R119" s="173" t="s">
        <v>3186</v>
      </c>
    </row>
    <row r="120" spans="1:18" x14ac:dyDescent="0.25">
      <c r="A120" s="173" t="s">
        <v>12</v>
      </c>
      <c r="B120" s="174">
        <v>43455</v>
      </c>
      <c r="C120" s="173" t="s">
        <v>951</v>
      </c>
      <c r="D120" s="173" t="s">
        <v>5879</v>
      </c>
      <c r="E120" s="173" t="s">
        <v>5938</v>
      </c>
      <c r="F120" s="173" t="s">
        <v>3677</v>
      </c>
      <c r="G120" s="173" t="s">
        <v>5939</v>
      </c>
      <c r="H120" s="173"/>
      <c r="I120" s="173"/>
      <c r="J120" s="173"/>
      <c r="K120" s="173">
        <v>10500</v>
      </c>
      <c r="L120" s="173"/>
      <c r="M120" s="173" t="s">
        <v>5940</v>
      </c>
      <c r="N120" s="173"/>
      <c r="O120" s="173"/>
      <c r="P120" s="173"/>
      <c r="Q120" s="173"/>
      <c r="R120" s="173"/>
    </row>
    <row r="121" spans="1:18" x14ac:dyDescent="0.25">
      <c r="A121" s="173" t="s">
        <v>12</v>
      </c>
      <c r="B121" s="174">
        <v>43451</v>
      </c>
      <c r="C121" s="173" t="s">
        <v>5936</v>
      </c>
      <c r="D121" s="173" t="s">
        <v>5808</v>
      </c>
      <c r="E121" s="173" t="s">
        <v>4797</v>
      </c>
      <c r="F121" s="173"/>
      <c r="G121" s="173" t="s">
        <v>5903</v>
      </c>
      <c r="H121" s="173"/>
      <c r="I121" s="173"/>
      <c r="J121" s="173" t="s">
        <v>21</v>
      </c>
      <c r="K121" s="173">
        <v>11500</v>
      </c>
      <c r="L121" s="173"/>
      <c r="M121" s="173" t="s">
        <v>5904</v>
      </c>
      <c r="N121" s="173"/>
      <c r="O121" s="173"/>
      <c r="P121" s="173" t="s">
        <v>5937</v>
      </c>
      <c r="Q121" s="173" t="s">
        <v>3186</v>
      </c>
      <c r="R121" s="173" t="s">
        <v>3791</v>
      </c>
    </row>
    <row r="122" spans="1:18" x14ac:dyDescent="0.25">
      <c r="A122" s="173" t="s">
        <v>408</v>
      </c>
      <c r="B122" s="174">
        <v>43438</v>
      </c>
      <c r="C122" s="173">
        <v>4122018</v>
      </c>
      <c r="D122" s="173" t="s">
        <v>2931</v>
      </c>
      <c r="E122" s="173" t="s">
        <v>2352</v>
      </c>
      <c r="F122" s="173" t="s">
        <v>2718</v>
      </c>
      <c r="G122" s="173" t="s">
        <v>5584</v>
      </c>
      <c r="H122" s="176">
        <f>8590/1.21</f>
        <v>7099.1735537190089</v>
      </c>
      <c r="I122" s="176">
        <f>+H122*0.21</f>
        <v>1490.8264462809918</v>
      </c>
      <c r="J122" s="176"/>
      <c r="K122" s="176">
        <f>+H122+I122</f>
        <v>8590</v>
      </c>
      <c r="L122" s="173" t="s">
        <v>5925</v>
      </c>
      <c r="M122" s="173" t="s">
        <v>5926</v>
      </c>
      <c r="N122" s="173"/>
      <c r="O122" s="173"/>
      <c r="P122" s="173" t="s">
        <v>5937</v>
      </c>
      <c r="Q122" s="173"/>
      <c r="R122" s="173"/>
    </row>
  </sheetData>
  <autoFilter ref="A1:R122" xr:uid="{00000000-0009-0000-0000-000002000000}"/>
  <pageMargins left="0.7" right="0.7" top="0.75" bottom="0.75" header="0.3" footer="0.3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1:R97"/>
  <sheetViews>
    <sheetView topLeftCell="A82" workbookViewId="0">
      <selection activeCell="P88" sqref="P88"/>
    </sheetView>
  </sheetViews>
  <sheetFormatPr baseColWidth="10" defaultRowHeight="15" x14ac:dyDescent="0.25"/>
  <sheetData>
    <row r="1" spans="1:18" x14ac:dyDescent="0.25">
      <c r="A1" s="178" t="s">
        <v>0</v>
      </c>
      <c r="B1" s="179" t="s">
        <v>1</v>
      </c>
      <c r="C1" s="179" t="s">
        <v>2</v>
      </c>
      <c r="D1" s="180" t="s">
        <v>3</v>
      </c>
      <c r="E1" s="181" t="s">
        <v>4</v>
      </c>
      <c r="F1" s="180" t="s">
        <v>5</v>
      </c>
      <c r="G1" s="180" t="s">
        <v>6</v>
      </c>
      <c r="H1" s="180" t="s">
        <v>7</v>
      </c>
      <c r="I1" s="180" t="s">
        <v>3503</v>
      </c>
      <c r="J1" s="180" t="s">
        <v>1630</v>
      </c>
      <c r="K1" s="180" t="s">
        <v>9</v>
      </c>
      <c r="L1" s="180" t="s">
        <v>3508</v>
      </c>
      <c r="M1" s="180" t="s">
        <v>83</v>
      </c>
      <c r="N1" s="181" t="s">
        <v>85</v>
      </c>
      <c r="O1" s="180" t="s">
        <v>86</v>
      </c>
      <c r="P1" s="180" t="s">
        <v>11</v>
      </c>
      <c r="Q1" s="178" t="s">
        <v>30</v>
      </c>
      <c r="R1" s="178" t="s">
        <v>3784</v>
      </c>
    </row>
    <row r="2" spans="1:18" x14ac:dyDescent="0.25">
      <c r="A2" s="173" t="s">
        <v>12</v>
      </c>
      <c r="B2" s="174">
        <v>42801</v>
      </c>
      <c r="C2" s="197" t="s">
        <v>5245</v>
      </c>
      <c r="D2" s="173" t="s">
        <v>5246</v>
      </c>
      <c r="E2" s="173" t="s">
        <v>4800</v>
      </c>
      <c r="F2" s="173" t="s">
        <v>906</v>
      </c>
      <c r="G2" s="173" t="s">
        <v>5247</v>
      </c>
      <c r="H2" s="173"/>
      <c r="I2" s="173"/>
      <c r="J2" s="176" t="s">
        <v>21</v>
      </c>
      <c r="K2" s="176">
        <v>650</v>
      </c>
      <c r="L2" s="173" t="s">
        <v>5276</v>
      </c>
      <c r="M2" s="173"/>
      <c r="N2" s="173"/>
      <c r="O2" s="173"/>
      <c r="P2" s="173" t="s">
        <v>5319</v>
      </c>
      <c r="Q2" s="174">
        <v>42834</v>
      </c>
      <c r="R2" s="173"/>
    </row>
    <row r="3" spans="1:18" x14ac:dyDescent="0.25">
      <c r="A3" s="173" t="s">
        <v>12</v>
      </c>
      <c r="B3" s="174">
        <v>42810</v>
      </c>
      <c r="C3" s="197" t="s">
        <v>5248</v>
      </c>
      <c r="D3" s="173" t="s">
        <v>5246</v>
      </c>
      <c r="E3" s="173" t="s">
        <v>4800</v>
      </c>
      <c r="F3" s="173" t="s">
        <v>5249</v>
      </c>
      <c r="G3" s="173" t="s">
        <v>5250</v>
      </c>
      <c r="H3" s="173"/>
      <c r="I3" s="173"/>
      <c r="J3" s="176" t="s">
        <v>21</v>
      </c>
      <c r="K3" s="176">
        <v>8000</v>
      </c>
      <c r="L3" s="173" t="s">
        <v>5276</v>
      </c>
      <c r="M3" s="173"/>
      <c r="N3" s="173"/>
      <c r="O3" s="173"/>
      <c r="P3" s="173" t="s">
        <v>5319</v>
      </c>
      <c r="Q3" s="174">
        <v>42834</v>
      </c>
      <c r="R3" s="173"/>
    </row>
    <row r="4" spans="1:18" x14ac:dyDescent="0.25">
      <c r="A4" s="173" t="s">
        <v>12</v>
      </c>
      <c r="B4" s="174">
        <v>42772</v>
      </c>
      <c r="C4" s="173">
        <v>2017100009</v>
      </c>
      <c r="D4" s="173" t="s">
        <v>5246</v>
      </c>
      <c r="E4" s="173" t="s">
        <v>4800</v>
      </c>
      <c r="F4" s="173" t="s">
        <v>355</v>
      </c>
      <c r="G4" s="173" t="s">
        <v>5251</v>
      </c>
      <c r="H4" s="176">
        <v>1322.31</v>
      </c>
      <c r="I4" s="176">
        <v>277.68509999999998</v>
      </c>
      <c r="J4" s="176"/>
      <c r="K4" s="176">
        <v>1599.9950999999999</v>
      </c>
      <c r="L4" s="173" t="s">
        <v>5276</v>
      </c>
      <c r="M4" s="173"/>
      <c r="N4" s="173"/>
      <c r="O4" s="173"/>
      <c r="P4" s="173" t="s">
        <v>5319</v>
      </c>
      <c r="Q4" s="174">
        <v>42834</v>
      </c>
      <c r="R4" s="173"/>
    </row>
    <row r="5" spans="1:18" x14ac:dyDescent="0.25">
      <c r="A5" s="173" t="s">
        <v>12</v>
      </c>
      <c r="B5" s="174">
        <v>42767</v>
      </c>
      <c r="C5" s="173">
        <v>15100161</v>
      </c>
      <c r="D5" s="173" t="s">
        <v>5143</v>
      </c>
      <c r="E5" s="173" t="s">
        <v>5144</v>
      </c>
      <c r="F5" s="173" t="s">
        <v>3967</v>
      </c>
      <c r="G5" s="173" t="s">
        <v>5252</v>
      </c>
      <c r="H5" s="173"/>
      <c r="I5" s="173"/>
      <c r="J5" s="173" t="s">
        <v>21</v>
      </c>
      <c r="K5" s="173">
        <v>5500</v>
      </c>
      <c r="L5" s="173" t="s">
        <v>5276</v>
      </c>
      <c r="M5" s="173"/>
      <c r="N5" s="173"/>
      <c r="O5" s="173"/>
      <c r="P5" s="173" t="s">
        <v>5319</v>
      </c>
      <c r="Q5" s="174">
        <v>42834</v>
      </c>
      <c r="R5" s="173"/>
    </row>
    <row r="6" spans="1:18" x14ac:dyDescent="0.25">
      <c r="A6" s="173" t="s">
        <v>12</v>
      </c>
      <c r="B6" s="174">
        <v>42787</v>
      </c>
      <c r="C6" s="197" t="s">
        <v>5256</v>
      </c>
      <c r="D6" s="173" t="s">
        <v>5246</v>
      </c>
      <c r="E6" s="173" t="s">
        <v>4800</v>
      </c>
      <c r="F6" s="173" t="s">
        <v>5271</v>
      </c>
      <c r="G6" s="173" t="s">
        <v>5257</v>
      </c>
      <c r="H6" s="173"/>
      <c r="I6" s="173"/>
      <c r="J6" s="176" t="s">
        <v>21</v>
      </c>
      <c r="K6" s="176">
        <v>1700</v>
      </c>
      <c r="L6" s="173" t="s">
        <v>5295</v>
      </c>
      <c r="M6" s="173" t="s">
        <v>5255</v>
      </c>
      <c r="N6" s="173"/>
      <c r="O6" s="173"/>
      <c r="P6" s="173" t="s">
        <v>5319</v>
      </c>
      <c r="Q6" s="174">
        <v>42834</v>
      </c>
      <c r="R6" s="173"/>
    </row>
    <row r="7" spans="1:18" x14ac:dyDescent="0.25">
      <c r="A7" s="173" t="s">
        <v>12</v>
      </c>
      <c r="B7" s="174">
        <v>42789</v>
      </c>
      <c r="C7" s="173">
        <v>2017100010</v>
      </c>
      <c r="D7" s="173" t="s">
        <v>5246</v>
      </c>
      <c r="E7" s="173" t="s">
        <v>4800</v>
      </c>
      <c r="F7" s="173" t="s">
        <v>49</v>
      </c>
      <c r="G7" s="173" t="s">
        <v>5258</v>
      </c>
      <c r="H7" s="176">
        <v>413.22</v>
      </c>
      <c r="I7" s="176">
        <v>86.776200000000003</v>
      </c>
      <c r="J7" s="176"/>
      <c r="K7" s="176">
        <v>499.99620000000004</v>
      </c>
      <c r="L7" s="173" t="s">
        <v>5276</v>
      </c>
      <c r="M7" s="173" t="s">
        <v>5259</v>
      </c>
      <c r="N7" s="173"/>
      <c r="O7" s="173"/>
      <c r="P7" s="173" t="s">
        <v>5319</v>
      </c>
      <c r="Q7" s="174">
        <v>42834</v>
      </c>
      <c r="R7" s="173"/>
    </row>
    <row r="8" spans="1:18" x14ac:dyDescent="0.25">
      <c r="A8" s="173" t="s">
        <v>12</v>
      </c>
      <c r="B8" s="174">
        <v>42790</v>
      </c>
      <c r="C8" s="173">
        <v>2017100011</v>
      </c>
      <c r="D8" s="173" t="s">
        <v>5246</v>
      </c>
      <c r="E8" s="173" t="s">
        <v>4800</v>
      </c>
      <c r="F8" s="173" t="s">
        <v>346</v>
      </c>
      <c r="G8" s="173" t="s">
        <v>5260</v>
      </c>
      <c r="H8" s="173">
        <v>661.16</v>
      </c>
      <c r="I8" s="176">
        <v>138.84359999999998</v>
      </c>
      <c r="J8" s="176"/>
      <c r="K8" s="176">
        <v>800.00360000000001</v>
      </c>
      <c r="L8" s="173" t="s">
        <v>5276</v>
      </c>
      <c r="M8" s="173" t="s">
        <v>5261</v>
      </c>
      <c r="N8" s="173"/>
      <c r="O8" s="173"/>
      <c r="P8" s="173" t="s">
        <v>5319</v>
      </c>
      <c r="Q8" s="174">
        <v>42834</v>
      </c>
      <c r="R8" s="173"/>
    </row>
    <row r="9" spans="1:18" x14ac:dyDescent="0.25">
      <c r="A9" s="173" t="s">
        <v>12</v>
      </c>
      <c r="B9" s="174">
        <v>42815</v>
      </c>
      <c r="C9" s="173" t="s">
        <v>5262</v>
      </c>
      <c r="D9" s="173" t="s">
        <v>5246</v>
      </c>
      <c r="E9" s="173" t="s">
        <v>4800</v>
      </c>
      <c r="F9" s="173" t="s">
        <v>362</v>
      </c>
      <c r="G9" s="173" t="s">
        <v>5263</v>
      </c>
      <c r="H9" s="173"/>
      <c r="I9" s="173"/>
      <c r="J9" s="176" t="s">
        <v>21</v>
      </c>
      <c r="K9" s="176">
        <v>1200</v>
      </c>
      <c r="L9" s="173" t="s">
        <v>5276</v>
      </c>
      <c r="M9" s="173" t="s">
        <v>5264</v>
      </c>
      <c r="N9" s="173"/>
      <c r="O9" s="173"/>
      <c r="P9" s="173" t="s">
        <v>5319</v>
      </c>
      <c r="Q9" s="174">
        <v>42834</v>
      </c>
      <c r="R9" s="173"/>
    </row>
    <row r="10" spans="1:18" x14ac:dyDescent="0.25">
      <c r="A10" s="173" t="s">
        <v>12</v>
      </c>
      <c r="B10" s="174">
        <v>42815</v>
      </c>
      <c r="C10" s="173" t="s">
        <v>5265</v>
      </c>
      <c r="D10" s="173" t="s">
        <v>5246</v>
      </c>
      <c r="E10" s="173" t="s">
        <v>4800</v>
      </c>
      <c r="F10" s="173" t="s">
        <v>3679</v>
      </c>
      <c r="G10" s="173" t="s">
        <v>5266</v>
      </c>
      <c r="H10" s="173"/>
      <c r="I10" s="173"/>
      <c r="J10" s="176" t="s">
        <v>21</v>
      </c>
      <c r="K10" s="176">
        <v>4400</v>
      </c>
      <c r="L10" s="173" t="s">
        <v>5276</v>
      </c>
      <c r="M10" s="173" t="s">
        <v>5320</v>
      </c>
      <c r="N10" s="173"/>
      <c r="O10" s="173"/>
      <c r="P10" s="173" t="s">
        <v>5319</v>
      </c>
      <c r="Q10" s="174">
        <v>42834</v>
      </c>
      <c r="R10" s="173"/>
    </row>
    <row r="11" spans="1:18" x14ac:dyDescent="0.25">
      <c r="A11" s="173" t="s">
        <v>12</v>
      </c>
      <c r="B11" s="174">
        <v>42815</v>
      </c>
      <c r="C11" s="173" t="s">
        <v>5267</v>
      </c>
      <c r="D11" s="173" t="s">
        <v>5246</v>
      </c>
      <c r="E11" s="173" t="s">
        <v>4800</v>
      </c>
      <c r="F11" s="173" t="s">
        <v>4820</v>
      </c>
      <c r="G11" s="206" t="s">
        <v>5321</v>
      </c>
      <c r="H11" s="173"/>
      <c r="I11" s="173"/>
      <c r="J11" s="176" t="s">
        <v>21</v>
      </c>
      <c r="K11" s="176">
        <v>800</v>
      </c>
      <c r="L11" s="173" t="s">
        <v>5276</v>
      </c>
      <c r="M11" s="173" t="s">
        <v>5322</v>
      </c>
      <c r="N11" s="173"/>
      <c r="O11" s="173"/>
      <c r="P11" s="173" t="s">
        <v>5319</v>
      </c>
      <c r="Q11" s="174">
        <v>42834</v>
      </c>
      <c r="R11" s="173"/>
    </row>
    <row r="12" spans="1:18" x14ac:dyDescent="0.25">
      <c r="A12" s="173" t="s">
        <v>408</v>
      </c>
      <c r="B12" s="174">
        <v>42777</v>
      </c>
      <c r="C12" s="173" t="s">
        <v>5268</v>
      </c>
      <c r="D12" s="173" t="s">
        <v>5269</v>
      </c>
      <c r="E12" s="173" t="s">
        <v>5270</v>
      </c>
      <c r="F12" s="173" t="s">
        <v>5271</v>
      </c>
      <c r="G12" s="173" t="s">
        <v>5272</v>
      </c>
      <c r="H12" s="173"/>
      <c r="I12" s="173"/>
      <c r="J12" s="176" t="s">
        <v>21</v>
      </c>
      <c r="K12" s="176">
        <v>8200</v>
      </c>
      <c r="L12" s="205" t="s">
        <v>5329</v>
      </c>
      <c r="M12" s="173" t="s">
        <v>5555</v>
      </c>
      <c r="N12" s="173"/>
      <c r="O12" s="173"/>
      <c r="P12" s="173" t="s">
        <v>5319</v>
      </c>
      <c r="Q12" s="174">
        <v>42834</v>
      </c>
      <c r="R12" s="173" t="s">
        <v>3791</v>
      </c>
    </row>
    <row r="13" spans="1:18" x14ac:dyDescent="0.25">
      <c r="A13" s="173" t="s">
        <v>408</v>
      </c>
      <c r="B13" s="174">
        <v>42818</v>
      </c>
      <c r="C13" s="173" t="s">
        <v>5273</v>
      </c>
      <c r="D13" s="173" t="s">
        <v>5274</v>
      </c>
      <c r="E13" s="173" t="s">
        <v>5275</v>
      </c>
      <c r="F13" s="173" t="s">
        <v>49</v>
      </c>
      <c r="G13" s="173" t="s">
        <v>5258</v>
      </c>
      <c r="H13" s="176">
        <v>826.44628099173553</v>
      </c>
      <c r="I13" s="176">
        <v>173.55371900826447</v>
      </c>
      <c r="J13" s="176"/>
      <c r="K13" s="176">
        <v>1000</v>
      </c>
      <c r="L13" s="173" t="s">
        <v>5277</v>
      </c>
      <c r="M13" s="173"/>
      <c r="N13" s="173"/>
      <c r="O13" s="173"/>
      <c r="P13" s="173" t="s">
        <v>5319</v>
      </c>
      <c r="Q13" s="174">
        <v>42834</v>
      </c>
      <c r="R13" s="173"/>
    </row>
    <row r="14" spans="1:18" x14ac:dyDescent="0.25">
      <c r="A14" s="173" t="s">
        <v>408</v>
      </c>
      <c r="B14" s="174">
        <v>42824</v>
      </c>
      <c r="C14" s="173" t="s">
        <v>5278</v>
      </c>
      <c r="D14" s="173" t="s">
        <v>5279</v>
      </c>
      <c r="E14" s="173" t="s">
        <v>5280</v>
      </c>
      <c r="F14" s="173" t="s">
        <v>5117</v>
      </c>
      <c r="G14" s="173" t="s">
        <v>5118</v>
      </c>
      <c r="H14" s="176"/>
      <c r="I14" s="176"/>
      <c r="J14" s="176" t="s">
        <v>21</v>
      </c>
      <c r="K14" s="176">
        <v>2600</v>
      </c>
      <c r="L14" s="173" t="s">
        <v>5281</v>
      </c>
      <c r="M14" s="173" t="s">
        <v>5550</v>
      </c>
      <c r="N14" s="173"/>
      <c r="O14" s="173"/>
      <c r="P14" s="173" t="s">
        <v>5319</v>
      </c>
      <c r="Q14" s="174">
        <v>42834</v>
      </c>
      <c r="R14" s="173" t="s">
        <v>3186</v>
      </c>
    </row>
    <row r="15" spans="1:18" x14ac:dyDescent="0.25">
      <c r="A15" s="173" t="s">
        <v>408</v>
      </c>
      <c r="B15" s="174">
        <v>42824</v>
      </c>
      <c r="C15" s="173" t="s">
        <v>5282</v>
      </c>
      <c r="D15" s="173" t="s">
        <v>5283</v>
      </c>
      <c r="E15" s="173" t="s">
        <v>5284</v>
      </c>
      <c r="F15" s="173" t="s">
        <v>5112</v>
      </c>
      <c r="G15" s="173" t="s">
        <v>5123</v>
      </c>
      <c r="H15" s="176"/>
      <c r="I15" s="176"/>
      <c r="J15" s="176" t="s">
        <v>21</v>
      </c>
      <c r="K15" s="176">
        <v>6000</v>
      </c>
      <c r="L15" s="173" t="s">
        <v>5285</v>
      </c>
      <c r="M15" s="173" t="s">
        <v>5566</v>
      </c>
      <c r="N15" s="173"/>
      <c r="O15" s="173"/>
      <c r="P15" s="173" t="s">
        <v>5319</v>
      </c>
      <c r="Q15" s="174">
        <v>42834</v>
      </c>
      <c r="R15" s="173" t="s">
        <v>3186</v>
      </c>
    </row>
    <row r="16" spans="1:18" x14ac:dyDescent="0.25">
      <c r="A16" s="173" t="s">
        <v>408</v>
      </c>
      <c r="B16" s="174">
        <v>42821</v>
      </c>
      <c r="C16" s="173" t="s">
        <v>5286</v>
      </c>
      <c r="D16" s="173" t="s">
        <v>5287</v>
      </c>
      <c r="E16" s="173" t="s">
        <v>5288</v>
      </c>
      <c r="F16" s="173" t="s">
        <v>3156</v>
      </c>
      <c r="G16" s="173" t="s">
        <v>5023</v>
      </c>
      <c r="H16" s="176"/>
      <c r="I16" s="176"/>
      <c r="J16" s="176" t="s">
        <v>21</v>
      </c>
      <c r="K16" s="176">
        <v>3000</v>
      </c>
      <c r="L16" s="173" t="s">
        <v>5135</v>
      </c>
      <c r="M16" s="173" t="s">
        <v>5558</v>
      </c>
      <c r="N16" s="173"/>
      <c r="O16" s="173"/>
      <c r="P16" s="173" t="s">
        <v>5319</v>
      </c>
      <c r="Q16" s="174">
        <v>42834</v>
      </c>
      <c r="R16" s="173" t="s">
        <v>3186</v>
      </c>
    </row>
    <row r="17" spans="1:18" x14ac:dyDescent="0.25">
      <c r="A17" s="173" t="s">
        <v>408</v>
      </c>
      <c r="B17" s="174">
        <v>42824</v>
      </c>
      <c r="C17" s="173" t="s">
        <v>5289</v>
      </c>
      <c r="D17" s="173" t="s">
        <v>5290</v>
      </c>
      <c r="E17" s="173" t="s">
        <v>5291</v>
      </c>
      <c r="F17" s="173" t="s">
        <v>355</v>
      </c>
      <c r="G17" s="173" t="s">
        <v>5251</v>
      </c>
      <c r="H17" s="176">
        <v>1652.8925619834711</v>
      </c>
      <c r="I17" s="176">
        <v>347.10743801652893</v>
      </c>
      <c r="J17" s="176"/>
      <c r="K17" s="176">
        <v>2000</v>
      </c>
      <c r="L17" s="173" t="s">
        <v>5292</v>
      </c>
      <c r="M17" s="173" t="s">
        <v>5545</v>
      </c>
      <c r="N17" s="173"/>
      <c r="O17" s="173"/>
      <c r="P17" s="173" t="s">
        <v>5319</v>
      </c>
      <c r="Q17" s="174">
        <v>42834</v>
      </c>
      <c r="R17" s="173" t="s">
        <v>3186</v>
      </c>
    </row>
    <row r="18" spans="1:18" x14ac:dyDescent="0.25">
      <c r="A18" s="173" t="s">
        <v>408</v>
      </c>
      <c r="B18" s="174">
        <v>42807</v>
      </c>
      <c r="C18" s="173" t="s">
        <v>5293</v>
      </c>
      <c r="D18" s="173" t="s">
        <v>5290</v>
      </c>
      <c r="E18" s="173" t="s">
        <v>5291</v>
      </c>
      <c r="F18" s="173" t="s">
        <v>5271</v>
      </c>
      <c r="G18" s="173" t="s">
        <v>5257</v>
      </c>
      <c r="H18" s="173"/>
      <c r="I18" s="173"/>
      <c r="J18" s="176" t="s">
        <v>21</v>
      </c>
      <c r="K18" s="176">
        <v>2200</v>
      </c>
      <c r="L18" s="173" t="s">
        <v>5294</v>
      </c>
      <c r="M18" s="173" t="s">
        <v>5546</v>
      </c>
      <c r="N18" s="173"/>
      <c r="O18" s="173"/>
      <c r="P18" s="173" t="s">
        <v>5319</v>
      </c>
      <c r="Q18" s="174">
        <v>42834</v>
      </c>
      <c r="R18" s="173" t="s">
        <v>3186</v>
      </c>
    </row>
    <row r="19" spans="1:18" x14ac:dyDescent="0.25">
      <c r="A19" s="173" t="s">
        <v>408</v>
      </c>
      <c r="B19" s="174">
        <v>42796</v>
      </c>
      <c r="C19" s="173" t="s">
        <v>5296</v>
      </c>
      <c r="D19" s="173" t="s">
        <v>5297</v>
      </c>
      <c r="E19" s="173" t="s">
        <v>5298</v>
      </c>
      <c r="F19" s="173" t="s">
        <v>3335</v>
      </c>
      <c r="G19" s="173" t="s">
        <v>5140</v>
      </c>
      <c r="H19" s="173"/>
      <c r="I19" s="173"/>
      <c r="J19" s="173" t="s">
        <v>21</v>
      </c>
      <c r="K19" s="173">
        <v>3500</v>
      </c>
      <c r="L19" s="173" t="s">
        <v>5299</v>
      </c>
      <c r="M19" s="173" t="s">
        <v>5557</v>
      </c>
      <c r="N19" s="173"/>
      <c r="O19" s="173"/>
      <c r="P19" s="173" t="s">
        <v>5319</v>
      </c>
      <c r="Q19" s="174">
        <v>42834</v>
      </c>
      <c r="R19" s="173" t="s">
        <v>3186</v>
      </c>
    </row>
    <row r="20" spans="1:18" x14ac:dyDescent="0.25">
      <c r="A20" s="173" t="s">
        <v>408</v>
      </c>
      <c r="B20" s="174">
        <v>42737</v>
      </c>
      <c r="C20" s="173" t="s">
        <v>5300</v>
      </c>
      <c r="D20" s="173" t="s">
        <v>5301</v>
      </c>
      <c r="E20" s="173" t="s">
        <v>5302</v>
      </c>
      <c r="F20" s="173" t="s">
        <v>5115</v>
      </c>
      <c r="G20" s="173" t="s">
        <v>5116</v>
      </c>
      <c r="H20" s="176"/>
      <c r="I20" s="176"/>
      <c r="J20" s="176" t="s">
        <v>21</v>
      </c>
      <c r="K20" s="176">
        <v>4000</v>
      </c>
      <c r="L20" s="173" t="s">
        <v>5303</v>
      </c>
      <c r="M20" s="173" t="s">
        <v>5559</v>
      </c>
      <c r="N20" s="173"/>
      <c r="O20" s="173"/>
      <c r="P20" s="173" t="s">
        <v>5319</v>
      </c>
      <c r="Q20" s="174">
        <v>42834</v>
      </c>
      <c r="R20" s="173" t="s">
        <v>3791</v>
      </c>
    </row>
    <row r="21" spans="1:18" x14ac:dyDescent="0.25">
      <c r="A21" s="173" t="s">
        <v>408</v>
      </c>
      <c r="B21" s="174">
        <v>42812</v>
      </c>
      <c r="C21" s="173" t="s">
        <v>5304</v>
      </c>
      <c r="D21" s="173" t="s">
        <v>5305</v>
      </c>
      <c r="E21" s="173" t="s">
        <v>5306</v>
      </c>
      <c r="F21" s="173" t="s">
        <v>4120</v>
      </c>
      <c r="G21" s="173" t="s">
        <v>5324</v>
      </c>
      <c r="H21" s="173"/>
      <c r="I21" s="173"/>
      <c r="J21" s="176" t="s">
        <v>21</v>
      </c>
      <c r="K21" s="176">
        <v>3900</v>
      </c>
      <c r="L21" s="173" t="s">
        <v>5326</v>
      </c>
      <c r="M21" s="173" t="s">
        <v>5560</v>
      </c>
      <c r="N21" s="173"/>
      <c r="O21" s="173"/>
      <c r="P21" s="173" t="s">
        <v>5319</v>
      </c>
      <c r="Q21" s="174">
        <v>42834</v>
      </c>
      <c r="R21" s="173" t="s">
        <v>3186</v>
      </c>
    </row>
    <row r="22" spans="1:18" x14ac:dyDescent="0.25">
      <c r="A22" s="173" t="s">
        <v>408</v>
      </c>
      <c r="B22" s="174">
        <v>42801</v>
      </c>
      <c r="C22" s="173" t="s">
        <v>5307</v>
      </c>
      <c r="D22" s="173" t="s">
        <v>5308</v>
      </c>
      <c r="E22" s="173" t="s">
        <v>5323</v>
      </c>
      <c r="F22" s="173" t="s">
        <v>2681</v>
      </c>
      <c r="G22" s="173" t="s">
        <v>5137</v>
      </c>
      <c r="H22" s="176"/>
      <c r="I22" s="176"/>
      <c r="J22" s="176" t="s">
        <v>21</v>
      </c>
      <c r="K22" s="176">
        <v>2550</v>
      </c>
      <c r="L22" s="173" t="s">
        <v>5309</v>
      </c>
      <c r="M22" s="173" t="s">
        <v>5549</v>
      </c>
      <c r="N22" s="173"/>
      <c r="O22" s="173"/>
      <c r="P22" s="173" t="s">
        <v>5319</v>
      </c>
      <c r="Q22" s="174">
        <v>42834</v>
      </c>
      <c r="R22" s="173" t="s">
        <v>3186</v>
      </c>
    </row>
    <row r="23" spans="1:18" x14ac:dyDescent="0.25">
      <c r="A23" s="173" t="s">
        <v>408</v>
      </c>
      <c r="B23" s="174">
        <v>42755</v>
      </c>
      <c r="C23" s="173" t="s">
        <v>5310</v>
      </c>
      <c r="D23" s="173" t="s">
        <v>2931</v>
      </c>
      <c r="E23" s="173" t="s">
        <v>2352</v>
      </c>
      <c r="F23" s="173" t="s">
        <v>5193</v>
      </c>
      <c r="G23" s="173" t="s">
        <v>5194</v>
      </c>
      <c r="H23" s="176"/>
      <c r="I23" s="176"/>
      <c r="J23" s="176" t="s">
        <v>21</v>
      </c>
      <c r="K23" s="176">
        <v>12000</v>
      </c>
      <c r="L23" s="173" t="s">
        <v>5311</v>
      </c>
      <c r="M23" s="173" t="s">
        <v>5573</v>
      </c>
      <c r="N23" s="173"/>
      <c r="O23" s="173"/>
      <c r="P23" s="173" t="s">
        <v>5319</v>
      </c>
      <c r="Q23" s="174">
        <v>42834</v>
      </c>
      <c r="R23" s="173" t="s">
        <v>3791</v>
      </c>
    </row>
    <row r="24" spans="1:18" x14ac:dyDescent="0.25">
      <c r="A24" s="173" t="s">
        <v>408</v>
      </c>
      <c r="B24" s="174">
        <v>42786</v>
      </c>
      <c r="C24" s="173" t="s">
        <v>5315</v>
      </c>
      <c r="D24" s="173" t="s">
        <v>5316</v>
      </c>
      <c r="E24" s="173" t="s">
        <v>5317</v>
      </c>
      <c r="F24" s="173" t="s">
        <v>706</v>
      </c>
      <c r="G24" s="173" t="s">
        <v>5314</v>
      </c>
      <c r="H24" s="173"/>
      <c r="I24" s="173"/>
      <c r="J24" s="176" t="s">
        <v>21</v>
      </c>
      <c r="K24" s="176">
        <v>2300</v>
      </c>
      <c r="L24" s="173" t="s">
        <v>5318</v>
      </c>
      <c r="M24" s="173"/>
      <c r="N24" s="173"/>
      <c r="O24" s="173"/>
      <c r="P24" s="173" t="s">
        <v>5319</v>
      </c>
      <c r="Q24" s="174">
        <v>42834</v>
      </c>
      <c r="R24" s="173"/>
    </row>
    <row r="25" spans="1:18" x14ac:dyDescent="0.25">
      <c r="A25" s="173" t="s">
        <v>12</v>
      </c>
      <c r="B25" s="174">
        <v>42794</v>
      </c>
      <c r="C25" s="173" t="s">
        <v>5325</v>
      </c>
      <c r="D25" s="173" t="s">
        <v>4583</v>
      </c>
      <c r="E25" s="173" t="s">
        <v>4797</v>
      </c>
      <c r="F25" s="173" t="s">
        <v>4120</v>
      </c>
      <c r="G25" s="173" t="s">
        <v>5324</v>
      </c>
      <c r="H25" s="173"/>
      <c r="I25" s="173"/>
      <c r="J25" s="176" t="s">
        <v>21</v>
      </c>
      <c r="K25" s="176">
        <v>2500</v>
      </c>
      <c r="L25" s="173" t="s">
        <v>5276</v>
      </c>
      <c r="M25" s="173"/>
      <c r="N25" s="173"/>
      <c r="O25" s="173"/>
      <c r="P25" s="173" t="s">
        <v>5319</v>
      </c>
      <c r="Q25" s="174">
        <v>42835</v>
      </c>
      <c r="R25" s="173"/>
    </row>
    <row r="26" spans="1:18" x14ac:dyDescent="0.25">
      <c r="A26" s="173" t="s">
        <v>12</v>
      </c>
      <c r="B26" s="174">
        <v>42739</v>
      </c>
      <c r="C26" s="173" t="s">
        <v>944</v>
      </c>
      <c r="D26" s="173" t="s">
        <v>5327</v>
      </c>
      <c r="E26" s="173" t="s">
        <v>5328</v>
      </c>
      <c r="F26" s="173" t="s">
        <v>5271</v>
      </c>
      <c r="G26" s="173" t="s">
        <v>5272</v>
      </c>
      <c r="H26" s="173"/>
      <c r="I26" s="173"/>
      <c r="J26" s="176" t="s">
        <v>21</v>
      </c>
      <c r="K26" s="176">
        <v>7700</v>
      </c>
      <c r="L26" s="173" t="s">
        <v>5276</v>
      </c>
      <c r="M26" s="173"/>
      <c r="N26" s="173"/>
      <c r="O26" s="173"/>
      <c r="P26" s="173" t="s">
        <v>5319</v>
      </c>
      <c r="Q26" s="174">
        <v>42835</v>
      </c>
      <c r="R26" s="173"/>
    </row>
    <row r="27" spans="1:18" x14ac:dyDescent="0.25">
      <c r="A27" s="173" t="s">
        <v>408</v>
      </c>
      <c r="B27" s="174">
        <v>42795</v>
      </c>
      <c r="C27" s="173" t="s">
        <v>699</v>
      </c>
      <c r="D27" s="173" t="s">
        <v>5330</v>
      </c>
      <c r="E27" s="173" t="s">
        <v>5331</v>
      </c>
      <c r="F27" s="173" t="s">
        <v>5004</v>
      </c>
      <c r="G27" s="173" t="s">
        <v>5332</v>
      </c>
      <c r="H27" s="173"/>
      <c r="I27" s="173"/>
      <c r="J27" s="176" t="s">
        <v>21</v>
      </c>
      <c r="K27" s="176">
        <v>1500</v>
      </c>
      <c r="L27" s="173" t="s">
        <v>5383</v>
      </c>
      <c r="M27" s="173"/>
      <c r="N27" s="173"/>
      <c r="O27" s="173"/>
      <c r="P27" s="173" t="s">
        <v>5387</v>
      </c>
      <c r="Q27" s="174">
        <v>42923</v>
      </c>
      <c r="R27" s="173"/>
    </row>
    <row r="28" spans="1:18" x14ac:dyDescent="0.25">
      <c r="A28" s="173" t="s">
        <v>408</v>
      </c>
      <c r="B28" s="174">
        <v>42800</v>
      </c>
      <c r="C28" s="173" t="s">
        <v>735</v>
      </c>
      <c r="D28" s="173" t="s">
        <v>2931</v>
      </c>
      <c r="E28" s="173" t="s">
        <v>2352</v>
      </c>
      <c r="F28" s="173" t="s">
        <v>711</v>
      </c>
      <c r="G28" s="173" t="s">
        <v>5333</v>
      </c>
      <c r="H28" s="173"/>
      <c r="I28" s="173"/>
      <c r="J28" s="176" t="s">
        <v>21</v>
      </c>
      <c r="K28" s="176">
        <v>2400</v>
      </c>
      <c r="L28" s="173" t="s">
        <v>5386</v>
      </c>
      <c r="M28" s="173" t="s">
        <v>5544</v>
      </c>
      <c r="N28" s="173"/>
      <c r="O28" s="173"/>
      <c r="P28" s="173" t="s">
        <v>5387</v>
      </c>
      <c r="Q28" s="174">
        <v>42923</v>
      </c>
      <c r="R28" s="173" t="s">
        <v>3186</v>
      </c>
    </row>
    <row r="29" spans="1:18" x14ac:dyDescent="0.25">
      <c r="A29" s="173" t="s">
        <v>12</v>
      </c>
      <c r="B29" s="174">
        <v>42846</v>
      </c>
      <c r="C29" s="173" t="s">
        <v>5335</v>
      </c>
      <c r="D29" s="173" t="s">
        <v>5246</v>
      </c>
      <c r="E29" s="173" t="s">
        <v>4800</v>
      </c>
      <c r="F29" s="173" t="s">
        <v>5336</v>
      </c>
      <c r="G29" s="173" t="s">
        <v>5337</v>
      </c>
      <c r="H29" s="173"/>
      <c r="I29" s="173"/>
      <c r="J29" s="176" t="s">
        <v>21</v>
      </c>
      <c r="K29" s="176">
        <v>16500</v>
      </c>
      <c r="L29" s="173" t="s">
        <v>5276</v>
      </c>
      <c r="M29" s="173"/>
      <c r="N29" s="173"/>
      <c r="O29" s="173"/>
      <c r="P29" s="173" t="s">
        <v>5387</v>
      </c>
      <c r="Q29" s="174">
        <v>42923</v>
      </c>
      <c r="R29" s="173"/>
    </row>
    <row r="30" spans="1:18" x14ac:dyDescent="0.25">
      <c r="A30" s="173" t="s">
        <v>12</v>
      </c>
      <c r="B30" s="174">
        <v>42906</v>
      </c>
      <c r="C30" s="173" t="s">
        <v>5338</v>
      </c>
      <c r="D30" s="173" t="s">
        <v>5246</v>
      </c>
      <c r="E30" s="173" t="s">
        <v>4800</v>
      </c>
      <c r="F30" s="173" t="s">
        <v>5339</v>
      </c>
      <c r="G30" s="173" t="s">
        <v>5340</v>
      </c>
      <c r="H30" s="173"/>
      <c r="I30" s="173"/>
      <c r="J30" s="176" t="s">
        <v>21</v>
      </c>
      <c r="K30" s="176">
        <v>1000</v>
      </c>
      <c r="L30" s="173" t="s">
        <v>5276</v>
      </c>
      <c r="M30" s="173"/>
      <c r="N30" s="173"/>
      <c r="O30" s="173"/>
      <c r="P30" s="173" t="s">
        <v>5387</v>
      </c>
      <c r="Q30" s="174">
        <v>42923</v>
      </c>
      <c r="R30" s="173"/>
    </row>
    <row r="31" spans="1:18" x14ac:dyDescent="0.25">
      <c r="A31" s="173" t="s">
        <v>12</v>
      </c>
      <c r="B31" s="174">
        <v>42846</v>
      </c>
      <c r="C31" s="173">
        <v>2017100015</v>
      </c>
      <c r="D31" s="173" t="s">
        <v>5246</v>
      </c>
      <c r="E31" s="173" t="s">
        <v>4800</v>
      </c>
      <c r="F31" s="173" t="s">
        <v>5341</v>
      </c>
      <c r="G31" s="173" t="s">
        <v>5342</v>
      </c>
      <c r="H31" s="173">
        <v>1157.02</v>
      </c>
      <c r="I31" s="176">
        <v>242.9742</v>
      </c>
      <c r="J31" s="176"/>
      <c r="K31" s="176">
        <v>1400.0042000000001</v>
      </c>
      <c r="L31" s="173" t="s">
        <v>5276</v>
      </c>
      <c r="M31" s="173"/>
      <c r="N31" s="173"/>
      <c r="O31" s="173"/>
      <c r="P31" s="173" t="s">
        <v>5387</v>
      </c>
      <c r="Q31" s="174">
        <v>42923</v>
      </c>
      <c r="R31" s="173"/>
    </row>
    <row r="32" spans="1:18" x14ac:dyDescent="0.25">
      <c r="A32" s="173" t="s">
        <v>12</v>
      </c>
      <c r="B32" s="174">
        <v>42861</v>
      </c>
      <c r="C32" s="197" t="s">
        <v>5343</v>
      </c>
      <c r="D32" s="173" t="s">
        <v>4583</v>
      </c>
      <c r="E32" s="173" t="s">
        <v>4797</v>
      </c>
      <c r="F32" s="173" t="s">
        <v>4232</v>
      </c>
      <c r="G32" s="173" t="s">
        <v>5344</v>
      </c>
      <c r="H32" s="173"/>
      <c r="I32" s="173"/>
      <c r="J32" s="176" t="s">
        <v>21</v>
      </c>
      <c r="K32" s="176">
        <v>2900</v>
      </c>
      <c r="L32" s="173" t="s">
        <v>5276</v>
      </c>
      <c r="M32" s="173"/>
      <c r="N32" s="173"/>
      <c r="O32" s="173"/>
      <c r="P32" s="173" t="s">
        <v>5387</v>
      </c>
      <c r="Q32" s="174">
        <v>42923</v>
      </c>
      <c r="R32" s="173"/>
    </row>
    <row r="33" spans="1:18" x14ac:dyDescent="0.25">
      <c r="A33" s="173" t="s">
        <v>12</v>
      </c>
      <c r="B33" s="174">
        <v>42854</v>
      </c>
      <c r="C33" s="197" t="s">
        <v>5345</v>
      </c>
      <c r="D33" s="173" t="s">
        <v>4583</v>
      </c>
      <c r="E33" s="173" t="s">
        <v>4797</v>
      </c>
      <c r="F33" s="173" t="s">
        <v>5346</v>
      </c>
      <c r="G33" s="173" t="s">
        <v>5347</v>
      </c>
      <c r="H33" s="173"/>
      <c r="I33" s="173"/>
      <c r="J33" s="176" t="s">
        <v>21</v>
      </c>
      <c r="K33" s="176">
        <v>8500</v>
      </c>
      <c r="L33" s="173" t="s">
        <v>5276</v>
      </c>
      <c r="M33" s="173"/>
      <c r="N33" s="173"/>
      <c r="O33" s="173"/>
      <c r="P33" s="173" t="s">
        <v>5387</v>
      </c>
      <c r="Q33" s="174">
        <v>42923</v>
      </c>
      <c r="R33" s="173"/>
    </row>
    <row r="34" spans="1:18" x14ac:dyDescent="0.25">
      <c r="A34" s="173" t="s">
        <v>408</v>
      </c>
      <c r="B34" s="174">
        <v>42916</v>
      </c>
      <c r="C34" s="173" t="s">
        <v>5062</v>
      </c>
      <c r="D34" s="173" t="s">
        <v>5348</v>
      </c>
      <c r="E34" s="173" t="s">
        <v>5349</v>
      </c>
      <c r="F34" s="173" t="s">
        <v>5336</v>
      </c>
      <c r="G34" s="173" t="s">
        <v>5337</v>
      </c>
      <c r="H34" s="173"/>
      <c r="I34" s="173"/>
      <c r="J34" s="176" t="s">
        <v>21</v>
      </c>
      <c r="K34" s="176">
        <v>17000</v>
      </c>
      <c r="L34" s="173" t="s">
        <v>5350</v>
      </c>
      <c r="M34" s="173" t="s">
        <v>5567</v>
      </c>
      <c r="N34" s="173"/>
      <c r="O34" s="173"/>
      <c r="P34" s="173" t="s">
        <v>5387</v>
      </c>
      <c r="Q34" s="174">
        <v>42923</v>
      </c>
      <c r="R34" s="173" t="s">
        <v>3791</v>
      </c>
    </row>
    <row r="35" spans="1:18" x14ac:dyDescent="0.25">
      <c r="A35" s="173" t="s">
        <v>408</v>
      </c>
      <c r="B35" s="174">
        <v>42859</v>
      </c>
      <c r="C35" s="173" t="s">
        <v>5351</v>
      </c>
      <c r="D35" s="173" t="s">
        <v>5352</v>
      </c>
      <c r="E35" s="173" t="s">
        <v>5353</v>
      </c>
      <c r="F35" s="173" t="s">
        <v>4820</v>
      </c>
      <c r="G35" s="173" t="s">
        <v>5321</v>
      </c>
      <c r="H35" s="173"/>
      <c r="I35" s="173"/>
      <c r="J35" s="173" t="s">
        <v>21</v>
      </c>
      <c r="K35" s="173">
        <v>1200</v>
      </c>
      <c r="L35" s="173" t="s">
        <v>5354</v>
      </c>
      <c r="M35" s="173"/>
      <c r="N35" s="173"/>
      <c r="O35" s="173"/>
      <c r="P35" s="173" t="s">
        <v>5387</v>
      </c>
      <c r="Q35" s="174">
        <v>42923</v>
      </c>
      <c r="R35" s="173"/>
    </row>
    <row r="36" spans="1:18" x14ac:dyDescent="0.25">
      <c r="A36" s="173" t="s">
        <v>408</v>
      </c>
      <c r="B36" s="174">
        <v>42892</v>
      </c>
      <c r="C36" s="173" t="s">
        <v>5355</v>
      </c>
      <c r="D36" s="173" t="s">
        <v>5356</v>
      </c>
      <c r="E36" s="173" t="s">
        <v>5357</v>
      </c>
      <c r="F36" s="173" t="s">
        <v>906</v>
      </c>
      <c r="G36" s="173" t="s">
        <v>5247</v>
      </c>
      <c r="H36" s="173"/>
      <c r="I36" s="173"/>
      <c r="J36" s="173" t="s">
        <v>21</v>
      </c>
      <c r="K36" s="173">
        <v>1200</v>
      </c>
      <c r="L36" s="173" t="s">
        <v>5358</v>
      </c>
      <c r="M36" s="173"/>
      <c r="N36" s="173"/>
      <c r="O36" s="173"/>
      <c r="P36" s="173" t="s">
        <v>5387</v>
      </c>
      <c r="Q36" s="174">
        <v>42923</v>
      </c>
      <c r="R36" s="173"/>
    </row>
    <row r="37" spans="1:18" x14ac:dyDescent="0.25">
      <c r="A37" s="173" t="s">
        <v>408</v>
      </c>
      <c r="B37" s="174">
        <v>42889</v>
      </c>
      <c r="C37" s="173" t="s">
        <v>5359</v>
      </c>
      <c r="D37" s="173" t="s">
        <v>5360</v>
      </c>
      <c r="E37" s="173" t="s">
        <v>5361</v>
      </c>
      <c r="F37" s="173" t="s">
        <v>3967</v>
      </c>
      <c r="G37" s="173" t="s">
        <v>5252</v>
      </c>
      <c r="H37" s="173"/>
      <c r="I37" s="173"/>
      <c r="J37" s="173" t="s">
        <v>21</v>
      </c>
      <c r="K37" s="173">
        <v>6000</v>
      </c>
      <c r="L37" s="173" t="s">
        <v>5362</v>
      </c>
      <c r="M37" s="173"/>
      <c r="N37" s="173"/>
      <c r="O37" s="173"/>
      <c r="P37" s="173" t="s">
        <v>5387</v>
      </c>
      <c r="Q37" s="174">
        <v>42923</v>
      </c>
      <c r="R37" s="173"/>
    </row>
    <row r="38" spans="1:18" x14ac:dyDescent="0.25">
      <c r="A38" s="173" t="s">
        <v>408</v>
      </c>
      <c r="B38" s="174">
        <v>42845</v>
      </c>
      <c r="C38" s="173" t="s">
        <v>5363</v>
      </c>
      <c r="D38" s="173" t="s">
        <v>5290</v>
      </c>
      <c r="E38" s="173" t="s">
        <v>5291</v>
      </c>
      <c r="F38" s="173" t="s">
        <v>362</v>
      </c>
      <c r="G38" s="173" t="s">
        <v>5263</v>
      </c>
      <c r="H38" s="173"/>
      <c r="I38" s="173"/>
      <c r="J38" s="176" t="s">
        <v>21</v>
      </c>
      <c r="K38" s="176">
        <v>1500</v>
      </c>
      <c r="L38" s="173" t="s">
        <v>5354</v>
      </c>
      <c r="M38" s="173" t="s">
        <v>5548</v>
      </c>
      <c r="N38" s="173"/>
      <c r="O38" s="173"/>
      <c r="P38" s="173" t="s">
        <v>5387</v>
      </c>
      <c r="Q38" s="174">
        <v>42923</v>
      </c>
      <c r="R38" s="173" t="s">
        <v>3186</v>
      </c>
    </row>
    <row r="39" spans="1:18" x14ac:dyDescent="0.25">
      <c r="A39" s="173" t="s">
        <v>408</v>
      </c>
      <c r="B39" s="174">
        <v>42843</v>
      </c>
      <c r="C39" s="173" t="s">
        <v>5364</v>
      </c>
      <c r="D39" s="173" t="s">
        <v>5290</v>
      </c>
      <c r="E39" s="173" t="s">
        <v>5291</v>
      </c>
      <c r="F39" s="173" t="s">
        <v>5249</v>
      </c>
      <c r="G39" s="173" t="s">
        <v>5250</v>
      </c>
      <c r="H39" s="173"/>
      <c r="I39" s="173"/>
      <c r="J39" s="176" t="s">
        <v>21</v>
      </c>
      <c r="K39" s="176">
        <v>8500</v>
      </c>
      <c r="L39" s="173" t="s">
        <v>5365</v>
      </c>
      <c r="M39" s="173" t="s">
        <v>5547</v>
      </c>
      <c r="N39" s="173"/>
      <c r="O39" s="173"/>
      <c r="P39" s="173" t="s">
        <v>5387</v>
      </c>
      <c r="Q39" s="174">
        <v>42923</v>
      </c>
      <c r="R39" s="173" t="s">
        <v>3186</v>
      </c>
    </row>
    <row r="40" spans="1:18" x14ac:dyDescent="0.25">
      <c r="A40" s="173" t="s">
        <v>408</v>
      </c>
      <c r="B40" s="174">
        <v>42883</v>
      </c>
      <c r="C40" s="173" t="s">
        <v>5366</v>
      </c>
      <c r="D40" s="173" t="s">
        <v>5367</v>
      </c>
      <c r="E40" s="173" t="s">
        <v>5368</v>
      </c>
      <c r="F40" s="173" t="s">
        <v>5346</v>
      </c>
      <c r="G40" s="173" t="s">
        <v>5347</v>
      </c>
      <c r="H40" s="173"/>
      <c r="I40" s="173"/>
      <c r="J40" s="176" t="s">
        <v>21</v>
      </c>
      <c r="K40" s="176">
        <v>9000</v>
      </c>
      <c r="L40" s="173" t="s">
        <v>5369</v>
      </c>
      <c r="M40" s="173" t="s">
        <v>5538</v>
      </c>
      <c r="N40" s="173"/>
      <c r="O40" s="173"/>
      <c r="P40" s="173" t="s">
        <v>5387</v>
      </c>
      <c r="Q40" s="174">
        <v>42923</v>
      </c>
      <c r="R40" s="173" t="s">
        <v>3186</v>
      </c>
    </row>
    <row r="41" spans="1:18" x14ac:dyDescent="0.25">
      <c r="A41" s="173" t="s">
        <v>408</v>
      </c>
      <c r="B41" s="174">
        <v>42884</v>
      </c>
      <c r="C41" s="173" t="s">
        <v>5370</v>
      </c>
      <c r="D41" s="173" t="s">
        <v>5290</v>
      </c>
      <c r="E41" s="173" t="s">
        <v>5291</v>
      </c>
      <c r="F41" s="173" t="s">
        <v>5341</v>
      </c>
      <c r="G41" s="173" t="s">
        <v>5342</v>
      </c>
      <c r="H41" s="176">
        <v>1404.9586776859505</v>
      </c>
      <c r="I41" s="176">
        <v>295.04132231404958</v>
      </c>
      <c r="J41" s="176"/>
      <c r="K41" s="176">
        <v>1700</v>
      </c>
      <c r="L41" s="173" t="s">
        <v>5350</v>
      </c>
      <c r="M41" s="173" t="s">
        <v>5543</v>
      </c>
      <c r="N41" s="173"/>
      <c r="O41" s="173"/>
      <c r="P41" s="173" t="s">
        <v>5387</v>
      </c>
      <c r="Q41" s="174">
        <v>42923</v>
      </c>
      <c r="R41" s="173" t="s">
        <v>3186</v>
      </c>
    </row>
    <row r="42" spans="1:18" x14ac:dyDescent="0.25">
      <c r="A42" s="173" t="s">
        <v>408</v>
      </c>
      <c r="B42" s="174">
        <v>42836</v>
      </c>
      <c r="C42" s="173" t="s">
        <v>5371</v>
      </c>
      <c r="D42" s="173" t="s">
        <v>5356</v>
      </c>
      <c r="E42" s="173" t="s">
        <v>5357</v>
      </c>
      <c r="F42" s="173" t="s">
        <v>3679</v>
      </c>
      <c r="G42" s="173" t="s">
        <v>5266</v>
      </c>
      <c r="H42" s="173"/>
      <c r="I42" s="173"/>
      <c r="J42" s="176" t="s">
        <v>21</v>
      </c>
      <c r="K42" s="176">
        <v>4500</v>
      </c>
      <c r="L42" s="173" t="s">
        <v>5354</v>
      </c>
      <c r="M42" s="173" t="s">
        <v>5551</v>
      </c>
      <c r="N42" s="173"/>
      <c r="O42" s="173"/>
      <c r="P42" s="173" t="s">
        <v>5387</v>
      </c>
      <c r="Q42" s="174">
        <v>42923</v>
      </c>
      <c r="R42" s="173" t="s">
        <v>3186</v>
      </c>
    </row>
    <row r="43" spans="1:18" x14ac:dyDescent="0.25">
      <c r="A43" s="173" t="s">
        <v>408</v>
      </c>
      <c r="B43" s="174">
        <v>42895</v>
      </c>
      <c r="C43" s="173" t="s">
        <v>5010</v>
      </c>
      <c r="D43" s="173" t="s">
        <v>5372</v>
      </c>
      <c r="E43" s="173" t="s">
        <v>5373</v>
      </c>
      <c r="F43" s="173" t="s">
        <v>4232</v>
      </c>
      <c r="G43" s="173" t="s">
        <v>5344</v>
      </c>
      <c r="H43" s="173"/>
      <c r="I43" s="173"/>
      <c r="J43" s="176" t="s">
        <v>21</v>
      </c>
      <c r="K43" s="176">
        <v>3400</v>
      </c>
      <c r="L43" s="173" t="s">
        <v>5374</v>
      </c>
      <c r="M43" s="173" t="s">
        <v>5554</v>
      </c>
      <c r="N43" s="173"/>
      <c r="O43" s="173"/>
      <c r="P43" s="173" t="s">
        <v>5387</v>
      </c>
      <c r="Q43" s="174">
        <v>42923</v>
      </c>
      <c r="R43" s="173" t="s">
        <v>3791</v>
      </c>
    </row>
    <row r="44" spans="1:18" x14ac:dyDescent="0.25">
      <c r="A44" s="173" t="s">
        <v>408</v>
      </c>
      <c r="B44" s="174">
        <v>42874</v>
      </c>
      <c r="C44" s="173" t="s">
        <v>5375</v>
      </c>
      <c r="D44" s="173" t="s">
        <v>2931</v>
      </c>
      <c r="E44" s="173" t="s">
        <v>2352</v>
      </c>
      <c r="F44" s="173" t="s">
        <v>4232</v>
      </c>
      <c r="G44" s="173" t="s">
        <v>5208</v>
      </c>
      <c r="H44" s="176"/>
      <c r="I44" s="176"/>
      <c r="J44" s="176" t="s">
        <v>21</v>
      </c>
      <c r="K44" s="176">
        <v>9000</v>
      </c>
      <c r="L44" s="173" t="s">
        <v>5376</v>
      </c>
      <c r="M44" s="173" t="s">
        <v>5572</v>
      </c>
      <c r="N44" s="173"/>
      <c r="O44" s="173"/>
      <c r="P44" s="173" t="s">
        <v>5387</v>
      </c>
      <c r="Q44" s="174">
        <v>42923</v>
      </c>
      <c r="R44" s="173" t="s">
        <v>3791</v>
      </c>
    </row>
    <row r="45" spans="1:18" x14ac:dyDescent="0.25">
      <c r="A45" s="173" t="s">
        <v>408</v>
      </c>
      <c r="B45" s="174">
        <v>42844</v>
      </c>
      <c r="C45" s="173" t="s">
        <v>821</v>
      </c>
      <c r="D45" s="173" t="s">
        <v>5377</v>
      </c>
      <c r="E45" s="173" t="s">
        <v>1846</v>
      </c>
      <c r="F45" s="173" t="s">
        <v>346</v>
      </c>
      <c r="G45" s="173" t="s">
        <v>5260</v>
      </c>
      <c r="H45" s="176">
        <v>1404.9586776859505</v>
      </c>
      <c r="I45" s="176">
        <v>295.04132231404958</v>
      </c>
      <c r="J45" s="176"/>
      <c r="K45" s="176">
        <v>1700</v>
      </c>
      <c r="L45" s="173" t="s">
        <v>5378</v>
      </c>
      <c r="M45" s="173" t="s">
        <v>5552</v>
      </c>
      <c r="N45" s="173"/>
      <c r="O45" s="173"/>
      <c r="P45" s="173" t="s">
        <v>5387</v>
      </c>
      <c r="Q45" s="174">
        <v>42923</v>
      </c>
      <c r="R45" s="173" t="s">
        <v>3186</v>
      </c>
    </row>
    <row r="46" spans="1:18" x14ac:dyDescent="0.25">
      <c r="A46" s="173" t="s">
        <v>408</v>
      </c>
      <c r="B46" s="174">
        <v>42836</v>
      </c>
      <c r="C46" s="173" t="s">
        <v>782</v>
      </c>
      <c r="D46" s="173" t="s">
        <v>5379</v>
      </c>
      <c r="E46" s="173" t="s">
        <v>5380</v>
      </c>
      <c r="F46" s="173" t="s">
        <v>5211</v>
      </c>
      <c r="G46" s="173" t="s">
        <v>5212</v>
      </c>
      <c r="H46" s="176"/>
      <c r="I46" s="176"/>
      <c r="J46" s="176" t="s">
        <v>21</v>
      </c>
      <c r="K46" s="176">
        <v>11200</v>
      </c>
      <c r="L46" s="173" t="s">
        <v>5381</v>
      </c>
      <c r="M46" s="173" t="s">
        <v>5565</v>
      </c>
      <c r="N46" s="173"/>
      <c r="O46" s="173"/>
      <c r="P46" s="173" t="s">
        <v>5387</v>
      </c>
      <c r="Q46" s="174">
        <v>42923</v>
      </c>
      <c r="R46" s="173" t="s">
        <v>3791</v>
      </c>
    </row>
    <row r="47" spans="1:18" x14ac:dyDescent="0.25">
      <c r="A47" s="173" t="s">
        <v>12</v>
      </c>
      <c r="B47" s="174">
        <v>42751</v>
      </c>
      <c r="C47" s="173" t="s">
        <v>5382</v>
      </c>
      <c r="D47" s="173" t="s">
        <v>5000</v>
      </c>
      <c r="E47" s="173" t="s">
        <v>5001</v>
      </c>
      <c r="F47" s="173" t="s">
        <v>5004</v>
      </c>
      <c r="G47" s="173" t="s">
        <v>5332</v>
      </c>
      <c r="H47" s="173"/>
      <c r="I47" s="173"/>
      <c r="J47" s="173" t="s">
        <v>21</v>
      </c>
      <c r="K47" s="173">
        <v>1400</v>
      </c>
      <c r="L47" s="173" t="s">
        <v>5276</v>
      </c>
      <c r="M47" s="173"/>
      <c r="N47" s="173"/>
      <c r="O47" s="173"/>
      <c r="P47" s="173" t="s">
        <v>5387</v>
      </c>
      <c r="Q47" s="174">
        <v>42923</v>
      </c>
      <c r="R47" s="173"/>
    </row>
    <row r="48" spans="1:18" x14ac:dyDescent="0.25">
      <c r="A48" s="173" t="s">
        <v>12</v>
      </c>
      <c r="B48" s="174">
        <v>42884</v>
      </c>
      <c r="C48" s="197">
        <v>634</v>
      </c>
      <c r="D48" s="173" t="s">
        <v>4579</v>
      </c>
      <c r="E48" s="173" t="s">
        <v>4580</v>
      </c>
      <c r="F48" s="173" t="s">
        <v>5388</v>
      </c>
      <c r="G48" s="173" t="s">
        <v>5389</v>
      </c>
      <c r="H48" s="173"/>
      <c r="I48" s="173"/>
      <c r="J48" s="176" t="s">
        <v>21</v>
      </c>
      <c r="K48" s="176">
        <v>700</v>
      </c>
      <c r="L48" s="173" t="s">
        <v>5276</v>
      </c>
      <c r="M48" s="173"/>
      <c r="N48" s="173"/>
      <c r="O48" s="173"/>
      <c r="P48" s="173" t="s">
        <v>5444</v>
      </c>
      <c r="Q48" s="174">
        <v>43016</v>
      </c>
      <c r="R48" s="173"/>
    </row>
    <row r="49" spans="1:18" x14ac:dyDescent="0.25">
      <c r="A49" s="173" t="s">
        <v>12</v>
      </c>
      <c r="B49" s="174">
        <v>42944</v>
      </c>
      <c r="C49" s="173" t="s">
        <v>5390</v>
      </c>
      <c r="D49" s="173" t="s">
        <v>4041</v>
      </c>
      <c r="E49" s="173" t="s">
        <v>4042</v>
      </c>
      <c r="F49" s="173" t="s">
        <v>2718</v>
      </c>
      <c r="G49" s="173" t="s">
        <v>5391</v>
      </c>
      <c r="H49" s="173"/>
      <c r="I49" s="173"/>
      <c r="J49" s="176" t="s">
        <v>21</v>
      </c>
      <c r="K49" s="176">
        <v>1946</v>
      </c>
      <c r="L49" s="173"/>
      <c r="M49" s="173" t="s">
        <v>5563</v>
      </c>
      <c r="N49" s="173"/>
      <c r="O49" s="173"/>
      <c r="P49" s="173" t="s">
        <v>5444</v>
      </c>
      <c r="Q49" s="174">
        <v>43016</v>
      </c>
      <c r="R49" s="173"/>
    </row>
    <row r="50" spans="1:18" x14ac:dyDescent="0.25">
      <c r="A50" s="173" t="s">
        <v>12</v>
      </c>
      <c r="B50" s="174">
        <v>42944</v>
      </c>
      <c r="C50" s="173" t="s">
        <v>5392</v>
      </c>
      <c r="D50" s="173" t="s">
        <v>4041</v>
      </c>
      <c r="E50" s="173" t="s">
        <v>4042</v>
      </c>
      <c r="F50" s="173" t="s">
        <v>5393</v>
      </c>
      <c r="G50" s="173" t="s">
        <v>5394</v>
      </c>
      <c r="H50" s="173"/>
      <c r="I50" s="173"/>
      <c r="J50" s="176" t="s">
        <v>21</v>
      </c>
      <c r="K50" s="176">
        <v>12646</v>
      </c>
      <c r="L50" s="173" t="s">
        <v>5276</v>
      </c>
      <c r="M50" s="173" t="s">
        <v>5563</v>
      </c>
      <c r="N50" s="173"/>
      <c r="O50" s="173"/>
      <c r="P50" s="173" t="s">
        <v>5444</v>
      </c>
      <c r="Q50" s="174">
        <v>43016</v>
      </c>
      <c r="R50" s="173"/>
    </row>
    <row r="51" spans="1:18" x14ac:dyDescent="0.25">
      <c r="A51" s="173" t="s">
        <v>12</v>
      </c>
      <c r="B51" s="174">
        <v>42930</v>
      </c>
      <c r="C51" s="197" t="s">
        <v>5395</v>
      </c>
      <c r="D51" s="173" t="s">
        <v>5000</v>
      </c>
      <c r="E51" s="173" t="s">
        <v>5001</v>
      </c>
      <c r="F51" s="173" t="s">
        <v>5112</v>
      </c>
      <c r="G51" s="173" t="s">
        <v>5396</v>
      </c>
      <c r="H51" s="173"/>
      <c r="I51" s="173"/>
      <c r="J51" s="176" t="s">
        <v>21</v>
      </c>
      <c r="K51" s="176">
        <v>5700</v>
      </c>
      <c r="L51" s="173" t="s">
        <v>5276</v>
      </c>
      <c r="M51" s="173" t="s">
        <v>5397</v>
      </c>
      <c r="N51" s="173"/>
      <c r="O51" s="173"/>
      <c r="P51" s="173" t="s">
        <v>5444</v>
      </c>
      <c r="Q51" s="174">
        <v>43016</v>
      </c>
      <c r="R51" s="173"/>
    </row>
    <row r="52" spans="1:18" x14ac:dyDescent="0.25">
      <c r="A52" s="173" t="s">
        <v>12</v>
      </c>
      <c r="B52" s="174">
        <v>42927</v>
      </c>
      <c r="C52" s="197" t="s">
        <v>5398</v>
      </c>
      <c r="D52" s="173" t="s">
        <v>5000</v>
      </c>
      <c r="E52" s="173" t="s">
        <v>5001</v>
      </c>
      <c r="F52" s="173" t="s">
        <v>2652</v>
      </c>
      <c r="G52" s="173" t="s">
        <v>5399</v>
      </c>
      <c r="H52" s="173"/>
      <c r="I52" s="173"/>
      <c r="J52" s="176" t="s">
        <v>21</v>
      </c>
      <c r="K52" s="176">
        <v>9500</v>
      </c>
      <c r="L52" s="173" t="s">
        <v>5276</v>
      </c>
      <c r="M52" s="173" t="s">
        <v>5406</v>
      </c>
      <c r="N52" s="173"/>
      <c r="O52" s="173"/>
      <c r="P52" s="173" t="s">
        <v>5444</v>
      </c>
      <c r="Q52" s="174">
        <v>43016</v>
      </c>
      <c r="R52" s="173"/>
    </row>
    <row r="53" spans="1:18" x14ac:dyDescent="0.25">
      <c r="A53" s="173" t="s">
        <v>12</v>
      </c>
      <c r="B53" s="174">
        <v>42956</v>
      </c>
      <c r="C53" s="197" t="s">
        <v>944</v>
      </c>
      <c r="D53" s="173" t="s">
        <v>5400</v>
      </c>
      <c r="E53" s="173" t="s">
        <v>5401</v>
      </c>
      <c r="F53" s="173" t="s">
        <v>3206</v>
      </c>
      <c r="G53" s="173" t="s">
        <v>5402</v>
      </c>
      <c r="H53" s="173"/>
      <c r="I53" s="173"/>
      <c r="J53" s="176" t="s">
        <v>21</v>
      </c>
      <c r="K53" s="176">
        <v>1000</v>
      </c>
      <c r="L53" s="173" t="s">
        <v>5276</v>
      </c>
      <c r="M53" s="173"/>
      <c r="N53" s="173"/>
      <c r="O53" s="173"/>
      <c r="P53" s="173" t="s">
        <v>5444</v>
      </c>
      <c r="Q53" s="174">
        <v>43016</v>
      </c>
      <c r="R53" s="173"/>
    </row>
    <row r="54" spans="1:18" x14ac:dyDescent="0.25">
      <c r="A54" s="173" t="s">
        <v>12</v>
      </c>
      <c r="B54" s="174">
        <v>42751</v>
      </c>
      <c r="C54" s="197" t="s">
        <v>5403</v>
      </c>
      <c r="D54" s="173" t="s">
        <v>5000</v>
      </c>
      <c r="E54" s="173" t="s">
        <v>5001</v>
      </c>
      <c r="F54" s="173" t="s">
        <v>5404</v>
      </c>
      <c r="G54" s="173" t="s">
        <v>5405</v>
      </c>
      <c r="H54" s="176">
        <v>15454.55</v>
      </c>
      <c r="I54" s="176">
        <v>3245.4554999999996</v>
      </c>
      <c r="J54" s="176"/>
      <c r="K54" s="176">
        <v>18700.005499999999</v>
      </c>
      <c r="L54" s="173" t="s">
        <v>5276</v>
      </c>
      <c r="M54" s="173"/>
      <c r="N54" s="173"/>
      <c r="O54" s="173"/>
      <c r="P54" s="173" t="s">
        <v>5444</v>
      </c>
      <c r="Q54" s="174">
        <v>43016</v>
      </c>
      <c r="R54" s="173"/>
    </row>
    <row r="55" spans="1:18" x14ac:dyDescent="0.25">
      <c r="A55" s="173" t="s">
        <v>408</v>
      </c>
      <c r="B55" s="174">
        <v>42996</v>
      </c>
      <c r="C55" s="173" t="s">
        <v>5407</v>
      </c>
      <c r="D55" s="173" t="s">
        <v>5408</v>
      </c>
      <c r="E55" s="173" t="s">
        <v>5409</v>
      </c>
      <c r="F55" s="173" t="s">
        <v>5339</v>
      </c>
      <c r="G55" s="173" t="s">
        <v>5340</v>
      </c>
      <c r="H55" s="173"/>
      <c r="I55" s="173"/>
      <c r="J55" s="176" t="s">
        <v>21</v>
      </c>
      <c r="K55" s="176">
        <v>1500</v>
      </c>
      <c r="L55" s="173" t="s">
        <v>5410</v>
      </c>
      <c r="M55" s="173" t="s">
        <v>5539</v>
      </c>
      <c r="N55" s="173"/>
      <c r="O55" s="173"/>
      <c r="P55" s="173" t="s">
        <v>5444</v>
      </c>
      <c r="Q55" s="174">
        <v>43016</v>
      </c>
      <c r="R55" s="173" t="s">
        <v>3791</v>
      </c>
    </row>
    <row r="56" spans="1:18" x14ac:dyDescent="0.25">
      <c r="A56" s="173" t="s">
        <v>408</v>
      </c>
      <c r="B56" s="174">
        <v>42927</v>
      </c>
      <c r="C56" s="173" t="s">
        <v>5094</v>
      </c>
      <c r="D56" s="173" t="s">
        <v>5411</v>
      </c>
      <c r="E56" s="173" t="s">
        <v>5412</v>
      </c>
      <c r="F56" s="173" t="s">
        <v>5388</v>
      </c>
      <c r="G56" s="173" t="s">
        <v>5389</v>
      </c>
      <c r="H56" s="173"/>
      <c r="I56" s="173"/>
      <c r="J56" s="176" t="s">
        <v>21</v>
      </c>
      <c r="K56" s="176">
        <v>1000</v>
      </c>
      <c r="L56" s="173" t="s">
        <v>5413</v>
      </c>
      <c r="M56" s="173"/>
      <c r="N56" s="173"/>
      <c r="O56" s="173"/>
      <c r="P56" s="173" t="s">
        <v>5444</v>
      </c>
      <c r="Q56" s="174">
        <v>43016</v>
      </c>
      <c r="R56" s="173"/>
    </row>
    <row r="57" spans="1:18" x14ac:dyDescent="0.25">
      <c r="A57" s="173" t="s">
        <v>408</v>
      </c>
      <c r="B57" s="174">
        <v>42971</v>
      </c>
      <c r="C57" s="173" t="s">
        <v>5414</v>
      </c>
      <c r="D57" s="173" t="s">
        <v>5415</v>
      </c>
      <c r="E57" s="173" t="s">
        <v>5416</v>
      </c>
      <c r="F57" s="173" t="s">
        <v>5141</v>
      </c>
      <c r="G57" s="173" t="s">
        <v>5142</v>
      </c>
      <c r="H57" s="176"/>
      <c r="I57" s="176"/>
      <c r="J57" s="176" t="s">
        <v>21</v>
      </c>
      <c r="K57" s="176">
        <v>2000</v>
      </c>
      <c r="L57" s="173" t="s">
        <v>5417</v>
      </c>
      <c r="M57" s="173" t="s">
        <v>5540</v>
      </c>
      <c r="N57" s="173"/>
      <c r="O57" s="173"/>
      <c r="P57" s="173" t="s">
        <v>5444</v>
      </c>
      <c r="Q57" s="174">
        <v>43016</v>
      </c>
      <c r="R57" s="173" t="s">
        <v>3186</v>
      </c>
    </row>
    <row r="58" spans="1:18" x14ac:dyDescent="0.25">
      <c r="A58" s="173" t="s">
        <v>12</v>
      </c>
      <c r="B58" s="174">
        <v>42916</v>
      </c>
      <c r="C58" s="173" t="s">
        <v>5418</v>
      </c>
      <c r="D58" s="173" t="s">
        <v>4041</v>
      </c>
      <c r="E58" s="173" t="s">
        <v>4042</v>
      </c>
      <c r="F58" s="173" t="s">
        <v>4433</v>
      </c>
      <c r="G58" s="173" t="s">
        <v>5419</v>
      </c>
      <c r="H58" s="173"/>
      <c r="I58" s="173"/>
      <c r="J58" s="173" t="s">
        <v>303</v>
      </c>
      <c r="K58" s="176">
        <v>13546</v>
      </c>
      <c r="L58" s="173" t="s">
        <v>5276</v>
      </c>
      <c r="M58" s="173"/>
      <c r="N58" s="173"/>
      <c r="O58" s="173"/>
      <c r="P58" s="173" t="s">
        <v>5444</v>
      </c>
      <c r="Q58" s="174">
        <v>43016</v>
      </c>
      <c r="R58" s="173"/>
    </row>
    <row r="59" spans="1:18" x14ac:dyDescent="0.25">
      <c r="A59" s="173" t="s">
        <v>12</v>
      </c>
      <c r="B59" s="174">
        <v>42882</v>
      </c>
      <c r="C59" s="173">
        <v>2017100030</v>
      </c>
      <c r="D59" s="173" t="s">
        <v>5246</v>
      </c>
      <c r="E59" s="173" t="s">
        <v>4800</v>
      </c>
      <c r="F59" s="173" t="s">
        <v>5420</v>
      </c>
      <c r="G59" s="173" t="s">
        <v>5421</v>
      </c>
      <c r="H59" s="173">
        <v>2727.27</v>
      </c>
      <c r="I59" s="176">
        <v>572.72669999999994</v>
      </c>
      <c r="J59" s="176"/>
      <c r="K59" s="176">
        <v>3299.9966999999997</v>
      </c>
      <c r="L59" s="173" t="s">
        <v>5276</v>
      </c>
      <c r="M59" s="173"/>
      <c r="N59" s="173"/>
      <c r="O59" s="173"/>
      <c r="P59" s="173" t="s">
        <v>5444</v>
      </c>
      <c r="Q59" s="174">
        <v>43016</v>
      </c>
      <c r="R59" s="173"/>
    </row>
    <row r="60" spans="1:18" x14ac:dyDescent="0.25">
      <c r="A60" s="173" t="s">
        <v>12</v>
      </c>
      <c r="B60" s="174">
        <v>42886</v>
      </c>
      <c r="C60" s="173" t="s">
        <v>5422</v>
      </c>
      <c r="D60" s="173" t="s">
        <v>5246</v>
      </c>
      <c r="E60" s="173" t="s">
        <v>4800</v>
      </c>
      <c r="F60" s="173" t="s">
        <v>3326</v>
      </c>
      <c r="G60" s="173" t="s">
        <v>5423</v>
      </c>
      <c r="H60" s="173"/>
      <c r="I60" s="176"/>
      <c r="J60" s="176" t="s">
        <v>21</v>
      </c>
      <c r="K60" s="176">
        <v>1000</v>
      </c>
      <c r="L60" s="173" t="s">
        <v>5276</v>
      </c>
      <c r="M60" s="173"/>
      <c r="N60" s="173"/>
      <c r="O60" s="173"/>
      <c r="P60" s="173" t="s">
        <v>5444</v>
      </c>
      <c r="Q60" s="174">
        <v>43016</v>
      </c>
      <c r="R60" s="173"/>
    </row>
    <row r="61" spans="1:18" x14ac:dyDescent="0.25">
      <c r="A61" s="173" t="s">
        <v>12</v>
      </c>
      <c r="B61" s="174">
        <v>42886</v>
      </c>
      <c r="C61" s="173" t="s">
        <v>5424</v>
      </c>
      <c r="D61" s="173" t="s">
        <v>5246</v>
      </c>
      <c r="E61" s="173" t="s">
        <v>4800</v>
      </c>
      <c r="F61" s="173" t="s">
        <v>693</v>
      </c>
      <c r="G61" s="173" t="s">
        <v>5425</v>
      </c>
      <c r="H61" s="173"/>
      <c r="I61" s="176"/>
      <c r="J61" s="176" t="s">
        <v>21</v>
      </c>
      <c r="K61" s="176">
        <v>850</v>
      </c>
      <c r="L61" s="173" t="s">
        <v>5276</v>
      </c>
      <c r="M61" s="173"/>
      <c r="N61" s="173"/>
      <c r="O61" s="173"/>
      <c r="P61" s="173" t="s">
        <v>5444</v>
      </c>
      <c r="Q61" s="174">
        <v>43016</v>
      </c>
      <c r="R61" s="173"/>
    </row>
    <row r="62" spans="1:18" x14ac:dyDescent="0.25">
      <c r="A62" s="173" t="s">
        <v>12</v>
      </c>
      <c r="B62" s="174">
        <v>42920</v>
      </c>
      <c r="C62" s="173" t="s">
        <v>944</v>
      </c>
      <c r="D62" s="173" t="s">
        <v>5426</v>
      </c>
      <c r="E62" s="173" t="s">
        <v>5427</v>
      </c>
      <c r="F62" s="173" t="s">
        <v>2657</v>
      </c>
      <c r="G62" s="173" t="s">
        <v>5428</v>
      </c>
      <c r="H62" s="173"/>
      <c r="I62" s="173"/>
      <c r="J62" s="176" t="s">
        <v>21</v>
      </c>
      <c r="K62" s="176">
        <v>1500</v>
      </c>
      <c r="L62" s="173" t="s">
        <v>5276</v>
      </c>
      <c r="M62" s="173"/>
      <c r="N62" s="173"/>
      <c r="O62" s="173"/>
      <c r="P62" s="173" t="s">
        <v>5444</v>
      </c>
      <c r="Q62" s="174">
        <v>43016</v>
      </c>
      <c r="R62" s="173"/>
    </row>
    <row r="63" spans="1:18" x14ac:dyDescent="0.25">
      <c r="A63" s="173" t="s">
        <v>408</v>
      </c>
      <c r="B63" s="174">
        <v>42930</v>
      </c>
      <c r="C63" s="173" t="s">
        <v>5073</v>
      </c>
      <c r="D63" s="173" t="s">
        <v>5430</v>
      </c>
      <c r="E63" s="173" t="s">
        <v>5431</v>
      </c>
      <c r="F63" s="173" t="s">
        <v>693</v>
      </c>
      <c r="G63" s="173" t="s">
        <v>5425</v>
      </c>
      <c r="H63" s="173"/>
      <c r="I63" s="173"/>
      <c r="J63" s="176" t="s">
        <v>21</v>
      </c>
      <c r="K63" s="173">
        <v>1200</v>
      </c>
      <c r="L63" s="173" t="s">
        <v>5429</v>
      </c>
      <c r="M63" s="173"/>
      <c r="N63" s="173"/>
      <c r="O63" s="173"/>
      <c r="P63" s="173" t="s">
        <v>5444</v>
      </c>
      <c r="Q63" s="174">
        <v>43016</v>
      </c>
      <c r="R63" s="173"/>
    </row>
    <row r="64" spans="1:18" x14ac:dyDescent="0.25">
      <c r="A64" s="173" t="s">
        <v>408</v>
      </c>
      <c r="B64" s="174">
        <v>42997</v>
      </c>
      <c r="C64" s="173" t="s">
        <v>5432</v>
      </c>
      <c r="D64" s="173" t="s">
        <v>5433</v>
      </c>
      <c r="E64" s="173" t="s">
        <v>5434</v>
      </c>
      <c r="F64" s="173" t="s">
        <v>4433</v>
      </c>
      <c r="G64" s="173" t="s">
        <v>5419</v>
      </c>
      <c r="H64" s="173"/>
      <c r="I64" s="173"/>
      <c r="J64" s="173" t="s">
        <v>21</v>
      </c>
      <c r="K64" s="173">
        <v>14500</v>
      </c>
      <c r="L64" s="173" t="s">
        <v>5435</v>
      </c>
      <c r="M64" s="173" t="s">
        <v>5561</v>
      </c>
      <c r="N64" s="173"/>
      <c r="O64" s="173"/>
      <c r="P64" s="173" t="s">
        <v>5444</v>
      </c>
      <c r="Q64" s="174">
        <v>43016</v>
      </c>
      <c r="R64" s="173"/>
    </row>
    <row r="65" spans="1:18" x14ac:dyDescent="0.25">
      <c r="A65" s="173" t="s">
        <v>408</v>
      </c>
      <c r="B65" s="174">
        <v>42980</v>
      </c>
      <c r="C65" s="173" t="s">
        <v>5436</v>
      </c>
      <c r="D65" s="173" t="s">
        <v>5437</v>
      </c>
      <c r="E65" s="173" t="s">
        <v>5438</v>
      </c>
      <c r="F65" s="173" t="s">
        <v>2657</v>
      </c>
      <c r="G65" s="173" t="s">
        <v>5428</v>
      </c>
      <c r="H65" s="173"/>
      <c r="I65" s="173"/>
      <c r="J65" s="173" t="s">
        <v>21</v>
      </c>
      <c r="K65" s="173">
        <v>2000</v>
      </c>
      <c r="L65" s="173" t="s">
        <v>5439</v>
      </c>
      <c r="M65" s="173" t="s">
        <v>5568</v>
      </c>
      <c r="N65" s="173"/>
      <c r="O65" s="173"/>
      <c r="P65" s="173" t="s">
        <v>5444</v>
      </c>
      <c r="Q65" s="174">
        <v>43016</v>
      </c>
      <c r="R65" s="173" t="s">
        <v>3186</v>
      </c>
    </row>
    <row r="66" spans="1:18" x14ac:dyDescent="0.25">
      <c r="A66" s="173" t="s">
        <v>408</v>
      </c>
      <c r="B66" s="174">
        <v>42944</v>
      </c>
      <c r="C66" s="173" t="s">
        <v>5440</v>
      </c>
      <c r="D66" s="173" t="s">
        <v>5441</v>
      </c>
      <c r="E66" s="173" t="s">
        <v>5442</v>
      </c>
      <c r="F66" s="173" t="s">
        <v>5420</v>
      </c>
      <c r="G66" s="173" t="s">
        <v>5421</v>
      </c>
      <c r="H66" s="176">
        <v>3305.7851239669421</v>
      </c>
      <c r="I66" s="176">
        <v>694.21487603305786</v>
      </c>
      <c r="J66" s="176"/>
      <c r="K66" s="176">
        <v>4000</v>
      </c>
      <c r="L66" s="173" t="s">
        <v>5443</v>
      </c>
      <c r="M66" s="173" t="s">
        <v>5542</v>
      </c>
      <c r="N66" s="173"/>
      <c r="O66" s="173"/>
      <c r="P66" s="173" t="s">
        <v>5444</v>
      </c>
      <c r="Q66" s="174">
        <v>43016</v>
      </c>
      <c r="R66" s="173" t="s">
        <v>3186</v>
      </c>
    </row>
    <row r="67" spans="1:18" x14ac:dyDescent="0.25">
      <c r="A67" s="173" t="s">
        <v>408</v>
      </c>
      <c r="B67" s="174">
        <v>42956</v>
      </c>
      <c r="C67" s="173" t="s">
        <v>4792</v>
      </c>
      <c r="D67" s="173" t="s">
        <v>5400</v>
      </c>
      <c r="E67" s="173" t="s">
        <v>5401</v>
      </c>
      <c r="F67" s="173" t="s">
        <v>3326</v>
      </c>
      <c r="G67" s="173" t="s">
        <v>5423</v>
      </c>
      <c r="H67" s="173"/>
      <c r="I67" s="176"/>
      <c r="J67" s="176" t="s">
        <v>21</v>
      </c>
      <c r="K67" s="176">
        <v>2000</v>
      </c>
      <c r="L67" s="173" t="s">
        <v>5429</v>
      </c>
      <c r="M67" s="173" t="s">
        <v>5541</v>
      </c>
      <c r="N67" s="173"/>
      <c r="O67" s="173"/>
      <c r="P67" s="173" t="s">
        <v>5444</v>
      </c>
      <c r="Q67" s="174">
        <v>43016</v>
      </c>
      <c r="R67" s="173" t="s">
        <v>3186</v>
      </c>
    </row>
    <row r="68" spans="1:18" x14ac:dyDescent="0.25">
      <c r="A68" s="173" t="s">
        <v>12</v>
      </c>
      <c r="B68" s="174">
        <v>42787</v>
      </c>
      <c r="C68" s="173" t="s">
        <v>5253</v>
      </c>
      <c r="D68" s="173" t="s">
        <v>5246</v>
      </c>
      <c r="E68" s="173" t="s">
        <v>4800</v>
      </c>
      <c r="F68" s="173" t="s">
        <v>5445</v>
      </c>
      <c r="G68" s="173" t="s">
        <v>5254</v>
      </c>
      <c r="H68" s="173"/>
      <c r="I68" s="173"/>
      <c r="J68" s="176" t="s">
        <v>21</v>
      </c>
      <c r="K68" s="176">
        <v>2000</v>
      </c>
      <c r="L68" s="173"/>
      <c r="M68" s="173" t="s">
        <v>5255</v>
      </c>
      <c r="N68" s="173"/>
      <c r="O68" s="173"/>
      <c r="P68" s="173" t="s">
        <v>5444</v>
      </c>
      <c r="Q68" s="174">
        <v>43016</v>
      </c>
      <c r="R68" s="173"/>
    </row>
    <row r="69" spans="1:18" x14ac:dyDescent="0.25">
      <c r="A69" s="173" t="s">
        <v>12</v>
      </c>
      <c r="B69" s="174">
        <v>42940</v>
      </c>
      <c r="C69" s="173" t="s">
        <v>5446</v>
      </c>
      <c r="D69" s="173" t="s">
        <v>5246</v>
      </c>
      <c r="E69" s="173" t="s">
        <v>4800</v>
      </c>
      <c r="F69" s="173" t="s">
        <v>5271</v>
      </c>
      <c r="G69" s="173" t="s">
        <v>5447</v>
      </c>
      <c r="H69" s="173"/>
      <c r="I69" s="173"/>
      <c r="J69" s="176" t="s">
        <v>21</v>
      </c>
      <c r="K69" s="176">
        <v>10000</v>
      </c>
      <c r="L69" s="173" t="s">
        <v>5276</v>
      </c>
      <c r="M69" s="173"/>
      <c r="N69" s="173"/>
      <c r="O69" s="173"/>
      <c r="P69" s="173" t="s">
        <v>5444</v>
      </c>
      <c r="Q69" s="174">
        <v>43016</v>
      </c>
      <c r="R69" s="173"/>
    </row>
    <row r="70" spans="1:18" x14ac:dyDescent="0.25">
      <c r="A70" s="173" t="s">
        <v>12</v>
      </c>
      <c r="B70" s="174">
        <v>43006</v>
      </c>
      <c r="C70" s="173" t="s">
        <v>5448</v>
      </c>
      <c r="D70" s="173" t="s">
        <v>4496</v>
      </c>
      <c r="E70" s="173" t="s">
        <v>2171</v>
      </c>
      <c r="F70" s="173" t="s">
        <v>406</v>
      </c>
      <c r="G70" s="173" t="s">
        <v>5449</v>
      </c>
      <c r="H70" s="173">
        <v>743.8</v>
      </c>
      <c r="I70" s="176">
        <v>156.19799999999998</v>
      </c>
      <c r="J70" s="176"/>
      <c r="K70" s="176">
        <v>899.99799999999993</v>
      </c>
      <c r="L70" s="173" t="s">
        <v>5276</v>
      </c>
      <c r="M70" s="173"/>
      <c r="N70" s="173"/>
      <c r="O70" s="173"/>
      <c r="P70" s="173" t="s">
        <v>5444</v>
      </c>
      <c r="Q70" s="174">
        <v>43016</v>
      </c>
      <c r="R70" s="173"/>
    </row>
    <row r="71" spans="1:18" x14ac:dyDescent="0.25">
      <c r="A71" s="173" t="s">
        <v>12</v>
      </c>
      <c r="B71" s="174">
        <v>43070</v>
      </c>
      <c r="C71" s="173" t="s">
        <v>5450</v>
      </c>
      <c r="D71" s="173" t="s">
        <v>4041</v>
      </c>
      <c r="E71" s="173" t="s">
        <v>4042</v>
      </c>
      <c r="F71" s="173" t="s">
        <v>5451</v>
      </c>
      <c r="G71" s="173" t="s">
        <v>5452</v>
      </c>
      <c r="H71" s="173"/>
      <c r="I71" s="173"/>
      <c r="J71" s="173" t="s">
        <v>21</v>
      </c>
      <c r="K71" s="173">
        <v>9946</v>
      </c>
      <c r="L71" s="173"/>
      <c r="M71" s="173"/>
      <c r="N71" s="173"/>
      <c r="O71" s="173"/>
      <c r="P71" s="173" t="s">
        <v>5523</v>
      </c>
      <c r="Q71" s="174">
        <v>43116</v>
      </c>
      <c r="R71" s="173"/>
    </row>
    <row r="72" spans="1:18" x14ac:dyDescent="0.25">
      <c r="A72" s="173" t="s">
        <v>12</v>
      </c>
      <c r="B72" s="174">
        <v>43039</v>
      </c>
      <c r="C72" s="173" t="s">
        <v>5453</v>
      </c>
      <c r="D72" s="173" t="s">
        <v>4041</v>
      </c>
      <c r="E72" s="173" t="s">
        <v>4042</v>
      </c>
      <c r="F72" s="173" t="s">
        <v>4386</v>
      </c>
      <c r="G72" s="173" t="s">
        <v>5454</v>
      </c>
      <c r="H72" s="173"/>
      <c r="I72" s="173"/>
      <c r="J72" s="173" t="s">
        <v>21</v>
      </c>
      <c r="K72" s="173">
        <v>11146</v>
      </c>
      <c r="L72" s="173" t="s">
        <v>5276</v>
      </c>
      <c r="M72" s="173"/>
      <c r="N72" s="173"/>
      <c r="O72" s="173"/>
      <c r="P72" s="173" t="s">
        <v>5523</v>
      </c>
      <c r="Q72" s="174">
        <v>43116</v>
      </c>
      <c r="R72" s="173"/>
    </row>
    <row r="73" spans="1:18" x14ac:dyDescent="0.25">
      <c r="A73" s="173" t="s">
        <v>12</v>
      </c>
      <c r="B73" s="174">
        <v>42940</v>
      </c>
      <c r="C73" s="173" t="s">
        <v>5455</v>
      </c>
      <c r="D73" s="173" t="s">
        <v>5246</v>
      </c>
      <c r="E73" s="173" t="s">
        <v>4800</v>
      </c>
      <c r="F73" s="173" t="s">
        <v>5456</v>
      </c>
      <c r="G73" s="173" t="s">
        <v>5457</v>
      </c>
      <c r="H73" s="173"/>
      <c r="I73" s="173"/>
      <c r="J73" s="176" t="s">
        <v>21</v>
      </c>
      <c r="K73" s="176">
        <v>4000</v>
      </c>
      <c r="L73" s="173" t="s">
        <v>5276</v>
      </c>
      <c r="M73" s="173"/>
      <c r="N73" s="173"/>
      <c r="O73" s="173"/>
      <c r="P73" s="173" t="s">
        <v>5523</v>
      </c>
      <c r="Q73" s="174">
        <v>43116</v>
      </c>
      <c r="R73" s="173"/>
    </row>
    <row r="74" spans="1:18" x14ac:dyDescent="0.25">
      <c r="A74" s="173" t="s">
        <v>12</v>
      </c>
      <c r="B74" s="174">
        <v>43028</v>
      </c>
      <c r="C74" s="173" t="s">
        <v>5458</v>
      </c>
      <c r="D74" s="173" t="s">
        <v>5246</v>
      </c>
      <c r="E74" s="173" t="s">
        <v>4800</v>
      </c>
      <c r="F74" s="173" t="s">
        <v>4406</v>
      </c>
      <c r="G74" s="173" t="s">
        <v>5459</v>
      </c>
      <c r="H74" s="173"/>
      <c r="I74" s="173"/>
      <c r="J74" s="176" t="s">
        <v>21</v>
      </c>
      <c r="K74" s="176">
        <v>1000</v>
      </c>
      <c r="L74" s="173"/>
      <c r="M74" s="173"/>
      <c r="N74" s="173"/>
      <c r="O74" s="173"/>
      <c r="P74" s="173" t="s">
        <v>5523</v>
      </c>
      <c r="Q74" s="174">
        <v>43116</v>
      </c>
      <c r="R74" s="173"/>
    </row>
    <row r="75" spans="1:18" x14ac:dyDescent="0.25">
      <c r="A75" s="173" t="s">
        <v>12</v>
      </c>
      <c r="B75" s="174">
        <v>43028</v>
      </c>
      <c r="C75" s="173" t="s">
        <v>5460</v>
      </c>
      <c r="D75" s="173" t="s">
        <v>5246</v>
      </c>
      <c r="E75" s="173" t="s">
        <v>4800</v>
      </c>
      <c r="F75" s="173" t="s">
        <v>2806</v>
      </c>
      <c r="G75" s="173" t="s">
        <v>5461</v>
      </c>
      <c r="H75" s="173"/>
      <c r="I75" s="173"/>
      <c r="J75" s="176" t="s">
        <v>21</v>
      </c>
      <c r="K75" s="176">
        <v>1200</v>
      </c>
      <c r="L75" s="173" t="s">
        <v>5276</v>
      </c>
      <c r="M75" s="173"/>
      <c r="N75" s="173"/>
      <c r="O75" s="173"/>
      <c r="P75" s="173" t="s">
        <v>5523</v>
      </c>
      <c r="Q75" s="174">
        <v>43116</v>
      </c>
      <c r="R75" s="173"/>
    </row>
    <row r="76" spans="1:18" x14ac:dyDescent="0.25">
      <c r="A76" s="173" t="s">
        <v>12</v>
      </c>
      <c r="B76" s="174">
        <v>43028</v>
      </c>
      <c r="C76" s="173" t="s">
        <v>5462</v>
      </c>
      <c r="D76" s="173" t="s">
        <v>5246</v>
      </c>
      <c r="E76" s="173" t="s">
        <v>4800</v>
      </c>
      <c r="F76" s="173" t="s">
        <v>5463</v>
      </c>
      <c r="G76" s="173" t="s">
        <v>5464</v>
      </c>
      <c r="H76" s="173"/>
      <c r="I76" s="173"/>
      <c r="J76" s="176" t="s">
        <v>21</v>
      </c>
      <c r="K76" s="176">
        <v>1000</v>
      </c>
      <c r="L76" s="173"/>
      <c r="M76" s="173"/>
      <c r="N76" s="173"/>
      <c r="O76" s="173"/>
      <c r="P76" s="173" t="s">
        <v>5523</v>
      </c>
      <c r="Q76" s="174">
        <v>43116</v>
      </c>
      <c r="R76" s="173"/>
    </row>
    <row r="77" spans="1:18" x14ac:dyDescent="0.25">
      <c r="A77" s="173" t="s">
        <v>12</v>
      </c>
      <c r="B77" s="174">
        <v>43040</v>
      </c>
      <c r="C77" s="175" t="s">
        <v>5465</v>
      </c>
      <c r="D77" s="173" t="s">
        <v>5246</v>
      </c>
      <c r="E77" s="173" t="s">
        <v>4800</v>
      </c>
      <c r="F77" s="173" t="s">
        <v>5466</v>
      </c>
      <c r="G77" s="173" t="s">
        <v>5467</v>
      </c>
      <c r="H77" s="173">
        <v>826.45</v>
      </c>
      <c r="I77" s="176">
        <v>173.55449999999999</v>
      </c>
      <c r="J77" s="176"/>
      <c r="K77" s="176">
        <v>1000.0045</v>
      </c>
      <c r="L77" s="173"/>
      <c r="M77" s="173"/>
      <c r="N77" s="173"/>
      <c r="O77" s="173"/>
      <c r="P77" s="173" t="s">
        <v>5523</v>
      </c>
      <c r="Q77" s="174">
        <v>43116</v>
      </c>
      <c r="R77" s="173"/>
    </row>
    <row r="78" spans="1:18" x14ac:dyDescent="0.25">
      <c r="A78" s="173" t="s">
        <v>12</v>
      </c>
      <c r="B78" s="174">
        <v>43066</v>
      </c>
      <c r="C78" s="175" t="s">
        <v>5468</v>
      </c>
      <c r="D78" s="173" t="s">
        <v>5246</v>
      </c>
      <c r="E78" s="173" t="s">
        <v>4800</v>
      </c>
      <c r="F78" s="173" t="s">
        <v>5469</v>
      </c>
      <c r="G78" s="173" t="s">
        <v>5470</v>
      </c>
      <c r="H78" s="173">
        <v>1652.89</v>
      </c>
      <c r="I78" s="176">
        <v>347.1069</v>
      </c>
      <c r="J78" s="176"/>
      <c r="K78" s="176">
        <v>1999.9969000000001</v>
      </c>
      <c r="L78" s="173"/>
      <c r="M78" s="173"/>
      <c r="N78" s="173"/>
      <c r="O78" s="173"/>
      <c r="P78" s="173" t="s">
        <v>5523</v>
      </c>
      <c r="Q78" s="174">
        <v>43116</v>
      </c>
      <c r="R78" s="173"/>
    </row>
    <row r="79" spans="1:18" x14ac:dyDescent="0.25">
      <c r="A79" s="173" t="s">
        <v>12</v>
      </c>
      <c r="B79" s="174">
        <v>43073</v>
      </c>
      <c r="C79" s="197">
        <v>645</v>
      </c>
      <c r="D79" s="173" t="s">
        <v>4579</v>
      </c>
      <c r="E79" s="173" t="s">
        <v>4580</v>
      </c>
      <c r="F79" s="173" t="s">
        <v>5471</v>
      </c>
      <c r="G79" s="173" t="s">
        <v>5472</v>
      </c>
      <c r="H79" s="173"/>
      <c r="I79" s="173"/>
      <c r="J79" s="176" t="s">
        <v>21</v>
      </c>
      <c r="K79" s="176">
        <v>1300</v>
      </c>
      <c r="L79" s="173"/>
      <c r="M79" s="173"/>
      <c r="N79" s="173"/>
      <c r="O79" s="173"/>
      <c r="P79" s="173" t="s">
        <v>5523</v>
      </c>
      <c r="Q79" s="174">
        <v>43116</v>
      </c>
      <c r="R79" s="173"/>
    </row>
    <row r="80" spans="1:18" x14ac:dyDescent="0.25">
      <c r="A80" s="173" t="s">
        <v>12</v>
      </c>
      <c r="B80" s="174">
        <v>43096</v>
      </c>
      <c r="C80" s="173" t="s">
        <v>5473</v>
      </c>
      <c r="D80" s="173" t="s">
        <v>5246</v>
      </c>
      <c r="E80" s="173" t="s">
        <v>4800</v>
      </c>
      <c r="F80" s="173" t="s">
        <v>5474</v>
      </c>
      <c r="G80" s="173" t="s">
        <v>5475</v>
      </c>
      <c r="H80" s="173"/>
      <c r="I80" s="173"/>
      <c r="J80" s="176" t="s">
        <v>21</v>
      </c>
      <c r="K80" s="176">
        <v>5300</v>
      </c>
      <c r="L80" s="173"/>
      <c r="M80" s="173" t="s">
        <v>5562</v>
      </c>
      <c r="N80" s="173"/>
      <c r="O80" s="173"/>
      <c r="P80" s="173" t="s">
        <v>5523</v>
      </c>
      <c r="Q80" s="174">
        <v>43116</v>
      </c>
      <c r="R80" s="173"/>
    </row>
    <row r="81" spans="1:18" x14ac:dyDescent="0.25">
      <c r="A81" s="173" t="s">
        <v>12</v>
      </c>
      <c r="B81" s="174">
        <v>43096</v>
      </c>
      <c r="C81" s="173" t="s">
        <v>5476</v>
      </c>
      <c r="D81" s="173" t="s">
        <v>5246</v>
      </c>
      <c r="E81" s="173" t="s">
        <v>4800</v>
      </c>
      <c r="F81" s="173" t="s">
        <v>5477</v>
      </c>
      <c r="G81" s="173" t="s">
        <v>5478</v>
      </c>
      <c r="H81" s="173"/>
      <c r="I81" s="173"/>
      <c r="J81" s="176" t="s">
        <v>21</v>
      </c>
      <c r="K81" s="176">
        <v>8500</v>
      </c>
      <c r="L81" s="173"/>
      <c r="M81" s="173" t="s">
        <v>5562</v>
      </c>
      <c r="N81" s="173"/>
      <c r="O81" s="173"/>
      <c r="P81" s="173" t="s">
        <v>5523</v>
      </c>
      <c r="Q81" s="174">
        <v>43116</v>
      </c>
      <c r="R81" s="173"/>
    </row>
    <row r="82" spans="1:18" x14ac:dyDescent="0.25">
      <c r="A82" s="173" t="s">
        <v>12</v>
      </c>
      <c r="B82" s="174">
        <v>43096</v>
      </c>
      <c r="C82" s="173" t="s">
        <v>5479</v>
      </c>
      <c r="D82" s="173" t="s">
        <v>5246</v>
      </c>
      <c r="E82" s="173" t="s">
        <v>4800</v>
      </c>
      <c r="F82" s="173" t="s">
        <v>5480</v>
      </c>
      <c r="G82" s="173" t="s">
        <v>5481</v>
      </c>
      <c r="H82" s="173"/>
      <c r="I82" s="173"/>
      <c r="J82" s="176" t="s">
        <v>21</v>
      </c>
      <c r="K82" s="176">
        <v>1000</v>
      </c>
      <c r="L82" s="173"/>
      <c r="M82" s="173"/>
      <c r="N82" s="173"/>
      <c r="O82" s="173"/>
      <c r="P82" s="173" t="s">
        <v>5523</v>
      </c>
      <c r="Q82" s="174">
        <v>43116</v>
      </c>
      <c r="R82" s="173"/>
    </row>
    <row r="83" spans="1:18" x14ac:dyDescent="0.25">
      <c r="A83" s="173" t="s">
        <v>12</v>
      </c>
      <c r="B83" s="174">
        <v>43096</v>
      </c>
      <c r="C83" s="173" t="s">
        <v>5482</v>
      </c>
      <c r="D83" s="173" t="s">
        <v>5246</v>
      </c>
      <c r="E83" s="173" t="s">
        <v>4800</v>
      </c>
      <c r="F83" s="173" t="s">
        <v>3344</v>
      </c>
      <c r="G83" s="173" t="s">
        <v>5483</v>
      </c>
      <c r="H83" s="173"/>
      <c r="I83" s="173"/>
      <c r="J83" s="176" t="s">
        <v>21</v>
      </c>
      <c r="K83" s="176">
        <v>3300</v>
      </c>
      <c r="L83" s="173"/>
      <c r="M83" s="173"/>
      <c r="N83" s="173"/>
      <c r="O83" s="173"/>
      <c r="P83" s="173" t="s">
        <v>5523</v>
      </c>
      <c r="Q83" s="174">
        <v>43116</v>
      </c>
      <c r="R83" s="173"/>
    </row>
    <row r="84" spans="1:18" x14ac:dyDescent="0.25">
      <c r="A84" s="173" t="s">
        <v>408</v>
      </c>
      <c r="B84" s="174">
        <v>43027</v>
      </c>
      <c r="C84" s="173" t="s">
        <v>5484</v>
      </c>
      <c r="D84" s="173" t="s">
        <v>5485</v>
      </c>
      <c r="E84" s="173" t="s">
        <v>5486</v>
      </c>
      <c r="F84" s="173" t="s">
        <v>5271</v>
      </c>
      <c r="G84" s="173" t="s">
        <v>5447</v>
      </c>
      <c r="H84" s="173"/>
      <c r="I84" s="173"/>
      <c r="J84" s="176" t="s">
        <v>21</v>
      </c>
      <c r="K84" s="173">
        <v>10500</v>
      </c>
      <c r="L84" s="173" t="s">
        <v>5487</v>
      </c>
      <c r="M84" s="173" t="s">
        <v>5553</v>
      </c>
      <c r="N84" s="173"/>
      <c r="O84" s="173"/>
      <c r="P84" s="173" t="s">
        <v>5523</v>
      </c>
      <c r="Q84" s="174">
        <v>43116</v>
      </c>
      <c r="R84" s="173" t="s">
        <v>3186</v>
      </c>
    </row>
    <row r="85" spans="1:18" x14ac:dyDescent="0.25">
      <c r="A85" s="173" t="s">
        <v>408</v>
      </c>
      <c r="B85" s="174">
        <v>43036</v>
      </c>
      <c r="C85" s="173" t="s">
        <v>835</v>
      </c>
      <c r="D85" s="173" t="s">
        <v>5488</v>
      </c>
      <c r="E85" s="173" t="s">
        <v>5489</v>
      </c>
      <c r="F85" s="173" t="s">
        <v>5404</v>
      </c>
      <c r="G85" s="173" t="s">
        <v>5405</v>
      </c>
      <c r="H85" s="176">
        <v>15702.48</v>
      </c>
      <c r="I85" s="176">
        <v>3297.5207999999998</v>
      </c>
      <c r="J85" s="176"/>
      <c r="K85" s="176">
        <v>19000.000799999998</v>
      </c>
      <c r="L85" s="173" t="s">
        <v>5490</v>
      </c>
      <c r="M85" s="173" t="s">
        <v>5569</v>
      </c>
      <c r="N85" s="173"/>
      <c r="O85" s="173"/>
      <c r="P85" s="173" t="s">
        <v>5523</v>
      </c>
      <c r="Q85" s="174">
        <v>43116</v>
      </c>
      <c r="R85" s="173" t="s">
        <v>3186</v>
      </c>
    </row>
    <row r="86" spans="1:18" x14ac:dyDescent="0.25">
      <c r="A86" s="173" t="s">
        <v>408</v>
      </c>
      <c r="B86" s="174">
        <v>43097</v>
      </c>
      <c r="C86" s="173" t="s">
        <v>5491</v>
      </c>
      <c r="D86" s="173" t="s">
        <v>5492</v>
      </c>
      <c r="E86" s="173" t="s">
        <v>5493</v>
      </c>
      <c r="F86" s="173" t="s">
        <v>2806</v>
      </c>
      <c r="G86" s="173" t="s">
        <v>5461</v>
      </c>
      <c r="H86" s="173"/>
      <c r="I86" s="173"/>
      <c r="J86" s="176" t="s">
        <v>21</v>
      </c>
      <c r="K86" s="173">
        <v>1800</v>
      </c>
      <c r="L86" s="173" t="s">
        <v>5494</v>
      </c>
      <c r="M86" s="173" t="s">
        <v>5537</v>
      </c>
      <c r="N86" s="173"/>
      <c r="O86" s="173"/>
      <c r="P86" s="173" t="s">
        <v>5523</v>
      </c>
      <c r="Q86" s="174">
        <v>43116</v>
      </c>
      <c r="R86" s="173" t="s">
        <v>3186</v>
      </c>
    </row>
    <row r="87" spans="1:18" x14ac:dyDescent="0.25">
      <c r="A87" s="173" t="s">
        <v>408</v>
      </c>
      <c r="B87" s="174">
        <v>43070</v>
      </c>
      <c r="C87" s="173" t="s">
        <v>5495</v>
      </c>
      <c r="D87" s="173" t="s">
        <v>5496</v>
      </c>
      <c r="E87" s="173" t="s">
        <v>5497</v>
      </c>
      <c r="F87" s="173" t="s">
        <v>5393</v>
      </c>
      <c r="G87" s="173" t="s">
        <v>5394</v>
      </c>
      <c r="H87" s="173"/>
      <c r="I87" s="173"/>
      <c r="J87" s="176" t="s">
        <v>21</v>
      </c>
      <c r="K87" s="173">
        <v>14000</v>
      </c>
      <c r="L87" s="173" t="s">
        <v>5498</v>
      </c>
      <c r="M87" s="173" t="s">
        <v>5570</v>
      </c>
      <c r="N87" s="173"/>
      <c r="O87" s="173"/>
      <c r="P87" s="173" t="s">
        <v>5523</v>
      </c>
      <c r="Q87" s="174">
        <v>43116</v>
      </c>
      <c r="R87" s="173" t="s">
        <v>3791</v>
      </c>
    </row>
    <row r="88" spans="1:18" x14ac:dyDescent="0.25">
      <c r="A88" s="173" t="s">
        <v>408</v>
      </c>
      <c r="B88" s="174">
        <v>43053</v>
      </c>
      <c r="C88" s="173" t="s">
        <v>5499</v>
      </c>
      <c r="D88" s="173" t="s">
        <v>5500</v>
      </c>
      <c r="E88" s="173" t="s">
        <v>5501</v>
      </c>
      <c r="F88" s="173" t="s">
        <v>3206</v>
      </c>
      <c r="G88" s="173" t="s">
        <v>5402</v>
      </c>
      <c r="H88" s="173"/>
      <c r="I88" s="173"/>
      <c r="J88" s="176" t="s">
        <v>21</v>
      </c>
      <c r="K88" s="173">
        <v>1100</v>
      </c>
      <c r="L88" s="173" t="s">
        <v>5502</v>
      </c>
      <c r="M88" s="173" t="s">
        <v>5571</v>
      </c>
      <c r="N88" s="173"/>
      <c r="O88" s="173"/>
      <c r="P88" s="173" t="s">
        <v>5523</v>
      </c>
      <c r="Q88" s="174">
        <v>43116</v>
      </c>
      <c r="R88" s="173" t="s">
        <v>3791</v>
      </c>
    </row>
    <row r="89" spans="1:18" x14ac:dyDescent="0.25">
      <c r="A89" s="173" t="s">
        <v>408</v>
      </c>
      <c r="B89" s="174">
        <v>43064</v>
      </c>
      <c r="C89" s="173" t="s">
        <v>5503</v>
      </c>
      <c r="D89" s="173" t="s">
        <v>5504</v>
      </c>
      <c r="E89" s="173" t="s">
        <v>5505</v>
      </c>
      <c r="F89" s="173" t="s">
        <v>5112</v>
      </c>
      <c r="G89" s="173" t="s">
        <v>5396</v>
      </c>
      <c r="H89" s="173"/>
      <c r="I89" s="173"/>
      <c r="J89" s="176" t="s">
        <v>21</v>
      </c>
      <c r="K89" s="173">
        <v>6200</v>
      </c>
      <c r="L89" s="173" t="s">
        <v>5506</v>
      </c>
      <c r="M89" s="173" t="s">
        <v>5556</v>
      </c>
      <c r="N89" s="173"/>
      <c r="O89" s="173"/>
      <c r="P89" s="173" t="s">
        <v>5523</v>
      </c>
      <c r="Q89" s="174">
        <v>43116</v>
      </c>
      <c r="R89" s="173" t="s">
        <v>3791</v>
      </c>
    </row>
    <row r="90" spans="1:18" x14ac:dyDescent="0.25">
      <c r="A90" s="173" t="s">
        <v>408</v>
      </c>
      <c r="B90" s="174">
        <v>43054</v>
      </c>
      <c r="C90" s="173" t="s">
        <v>5507</v>
      </c>
      <c r="D90" s="173" t="s">
        <v>5508</v>
      </c>
      <c r="E90" s="173" t="s">
        <v>5509</v>
      </c>
      <c r="F90" s="173" t="s">
        <v>406</v>
      </c>
      <c r="G90" s="173" t="s">
        <v>5449</v>
      </c>
      <c r="H90" s="176">
        <v>1566.1157024793388</v>
      </c>
      <c r="I90" s="176">
        <v>328.88429752066111</v>
      </c>
      <c r="J90" s="176"/>
      <c r="K90" s="176">
        <v>1895</v>
      </c>
      <c r="L90" s="173" t="s">
        <v>5510</v>
      </c>
      <c r="M90" s="173" t="s">
        <v>5564</v>
      </c>
      <c r="N90" s="173"/>
      <c r="O90" s="173"/>
      <c r="P90" s="173" t="s">
        <v>5523</v>
      </c>
      <c r="Q90" s="174">
        <v>43116</v>
      </c>
      <c r="R90" s="173" t="s">
        <v>3791</v>
      </c>
    </row>
    <row r="91" spans="1:18" x14ac:dyDescent="0.25">
      <c r="A91" s="173" t="s">
        <v>408</v>
      </c>
      <c r="B91" s="174">
        <v>43021</v>
      </c>
      <c r="C91" s="173" t="s">
        <v>5511</v>
      </c>
      <c r="D91" s="173" t="s">
        <v>5512</v>
      </c>
      <c r="E91" s="173" t="s">
        <v>5513</v>
      </c>
      <c r="F91" s="173" t="s">
        <v>5456</v>
      </c>
      <c r="G91" s="173" t="s">
        <v>5457</v>
      </c>
      <c r="H91" s="173"/>
      <c r="I91" s="173"/>
      <c r="J91" s="173" t="s">
        <v>21</v>
      </c>
      <c r="K91" s="173">
        <v>5000</v>
      </c>
      <c r="L91" s="173" t="s">
        <v>5514</v>
      </c>
      <c r="M91" s="173" t="s">
        <v>5575</v>
      </c>
      <c r="N91" s="173"/>
      <c r="O91" s="173"/>
      <c r="P91" s="173" t="s">
        <v>5523</v>
      </c>
      <c r="Q91" s="174">
        <v>43116</v>
      </c>
      <c r="R91" s="173" t="s">
        <v>3186</v>
      </c>
    </row>
    <row r="92" spans="1:18" x14ac:dyDescent="0.25">
      <c r="A92" s="173" t="s">
        <v>408</v>
      </c>
      <c r="B92" s="174">
        <v>43021</v>
      </c>
      <c r="C92" s="173" t="s">
        <v>5515</v>
      </c>
      <c r="D92" s="173" t="s">
        <v>5516</v>
      </c>
      <c r="E92" s="173" t="s">
        <v>5517</v>
      </c>
      <c r="F92" s="173" t="s">
        <v>2652</v>
      </c>
      <c r="G92" s="173" t="s">
        <v>5399</v>
      </c>
      <c r="H92" s="173"/>
      <c r="I92" s="173"/>
      <c r="J92" s="176" t="s">
        <v>21</v>
      </c>
      <c r="K92" s="173">
        <v>10000</v>
      </c>
      <c r="L92" s="173" t="s">
        <v>5518</v>
      </c>
      <c r="M92" s="173" t="s">
        <v>5574</v>
      </c>
      <c r="N92" s="173"/>
      <c r="O92" s="173"/>
      <c r="P92" s="173" t="s">
        <v>5523</v>
      </c>
      <c r="Q92" s="174">
        <v>43116</v>
      </c>
      <c r="R92" s="173"/>
    </row>
    <row r="93" spans="1:18" x14ac:dyDescent="0.25">
      <c r="A93" s="173" t="s">
        <v>408</v>
      </c>
      <c r="B93" s="174">
        <v>43083</v>
      </c>
      <c r="C93" s="173" t="s">
        <v>5519</v>
      </c>
      <c r="D93" s="173" t="s">
        <v>5520</v>
      </c>
      <c r="E93" s="173" t="s">
        <v>5521</v>
      </c>
      <c r="F93" s="173" t="s">
        <v>4386</v>
      </c>
      <c r="G93" s="173" t="s">
        <v>5454</v>
      </c>
      <c r="H93" s="173"/>
      <c r="I93" s="173"/>
      <c r="J93" s="173" t="s">
        <v>21</v>
      </c>
      <c r="K93" s="173">
        <v>12000</v>
      </c>
      <c r="L93" s="173" t="s">
        <v>5522</v>
      </c>
      <c r="M93" s="173" t="s">
        <v>5536</v>
      </c>
      <c r="N93" s="173"/>
      <c r="O93" s="173"/>
      <c r="P93" s="173" t="s">
        <v>5523</v>
      </c>
      <c r="Q93" s="174">
        <v>43116</v>
      </c>
      <c r="R93" s="173" t="s">
        <v>3186</v>
      </c>
    </row>
    <row r="94" spans="1:18" x14ac:dyDescent="0.25">
      <c r="A94" s="173" t="s">
        <v>12</v>
      </c>
      <c r="B94" s="174">
        <v>42989</v>
      </c>
      <c r="C94" s="173" t="s">
        <v>944</v>
      </c>
      <c r="D94" s="173" t="s">
        <v>5524</v>
      </c>
      <c r="E94" s="173" t="s">
        <v>5525</v>
      </c>
      <c r="F94" s="173" t="s">
        <v>5526</v>
      </c>
      <c r="G94" s="173" t="s">
        <v>5527</v>
      </c>
      <c r="H94" s="173"/>
      <c r="I94" s="173"/>
      <c r="J94" s="176" t="s">
        <v>21</v>
      </c>
      <c r="K94" s="173">
        <v>400</v>
      </c>
      <c r="L94" s="173" t="s">
        <v>5276</v>
      </c>
      <c r="M94" s="173"/>
      <c r="N94" s="173"/>
      <c r="O94" s="173"/>
      <c r="P94" s="173" t="s">
        <v>5523</v>
      </c>
      <c r="Q94" s="174">
        <v>43119</v>
      </c>
      <c r="R94" s="173"/>
    </row>
    <row r="95" spans="1:18" x14ac:dyDescent="0.25">
      <c r="A95" s="173" t="s">
        <v>408</v>
      </c>
      <c r="B95" s="174">
        <v>43055</v>
      </c>
      <c r="C95" s="173" t="s">
        <v>5528</v>
      </c>
      <c r="D95" s="173" t="s">
        <v>3745</v>
      </c>
      <c r="E95" s="173" t="s">
        <v>3746</v>
      </c>
      <c r="F95" s="173" t="s">
        <v>5526</v>
      </c>
      <c r="G95" s="173" t="s">
        <v>5527</v>
      </c>
      <c r="H95" s="173"/>
      <c r="I95" s="173"/>
      <c r="J95" s="176" t="s">
        <v>21</v>
      </c>
      <c r="K95" s="173">
        <v>700</v>
      </c>
      <c r="L95" s="173" t="s">
        <v>5529</v>
      </c>
      <c r="M95" s="173"/>
      <c r="N95" s="173"/>
      <c r="O95" s="173"/>
      <c r="P95" s="173" t="s">
        <v>5523</v>
      </c>
      <c r="Q95" s="174">
        <v>43119</v>
      </c>
      <c r="R95" s="173"/>
    </row>
    <row r="96" spans="1:18" x14ac:dyDescent="0.25">
      <c r="A96" s="173" t="s">
        <v>12</v>
      </c>
      <c r="B96" s="174">
        <v>42940</v>
      </c>
      <c r="C96" s="173" t="s">
        <v>5530</v>
      </c>
      <c r="D96" s="173" t="s">
        <v>5246</v>
      </c>
      <c r="E96" s="173" t="s">
        <v>4800</v>
      </c>
      <c r="F96" s="173" t="s">
        <v>5532</v>
      </c>
      <c r="G96" s="173" t="s">
        <v>5531</v>
      </c>
      <c r="H96" s="173"/>
      <c r="I96" s="173"/>
      <c r="J96" s="176" t="s">
        <v>21</v>
      </c>
      <c r="K96" s="176">
        <v>500</v>
      </c>
      <c r="L96" s="173" t="s">
        <v>5276</v>
      </c>
      <c r="M96" s="173"/>
      <c r="N96" s="173"/>
      <c r="O96" s="173"/>
      <c r="P96" s="173" t="s">
        <v>5523</v>
      </c>
      <c r="Q96" s="174">
        <v>43122</v>
      </c>
      <c r="R96" s="173"/>
    </row>
    <row r="97" spans="1:18" x14ac:dyDescent="0.25">
      <c r="A97" s="173" t="s">
        <v>408</v>
      </c>
      <c r="B97" s="174">
        <v>43068</v>
      </c>
      <c r="C97" s="173" t="s">
        <v>5533</v>
      </c>
      <c r="D97" s="173" t="s">
        <v>5534</v>
      </c>
      <c r="E97" s="173" t="s">
        <v>5535</v>
      </c>
      <c r="F97" s="173" t="s">
        <v>5532</v>
      </c>
      <c r="G97" s="173" t="s">
        <v>5531</v>
      </c>
      <c r="H97" s="173"/>
      <c r="I97" s="173"/>
      <c r="J97" s="176" t="s">
        <v>21</v>
      </c>
      <c r="K97" s="176">
        <v>700</v>
      </c>
      <c r="L97" s="173" t="s">
        <v>5487</v>
      </c>
      <c r="M97" s="173"/>
      <c r="N97" s="173"/>
      <c r="O97" s="173"/>
      <c r="P97" s="173" t="s">
        <v>5523</v>
      </c>
      <c r="Q97" s="174">
        <v>43122</v>
      </c>
      <c r="R97" s="173"/>
    </row>
  </sheetData>
  <autoFilter ref="A1:R97" xr:uid="{00000000-0009-0000-0000-000003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/>
  <dimension ref="A1:R205"/>
  <sheetViews>
    <sheetView topLeftCell="D1" workbookViewId="0">
      <pane ySplit="1" topLeftCell="A119" activePane="bottomLeft" state="frozen"/>
      <selection pane="bottomLeft" activeCell="M74" sqref="M74"/>
    </sheetView>
  </sheetViews>
  <sheetFormatPr baseColWidth="10" defaultRowHeight="15" x14ac:dyDescent="0.25"/>
  <cols>
    <col min="1" max="1" width="8.85546875" bestFit="1" customWidth="1"/>
    <col min="2" max="2" width="10.7109375" bestFit="1" customWidth="1"/>
    <col min="3" max="3" width="10.28515625" customWidth="1"/>
    <col min="4" max="4" width="23.5703125" customWidth="1"/>
    <col min="5" max="5" width="11.7109375" bestFit="1" customWidth="1"/>
    <col min="6" max="6" width="17.7109375" customWidth="1"/>
    <col min="7" max="7" width="15.85546875" bestFit="1" customWidth="1"/>
    <col min="8" max="8" width="10" bestFit="1" customWidth="1"/>
    <col min="9" max="9" width="8.5703125" customWidth="1"/>
    <col min="10" max="10" width="12.5703125" bestFit="1" customWidth="1"/>
    <col min="11" max="11" width="11.140625" bestFit="1" customWidth="1"/>
    <col min="12" max="12" width="24" customWidth="1"/>
    <col min="13" max="13" width="22.42578125" customWidth="1"/>
    <col min="14" max="14" width="8.85546875" customWidth="1"/>
    <col min="15" max="16" width="8.5703125" customWidth="1"/>
    <col min="17" max="17" width="10.7109375" bestFit="1" customWidth="1"/>
    <col min="18" max="18" width="10.140625" bestFit="1" customWidth="1"/>
  </cols>
  <sheetData>
    <row r="1" spans="1:18" x14ac:dyDescent="0.25">
      <c r="A1" s="178" t="s">
        <v>0</v>
      </c>
      <c r="B1" s="179" t="s">
        <v>1</v>
      </c>
      <c r="C1" s="179" t="s">
        <v>2</v>
      </c>
      <c r="D1" s="180" t="s">
        <v>3</v>
      </c>
      <c r="E1" s="181" t="s">
        <v>4</v>
      </c>
      <c r="F1" s="180" t="s">
        <v>5</v>
      </c>
      <c r="G1" s="180" t="s">
        <v>6</v>
      </c>
      <c r="H1" s="180" t="s">
        <v>7</v>
      </c>
      <c r="I1" s="180" t="s">
        <v>3503</v>
      </c>
      <c r="J1" s="180" t="s">
        <v>1630</v>
      </c>
      <c r="K1" s="180" t="s">
        <v>9</v>
      </c>
      <c r="L1" s="180" t="s">
        <v>3508</v>
      </c>
      <c r="M1" s="180" t="s">
        <v>83</v>
      </c>
      <c r="N1" s="181" t="s">
        <v>85</v>
      </c>
      <c r="O1" s="180" t="s">
        <v>86</v>
      </c>
      <c r="P1" s="180" t="s">
        <v>11</v>
      </c>
      <c r="Q1" s="178" t="s">
        <v>30</v>
      </c>
      <c r="R1" s="178" t="s">
        <v>3784</v>
      </c>
    </row>
    <row r="2" spans="1:18" x14ac:dyDescent="0.25">
      <c r="A2" s="185" t="s">
        <v>12</v>
      </c>
      <c r="B2" s="183">
        <v>42338</v>
      </c>
      <c r="C2" s="199" t="s">
        <v>4813</v>
      </c>
      <c r="D2" s="185" t="s">
        <v>4400</v>
      </c>
      <c r="E2" s="185" t="s">
        <v>4401</v>
      </c>
      <c r="F2" s="185" t="s">
        <v>4847</v>
      </c>
      <c r="G2" s="185" t="s">
        <v>4814</v>
      </c>
      <c r="H2" s="186"/>
      <c r="I2" s="186"/>
      <c r="J2" s="186" t="s">
        <v>21</v>
      </c>
      <c r="K2" s="186">
        <v>1850</v>
      </c>
      <c r="L2" s="185" t="s">
        <v>4839</v>
      </c>
      <c r="M2" s="185"/>
      <c r="N2" s="185"/>
      <c r="O2" s="185"/>
      <c r="P2" s="185" t="s">
        <v>4881</v>
      </c>
      <c r="Q2" s="183">
        <v>42471</v>
      </c>
      <c r="R2" s="185"/>
    </row>
    <row r="3" spans="1:18" x14ac:dyDescent="0.25">
      <c r="A3" s="173" t="s">
        <v>12</v>
      </c>
      <c r="B3" s="174">
        <v>42353</v>
      </c>
      <c r="C3" s="197" t="s">
        <v>944</v>
      </c>
      <c r="D3" s="173" t="s">
        <v>4815</v>
      </c>
      <c r="E3" s="173" t="s">
        <v>4816</v>
      </c>
      <c r="F3" s="173" t="s">
        <v>346</v>
      </c>
      <c r="G3" s="173" t="s">
        <v>4817</v>
      </c>
      <c r="H3" s="176"/>
      <c r="I3" s="176"/>
      <c r="J3" s="176" t="s">
        <v>21</v>
      </c>
      <c r="K3" s="176">
        <v>1300</v>
      </c>
      <c r="L3" s="173" t="s">
        <v>4839</v>
      </c>
      <c r="M3" s="173"/>
      <c r="N3" s="173"/>
      <c r="O3" s="173"/>
      <c r="P3" s="173" t="s">
        <v>4881</v>
      </c>
      <c r="Q3" s="174">
        <v>42471</v>
      </c>
      <c r="R3" s="173"/>
    </row>
    <row r="4" spans="1:18" x14ac:dyDescent="0.25">
      <c r="A4" s="173" t="s">
        <v>12</v>
      </c>
      <c r="B4" s="174">
        <v>42384</v>
      </c>
      <c r="C4" s="197" t="s">
        <v>944</v>
      </c>
      <c r="D4" s="173" t="s">
        <v>4818</v>
      </c>
      <c r="E4" s="173" t="s">
        <v>4819</v>
      </c>
      <c r="F4" s="173" t="s">
        <v>4820</v>
      </c>
      <c r="G4" s="173" t="s">
        <v>4821</v>
      </c>
      <c r="H4" s="176"/>
      <c r="I4" s="176"/>
      <c r="J4" s="176" t="s">
        <v>21</v>
      </c>
      <c r="K4" s="176">
        <v>600</v>
      </c>
      <c r="L4" s="173" t="s">
        <v>4839</v>
      </c>
      <c r="M4" s="173"/>
      <c r="N4" s="173"/>
      <c r="O4" s="173"/>
      <c r="P4" s="173" t="s">
        <v>4881</v>
      </c>
      <c r="Q4" s="174">
        <v>42471</v>
      </c>
      <c r="R4" s="173"/>
    </row>
    <row r="5" spans="1:18" x14ac:dyDescent="0.25">
      <c r="A5" s="173" t="s">
        <v>12</v>
      </c>
      <c r="B5" s="174">
        <v>42432</v>
      </c>
      <c r="C5" s="195" t="s">
        <v>4823</v>
      </c>
      <c r="D5" s="173" t="s">
        <v>3958</v>
      </c>
      <c r="E5" s="173" t="s">
        <v>2626</v>
      </c>
      <c r="F5" s="173" t="s">
        <v>4824</v>
      </c>
      <c r="G5" s="173" t="s">
        <v>4825</v>
      </c>
      <c r="H5" s="176">
        <v>3884.2975206611573</v>
      </c>
      <c r="I5" s="176">
        <v>815.70247933884298</v>
      </c>
      <c r="J5" s="176"/>
      <c r="K5" s="176">
        <v>4700</v>
      </c>
      <c r="L5" s="173" t="s">
        <v>4839</v>
      </c>
      <c r="M5" s="173"/>
      <c r="N5" s="173"/>
      <c r="O5" s="173"/>
      <c r="P5" s="173" t="s">
        <v>4881</v>
      </c>
      <c r="Q5" s="174">
        <v>42471</v>
      </c>
      <c r="R5" s="173"/>
    </row>
    <row r="6" spans="1:18" x14ac:dyDescent="0.25">
      <c r="A6" s="173" t="s">
        <v>12</v>
      </c>
      <c r="B6" s="174">
        <v>42432</v>
      </c>
      <c r="C6" s="195" t="s">
        <v>4826</v>
      </c>
      <c r="D6" s="173" t="s">
        <v>3958</v>
      </c>
      <c r="E6" s="173" t="s">
        <v>2626</v>
      </c>
      <c r="F6" s="173" t="s">
        <v>3959</v>
      </c>
      <c r="G6" s="173" t="s">
        <v>4827</v>
      </c>
      <c r="H6" s="176">
        <v>3305.7851239669421</v>
      </c>
      <c r="I6" s="176">
        <v>694.21487603305786</v>
      </c>
      <c r="J6" s="176"/>
      <c r="K6" s="176">
        <v>4000</v>
      </c>
      <c r="L6" s="173" t="s">
        <v>4839</v>
      </c>
      <c r="M6" s="173"/>
      <c r="N6" s="173"/>
      <c r="O6" s="173"/>
      <c r="P6" s="173" t="s">
        <v>4881</v>
      </c>
      <c r="Q6" s="174">
        <v>42471</v>
      </c>
      <c r="R6" s="173"/>
    </row>
    <row r="7" spans="1:18" x14ac:dyDescent="0.25">
      <c r="A7" s="173" t="s">
        <v>12</v>
      </c>
      <c r="B7" s="174">
        <v>42432</v>
      </c>
      <c r="C7" s="195" t="s">
        <v>4828</v>
      </c>
      <c r="D7" s="173" t="s">
        <v>3958</v>
      </c>
      <c r="E7" s="173" t="s">
        <v>2626</v>
      </c>
      <c r="F7" s="173" t="s">
        <v>3959</v>
      </c>
      <c r="G7" s="173" t="s">
        <v>4829</v>
      </c>
      <c r="H7" s="176">
        <v>3305.7851239669421</v>
      </c>
      <c r="I7" s="176">
        <v>694.21487603305786</v>
      </c>
      <c r="J7" s="176"/>
      <c r="K7" s="176">
        <v>4000</v>
      </c>
      <c r="L7" s="173" t="s">
        <v>4839</v>
      </c>
      <c r="M7" s="173"/>
      <c r="N7" s="173"/>
      <c r="O7" s="173"/>
      <c r="P7" s="173" t="s">
        <v>4881</v>
      </c>
      <c r="Q7" s="174">
        <v>42471</v>
      </c>
      <c r="R7" s="173"/>
    </row>
    <row r="8" spans="1:18" x14ac:dyDescent="0.25">
      <c r="A8" s="173" t="s">
        <v>12</v>
      </c>
      <c r="B8" s="174">
        <v>42413</v>
      </c>
      <c r="C8" s="195" t="s">
        <v>4830</v>
      </c>
      <c r="D8" s="173" t="s">
        <v>3958</v>
      </c>
      <c r="E8" s="173" t="s">
        <v>2626</v>
      </c>
      <c r="F8" s="173" t="s">
        <v>4831</v>
      </c>
      <c r="G8" s="173" t="s">
        <v>4832</v>
      </c>
      <c r="H8" s="176">
        <v>3471.0743801652893</v>
      </c>
      <c r="I8" s="176">
        <v>728.92561983471069</v>
      </c>
      <c r="J8" s="176"/>
      <c r="K8" s="176">
        <v>4200</v>
      </c>
      <c r="L8" s="173" t="s">
        <v>4839</v>
      </c>
      <c r="M8" s="173"/>
      <c r="N8" s="173"/>
      <c r="O8" s="173"/>
      <c r="P8" s="173" t="s">
        <v>4881</v>
      </c>
      <c r="Q8" s="174">
        <v>42471</v>
      </c>
      <c r="R8" s="173"/>
    </row>
    <row r="9" spans="1:18" x14ac:dyDescent="0.25">
      <c r="A9" s="173" t="s">
        <v>12</v>
      </c>
      <c r="B9" s="174">
        <v>42413</v>
      </c>
      <c r="C9" s="195" t="s">
        <v>4833</v>
      </c>
      <c r="D9" s="173" t="s">
        <v>3958</v>
      </c>
      <c r="E9" s="173" t="s">
        <v>2626</v>
      </c>
      <c r="F9" s="173" t="s">
        <v>4323</v>
      </c>
      <c r="G9" s="173" t="s">
        <v>4834</v>
      </c>
      <c r="H9" s="176">
        <v>2561.9834710743803</v>
      </c>
      <c r="I9" s="176">
        <v>538.01652892561981</v>
      </c>
      <c r="J9" s="176"/>
      <c r="K9" s="176">
        <v>3100</v>
      </c>
      <c r="L9" s="173" t="s">
        <v>4839</v>
      </c>
      <c r="M9" s="173"/>
      <c r="N9" s="173"/>
      <c r="O9" s="173"/>
      <c r="P9" s="173" t="s">
        <v>4881</v>
      </c>
      <c r="Q9" s="174">
        <v>42471</v>
      </c>
      <c r="R9" s="173"/>
    </row>
    <row r="10" spans="1:18" x14ac:dyDescent="0.25">
      <c r="A10" s="173" t="s">
        <v>12</v>
      </c>
      <c r="B10" s="174">
        <v>42413</v>
      </c>
      <c r="C10" s="195" t="s">
        <v>4835</v>
      </c>
      <c r="D10" s="173" t="s">
        <v>3958</v>
      </c>
      <c r="E10" s="173" t="s">
        <v>2626</v>
      </c>
      <c r="F10" s="173" t="s">
        <v>472</v>
      </c>
      <c r="G10" s="173" t="s">
        <v>4836</v>
      </c>
      <c r="H10" s="176">
        <v>3471.0743801652893</v>
      </c>
      <c r="I10" s="176">
        <v>728.92561983471069</v>
      </c>
      <c r="J10" s="176"/>
      <c r="K10" s="176">
        <v>4200</v>
      </c>
      <c r="L10" s="173" t="s">
        <v>4839</v>
      </c>
      <c r="M10" s="173"/>
      <c r="N10" s="173"/>
      <c r="O10" s="173"/>
      <c r="P10" s="173" t="s">
        <v>4881</v>
      </c>
      <c r="Q10" s="174">
        <v>42471</v>
      </c>
      <c r="R10" s="173"/>
    </row>
    <row r="11" spans="1:18" x14ac:dyDescent="0.25">
      <c r="A11" s="173" t="s">
        <v>408</v>
      </c>
      <c r="B11" s="174">
        <v>42384</v>
      </c>
      <c r="C11" s="197" t="s">
        <v>4837</v>
      </c>
      <c r="D11" s="173" t="s">
        <v>4818</v>
      </c>
      <c r="E11" s="173" t="s">
        <v>4819</v>
      </c>
      <c r="F11" s="173" t="s">
        <v>693</v>
      </c>
      <c r="G11" s="173" t="s">
        <v>4672</v>
      </c>
      <c r="H11" s="176"/>
      <c r="I11" s="176"/>
      <c r="J11" s="176" t="s">
        <v>21</v>
      </c>
      <c r="K11" s="176">
        <v>9200</v>
      </c>
      <c r="L11" s="173" t="s">
        <v>4838</v>
      </c>
      <c r="M11" s="173" t="s">
        <v>4884</v>
      </c>
      <c r="N11" s="173"/>
      <c r="O11" s="173"/>
      <c r="P11" s="173" t="s">
        <v>4881</v>
      </c>
      <c r="Q11" s="174">
        <v>42471</v>
      </c>
      <c r="R11" s="173" t="s">
        <v>3186</v>
      </c>
    </row>
    <row r="12" spans="1:18" x14ac:dyDescent="0.25">
      <c r="A12" s="173" t="s">
        <v>408</v>
      </c>
      <c r="B12" s="174">
        <v>42405</v>
      </c>
      <c r="C12" s="197" t="s">
        <v>4840</v>
      </c>
      <c r="D12" s="173" t="s">
        <v>4841</v>
      </c>
      <c r="E12" s="173" t="s">
        <v>4882</v>
      </c>
      <c r="F12" s="173" t="s">
        <v>4433</v>
      </c>
      <c r="G12" s="173" t="s">
        <v>4541</v>
      </c>
      <c r="H12" s="176"/>
      <c r="I12" s="176"/>
      <c r="J12" s="176" t="s">
        <v>21</v>
      </c>
      <c r="K12" s="176">
        <v>10500</v>
      </c>
      <c r="L12" s="173" t="s">
        <v>4842</v>
      </c>
      <c r="M12" s="173" t="s">
        <v>4930</v>
      </c>
      <c r="N12" s="173"/>
      <c r="O12" s="173"/>
      <c r="P12" s="173" t="s">
        <v>4881</v>
      </c>
      <c r="Q12" s="174">
        <v>42471</v>
      </c>
      <c r="R12" s="173"/>
    </row>
    <row r="13" spans="1:18" x14ac:dyDescent="0.25">
      <c r="A13" s="173" t="s">
        <v>408</v>
      </c>
      <c r="B13" s="174">
        <v>42408</v>
      </c>
      <c r="C13" s="197" t="s">
        <v>4843</v>
      </c>
      <c r="D13" s="173" t="s">
        <v>4844</v>
      </c>
      <c r="E13" s="173" t="s">
        <v>4845</v>
      </c>
      <c r="F13" s="173" t="s">
        <v>4806</v>
      </c>
      <c r="G13" s="173" t="s">
        <v>4805</v>
      </c>
      <c r="H13" s="176"/>
      <c r="I13" s="176"/>
      <c r="J13" s="176" t="s">
        <v>21</v>
      </c>
      <c r="K13" s="176">
        <v>3200</v>
      </c>
      <c r="L13" s="173" t="s">
        <v>4846</v>
      </c>
      <c r="M13" s="173" t="s">
        <v>4925</v>
      </c>
      <c r="N13" s="173"/>
      <c r="O13" s="173"/>
      <c r="P13" s="173" t="s">
        <v>4881</v>
      </c>
      <c r="Q13" s="174">
        <v>42471</v>
      </c>
      <c r="R13" s="173"/>
    </row>
    <row r="14" spans="1:18" x14ac:dyDescent="0.25">
      <c r="A14" s="173" t="s">
        <v>408</v>
      </c>
      <c r="B14" s="174">
        <v>42404</v>
      </c>
      <c r="C14" s="197" t="s">
        <v>4848</v>
      </c>
      <c r="D14" s="173" t="s">
        <v>4849</v>
      </c>
      <c r="E14" s="173" t="s">
        <v>4850</v>
      </c>
      <c r="F14" s="173" t="s">
        <v>4847</v>
      </c>
      <c r="G14" s="173" t="s">
        <v>4814</v>
      </c>
      <c r="H14" s="176"/>
      <c r="I14" s="176"/>
      <c r="J14" s="176" t="s">
        <v>21</v>
      </c>
      <c r="K14" s="176">
        <v>2300</v>
      </c>
      <c r="L14" s="173" t="s">
        <v>4851</v>
      </c>
      <c r="M14" s="173"/>
      <c r="N14" s="173"/>
      <c r="O14" s="173"/>
      <c r="P14" s="173" t="s">
        <v>4881</v>
      </c>
      <c r="Q14" s="174">
        <v>42471</v>
      </c>
      <c r="R14" s="173"/>
    </row>
    <row r="15" spans="1:18" x14ac:dyDescent="0.25">
      <c r="A15" s="173" t="s">
        <v>408</v>
      </c>
      <c r="B15" s="174">
        <v>42404</v>
      </c>
      <c r="C15" s="197" t="s">
        <v>4852</v>
      </c>
      <c r="D15" s="173" t="s">
        <v>4853</v>
      </c>
      <c r="E15" s="173" t="s">
        <v>4854</v>
      </c>
      <c r="F15" s="173" t="s">
        <v>4820</v>
      </c>
      <c r="G15" s="173" t="s">
        <v>4821</v>
      </c>
      <c r="H15" s="176"/>
      <c r="I15" s="176"/>
      <c r="J15" s="176" t="s">
        <v>21</v>
      </c>
      <c r="K15" s="176">
        <v>800</v>
      </c>
      <c r="L15" s="173" t="s">
        <v>4855</v>
      </c>
      <c r="M15" s="173"/>
      <c r="N15" s="173"/>
      <c r="O15" s="173"/>
      <c r="P15" s="173" t="s">
        <v>4881</v>
      </c>
      <c r="Q15" s="174">
        <v>42471</v>
      </c>
      <c r="R15" s="173"/>
    </row>
    <row r="16" spans="1:18" x14ac:dyDescent="0.25">
      <c r="A16" s="173" t="s">
        <v>408</v>
      </c>
      <c r="B16" s="174">
        <v>42444</v>
      </c>
      <c r="C16" s="197" t="s">
        <v>4857</v>
      </c>
      <c r="D16" s="173" t="s">
        <v>2931</v>
      </c>
      <c r="E16" s="173" t="s">
        <v>2352</v>
      </c>
      <c r="F16" s="173" t="s">
        <v>4856</v>
      </c>
      <c r="G16" s="173" t="s">
        <v>4801</v>
      </c>
      <c r="H16" s="176">
        <v>2561.9834710743803</v>
      </c>
      <c r="I16" s="176">
        <v>538.01652892561981</v>
      </c>
      <c r="J16" s="176"/>
      <c r="K16" s="176">
        <v>3100</v>
      </c>
      <c r="L16" s="173" t="s">
        <v>4859</v>
      </c>
      <c r="M16" s="173"/>
      <c r="N16" s="173"/>
      <c r="O16" s="173"/>
      <c r="P16" s="173" t="s">
        <v>4881</v>
      </c>
      <c r="Q16" s="174">
        <v>42471</v>
      </c>
      <c r="R16" s="173"/>
    </row>
    <row r="17" spans="1:18" x14ac:dyDescent="0.25">
      <c r="A17" s="173" t="s">
        <v>408</v>
      </c>
      <c r="B17" s="174">
        <v>42408</v>
      </c>
      <c r="C17" s="197" t="s">
        <v>4860</v>
      </c>
      <c r="D17" s="173" t="s">
        <v>4861</v>
      </c>
      <c r="E17" s="173" t="s">
        <v>4862</v>
      </c>
      <c r="F17" s="173" t="s">
        <v>4803</v>
      </c>
      <c r="G17" s="173" t="s">
        <v>4804</v>
      </c>
      <c r="H17" s="176">
        <v>1239.6694214876034</v>
      </c>
      <c r="I17" s="176">
        <v>260.3305785123967</v>
      </c>
      <c r="J17" s="176"/>
      <c r="K17" s="176">
        <v>1500</v>
      </c>
      <c r="L17" s="173" t="s">
        <v>4863</v>
      </c>
      <c r="M17" s="173"/>
      <c r="N17" s="173"/>
      <c r="O17" s="173"/>
      <c r="P17" s="173" t="s">
        <v>4881</v>
      </c>
      <c r="Q17" s="174">
        <v>42471</v>
      </c>
      <c r="R17" s="173"/>
    </row>
    <row r="18" spans="1:18" x14ac:dyDescent="0.25">
      <c r="A18" s="173" t="s">
        <v>408</v>
      </c>
      <c r="B18" s="174">
        <v>42390</v>
      </c>
      <c r="C18" s="197" t="s">
        <v>4864</v>
      </c>
      <c r="D18" s="173" t="s">
        <v>4865</v>
      </c>
      <c r="E18" s="173" t="s">
        <v>4866</v>
      </c>
      <c r="F18" s="173" t="s">
        <v>377</v>
      </c>
      <c r="G18" s="173" t="s">
        <v>4664</v>
      </c>
      <c r="H18" s="176">
        <v>2727.2727272727275</v>
      </c>
      <c r="I18" s="176">
        <v>572.72727272727275</v>
      </c>
      <c r="J18" s="176"/>
      <c r="K18" s="176">
        <v>3300</v>
      </c>
      <c r="L18" s="173" t="s">
        <v>4867</v>
      </c>
      <c r="M18" s="173" t="s">
        <v>4886</v>
      </c>
      <c r="N18" s="173"/>
      <c r="O18" s="173"/>
      <c r="P18" s="173" t="s">
        <v>4881</v>
      </c>
      <c r="Q18" s="174">
        <v>42471</v>
      </c>
      <c r="R18" s="173"/>
    </row>
    <row r="19" spans="1:18" x14ac:dyDescent="0.25">
      <c r="A19" s="173" t="s">
        <v>12</v>
      </c>
      <c r="B19" s="174">
        <v>42341</v>
      </c>
      <c r="C19" s="197" t="s">
        <v>944</v>
      </c>
      <c r="D19" s="173" t="s">
        <v>4868</v>
      </c>
      <c r="E19" s="173" t="s">
        <v>4869</v>
      </c>
      <c r="F19" s="173" t="s">
        <v>4870</v>
      </c>
      <c r="G19" s="173" t="s">
        <v>4871</v>
      </c>
      <c r="H19" s="176"/>
      <c r="I19" s="176"/>
      <c r="J19" s="176" t="s">
        <v>21</v>
      </c>
      <c r="K19" s="176">
        <v>2600</v>
      </c>
      <c r="L19" s="173" t="s">
        <v>4839</v>
      </c>
      <c r="M19" s="173" t="s">
        <v>4872</v>
      </c>
      <c r="N19" s="173"/>
      <c r="O19" s="173"/>
      <c r="P19" s="173" t="s">
        <v>4881</v>
      </c>
      <c r="Q19" s="174">
        <v>42471</v>
      </c>
      <c r="R19" s="173"/>
    </row>
    <row r="20" spans="1:18" x14ac:dyDescent="0.25">
      <c r="A20" s="173" t="s">
        <v>408</v>
      </c>
      <c r="B20" s="174">
        <v>42394</v>
      </c>
      <c r="C20" s="197" t="s">
        <v>4873</v>
      </c>
      <c r="D20" s="173" t="s">
        <v>4874</v>
      </c>
      <c r="E20" s="173" t="s">
        <v>4875</v>
      </c>
      <c r="F20" s="173" t="s">
        <v>4870</v>
      </c>
      <c r="G20" s="173" t="s">
        <v>4871</v>
      </c>
      <c r="H20" s="176"/>
      <c r="I20" s="176"/>
      <c r="J20" s="176" t="s">
        <v>21</v>
      </c>
      <c r="K20" s="176">
        <v>3000</v>
      </c>
      <c r="L20" s="173" t="s">
        <v>4876</v>
      </c>
      <c r="M20" s="173" t="s">
        <v>4914</v>
      </c>
      <c r="N20" s="173"/>
      <c r="O20" s="173"/>
      <c r="P20" s="173" t="s">
        <v>4881</v>
      </c>
      <c r="Q20" s="174">
        <v>42471</v>
      </c>
      <c r="R20" s="173"/>
    </row>
    <row r="21" spans="1:18" x14ac:dyDescent="0.25">
      <c r="A21" s="173" t="s">
        <v>408</v>
      </c>
      <c r="B21" s="174">
        <v>42418</v>
      </c>
      <c r="C21" s="197" t="s">
        <v>4877</v>
      </c>
      <c r="D21" s="173" t="s">
        <v>4878</v>
      </c>
      <c r="E21" s="173" t="s">
        <v>4879</v>
      </c>
      <c r="F21" s="173" t="s">
        <v>346</v>
      </c>
      <c r="G21" s="173" t="s">
        <v>4817</v>
      </c>
      <c r="H21" s="176"/>
      <c r="I21" s="176"/>
      <c r="J21" s="176" t="s">
        <v>21</v>
      </c>
      <c r="K21" s="176">
        <v>1400</v>
      </c>
      <c r="L21" s="173" t="s">
        <v>4880</v>
      </c>
      <c r="M21" s="173"/>
      <c r="N21" s="173"/>
      <c r="O21" s="173"/>
      <c r="P21" s="173" t="s">
        <v>4881</v>
      </c>
      <c r="Q21" s="174">
        <v>42471</v>
      </c>
      <c r="R21" s="173"/>
    </row>
    <row r="22" spans="1:18" x14ac:dyDescent="0.25">
      <c r="A22" s="173" t="s">
        <v>408</v>
      </c>
      <c r="B22" s="174">
        <v>42279</v>
      </c>
      <c r="C22" s="197" t="s">
        <v>4906</v>
      </c>
      <c r="D22" s="173" t="s">
        <v>4741</v>
      </c>
      <c r="E22" s="173" t="s">
        <v>4742</v>
      </c>
      <c r="F22" s="173" t="s">
        <v>4907</v>
      </c>
      <c r="G22" s="173" t="s">
        <v>4675</v>
      </c>
      <c r="H22" s="176">
        <v>12809.917355371901</v>
      </c>
      <c r="I22" s="176">
        <v>2690.0826446280989</v>
      </c>
      <c r="J22" s="176"/>
      <c r="K22" s="176">
        <v>15500</v>
      </c>
      <c r="L22" s="173" t="s">
        <v>4908</v>
      </c>
      <c r="M22" s="173" t="s">
        <v>4910</v>
      </c>
      <c r="N22" s="173"/>
      <c r="O22" s="173"/>
      <c r="P22" s="173" t="s">
        <v>4909</v>
      </c>
      <c r="Q22" s="174">
        <v>42489</v>
      </c>
      <c r="R22" s="173"/>
    </row>
    <row r="23" spans="1:18" x14ac:dyDescent="0.25">
      <c r="A23" s="190" t="s">
        <v>408</v>
      </c>
      <c r="B23" s="191">
        <v>42457</v>
      </c>
      <c r="C23" s="198" t="s">
        <v>833</v>
      </c>
      <c r="D23" s="190" t="s">
        <v>4952</v>
      </c>
      <c r="E23" s="190" t="s">
        <v>4953</v>
      </c>
      <c r="F23" s="190" t="s">
        <v>4323</v>
      </c>
      <c r="G23" s="190" t="s">
        <v>4834</v>
      </c>
      <c r="H23" s="192">
        <v>3016.5289256198348</v>
      </c>
      <c r="I23" s="192">
        <v>633.47107438016531</v>
      </c>
      <c r="J23" s="192"/>
      <c r="K23" s="192">
        <v>3650</v>
      </c>
      <c r="L23" s="190" t="s">
        <v>4954</v>
      </c>
      <c r="M23" s="190" t="s">
        <v>5241</v>
      </c>
      <c r="N23" s="190"/>
      <c r="O23" s="190"/>
      <c r="P23" s="190" t="s">
        <v>4997</v>
      </c>
      <c r="Q23" s="191" t="s">
        <v>4494</v>
      </c>
      <c r="R23" s="190" t="s">
        <v>3186</v>
      </c>
    </row>
    <row r="24" spans="1:18" x14ac:dyDescent="0.25">
      <c r="A24" s="173" t="s">
        <v>12</v>
      </c>
      <c r="B24" s="174">
        <v>42517</v>
      </c>
      <c r="C24" s="197" t="s">
        <v>4955</v>
      </c>
      <c r="D24" s="173" t="s">
        <v>4583</v>
      </c>
      <c r="E24" s="173" t="s">
        <v>4797</v>
      </c>
      <c r="F24" s="173" t="s">
        <v>4956</v>
      </c>
      <c r="G24" s="173" t="s">
        <v>4957</v>
      </c>
      <c r="H24" s="176">
        <v>8553.7190082644629</v>
      </c>
      <c r="I24" s="176">
        <v>1796.2809917355371</v>
      </c>
      <c r="J24" s="176"/>
      <c r="K24" s="176">
        <v>10350</v>
      </c>
      <c r="L24" s="173" t="s">
        <v>4839</v>
      </c>
      <c r="M24" s="173"/>
      <c r="N24" s="173"/>
      <c r="O24" s="173"/>
      <c r="P24" s="173" t="s">
        <v>4996</v>
      </c>
      <c r="Q24" s="174">
        <v>42545</v>
      </c>
      <c r="R24" s="173"/>
    </row>
    <row r="25" spans="1:18" x14ac:dyDescent="0.25">
      <c r="A25" s="185" t="s">
        <v>12</v>
      </c>
      <c r="B25" s="183">
        <v>42471</v>
      </c>
      <c r="C25" s="194" t="s">
        <v>4958</v>
      </c>
      <c r="D25" s="185" t="s">
        <v>3958</v>
      </c>
      <c r="E25" s="185" t="s">
        <v>2626</v>
      </c>
      <c r="F25" s="185" t="s">
        <v>4803</v>
      </c>
      <c r="G25" s="185" t="s">
        <v>4959</v>
      </c>
      <c r="H25" s="186">
        <v>1322.3140495867769</v>
      </c>
      <c r="I25" s="186">
        <v>277.68595041322317</v>
      </c>
      <c r="J25" s="186"/>
      <c r="K25" s="186">
        <v>1600</v>
      </c>
      <c r="L25" s="173" t="s">
        <v>4839</v>
      </c>
      <c r="M25" s="185"/>
      <c r="N25" s="185"/>
      <c r="O25" s="185"/>
      <c r="P25" s="185" t="s">
        <v>4996</v>
      </c>
      <c r="Q25" s="183">
        <v>42545</v>
      </c>
      <c r="R25" s="185"/>
    </row>
    <row r="26" spans="1:18" x14ac:dyDescent="0.25">
      <c r="A26" s="173" t="s">
        <v>12</v>
      </c>
      <c r="B26" s="174">
        <v>42471</v>
      </c>
      <c r="C26" s="195" t="s">
        <v>4960</v>
      </c>
      <c r="D26" s="173" t="s">
        <v>3958</v>
      </c>
      <c r="E26" s="173" t="s">
        <v>2626</v>
      </c>
      <c r="F26" s="173" t="s">
        <v>4803</v>
      </c>
      <c r="G26" s="173" t="s">
        <v>4961</v>
      </c>
      <c r="H26" s="176">
        <v>1322.3140495867769</v>
      </c>
      <c r="I26" s="176">
        <v>277.68595041322317</v>
      </c>
      <c r="J26" s="176"/>
      <c r="K26" s="176">
        <v>1600</v>
      </c>
      <c r="L26" s="173" t="s">
        <v>4839</v>
      </c>
      <c r="M26" s="173"/>
      <c r="N26" s="173"/>
      <c r="O26" s="173"/>
      <c r="P26" s="173" t="s">
        <v>4996</v>
      </c>
      <c r="Q26" s="174">
        <v>42545</v>
      </c>
      <c r="R26" s="173"/>
    </row>
    <row r="27" spans="1:18" x14ac:dyDescent="0.25">
      <c r="A27" s="173" t="s">
        <v>12</v>
      </c>
      <c r="B27" s="174">
        <v>42471</v>
      </c>
      <c r="C27" s="195" t="s">
        <v>4962</v>
      </c>
      <c r="D27" s="173" t="s">
        <v>3958</v>
      </c>
      <c r="E27" s="173" t="s">
        <v>2626</v>
      </c>
      <c r="F27" s="173" t="s">
        <v>4803</v>
      </c>
      <c r="G27" s="173" t="s">
        <v>4963</v>
      </c>
      <c r="H27" s="176">
        <v>1239.6694214876034</v>
      </c>
      <c r="I27" s="176">
        <v>260.3305785123967</v>
      </c>
      <c r="J27" s="176"/>
      <c r="K27" s="176">
        <v>1500</v>
      </c>
      <c r="L27" s="173" t="s">
        <v>4839</v>
      </c>
      <c r="M27" s="173"/>
      <c r="N27" s="173"/>
      <c r="O27" s="173"/>
      <c r="P27" s="173" t="s">
        <v>4996</v>
      </c>
      <c r="Q27" s="174">
        <v>42545</v>
      </c>
      <c r="R27" s="173"/>
    </row>
    <row r="28" spans="1:18" x14ac:dyDescent="0.25">
      <c r="A28" s="185" t="s">
        <v>12</v>
      </c>
      <c r="B28" s="183">
        <v>42466</v>
      </c>
      <c r="C28" s="199" t="s">
        <v>4964</v>
      </c>
      <c r="D28" s="185" t="s">
        <v>4057</v>
      </c>
      <c r="E28" s="185" t="s">
        <v>4058</v>
      </c>
      <c r="F28" s="185" t="s">
        <v>4965</v>
      </c>
      <c r="G28" s="185" t="s">
        <v>4966</v>
      </c>
      <c r="H28" s="186">
        <v>8925.6198347107438</v>
      </c>
      <c r="I28" s="186">
        <v>1874.3801652892562</v>
      </c>
      <c r="J28" s="186"/>
      <c r="K28" s="186">
        <v>10800</v>
      </c>
      <c r="L28" s="173" t="s">
        <v>4839</v>
      </c>
      <c r="M28" s="185"/>
      <c r="N28" s="185"/>
      <c r="O28" s="185"/>
      <c r="P28" s="185" t="s">
        <v>4996</v>
      </c>
      <c r="Q28" s="183">
        <v>42545</v>
      </c>
      <c r="R28" s="173"/>
    </row>
    <row r="29" spans="1:18" x14ac:dyDescent="0.25">
      <c r="A29" s="173" t="s">
        <v>408</v>
      </c>
      <c r="B29" s="174">
        <v>42531</v>
      </c>
      <c r="C29" s="197" t="s">
        <v>4967</v>
      </c>
      <c r="D29" s="173" t="s">
        <v>4968</v>
      </c>
      <c r="E29" s="173" t="s">
        <v>4969</v>
      </c>
      <c r="F29" s="173" t="s">
        <v>4965</v>
      </c>
      <c r="G29" s="173" t="s">
        <v>4966</v>
      </c>
      <c r="H29" s="176">
        <v>10661.157024793389</v>
      </c>
      <c r="I29" s="176">
        <v>2238.8429752066118</v>
      </c>
      <c r="J29" s="176"/>
      <c r="K29" s="176">
        <v>12900</v>
      </c>
      <c r="L29" s="173" t="s">
        <v>4970</v>
      </c>
      <c r="M29" s="173" t="s">
        <v>5106</v>
      </c>
      <c r="N29" s="173"/>
      <c r="O29" s="173"/>
      <c r="P29" s="173" t="s">
        <v>4996</v>
      </c>
      <c r="Q29" s="174">
        <v>42545</v>
      </c>
      <c r="R29" s="173" t="s">
        <v>3186</v>
      </c>
    </row>
    <row r="30" spans="1:18" x14ac:dyDescent="0.25">
      <c r="A30" s="173" t="s">
        <v>408</v>
      </c>
      <c r="B30" s="174">
        <v>42520</v>
      </c>
      <c r="C30" s="197" t="s">
        <v>4971</v>
      </c>
      <c r="D30" s="173" t="s">
        <v>4972</v>
      </c>
      <c r="E30" s="173" t="s">
        <v>4973</v>
      </c>
      <c r="F30" s="173" t="s">
        <v>4956</v>
      </c>
      <c r="G30" s="173" t="s">
        <v>4957</v>
      </c>
      <c r="H30" s="176">
        <v>9917.3553719008269</v>
      </c>
      <c r="I30" s="176">
        <v>2082.6446280991736</v>
      </c>
      <c r="J30" s="176"/>
      <c r="K30" s="176">
        <v>12000</v>
      </c>
      <c r="L30" s="173" t="s">
        <v>4974</v>
      </c>
      <c r="M30" s="173" t="s">
        <v>5239</v>
      </c>
      <c r="N30" s="173"/>
      <c r="O30" s="173"/>
      <c r="P30" s="173" t="s">
        <v>4996</v>
      </c>
      <c r="Q30" s="174">
        <v>42545</v>
      </c>
      <c r="R30" s="173" t="s">
        <v>3186</v>
      </c>
    </row>
    <row r="31" spans="1:18" x14ac:dyDescent="0.25">
      <c r="A31" s="173" t="s">
        <v>408</v>
      </c>
      <c r="B31" s="174">
        <v>42509</v>
      </c>
      <c r="C31" s="197" t="s">
        <v>4975</v>
      </c>
      <c r="D31" s="173" t="s">
        <v>4976</v>
      </c>
      <c r="E31" s="173" t="s">
        <v>4977</v>
      </c>
      <c r="F31" s="173" t="s">
        <v>472</v>
      </c>
      <c r="G31" s="173" t="s">
        <v>4836</v>
      </c>
      <c r="H31" s="176">
        <v>3719.0082644628101</v>
      </c>
      <c r="I31" s="176">
        <v>780.99173553719004</v>
      </c>
      <c r="J31" s="176"/>
      <c r="K31" s="176">
        <v>4500</v>
      </c>
      <c r="L31" s="173" t="s">
        <v>4954</v>
      </c>
      <c r="M31" s="173" t="s">
        <v>5228</v>
      </c>
      <c r="N31" s="173"/>
      <c r="O31" s="173"/>
      <c r="P31" s="173" t="s">
        <v>4996</v>
      </c>
      <c r="Q31" s="174">
        <v>42545</v>
      </c>
      <c r="R31" s="173" t="s">
        <v>3186</v>
      </c>
    </row>
    <row r="32" spans="1:18" x14ac:dyDescent="0.25">
      <c r="A32" s="173" t="s">
        <v>408</v>
      </c>
      <c r="B32" s="174">
        <v>42507</v>
      </c>
      <c r="C32" s="197" t="s">
        <v>4978</v>
      </c>
      <c r="D32" s="173" t="s">
        <v>4979</v>
      </c>
      <c r="E32" s="173" t="s">
        <v>4980</v>
      </c>
      <c r="F32" s="173" t="s">
        <v>3959</v>
      </c>
      <c r="G32" s="173" t="s">
        <v>4829</v>
      </c>
      <c r="H32" s="176">
        <v>3719.0082644628101</v>
      </c>
      <c r="I32" s="176">
        <v>780.99173553719004</v>
      </c>
      <c r="J32" s="176"/>
      <c r="K32" s="176">
        <v>4500</v>
      </c>
      <c r="L32" s="173" t="s">
        <v>4981</v>
      </c>
      <c r="M32" s="173" t="s">
        <v>5223</v>
      </c>
      <c r="N32" s="173"/>
      <c r="O32" s="173"/>
      <c r="P32" s="173" t="s">
        <v>4996</v>
      </c>
      <c r="Q32" s="174">
        <v>42545</v>
      </c>
      <c r="R32" s="173" t="s">
        <v>3186</v>
      </c>
    </row>
    <row r="33" spans="1:18" x14ac:dyDescent="0.25">
      <c r="A33" s="173" t="s">
        <v>408</v>
      </c>
      <c r="B33" s="174">
        <v>42466</v>
      </c>
      <c r="C33" s="197" t="s">
        <v>4982</v>
      </c>
      <c r="D33" s="173" t="s">
        <v>2931</v>
      </c>
      <c r="E33" s="173" t="s">
        <v>2352</v>
      </c>
      <c r="F33" s="173" t="s">
        <v>4738</v>
      </c>
      <c r="G33" s="173" t="s">
        <v>4739</v>
      </c>
      <c r="H33" s="176"/>
      <c r="I33" s="176"/>
      <c r="J33" s="176" t="s">
        <v>21</v>
      </c>
      <c r="K33" s="176">
        <v>12700</v>
      </c>
      <c r="L33" s="173" t="s">
        <v>4771</v>
      </c>
      <c r="M33" s="173"/>
      <c r="N33" s="173"/>
      <c r="O33" s="173"/>
      <c r="P33" s="173" t="s">
        <v>4996</v>
      </c>
      <c r="Q33" s="174">
        <v>42545</v>
      </c>
      <c r="R33" s="173"/>
    </row>
    <row r="34" spans="1:18" x14ac:dyDescent="0.25">
      <c r="A34" s="173" t="s">
        <v>408</v>
      </c>
      <c r="B34" s="174">
        <v>42487</v>
      </c>
      <c r="C34" s="197" t="s">
        <v>4983</v>
      </c>
      <c r="D34" s="173" t="s">
        <v>4984</v>
      </c>
      <c r="E34" s="173" t="s">
        <v>4985</v>
      </c>
      <c r="F34" s="173" t="s">
        <v>3959</v>
      </c>
      <c r="G34" s="173" t="s">
        <v>4827</v>
      </c>
      <c r="H34" s="176">
        <v>6198.3471074380168</v>
      </c>
      <c r="I34" s="176">
        <v>1301.6528925619834</v>
      </c>
      <c r="J34" s="176"/>
      <c r="K34" s="176">
        <v>7500</v>
      </c>
      <c r="L34" s="173" t="s">
        <v>4981</v>
      </c>
      <c r="M34" s="173" t="s">
        <v>5235</v>
      </c>
      <c r="N34" s="173"/>
      <c r="O34" s="173"/>
      <c r="P34" s="173" t="s">
        <v>4996</v>
      </c>
      <c r="Q34" s="174">
        <v>42545</v>
      </c>
      <c r="R34" s="173" t="s">
        <v>3186</v>
      </c>
    </row>
    <row r="35" spans="1:18" x14ac:dyDescent="0.25">
      <c r="A35" s="173" t="s">
        <v>408</v>
      </c>
      <c r="B35" s="174">
        <v>42495</v>
      </c>
      <c r="C35" s="197" t="s">
        <v>4986</v>
      </c>
      <c r="D35" s="173" t="s">
        <v>4987</v>
      </c>
      <c r="E35" s="173" t="s">
        <v>4998</v>
      </c>
      <c r="F35" s="173" t="s">
        <v>4803</v>
      </c>
      <c r="G35" s="173" t="s">
        <v>4959</v>
      </c>
      <c r="H35" s="176">
        <v>1652.8925619834711</v>
      </c>
      <c r="I35" s="176">
        <v>347.10743801652893</v>
      </c>
      <c r="J35" s="176"/>
      <c r="K35" s="176">
        <v>2000</v>
      </c>
      <c r="L35" s="173" t="s">
        <v>4988</v>
      </c>
      <c r="M35" s="173" t="s">
        <v>5102</v>
      </c>
      <c r="N35" s="173"/>
      <c r="O35" s="173"/>
      <c r="P35" s="173" t="s">
        <v>4996</v>
      </c>
      <c r="Q35" s="174">
        <v>42545</v>
      </c>
      <c r="R35" s="173" t="s">
        <v>3791</v>
      </c>
    </row>
    <row r="36" spans="1:18" x14ac:dyDescent="0.25">
      <c r="A36" s="173" t="s">
        <v>408</v>
      </c>
      <c r="B36" s="174">
        <v>42503</v>
      </c>
      <c r="C36" s="197" t="s">
        <v>4989</v>
      </c>
      <c r="D36" s="173" t="s">
        <v>4990</v>
      </c>
      <c r="E36" s="173" t="s">
        <v>4991</v>
      </c>
      <c r="F36" s="173" t="s">
        <v>4120</v>
      </c>
      <c r="G36" s="173" t="s">
        <v>4670</v>
      </c>
      <c r="H36" s="176"/>
      <c r="I36" s="176"/>
      <c r="J36" s="176" t="s">
        <v>21</v>
      </c>
      <c r="K36" s="176">
        <v>4600</v>
      </c>
      <c r="L36" s="173" t="s">
        <v>4838</v>
      </c>
      <c r="M36" s="173" t="s">
        <v>5223</v>
      </c>
      <c r="N36" s="173"/>
      <c r="O36" s="173"/>
      <c r="P36" s="173" t="s">
        <v>4996</v>
      </c>
      <c r="Q36" s="174">
        <v>42545</v>
      </c>
      <c r="R36" s="173" t="s">
        <v>3186</v>
      </c>
    </row>
    <row r="37" spans="1:18" x14ac:dyDescent="0.25">
      <c r="A37" s="173" t="s">
        <v>408</v>
      </c>
      <c r="B37" s="174">
        <v>42464</v>
      </c>
      <c r="C37" s="197" t="s">
        <v>4992</v>
      </c>
      <c r="D37" s="173" t="s">
        <v>3010</v>
      </c>
      <c r="E37" s="173" t="s">
        <v>3011</v>
      </c>
      <c r="F37" s="173" t="s">
        <v>4824</v>
      </c>
      <c r="G37" s="173" t="s">
        <v>4825</v>
      </c>
      <c r="H37" s="176">
        <v>4297.5206611570247</v>
      </c>
      <c r="I37" s="176">
        <v>902.47933884297515</v>
      </c>
      <c r="J37" s="176"/>
      <c r="K37" s="176">
        <v>5200</v>
      </c>
      <c r="L37" s="173" t="s">
        <v>4981</v>
      </c>
      <c r="M37" s="173" t="s">
        <v>5222</v>
      </c>
      <c r="N37" s="173"/>
      <c r="O37" s="173"/>
      <c r="P37" s="173" t="s">
        <v>4996</v>
      </c>
      <c r="Q37" s="174">
        <v>42545</v>
      </c>
      <c r="R37" s="173" t="s">
        <v>3186</v>
      </c>
    </row>
    <row r="38" spans="1:18" x14ac:dyDescent="0.25">
      <c r="A38" s="173" t="s">
        <v>408</v>
      </c>
      <c r="B38" s="174">
        <v>42462</v>
      </c>
      <c r="C38" s="197" t="s">
        <v>4993</v>
      </c>
      <c r="D38" s="173" t="s">
        <v>4994</v>
      </c>
      <c r="E38" s="173" t="s">
        <v>4995</v>
      </c>
      <c r="F38" s="173" t="s">
        <v>2657</v>
      </c>
      <c r="G38" s="173" t="s">
        <v>4666</v>
      </c>
      <c r="H38" s="176">
        <v>6198.3471074380168</v>
      </c>
      <c r="I38" s="176">
        <v>1301.6528925619834</v>
      </c>
      <c r="J38" s="176"/>
      <c r="K38" s="176">
        <v>7500</v>
      </c>
      <c r="L38" s="173" t="s">
        <v>4867</v>
      </c>
      <c r="M38" s="173" t="s">
        <v>5227</v>
      </c>
      <c r="N38" s="173"/>
      <c r="O38" s="173"/>
      <c r="P38" s="173" t="s">
        <v>4996</v>
      </c>
      <c r="Q38" s="174">
        <v>42545</v>
      </c>
      <c r="R38" s="173" t="s">
        <v>3186</v>
      </c>
    </row>
    <row r="39" spans="1:18" x14ac:dyDescent="0.25">
      <c r="A39" s="173" t="s">
        <v>12</v>
      </c>
      <c r="B39" s="174">
        <v>42510</v>
      </c>
      <c r="C39" s="197" t="s">
        <v>4999</v>
      </c>
      <c r="D39" s="173" t="s">
        <v>5000</v>
      </c>
      <c r="E39" s="173" t="s">
        <v>5001</v>
      </c>
      <c r="F39" s="173" t="s">
        <v>4111</v>
      </c>
      <c r="G39" s="173" t="s">
        <v>5002</v>
      </c>
      <c r="H39" s="176"/>
      <c r="I39" s="176"/>
      <c r="J39" s="176" t="s">
        <v>21</v>
      </c>
      <c r="K39" s="176">
        <v>3000</v>
      </c>
      <c r="L39" s="173" t="s">
        <v>4839</v>
      </c>
      <c r="M39" s="173"/>
      <c r="N39" s="173"/>
      <c r="O39" s="173"/>
      <c r="P39" s="173" t="s">
        <v>4996</v>
      </c>
      <c r="Q39" s="174">
        <v>42558</v>
      </c>
      <c r="R39" s="173"/>
    </row>
    <row r="40" spans="1:18" x14ac:dyDescent="0.25">
      <c r="A40" s="173" t="s">
        <v>12</v>
      </c>
      <c r="B40" s="174">
        <v>42510</v>
      </c>
      <c r="C40" s="197" t="s">
        <v>5003</v>
      </c>
      <c r="D40" s="173" t="s">
        <v>5000</v>
      </c>
      <c r="E40" s="173" t="s">
        <v>5001</v>
      </c>
      <c r="F40" s="173" t="s">
        <v>5004</v>
      </c>
      <c r="G40" s="173" t="s">
        <v>5005</v>
      </c>
      <c r="H40" s="176"/>
      <c r="I40" s="176"/>
      <c r="J40" s="176" t="s">
        <v>21</v>
      </c>
      <c r="K40" s="176">
        <v>5200</v>
      </c>
      <c r="L40" s="173" t="s">
        <v>4839</v>
      </c>
      <c r="M40" s="173"/>
      <c r="N40" s="173"/>
      <c r="O40" s="173"/>
      <c r="P40" s="173" t="s">
        <v>4996</v>
      </c>
      <c r="Q40" s="174">
        <v>42558</v>
      </c>
      <c r="R40" s="173"/>
    </row>
    <row r="41" spans="1:18" x14ac:dyDescent="0.25">
      <c r="A41" s="173" t="s">
        <v>12</v>
      </c>
      <c r="B41" s="174">
        <v>42515</v>
      </c>
      <c r="C41" s="197" t="s">
        <v>5006</v>
      </c>
      <c r="D41" s="173" t="s">
        <v>5000</v>
      </c>
      <c r="E41" s="173" t="s">
        <v>5001</v>
      </c>
      <c r="F41" s="173" t="s">
        <v>4870</v>
      </c>
      <c r="G41" s="173" t="s">
        <v>5007</v>
      </c>
      <c r="H41" s="176"/>
      <c r="I41" s="176"/>
      <c r="J41" s="176" t="s">
        <v>21</v>
      </c>
      <c r="K41" s="176">
        <v>3000</v>
      </c>
      <c r="L41" s="173" t="s">
        <v>4839</v>
      </c>
      <c r="M41" s="173"/>
      <c r="N41" s="173"/>
      <c r="O41" s="173"/>
      <c r="P41" s="173" t="s">
        <v>4996</v>
      </c>
      <c r="Q41" s="174">
        <v>42558</v>
      </c>
      <c r="R41" s="173"/>
    </row>
    <row r="42" spans="1:18" x14ac:dyDescent="0.25">
      <c r="A42" s="173" t="s">
        <v>408</v>
      </c>
      <c r="B42" s="174">
        <v>42541</v>
      </c>
      <c r="C42" s="197" t="s">
        <v>5008</v>
      </c>
      <c r="D42" s="173" t="s">
        <v>691</v>
      </c>
      <c r="E42" s="173" t="s">
        <v>692</v>
      </c>
      <c r="F42" s="173" t="s">
        <v>5004</v>
      </c>
      <c r="G42" s="173" t="s">
        <v>5005</v>
      </c>
      <c r="H42" s="176"/>
      <c r="I42" s="176"/>
      <c r="J42" s="176" t="s">
        <v>21</v>
      </c>
      <c r="K42" s="176">
        <v>5700</v>
      </c>
      <c r="L42" s="173" t="s">
        <v>5009</v>
      </c>
      <c r="M42" s="173" t="s">
        <v>5221</v>
      </c>
      <c r="N42" s="173"/>
      <c r="O42" s="173"/>
      <c r="P42" s="173" t="s">
        <v>4996</v>
      </c>
      <c r="Q42" s="174">
        <v>42558</v>
      </c>
      <c r="R42" s="173" t="s">
        <v>3186</v>
      </c>
    </row>
    <row r="43" spans="1:18" x14ac:dyDescent="0.25">
      <c r="A43" s="173" t="s">
        <v>408</v>
      </c>
      <c r="B43" s="174">
        <v>42550</v>
      </c>
      <c r="C43" s="197" t="s">
        <v>5010</v>
      </c>
      <c r="D43" s="173" t="s">
        <v>5011</v>
      </c>
      <c r="E43" s="173" t="s">
        <v>5012</v>
      </c>
      <c r="F43" s="173" t="s">
        <v>4111</v>
      </c>
      <c r="G43" s="173" t="s">
        <v>5002</v>
      </c>
      <c r="H43" s="176"/>
      <c r="I43" s="176"/>
      <c r="J43" s="176" t="s">
        <v>21</v>
      </c>
      <c r="K43" s="176">
        <v>3100</v>
      </c>
      <c r="L43" s="173" t="s">
        <v>5009</v>
      </c>
      <c r="M43" s="173" t="s">
        <v>5225</v>
      </c>
      <c r="N43" s="173"/>
      <c r="O43" s="173"/>
      <c r="P43" s="173" t="s">
        <v>4996</v>
      </c>
      <c r="Q43" s="174">
        <v>42558</v>
      </c>
      <c r="R43" s="173" t="s">
        <v>3186</v>
      </c>
    </row>
    <row r="44" spans="1:18" x14ac:dyDescent="0.25">
      <c r="A44" s="173" t="s">
        <v>12</v>
      </c>
      <c r="B44" s="174">
        <v>42534</v>
      </c>
      <c r="C44" s="195" t="s">
        <v>5013</v>
      </c>
      <c r="D44" s="173" t="s">
        <v>3958</v>
      </c>
      <c r="E44" s="173" t="s">
        <v>2626</v>
      </c>
      <c r="F44" s="173" t="s">
        <v>5014</v>
      </c>
      <c r="G44" s="173" t="s">
        <v>5015</v>
      </c>
      <c r="H44" s="176">
        <v>12396.694214876034</v>
      </c>
      <c r="I44" s="176">
        <v>2603.3057851239669</v>
      </c>
      <c r="J44" s="176"/>
      <c r="K44" s="176">
        <v>15000</v>
      </c>
      <c r="L44" s="173" t="s">
        <v>4839</v>
      </c>
      <c r="M44" s="173"/>
      <c r="N44" s="173"/>
      <c r="O44" s="173"/>
      <c r="P44" s="173" t="s">
        <v>4996</v>
      </c>
      <c r="Q44" s="174">
        <v>42558</v>
      </c>
      <c r="R44" s="173"/>
    </row>
    <row r="45" spans="1:18" x14ac:dyDescent="0.25">
      <c r="A45" s="173" t="s">
        <v>12</v>
      </c>
      <c r="B45" s="174">
        <v>42534</v>
      </c>
      <c r="C45" s="195" t="s">
        <v>5016</v>
      </c>
      <c r="D45" s="173" t="s">
        <v>3958</v>
      </c>
      <c r="E45" s="173" t="s">
        <v>2626</v>
      </c>
      <c r="F45" s="173" t="s">
        <v>5014</v>
      </c>
      <c r="G45" s="173" t="s">
        <v>5017</v>
      </c>
      <c r="H45" s="176">
        <v>13223.140495867769</v>
      </c>
      <c r="I45" s="176">
        <v>2776.8595041322315</v>
      </c>
      <c r="J45" s="176"/>
      <c r="K45" s="176">
        <v>16000</v>
      </c>
      <c r="L45" s="173" t="s">
        <v>4839</v>
      </c>
      <c r="M45" s="173"/>
      <c r="N45" s="173"/>
      <c r="O45" s="173"/>
      <c r="P45" s="173" t="s">
        <v>4996</v>
      </c>
      <c r="Q45" s="174">
        <v>42558</v>
      </c>
      <c r="R45" s="173"/>
    </row>
    <row r="46" spans="1:18" x14ac:dyDescent="0.25">
      <c r="A46" s="173" t="s">
        <v>12</v>
      </c>
      <c r="B46" s="174">
        <v>42570</v>
      </c>
      <c r="C46" s="197" t="s">
        <v>5018</v>
      </c>
      <c r="D46" s="173" t="s">
        <v>5000</v>
      </c>
      <c r="E46" s="173" t="s">
        <v>5001</v>
      </c>
      <c r="F46" s="173" t="s">
        <v>906</v>
      </c>
      <c r="G46" s="173" t="s">
        <v>5019</v>
      </c>
      <c r="H46" s="176"/>
      <c r="I46" s="176"/>
      <c r="J46" s="176" t="s">
        <v>21</v>
      </c>
      <c r="K46" s="176">
        <v>2000</v>
      </c>
      <c r="L46" s="173" t="s">
        <v>4839</v>
      </c>
      <c r="M46" s="173"/>
      <c r="N46" s="173"/>
      <c r="O46" s="173"/>
      <c r="P46" s="173" t="s">
        <v>5091</v>
      </c>
      <c r="Q46" s="174">
        <v>42647</v>
      </c>
      <c r="R46" s="173"/>
    </row>
    <row r="47" spans="1:18" x14ac:dyDescent="0.25">
      <c r="A47" s="173" t="s">
        <v>12</v>
      </c>
      <c r="B47" s="174">
        <v>42570</v>
      </c>
      <c r="C47" s="197" t="s">
        <v>5020</v>
      </c>
      <c r="D47" s="173" t="s">
        <v>5000</v>
      </c>
      <c r="E47" s="173" t="s">
        <v>5001</v>
      </c>
      <c r="F47" s="173" t="s">
        <v>4255</v>
      </c>
      <c r="G47" s="173" t="s">
        <v>5021</v>
      </c>
      <c r="H47" s="176"/>
      <c r="I47" s="176"/>
      <c r="J47" s="176" t="s">
        <v>21</v>
      </c>
      <c r="K47" s="176">
        <v>4900</v>
      </c>
      <c r="L47" s="173" t="s">
        <v>4839</v>
      </c>
      <c r="M47" s="173"/>
      <c r="N47" s="173"/>
      <c r="O47" s="173"/>
      <c r="P47" s="173" t="s">
        <v>5091</v>
      </c>
      <c r="Q47" s="174">
        <v>42647</v>
      </c>
      <c r="R47" s="173"/>
    </row>
    <row r="48" spans="1:18" x14ac:dyDescent="0.25">
      <c r="A48" s="173" t="s">
        <v>12</v>
      </c>
      <c r="B48" s="174">
        <v>42570</v>
      </c>
      <c r="C48" s="197" t="s">
        <v>5022</v>
      </c>
      <c r="D48" s="173" t="s">
        <v>5000</v>
      </c>
      <c r="E48" s="173" t="s">
        <v>5001</v>
      </c>
      <c r="F48" s="173" t="s">
        <v>3156</v>
      </c>
      <c r="G48" s="173" t="s">
        <v>5023</v>
      </c>
      <c r="H48" s="176"/>
      <c r="I48" s="176"/>
      <c r="J48" s="176" t="s">
        <v>21</v>
      </c>
      <c r="K48" s="176">
        <v>2700</v>
      </c>
      <c r="L48" s="173" t="s">
        <v>5276</v>
      </c>
      <c r="M48" s="173"/>
      <c r="N48" s="173"/>
      <c r="O48" s="173"/>
      <c r="P48" s="173" t="s">
        <v>5091</v>
      </c>
      <c r="Q48" s="174">
        <v>42647</v>
      </c>
      <c r="R48" s="173"/>
    </row>
    <row r="49" spans="1:18" x14ac:dyDescent="0.25">
      <c r="A49" s="173" t="s">
        <v>12</v>
      </c>
      <c r="B49" s="174">
        <v>42548</v>
      </c>
      <c r="C49" s="197" t="s">
        <v>5024</v>
      </c>
      <c r="D49" s="173" t="s">
        <v>5000</v>
      </c>
      <c r="E49" s="173" t="s">
        <v>5001</v>
      </c>
      <c r="F49" s="173" t="s">
        <v>5004</v>
      </c>
      <c r="G49" s="173" t="s">
        <v>5025</v>
      </c>
      <c r="H49" s="176"/>
      <c r="I49" s="176"/>
      <c r="J49" s="176" t="s">
        <v>21</v>
      </c>
      <c r="K49" s="176">
        <v>5000</v>
      </c>
      <c r="L49" s="173" t="s">
        <v>4839</v>
      </c>
      <c r="M49" s="173"/>
      <c r="N49" s="173"/>
      <c r="O49" s="173"/>
      <c r="P49" s="173" t="s">
        <v>5091</v>
      </c>
      <c r="Q49" s="174">
        <v>42647</v>
      </c>
      <c r="R49" s="173"/>
    </row>
    <row r="50" spans="1:18" x14ac:dyDescent="0.25">
      <c r="A50" s="173" t="s">
        <v>12</v>
      </c>
      <c r="B50" s="174">
        <v>42569</v>
      </c>
      <c r="C50" s="197" t="s">
        <v>5026</v>
      </c>
      <c r="D50" s="173" t="s">
        <v>4583</v>
      </c>
      <c r="E50" s="173" t="s">
        <v>4797</v>
      </c>
      <c r="F50" s="173" t="s">
        <v>400</v>
      </c>
      <c r="G50" s="173" t="s">
        <v>5027</v>
      </c>
      <c r="H50" s="176"/>
      <c r="I50" s="176"/>
      <c r="J50" s="176" t="s">
        <v>303</v>
      </c>
      <c r="K50" s="176">
        <v>850</v>
      </c>
      <c r="L50" s="173" t="s">
        <v>4839</v>
      </c>
      <c r="M50" s="173"/>
      <c r="N50" s="173"/>
      <c r="O50" s="173"/>
      <c r="P50" s="173" t="s">
        <v>5091</v>
      </c>
      <c r="Q50" s="174">
        <v>42647</v>
      </c>
      <c r="R50" s="173"/>
    </row>
    <row r="51" spans="1:18" x14ac:dyDescent="0.25">
      <c r="A51" s="173" t="s">
        <v>12</v>
      </c>
      <c r="B51" s="174">
        <v>42570</v>
      </c>
      <c r="C51" s="197" t="s">
        <v>5028</v>
      </c>
      <c r="D51" s="173" t="s">
        <v>4583</v>
      </c>
      <c r="E51" s="173" t="s">
        <v>4797</v>
      </c>
      <c r="F51" s="173" t="s">
        <v>5029</v>
      </c>
      <c r="G51" s="173" t="s">
        <v>5030</v>
      </c>
      <c r="H51" s="176"/>
      <c r="I51" s="176"/>
      <c r="J51" s="176" t="s">
        <v>21</v>
      </c>
      <c r="K51" s="176">
        <v>9500</v>
      </c>
      <c r="L51" s="173" t="s">
        <v>4839</v>
      </c>
      <c r="M51" s="173"/>
      <c r="N51" s="173"/>
      <c r="O51" s="173"/>
      <c r="P51" s="173" t="s">
        <v>5091</v>
      </c>
      <c r="Q51" s="174">
        <v>42647</v>
      </c>
      <c r="R51" s="173"/>
    </row>
    <row r="52" spans="1:18" x14ac:dyDescent="0.25">
      <c r="A52" s="173" t="s">
        <v>12</v>
      </c>
      <c r="B52" s="174">
        <v>42563</v>
      </c>
      <c r="C52" s="197" t="s">
        <v>5031</v>
      </c>
      <c r="D52" s="173" t="s">
        <v>5032</v>
      </c>
      <c r="E52" s="173" t="s">
        <v>5033</v>
      </c>
      <c r="F52" s="173" t="s">
        <v>346</v>
      </c>
      <c r="G52" s="173" t="s">
        <v>890</v>
      </c>
      <c r="H52" s="176">
        <v>82.65</v>
      </c>
      <c r="I52" s="176">
        <v>17.3565</v>
      </c>
      <c r="J52" s="176"/>
      <c r="K52" s="176">
        <v>100.0065</v>
      </c>
      <c r="L52" s="173" t="s">
        <v>4839</v>
      </c>
      <c r="M52" s="173"/>
      <c r="N52" s="173"/>
      <c r="O52" s="173"/>
      <c r="P52" s="173" t="s">
        <v>5091</v>
      </c>
      <c r="Q52" s="174">
        <v>42647</v>
      </c>
      <c r="R52" s="173"/>
    </row>
    <row r="53" spans="1:18" x14ac:dyDescent="0.25">
      <c r="A53" s="173" t="s">
        <v>12</v>
      </c>
      <c r="B53" s="174">
        <v>42577</v>
      </c>
      <c r="C53" s="197" t="s">
        <v>5034</v>
      </c>
      <c r="D53" s="173" t="s">
        <v>5035</v>
      </c>
      <c r="E53" s="173" t="s">
        <v>5036</v>
      </c>
      <c r="F53" s="173" t="s">
        <v>3807</v>
      </c>
      <c r="G53" s="173" t="s">
        <v>5037</v>
      </c>
      <c r="H53" s="176">
        <v>500</v>
      </c>
      <c r="I53" s="176">
        <v>105</v>
      </c>
      <c r="J53" s="176"/>
      <c r="K53" s="176">
        <v>605</v>
      </c>
      <c r="L53" s="173" t="s">
        <v>4839</v>
      </c>
      <c r="M53" s="173"/>
      <c r="N53" s="173"/>
      <c r="O53" s="173"/>
      <c r="P53" s="173" t="s">
        <v>5091</v>
      </c>
      <c r="Q53" s="174">
        <v>42647</v>
      </c>
      <c r="R53" s="173"/>
    </row>
    <row r="54" spans="1:18" x14ac:dyDescent="0.25">
      <c r="A54" s="173" t="s">
        <v>12</v>
      </c>
      <c r="B54" s="174">
        <v>42605</v>
      </c>
      <c r="C54" s="197" t="s">
        <v>5038</v>
      </c>
      <c r="D54" s="173" t="s">
        <v>5000</v>
      </c>
      <c r="E54" s="173" t="s">
        <v>5001</v>
      </c>
      <c r="F54" s="173" t="s">
        <v>693</v>
      </c>
      <c r="G54" s="173" t="s">
        <v>5039</v>
      </c>
      <c r="H54" s="176"/>
      <c r="I54" s="176"/>
      <c r="J54" s="176" t="s">
        <v>21</v>
      </c>
      <c r="K54" s="176">
        <v>7200</v>
      </c>
      <c r="L54" s="173" t="s">
        <v>4839</v>
      </c>
      <c r="M54" s="173"/>
      <c r="N54" s="173"/>
      <c r="O54" s="173"/>
      <c r="P54" s="173" t="s">
        <v>5091</v>
      </c>
      <c r="Q54" s="174">
        <v>42647</v>
      </c>
      <c r="R54" s="173"/>
    </row>
    <row r="55" spans="1:18" x14ac:dyDescent="0.25">
      <c r="A55" s="173" t="s">
        <v>12</v>
      </c>
      <c r="B55" s="174">
        <v>42605</v>
      </c>
      <c r="C55" s="197" t="s">
        <v>5040</v>
      </c>
      <c r="D55" s="173" t="s">
        <v>5000</v>
      </c>
      <c r="E55" s="173" t="s">
        <v>5001</v>
      </c>
      <c r="F55" s="173" t="s">
        <v>5041</v>
      </c>
      <c r="G55" s="173" t="s">
        <v>5042</v>
      </c>
      <c r="H55" s="176"/>
      <c r="I55" s="176"/>
      <c r="J55" s="176" t="s">
        <v>21</v>
      </c>
      <c r="K55" s="176">
        <v>11700</v>
      </c>
      <c r="L55" s="173" t="s">
        <v>4839</v>
      </c>
      <c r="M55" s="173"/>
      <c r="N55" s="173"/>
      <c r="O55" s="173"/>
      <c r="P55" s="173" t="s">
        <v>5091</v>
      </c>
      <c r="Q55" s="174">
        <v>42647</v>
      </c>
      <c r="R55" s="173"/>
    </row>
    <row r="56" spans="1:18" x14ac:dyDescent="0.25">
      <c r="A56" s="173" t="s">
        <v>12</v>
      </c>
      <c r="B56" s="174">
        <v>42605</v>
      </c>
      <c r="C56" s="197" t="s">
        <v>5043</v>
      </c>
      <c r="D56" s="173" t="s">
        <v>5000</v>
      </c>
      <c r="E56" s="173" t="s">
        <v>5001</v>
      </c>
      <c r="F56" s="173" t="s">
        <v>4232</v>
      </c>
      <c r="G56" s="173" t="s">
        <v>5044</v>
      </c>
      <c r="H56" s="176"/>
      <c r="I56" s="176"/>
      <c r="J56" s="176" t="s">
        <v>21</v>
      </c>
      <c r="K56" s="176">
        <v>3040</v>
      </c>
      <c r="L56" s="173" t="s">
        <v>4839</v>
      </c>
      <c r="M56" s="173"/>
      <c r="N56" s="173"/>
      <c r="O56" s="173"/>
      <c r="P56" s="173" t="s">
        <v>5091</v>
      </c>
      <c r="Q56" s="174">
        <v>42647</v>
      </c>
      <c r="R56" s="173"/>
    </row>
    <row r="57" spans="1:18" x14ac:dyDescent="0.25">
      <c r="A57" s="173" t="s">
        <v>408</v>
      </c>
      <c r="B57" s="174">
        <v>42634</v>
      </c>
      <c r="C57" s="197" t="s">
        <v>5045</v>
      </c>
      <c r="D57" s="173" t="s">
        <v>5046</v>
      </c>
      <c r="E57" s="173" t="s">
        <v>5047</v>
      </c>
      <c r="F57" s="173" t="s">
        <v>4232</v>
      </c>
      <c r="G57" s="173" t="s">
        <v>5044</v>
      </c>
      <c r="H57" s="176"/>
      <c r="I57" s="176"/>
      <c r="J57" s="176" t="s">
        <v>21</v>
      </c>
      <c r="K57" s="176">
        <v>3500</v>
      </c>
      <c r="L57" s="173" t="s">
        <v>5048</v>
      </c>
      <c r="M57" s="173" t="s">
        <v>5231</v>
      </c>
      <c r="N57" s="173"/>
      <c r="O57" s="173"/>
      <c r="P57" s="173" t="s">
        <v>5091</v>
      </c>
      <c r="Q57" s="174">
        <v>42647</v>
      </c>
      <c r="R57" s="173" t="s">
        <v>3186</v>
      </c>
    </row>
    <row r="58" spans="1:18" x14ac:dyDescent="0.25">
      <c r="A58" s="173" t="s">
        <v>408</v>
      </c>
      <c r="B58" s="174">
        <v>42627</v>
      </c>
      <c r="C58" s="197" t="s">
        <v>5049</v>
      </c>
      <c r="D58" s="173" t="s">
        <v>5050</v>
      </c>
      <c r="E58" s="173" t="s">
        <v>5051</v>
      </c>
      <c r="F58" s="173" t="s">
        <v>3807</v>
      </c>
      <c r="G58" s="173" t="s">
        <v>5037</v>
      </c>
      <c r="H58" s="176">
        <v>3500</v>
      </c>
      <c r="I58" s="176">
        <v>735</v>
      </c>
      <c r="J58" s="176"/>
      <c r="K58" s="176">
        <v>4235</v>
      </c>
      <c r="L58" s="173" t="s">
        <v>5052</v>
      </c>
      <c r="M58" s="173" t="s">
        <v>5216</v>
      </c>
      <c r="N58" s="173"/>
      <c r="O58" s="173"/>
      <c r="P58" s="173" t="s">
        <v>5091</v>
      </c>
      <c r="Q58" s="174">
        <v>42647</v>
      </c>
      <c r="R58" s="173" t="s">
        <v>3186</v>
      </c>
    </row>
    <row r="59" spans="1:18" x14ac:dyDescent="0.25">
      <c r="A59" s="173" t="s">
        <v>408</v>
      </c>
      <c r="B59" s="174">
        <v>42615</v>
      </c>
      <c r="C59" s="197" t="s">
        <v>5053</v>
      </c>
      <c r="D59" s="173" t="s">
        <v>5054</v>
      </c>
      <c r="E59" s="173" t="s">
        <v>5055</v>
      </c>
      <c r="F59" s="173" t="s">
        <v>4831</v>
      </c>
      <c r="G59" s="173" t="s">
        <v>4832</v>
      </c>
      <c r="H59" s="176">
        <v>3884.2975206611573</v>
      </c>
      <c r="I59" s="176">
        <v>815.70247933884298</v>
      </c>
      <c r="J59" s="176"/>
      <c r="K59" s="176">
        <v>4700</v>
      </c>
      <c r="L59" s="173" t="s">
        <v>4954</v>
      </c>
      <c r="M59" s="173" t="s">
        <v>5234</v>
      </c>
      <c r="N59" s="173"/>
      <c r="O59" s="173"/>
      <c r="P59" s="173" t="s">
        <v>5091</v>
      </c>
      <c r="Q59" s="174">
        <v>42647</v>
      </c>
      <c r="R59" s="173" t="s">
        <v>3186</v>
      </c>
    </row>
    <row r="60" spans="1:18" x14ac:dyDescent="0.25">
      <c r="A60" s="173" t="s">
        <v>408</v>
      </c>
      <c r="B60" s="174">
        <v>42558</v>
      </c>
      <c r="C60" s="197" t="s">
        <v>5056</v>
      </c>
      <c r="D60" s="173" t="s">
        <v>5057</v>
      </c>
      <c r="E60" s="173" t="s">
        <v>5058</v>
      </c>
      <c r="F60" s="173" t="s">
        <v>2657</v>
      </c>
      <c r="G60" s="173" t="s">
        <v>4668</v>
      </c>
      <c r="H60" s="176">
        <v>3305.7851239669421</v>
      </c>
      <c r="I60" s="176">
        <v>694.21487603305786</v>
      </c>
      <c r="J60" s="176"/>
      <c r="K60" s="176">
        <v>4000</v>
      </c>
      <c r="L60" s="173" t="s">
        <v>4867</v>
      </c>
      <c r="M60" s="173" t="s">
        <v>5107</v>
      </c>
      <c r="N60" s="173"/>
      <c r="O60" s="173"/>
      <c r="P60" s="173" t="s">
        <v>5091</v>
      </c>
      <c r="Q60" s="174">
        <v>42647</v>
      </c>
      <c r="R60" s="173" t="s">
        <v>3791</v>
      </c>
    </row>
    <row r="61" spans="1:18" x14ac:dyDescent="0.25">
      <c r="A61" s="173" t="s">
        <v>408</v>
      </c>
      <c r="B61" s="174">
        <v>42636</v>
      </c>
      <c r="C61" s="197" t="s">
        <v>5059</v>
      </c>
      <c r="D61" s="173" t="s">
        <v>5060</v>
      </c>
      <c r="E61" s="173" t="s">
        <v>5061</v>
      </c>
      <c r="F61" s="173" t="s">
        <v>4803</v>
      </c>
      <c r="G61" s="173" t="s">
        <v>4963</v>
      </c>
      <c r="H61" s="176">
        <v>2000</v>
      </c>
      <c r="I61" s="176">
        <v>420</v>
      </c>
      <c r="J61" s="176"/>
      <c r="K61" s="176">
        <v>2420</v>
      </c>
      <c r="L61" s="173" t="s">
        <v>4988</v>
      </c>
      <c r="M61" s="173" t="s">
        <v>5219</v>
      </c>
      <c r="N61" s="173"/>
      <c r="O61" s="173"/>
      <c r="P61" s="173" t="s">
        <v>5091</v>
      </c>
      <c r="Q61" s="174">
        <v>42647</v>
      </c>
      <c r="R61" s="173" t="s">
        <v>3186</v>
      </c>
    </row>
    <row r="62" spans="1:18" x14ac:dyDescent="0.25">
      <c r="A62" s="173" t="s">
        <v>408</v>
      </c>
      <c r="B62" s="174">
        <v>42560</v>
      </c>
      <c r="C62" s="197" t="s">
        <v>5062</v>
      </c>
      <c r="D62" s="173" t="s">
        <v>5063</v>
      </c>
      <c r="E62" s="173" t="s">
        <v>5064</v>
      </c>
      <c r="F62" s="173" t="s">
        <v>5014</v>
      </c>
      <c r="G62" s="173" t="s">
        <v>5015</v>
      </c>
      <c r="H62" s="176">
        <v>13223.140495867769</v>
      </c>
      <c r="I62" s="176">
        <v>2776.8595041322315</v>
      </c>
      <c r="J62" s="176"/>
      <c r="K62" s="176">
        <v>16000</v>
      </c>
      <c r="L62" s="173" t="s">
        <v>5065</v>
      </c>
      <c r="M62" s="173" t="s">
        <v>5103</v>
      </c>
      <c r="N62" s="173"/>
      <c r="O62" s="173"/>
      <c r="P62" s="173" t="s">
        <v>5091</v>
      </c>
      <c r="Q62" s="174">
        <v>42647</v>
      </c>
      <c r="R62" s="173" t="s">
        <v>3186</v>
      </c>
    </row>
    <row r="63" spans="1:18" x14ac:dyDescent="0.25">
      <c r="A63" s="173" t="s">
        <v>408</v>
      </c>
      <c r="B63" s="174">
        <v>42545</v>
      </c>
      <c r="C63" s="197" t="s">
        <v>5066</v>
      </c>
      <c r="D63" s="173" t="s">
        <v>5067</v>
      </c>
      <c r="E63" s="173" t="s">
        <v>5068</v>
      </c>
      <c r="F63" s="173" t="s">
        <v>5014</v>
      </c>
      <c r="G63" s="173" t="s">
        <v>5017</v>
      </c>
      <c r="H63" s="176">
        <v>14049.586776859505</v>
      </c>
      <c r="I63" s="176">
        <v>2950.413223140496</v>
      </c>
      <c r="J63" s="176"/>
      <c r="K63" s="176">
        <v>17000</v>
      </c>
      <c r="L63" s="173" t="s">
        <v>5065</v>
      </c>
      <c r="M63" s="173" t="s">
        <v>5069</v>
      </c>
      <c r="N63" s="173"/>
      <c r="O63" s="173"/>
      <c r="P63" s="173" t="s">
        <v>5091</v>
      </c>
      <c r="Q63" s="174">
        <v>42647</v>
      </c>
      <c r="R63" s="173" t="s">
        <v>3186</v>
      </c>
    </row>
    <row r="64" spans="1:18" x14ac:dyDescent="0.25">
      <c r="A64" s="173" t="s">
        <v>408</v>
      </c>
      <c r="B64" s="174">
        <v>42564</v>
      </c>
      <c r="C64" s="197" t="s">
        <v>5070</v>
      </c>
      <c r="D64" s="173" t="s">
        <v>5071</v>
      </c>
      <c r="E64" s="173" t="s">
        <v>5072</v>
      </c>
      <c r="F64" s="173" t="s">
        <v>4120</v>
      </c>
      <c r="G64" s="173" t="s">
        <v>4591</v>
      </c>
      <c r="H64" s="176"/>
      <c r="I64" s="176"/>
      <c r="J64" s="176" t="s">
        <v>21</v>
      </c>
      <c r="K64" s="176">
        <v>5000</v>
      </c>
      <c r="L64" s="173" t="s">
        <v>4786</v>
      </c>
      <c r="M64" s="173" t="s">
        <v>5230</v>
      </c>
      <c r="N64" s="173"/>
      <c r="O64" s="173"/>
      <c r="P64" s="173" t="s">
        <v>5091</v>
      </c>
      <c r="Q64" s="174">
        <v>42647</v>
      </c>
      <c r="R64" s="173" t="s">
        <v>3186</v>
      </c>
    </row>
    <row r="65" spans="1:18" x14ac:dyDescent="0.25">
      <c r="A65" s="173" t="s">
        <v>408</v>
      </c>
      <c r="B65" s="174">
        <v>42579</v>
      </c>
      <c r="C65" s="197" t="s">
        <v>5073</v>
      </c>
      <c r="D65" s="173" t="s">
        <v>5074</v>
      </c>
      <c r="E65" s="173" t="s">
        <v>5334</v>
      </c>
      <c r="F65" s="173" t="s">
        <v>4255</v>
      </c>
      <c r="G65" s="173" t="s">
        <v>5021</v>
      </c>
      <c r="H65" s="176"/>
      <c r="I65" s="176"/>
      <c r="J65" s="176" t="s">
        <v>21</v>
      </c>
      <c r="K65" s="176">
        <v>5400</v>
      </c>
      <c r="L65" s="173" t="s">
        <v>5076</v>
      </c>
      <c r="M65" s="173" t="s">
        <v>5233</v>
      </c>
      <c r="N65" s="173"/>
      <c r="O65" s="173"/>
      <c r="P65" s="173" t="s">
        <v>5091</v>
      </c>
      <c r="Q65" s="174">
        <v>42647</v>
      </c>
      <c r="R65" s="173" t="s">
        <v>3186</v>
      </c>
    </row>
    <row r="66" spans="1:18" x14ac:dyDescent="0.25">
      <c r="A66" s="173" t="s">
        <v>408</v>
      </c>
      <c r="B66" s="174">
        <v>42571</v>
      </c>
      <c r="C66" s="197" t="s">
        <v>5077</v>
      </c>
      <c r="D66" s="173" t="s">
        <v>5078</v>
      </c>
      <c r="E66" s="173" t="s">
        <v>5079</v>
      </c>
      <c r="F66" s="173" t="s">
        <v>400</v>
      </c>
      <c r="G66" s="173" t="s">
        <v>5027</v>
      </c>
      <c r="H66" s="176"/>
      <c r="I66" s="176"/>
      <c r="J66" s="176" t="s">
        <v>303</v>
      </c>
      <c r="K66" s="176">
        <v>1000</v>
      </c>
      <c r="L66" s="173" t="s">
        <v>5080</v>
      </c>
      <c r="M66" s="173"/>
      <c r="N66" s="173"/>
      <c r="O66" s="173"/>
      <c r="P66" s="173" t="s">
        <v>5091</v>
      </c>
      <c r="Q66" s="174">
        <v>42647</v>
      </c>
      <c r="R66" s="173"/>
    </row>
    <row r="67" spans="1:18" x14ac:dyDescent="0.25">
      <c r="A67" s="173" t="s">
        <v>12</v>
      </c>
      <c r="B67" s="174">
        <v>42569</v>
      </c>
      <c r="C67" s="197" t="s">
        <v>5081</v>
      </c>
      <c r="D67" s="173" t="s">
        <v>4583</v>
      </c>
      <c r="E67" s="173" t="s">
        <v>4797</v>
      </c>
      <c r="F67" s="173" t="s">
        <v>400</v>
      </c>
      <c r="G67" s="173" t="s">
        <v>5082</v>
      </c>
      <c r="H67" s="176"/>
      <c r="I67" s="176"/>
      <c r="J67" s="176" t="s">
        <v>21</v>
      </c>
      <c r="K67" s="176">
        <v>2400</v>
      </c>
      <c r="L67" s="173" t="s">
        <v>4839</v>
      </c>
      <c r="M67" s="173"/>
      <c r="N67" s="173"/>
      <c r="O67" s="173"/>
      <c r="P67" s="173" t="s">
        <v>5091</v>
      </c>
      <c r="Q67" s="174">
        <v>42647</v>
      </c>
      <c r="R67" s="173"/>
    </row>
    <row r="68" spans="1:18" x14ac:dyDescent="0.25">
      <c r="A68" s="173" t="s">
        <v>408</v>
      </c>
      <c r="B68" s="174">
        <v>42590</v>
      </c>
      <c r="C68" s="197" t="s">
        <v>5083</v>
      </c>
      <c r="D68" s="173" t="s">
        <v>5084</v>
      </c>
      <c r="E68" s="173" t="s">
        <v>5085</v>
      </c>
      <c r="F68" s="173" t="s">
        <v>400</v>
      </c>
      <c r="G68" s="173" t="s">
        <v>5082</v>
      </c>
      <c r="H68" s="176"/>
      <c r="I68" s="176"/>
      <c r="J68" s="176" t="s">
        <v>21</v>
      </c>
      <c r="K68" s="176">
        <v>2800</v>
      </c>
      <c r="L68" s="173" t="s">
        <v>5080</v>
      </c>
      <c r="M68" s="173" t="s">
        <v>5232</v>
      </c>
      <c r="N68" s="173"/>
      <c r="O68" s="173"/>
      <c r="P68" s="173" t="s">
        <v>5091</v>
      </c>
      <c r="Q68" s="174">
        <v>42647</v>
      </c>
      <c r="R68" s="173" t="s">
        <v>3186</v>
      </c>
    </row>
    <row r="69" spans="1:18" x14ac:dyDescent="0.25">
      <c r="A69" s="173" t="s">
        <v>12</v>
      </c>
      <c r="B69" s="174">
        <v>42550</v>
      </c>
      <c r="C69" s="197" t="s">
        <v>944</v>
      </c>
      <c r="D69" s="173" t="s">
        <v>5011</v>
      </c>
      <c r="E69" s="173" t="s">
        <v>5012</v>
      </c>
      <c r="F69" s="173" t="s">
        <v>4803</v>
      </c>
      <c r="G69" s="173" t="s">
        <v>5086</v>
      </c>
      <c r="H69" s="176"/>
      <c r="I69" s="176"/>
      <c r="J69" s="176" t="s">
        <v>21</v>
      </c>
      <c r="K69" s="176">
        <v>1000</v>
      </c>
      <c r="L69" s="173" t="s">
        <v>4839</v>
      </c>
      <c r="M69" s="173" t="s">
        <v>5226</v>
      </c>
      <c r="N69" s="173"/>
      <c r="O69" s="173"/>
      <c r="P69" s="173" t="s">
        <v>5091</v>
      </c>
      <c r="Q69" s="174">
        <v>42647</v>
      </c>
      <c r="R69" s="173"/>
    </row>
    <row r="70" spans="1:18" x14ac:dyDescent="0.25">
      <c r="A70" s="173" t="s">
        <v>408</v>
      </c>
      <c r="B70" s="174">
        <v>42605</v>
      </c>
      <c r="C70" s="197" t="s">
        <v>5087</v>
      </c>
      <c r="D70" s="173" t="s">
        <v>5088</v>
      </c>
      <c r="E70" s="173" t="s">
        <v>5089</v>
      </c>
      <c r="F70" s="173" t="s">
        <v>4803</v>
      </c>
      <c r="G70" s="173" t="s">
        <v>5086</v>
      </c>
      <c r="H70" s="176"/>
      <c r="I70" s="176"/>
      <c r="J70" s="176" t="s">
        <v>21</v>
      </c>
      <c r="K70" s="176">
        <v>1300</v>
      </c>
      <c r="L70" s="173" t="s">
        <v>5090</v>
      </c>
      <c r="M70" s="173"/>
      <c r="N70" s="173"/>
      <c r="O70" s="173"/>
      <c r="P70" s="173" t="s">
        <v>5091</v>
      </c>
      <c r="Q70" s="174">
        <v>42647</v>
      </c>
      <c r="R70" s="173"/>
    </row>
    <row r="71" spans="1:18" x14ac:dyDescent="0.25">
      <c r="A71" s="173" t="s">
        <v>12</v>
      </c>
      <c r="B71" s="174">
        <v>42479</v>
      </c>
      <c r="C71" s="197">
        <v>597</v>
      </c>
      <c r="D71" s="173" t="s">
        <v>4579</v>
      </c>
      <c r="E71" s="173" t="s">
        <v>4580</v>
      </c>
      <c r="F71" s="173" t="s">
        <v>5092</v>
      </c>
      <c r="G71" s="173" t="s">
        <v>5093</v>
      </c>
      <c r="H71" s="176"/>
      <c r="I71" s="176"/>
      <c r="J71" s="176" t="s">
        <v>21</v>
      </c>
      <c r="K71" s="176">
        <v>6500</v>
      </c>
      <c r="L71" s="173" t="s">
        <v>4839</v>
      </c>
      <c r="M71" s="173"/>
      <c r="N71" s="173"/>
      <c r="O71" s="173"/>
      <c r="P71" s="173" t="s">
        <v>5091</v>
      </c>
      <c r="Q71" s="174">
        <v>42655</v>
      </c>
      <c r="R71" s="173"/>
    </row>
    <row r="72" spans="1:18" x14ac:dyDescent="0.25">
      <c r="A72" s="173" t="s">
        <v>408</v>
      </c>
      <c r="B72" s="174">
        <v>42572</v>
      </c>
      <c r="C72" s="197" t="s">
        <v>5094</v>
      </c>
      <c r="D72" s="173" t="s">
        <v>5095</v>
      </c>
      <c r="E72" s="173" t="s">
        <v>5096</v>
      </c>
      <c r="F72" s="173" t="s">
        <v>5092</v>
      </c>
      <c r="G72" s="173" t="s">
        <v>5093</v>
      </c>
      <c r="H72" s="176"/>
      <c r="I72" s="176"/>
      <c r="J72" s="176" t="s">
        <v>21</v>
      </c>
      <c r="K72" s="176">
        <v>7000</v>
      </c>
      <c r="L72" s="173" t="s">
        <v>5097</v>
      </c>
      <c r="M72" s="173" t="s">
        <v>5104</v>
      </c>
      <c r="N72" s="173"/>
      <c r="O72" s="173"/>
      <c r="P72" s="173" t="s">
        <v>5091</v>
      </c>
      <c r="Q72" s="174">
        <v>42655</v>
      </c>
      <c r="R72" s="173" t="s">
        <v>5105</v>
      </c>
    </row>
    <row r="73" spans="1:18" x14ac:dyDescent="0.25">
      <c r="A73" s="173" t="s">
        <v>12</v>
      </c>
      <c r="B73" s="174">
        <v>42632</v>
      </c>
      <c r="C73" s="197" t="s">
        <v>944</v>
      </c>
      <c r="D73" s="173" t="s">
        <v>5098</v>
      </c>
      <c r="E73" s="173" t="s">
        <v>5099</v>
      </c>
      <c r="F73" s="173" t="s">
        <v>5100</v>
      </c>
      <c r="G73" s="173" t="s">
        <v>5101</v>
      </c>
      <c r="H73" s="176"/>
      <c r="I73" s="176"/>
      <c r="J73" s="176" t="s">
        <v>21</v>
      </c>
      <c r="K73" s="176">
        <v>10425</v>
      </c>
      <c r="L73" s="173" t="s">
        <v>4839</v>
      </c>
      <c r="M73" s="173" t="s">
        <v>3553</v>
      </c>
      <c r="N73" s="173"/>
      <c r="O73" s="173"/>
      <c r="P73" s="173" t="s">
        <v>5091</v>
      </c>
      <c r="Q73" s="174">
        <v>42655</v>
      </c>
      <c r="R73" s="173"/>
    </row>
    <row r="74" spans="1:18" x14ac:dyDescent="0.25">
      <c r="A74" s="173" t="s">
        <v>12</v>
      </c>
      <c r="B74" s="174">
        <v>42657</v>
      </c>
      <c r="C74" s="197" t="s">
        <v>5108</v>
      </c>
      <c r="D74" s="173" t="s">
        <v>5000</v>
      </c>
      <c r="E74" s="173" t="s">
        <v>5001</v>
      </c>
      <c r="F74" s="173" t="s">
        <v>5109</v>
      </c>
      <c r="G74" s="173" t="s">
        <v>5110</v>
      </c>
      <c r="H74" s="176"/>
      <c r="I74" s="176"/>
      <c r="J74" s="176" t="s">
        <v>21</v>
      </c>
      <c r="K74" s="176">
        <v>4400</v>
      </c>
      <c r="L74" s="173" t="s">
        <v>4839</v>
      </c>
      <c r="M74" s="173"/>
      <c r="N74" s="173"/>
      <c r="O74" s="173"/>
      <c r="P74" s="173" t="s">
        <v>5206</v>
      </c>
      <c r="Q74" s="174">
        <v>42744</v>
      </c>
      <c r="R74" s="173"/>
    </row>
    <row r="75" spans="1:18" x14ac:dyDescent="0.25">
      <c r="A75" s="173" t="s">
        <v>12</v>
      </c>
      <c r="B75" s="174">
        <v>42657</v>
      </c>
      <c r="C75" s="197" t="s">
        <v>5111</v>
      </c>
      <c r="D75" s="173" t="s">
        <v>5000</v>
      </c>
      <c r="E75" s="173" t="s">
        <v>5001</v>
      </c>
      <c r="F75" s="173" t="s">
        <v>5112</v>
      </c>
      <c r="G75" s="173" t="s">
        <v>5113</v>
      </c>
      <c r="H75" s="176"/>
      <c r="I75" s="176"/>
      <c r="J75" s="176" t="s">
        <v>21</v>
      </c>
      <c r="K75" s="176">
        <v>6300</v>
      </c>
      <c r="L75" s="173" t="s">
        <v>4839</v>
      </c>
      <c r="M75" s="173"/>
      <c r="N75" s="173"/>
      <c r="O75" s="173"/>
      <c r="P75" s="173" t="s">
        <v>5206</v>
      </c>
      <c r="Q75" s="174">
        <v>42744</v>
      </c>
      <c r="R75" s="173"/>
    </row>
    <row r="76" spans="1:18" x14ac:dyDescent="0.25">
      <c r="A76" s="173" t="s">
        <v>12</v>
      </c>
      <c r="B76" s="174">
        <v>42689</v>
      </c>
      <c r="C76" s="197" t="s">
        <v>5114</v>
      </c>
      <c r="D76" s="173" t="s">
        <v>5000</v>
      </c>
      <c r="E76" s="173" t="s">
        <v>5001</v>
      </c>
      <c r="F76" s="173" t="s">
        <v>5115</v>
      </c>
      <c r="G76" s="173" t="s">
        <v>5116</v>
      </c>
      <c r="H76" s="176"/>
      <c r="I76" s="176"/>
      <c r="J76" s="176" t="s">
        <v>21</v>
      </c>
      <c r="K76" s="176">
        <v>3500</v>
      </c>
      <c r="L76" s="173" t="s">
        <v>5276</v>
      </c>
      <c r="M76" s="173"/>
      <c r="N76" s="173"/>
      <c r="O76" s="173"/>
      <c r="P76" s="173" t="s">
        <v>5206</v>
      </c>
      <c r="Q76" s="174">
        <v>42744</v>
      </c>
      <c r="R76" s="173"/>
    </row>
    <row r="77" spans="1:18" x14ac:dyDescent="0.25">
      <c r="A77" s="173" t="s">
        <v>12</v>
      </c>
      <c r="B77" s="174">
        <v>42681</v>
      </c>
      <c r="C77" s="197">
        <v>605</v>
      </c>
      <c r="D77" s="173" t="s">
        <v>4579</v>
      </c>
      <c r="E77" s="173" t="s">
        <v>4580</v>
      </c>
      <c r="F77" s="173" t="s">
        <v>5117</v>
      </c>
      <c r="G77" s="173" t="s">
        <v>5118</v>
      </c>
      <c r="H77" s="176"/>
      <c r="I77" s="176"/>
      <c r="J77" s="176" t="s">
        <v>21</v>
      </c>
      <c r="K77" s="176">
        <v>1500</v>
      </c>
      <c r="L77" s="173" t="s">
        <v>5276</v>
      </c>
      <c r="M77" s="173"/>
      <c r="N77" s="173"/>
      <c r="O77" s="173"/>
      <c r="P77" s="173" t="s">
        <v>5206</v>
      </c>
      <c r="Q77" s="174">
        <v>42744</v>
      </c>
      <c r="R77" s="173"/>
    </row>
    <row r="78" spans="1:18" x14ac:dyDescent="0.25">
      <c r="A78" s="173" t="s">
        <v>12</v>
      </c>
      <c r="B78" s="174">
        <v>42670</v>
      </c>
      <c r="C78" s="197">
        <v>604</v>
      </c>
      <c r="D78" s="173" t="s">
        <v>4579</v>
      </c>
      <c r="E78" s="173" t="s">
        <v>4580</v>
      </c>
      <c r="F78" s="173" t="s">
        <v>2932</v>
      </c>
      <c r="G78" s="173" t="s">
        <v>5119</v>
      </c>
      <c r="H78" s="176"/>
      <c r="I78" s="176"/>
      <c r="J78" s="176" t="s">
        <v>21</v>
      </c>
      <c r="K78" s="176">
        <v>1500</v>
      </c>
      <c r="L78" s="173" t="s">
        <v>4839</v>
      </c>
      <c r="M78" s="173"/>
      <c r="N78" s="173"/>
      <c r="O78" s="173"/>
      <c r="P78" s="173" t="s">
        <v>5206</v>
      </c>
      <c r="Q78" s="174">
        <v>42744</v>
      </c>
      <c r="R78" s="173"/>
    </row>
    <row r="79" spans="1:18" x14ac:dyDescent="0.25">
      <c r="A79" s="173" t="s">
        <v>12</v>
      </c>
      <c r="B79" s="174">
        <v>42654</v>
      </c>
      <c r="C79" s="197" t="s">
        <v>5120</v>
      </c>
      <c r="D79" s="173" t="s">
        <v>5121</v>
      </c>
      <c r="E79" s="173" t="s">
        <v>5122</v>
      </c>
      <c r="F79" s="173" t="s">
        <v>5112</v>
      </c>
      <c r="G79" s="173" t="s">
        <v>5123</v>
      </c>
      <c r="H79" s="176"/>
      <c r="I79" s="176"/>
      <c r="J79" s="176" t="s">
        <v>21</v>
      </c>
      <c r="K79" s="176">
        <v>5900</v>
      </c>
      <c r="L79" s="173" t="s">
        <v>5276</v>
      </c>
      <c r="M79" s="173"/>
      <c r="N79" s="173"/>
      <c r="O79" s="173"/>
      <c r="P79" s="173" t="s">
        <v>5206</v>
      </c>
      <c r="Q79" s="174">
        <v>42744</v>
      </c>
      <c r="R79" s="173"/>
    </row>
    <row r="80" spans="1:18" x14ac:dyDescent="0.25">
      <c r="A80" s="173" t="s">
        <v>12</v>
      </c>
      <c r="B80" s="174">
        <v>42674</v>
      </c>
      <c r="C80" s="197" t="s">
        <v>5124</v>
      </c>
      <c r="D80" s="173" t="s">
        <v>4583</v>
      </c>
      <c r="E80" s="173" t="s">
        <v>4797</v>
      </c>
      <c r="F80" s="173" t="s">
        <v>4576</v>
      </c>
      <c r="G80" s="173" t="s">
        <v>5125</v>
      </c>
      <c r="H80" s="176"/>
      <c r="I80" s="176"/>
      <c r="J80" s="176" t="s">
        <v>21</v>
      </c>
      <c r="K80" s="176">
        <v>4000</v>
      </c>
      <c r="L80" s="173" t="s">
        <v>4839</v>
      </c>
      <c r="M80" s="173"/>
      <c r="N80" s="173"/>
      <c r="O80" s="173"/>
      <c r="P80" s="173" t="s">
        <v>5206</v>
      </c>
      <c r="Q80" s="174">
        <v>42744</v>
      </c>
      <c r="R80" s="173"/>
    </row>
    <row r="81" spans="1:18" x14ac:dyDescent="0.25">
      <c r="A81" s="173" t="s">
        <v>12</v>
      </c>
      <c r="B81" s="174">
        <v>42674</v>
      </c>
      <c r="C81" s="197" t="s">
        <v>5127</v>
      </c>
      <c r="D81" s="173" t="s">
        <v>4583</v>
      </c>
      <c r="E81" s="173" t="s">
        <v>4797</v>
      </c>
      <c r="F81" s="173" t="s">
        <v>4223</v>
      </c>
      <c r="G81" s="173" t="s">
        <v>5126</v>
      </c>
      <c r="H81" s="176"/>
      <c r="I81" s="176"/>
      <c r="J81" s="176" t="s">
        <v>21</v>
      </c>
      <c r="K81" s="176">
        <v>10000</v>
      </c>
      <c r="L81" s="173" t="s">
        <v>4839</v>
      </c>
      <c r="M81" s="173"/>
      <c r="N81" s="173"/>
      <c r="O81" s="173"/>
      <c r="P81" s="173" t="s">
        <v>5206</v>
      </c>
      <c r="Q81" s="174">
        <v>42744</v>
      </c>
      <c r="R81" s="173"/>
    </row>
    <row r="82" spans="1:18" x14ac:dyDescent="0.25">
      <c r="A82" s="173" t="s">
        <v>408</v>
      </c>
      <c r="B82" s="174">
        <v>42702</v>
      </c>
      <c r="C82" s="197" t="s">
        <v>5128</v>
      </c>
      <c r="D82" s="173" t="s">
        <v>5129</v>
      </c>
      <c r="E82" s="173" t="s">
        <v>5130</v>
      </c>
      <c r="F82" s="173" t="s">
        <v>2932</v>
      </c>
      <c r="G82" s="173" t="s">
        <v>5119</v>
      </c>
      <c r="H82" s="176"/>
      <c r="I82" s="176"/>
      <c r="J82" s="176" t="s">
        <v>21</v>
      </c>
      <c r="K82" s="176">
        <v>2000</v>
      </c>
      <c r="L82" s="173" t="s">
        <v>5131</v>
      </c>
      <c r="M82" s="173" t="s">
        <v>5214</v>
      </c>
      <c r="N82" s="173"/>
      <c r="O82" s="173"/>
      <c r="P82" s="173" t="s">
        <v>5206</v>
      </c>
      <c r="Q82" s="174">
        <v>42744</v>
      </c>
      <c r="R82" s="173" t="s">
        <v>3186</v>
      </c>
    </row>
    <row r="83" spans="1:18" x14ac:dyDescent="0.25">
      <c r="A83" s="173" t="s">
        <v>408</v>
      </c>
      <c r="B83" s="174">
        <v>42702</v>
      </c>
      <c r="C83" s="197" t="s">
        <v>5132</v>
      </c>
      <c r="D83" s="173" t="s">
        <v>5133</v>
      </c>
      <c r="E83" s="173" t="s">
        <v>5134</v>
      </c>
      <c r="F83" s="173" t="s">
        <v>906</v>
      </c>
      <c r="G83" s="173" t="s">
        <v>5019</v>
      </c>
      <c r="H83" s="176"/>
      <c r="I83" s="176"/>
      <c r="J83" s="176" t="s">
        <v>21</v>
      </c>
      <c r="K83" s="176">
        <v>2400</v>
      </c>
      <c r="L83" s="173" t="s">
        <v>5135</v>
      </c>
      <c r="M83" s="173" t="s">
        <v>5214</v>
      </c>
      <c r="N83" s="173"/>
      <c r="O83" s="173"/>
      <c r="P83" s="173" t="s">
        <v>5206</v>
      </c>
      <c r="Q83" s="174">
        <v>42744</v>
      </c>
      <c r="R83" s="173" t="s">
        <v>3186</v>
      </c>
    </row>
    <row r="84" spans="1:18" x14ac:dyDescent="0.25">
      <c r="A84" s="173" t="s">
        <v>12</v>
      </c>
      <c r="B84" s="174">
        <v>42682</v>
      </c>
      <c r="C84" s="197" t="s">
        <v>5136</v>
      </c>
      <c r="D84" s="173" t="s">
        <v>4583</v>
      </c>
      <c r="E84" s="173" t="s">
        <v>4797</v>
      </c>
      <c r="F84" s="173" t="s">
        <v>2681</v>
      </c>
      <c r="G84" s="173" t="s">
        <v>5137</v>
      </c>
      <c r="H84" s="176"/>
      <c r="I84" s="176"/>
      <c r="J84" s="176" t="s">
        <v>21</v>
      </c>
      <c r="K84" s="176">
        <v>2000</v>
      </c>
      <c r="L84" s="173" t="s">
        <v>5276</v>
      </c>
      <c r="M84" s="173"/>
      <c r="N84" s="173"/>
      <c r="O84" s="173"/>
      <c r="P84" s="173" t="s">
        <v>5206</v>
      </c>
      <c r="Q84" s="174">
        <v>42744</v>
      </c>
      <c r="R84" s="173"/>
    </row>
    <row r="85" spans="1:18" x14ac:dyDescent="0.25">
      <c r="A85" s="173" t="s">
        <v>12</v>
      </c>
      <c r="B85" s="174">
        <v>42731</v>
      </c>
      <c r="C85" s="197">
        <v>15102297</v>
      </c>
      <c r="D85" s="173" t="s">
        <v>5139</v>
      </c>
      <c r="E85" s="173" t="s">
        <v>5138</v>
      </c>
      <c r="F85" s="173" t="s">
        <v>3335</v>
      </c>
      <c r="G85" s="173" t="s">
        <v>5140</v>
      </c>
      <c r="H85" s="176"/>
      <c r="I85" s="176"/>
      <c r="J85" s="176" t="s">
        <v>21</v>
      </c>
      <c r="K85" s="176">
        <v>3100</v>
      </c>
      <c r="L85" s="173" t="s">
        <v>5276</v>
      </c>
      <c r="M85" s="173"/>
      <c r="N85" s="173"/>
      <c r="O85" s="173"/>
      <c r="P85" s="173" t="s">
        <v>5206</v>
      </c>
      <c r="Q85" s="174">
        <v>42744</v>
      </c>
      <c r="R85" s="173"/>
    </row>
    <row r="86" spans="1:18" x14ac:dyDescent="0.25">
      <c r="A86" s="173" t="s">
        <v>12</v>
      </c>
      <c r="B86" s="174">
        <v>42734</v>
      </c>
      <c r="C86" s="197">
        <v>15102352</v>
      </c>
      <c r="D86" s="173" t="s">
        <v>5139</v>
      </c>
      <c r="E86" s="173" t="s">
        <v>5138</v>
      </c>
      <c r="F86" s="173" t="s">
        <v>5141</v>
      </c>
      <c r="G86" s="173" t="s">
        <v>5142</v>
      </c>
      <c r="H86" s="176"/>
      <c r="I86" s="176"/>
      <c r="J86" s="176" t="s">
        <v>21</v>
      </c>
      <c r="K86" s="176">
        <v>1600</v>
      </c>
      <c r="L86" s="173" t="s">
        <v>5276</v>
      </c>
      <c r="M86" s="173"/>
      <c r="N86" s="173"/>
      <c r="O86" s="173"/>
      <c r="P86" s="173" t="s">
        <v>5206</v>
      </c>
      <c r="Q86" s="174">
        <v>42744</v>
      </c>
      <c r="R86" s="173"/>
    </row>
    <row r="87" spans="1:18" x14ac:dyDescent="0.25">
      <c r="A87" s="173" t="s">
        <v>12</v>
      </c>
      <c r="B87" s="174">
        <v>42709</v>
      </c>
      <c r="C87" s="197">
        <v>15100139</v>
      </c>
      <c r="D87" s="173" t="s">
        <v>5143</v>
      </c>
      <c r="E87" s="173" t="s">
        <v>5144</v>
      </c>
      <c r="F87" s="173" t="s">
        <v>3967</v>
      </c>
      <c r="G87" s="173" t="s">
        <v>5145</v>
      </c>
      <c r="H87" s="176"/>
      <c r="I87" s="176"/>
      <c r="J87" s="176" t="s">
        <v>21</v>
      </c>
      <c r="K87" s="176">
        <v>8600</v>
      </c>
      <c r="L87" s="173" t="s">
        <v>4839</v>
      </c>
      <c r="M87" s="173"/>
      <c r="N87" s="173"/>
      <c r="O87" s="173"/>
      <c r="P87" s="173" t="s">
        <v>5206</v>
      </c>
      <c r="Q87" s="174">
        <v>42744</v>
      </c>
      <c r="R87" s="173"/>
    </row>
    <row r="88" spans="1:18" x14ac:dyDescent="0.25">
      <c r="A88" s="173" t="s">
        <v>408</v>
      </c>
      <c r="B88" s="174">
        <v>42695</v>
      </c>
      <c r="C88" s="197" t="s">
        <v>5146</v>
      </c>
      <c r="D88" s="173" t="s">
        <v>5147</v>
      </c>
      <c r="E88" s="173" t="s">
        <v>5148</v>
      </c>
      <c r="F88" s="173" t="s">
        <v>4576</v>
      </c>
      <c r="G88" s="173" t="s">
        <v>5125</v>
      </c>
      <c r="H88" s="176"/>
      <c r="I88" s="176"/>
      <c r="J88" s="176" t="s">
        <v>21</v>
      </c>
      <c r="K88" s="176">
        <v>4500</v>
      </c>
      <c r="L88" s="173" t="s">
        <v>5149</v>
      </c>
      <c r="M88" s="173" t="s">
        <v>5224</v>
      </c>
      <c r="N88" s="173"/>
      <c r="O88" s="173"/>
      <c r="P88" s="173" t="s">
        <v>5206</v>
      </c>
      <c r="Q88" s="174">
        <v>42744</v>
      </c>
      <c r="R88" s="173" t="s">
        <v>3186</v>
      </c>
    </row>
    <row r="89" spans="1:18" x14ac:dyDescent="0.25">
      <c r="A89" s="173" t="s">
        <v>408</v>
      </c>
      <c r="B89" s="174">
        <v>42733</v>
      </c>
      <c r="C89" s="197" t="s">
        <v>5150</v>
      </c>
      <c r="D89" s="173" t="s">
        <v>2931</v>
      </c>
      <c r="E89" s="173" t="s">
        <v>2352</v>
      </c>
      <c r="F89" s="173" t="s">
        <v>346</v>
      </c>
      <c r="G89" s="173" t="s">
        <v>890</v>
      </c>
      <c r="H89" s="176">
        <v>495.86776859504135</v>
      </c>
      <c r="I89" s="176">
        <v>104.13223140495867</v>
      </c>
      <c r="J89" s="176"/>
      <c r="K89" s="176">
        <v>600</v>
      </c>
      <c r="L89" s="173" t="s">
        <v>5151</v>
      </c>
      <c r="M89" s="173"/>
      <c r="N89" s="173"/>
      <c r="O89" s="173"/>
      <c r="P89" s="173" t="s">
        <v>5206</v>
      </c>
      <c r="Q89" s="174">
        <v>42744</v>
      </c>
      <c r="R89" s="173"/>
    </row>
    <row r="90" spans="1:18" x14ac:dyDescent="0.25">
      <c r="A90" s="173" t="s">
        <v>408</v>
      </c>
      <c r="B90" s="174">
        <v>42724</v>
      </c>
      <c r="C90" s="197" t="s">
        <v>5154</v>
      </c>
      <c r="D90" s="173" t="s">
        <v>5155</v>
      </c>
      <c r="E90" s="173" t="s">
        <v>5156</v>
      </c>
      <c r="F90" s="173" t="s">
        <v>3967</v>
      </c>
      <c r="G90" s="173" t="s">
        <v>5145</v>
      </c>
      <c r="H90" s="176"/>
      <c r="I90" s="176"/>
      <c r="J90" s="176" t="s">
        <v>21</v>
      </c>
      <c r="K90" s="176">
        <v>9100</v>
      </c>
      <c r="L90" s="173" t="s">
        <v>5157</v>
      </c>
      <c r="M90" s="173" t="s">
        <v>5244</v>
      </c>
      <c r="N90" s="173"/>
      <c r="O90" s="173"/>
      <c r="P90" s="173" t="s">
        <v>5206</v>
      </c>
      <c r="Q90" s="174">
        <v>42744</v>
      </c>
      <c r="R90" s="173" t="s">
        <v>3186</v>
      </c>
    </row>
    <row r="91" spans="1:18" x14ac:dyDescent="0.25">
      <c r="A91" s="173" t="s">
        <v>408</v>
      </c>
      <c r="B91" s="174">
        <v>42724</v>
      </c>
      <c r="C91" s="197" t="s">
        <v>5158</v>
      </c>
      <c r="D91" s="173" t="s">
        <v>5159</v>
      </c>
      <c r="E91" s="173" t="s">
        <v>5160</v>
      </c>
      <c r="F91" s="173" t="s">
        <v>2681</v>
      </c>
      <c r="G91" s="173" t="s">
        <v>5113</v>
      </c>
      <c r="H91" s="176"/>
      <c r="I91" s="176"/>
      <c r="J91" s="176" t="s">
        <v>21</v>
      </c>
      <c r="K91" s="176">
        <v>7500</v>
      </c>
      <c r="L91" s="173" t="s">
        <v>5161</v>
      </c>
      <c r="M91" s="173" t="s">
        <v>5217</v>
      </c>
      <c r="N91" s="173"/>
      <c r="O91" s="173"/>
      <c r="P91" s="173" t="s">
        <v>5206</v>
      </c>
      <c r="Q91" s="174">
        <v>42744</v>
      </c>
      <c r="R91" s="173" t="s">
        <v>3186</v>
      </c>
    </row>
    <row r="92" spans="1:18" x14ac:dyDescent="0.25">
      <c r="A92" s="173" t="s">
        <v>408</v>
      </c>
      <c r="B92" s="174">
        <v>42685</v>
      </c>
      <c r="C92" s="197" t="s">
        <v>5162</v>
      </c>
      <c r="D92" s="173" t="s">
        <v>5163</v>
      </c>
      <c r="E92" s="173" t="s">
        <v>5164</v>
      </c>
      <c r="F92" s="173" t="s">
        <v>5004</v>
      </c>
      <c r="G92" s="173" t="s">
        <v>5025</v>
      </c>
      <c r="H92" s="176"/>
      <c r="I92" s="176"/>
      <c r="J92" s="176" t="s">
        <v>21</v>
      </c>
      <c r="K92" s="176">
        <v>5500</v>
      </c>
      <c r="L92" s="173" t="s">
        <v>5165</v>
      </c>
      <c r="M92" s="173" t="s">
        <v>5218</v>
      </c>
      <c r="N92" s="173"/>
      <c r="O92" s="173"/>
      <c r="P92" s="173" t="s">
        <v>5206</v>
      </c>
      <c r="Q92" s="174">
        <v>42744</v>
      </c>
      <c r="R92" s="173" t="s">
        <v>3186</v>
      </c>
    </row>
    <row r="93" spans="1:18" x14ac:dyDescent="0.25">
      <c r="A93" s="173" t="s">
        <v>408</v>
      </c>
      <c r="B93" s="174">
        <v>42689</v>
      </c>
      <c r="C93" s="197" t="s">
        <v>5166</v>
      </c>
      <c r="D93" s="173" t="s">
        <v>5167</v>
      </c>
      <c r="E93" s="173" t="s">
        <v>5168</v>
      </c>
      <c r="F93" s="173" t="s">
        <v>5029</v>
      </c>
      <c r="G93" s="173" t="s">
        <v>5030</v>
      </c>
      <c r="H93" s="176"/>
      <c r="I93" s="176"/>
      <c r="J93" s="176" t="s">
        <v>21</v>
      </c>
      <c r="K93" s="176">
        <v>10000</v>
      </c>
      <c r="L93" s="173" t="s">
        <v>5169</v>
      </c>
      <c r="M93" s="173" t="s">
        <v>5242</v>
      </c>
      <c r="N93" s="173"/>
      <c r="O93" s="173"/>
      <c r="P93" s="173" t="s">
        <v>5206</v>
      </c>
      <c r="Q93" s="174">
        <v>42744</v>
      </c>
      <c r="R93" s="173" t="s">
        <v>3186</v>
      </c>
    </row>
    <row r="94" spans="1:18" x14ac:dyDescent="0.25">
      <c r="A94" s="173" t="s">
        <v>408</v>
      </c>
      <c r="B94" s="174">
        <v>42647</v>
      </c>
      <c r="C94" s="197" t="s">
        <v>5170</v>
      </c>
      <c r="D94" s="173" t="s">
        <v>5171</v>
      </c>
      <c r="E94" s="173" t="s">
        <v>5172</v>
      </c>
      <c r="F94" s="173" t="s">
        <v>5100</v>
      </c>
      <c r="G94" s="173" t="s">
        <v>5101</v>
      </c>
      <c r="H94" s="176"/>
      <c r="I94" s="176"/>
      <c r="J94" s="176" t="s">
        <v>21</v>
      </c>
      <c r="K94" s="176">
        <v>11000</v>
      </c>
      <c r="L94" s="173" t="s">
        <v>5173</v>
      </c>
      <c r="M94" s="173" t="s">
        <v>5215</v>
      </c>
      <c r="N94" s="173"/>
      <c r="O94" s="173"/>
      <c r="P94" s="173" t="s">
        <v>5206</v>
      </c>
      <c r="Q94" s="174">
        <v>42744</v>
      </c>
      <c r="R94" s="173" t="s">
        <v>3186</v>
      </c>
    </row>
    <row r="95" spans="1:18" x14ac:dyDescent="0.25">
      <c r="A95" s="173" t="s">
        <v>408</v>
      </c>
      <c r="B95" s="174">
        <v>42650</v>
      </c>
      <c r="C95" s="197" t="s">
        <v>5174</v>
      </c>
      <c r="D95" s="173" t="s">
        <v>5175</v>
      </c>
      <c r="E95" s="173" t="s">
        <v>5176</v>
      </c>
      <c r="F95" s="173" t="s">
        <v>693</v>
      </c>
      <c r="G95" s="173" t="s">
        <v>5039</v>
      </c>
      <c r="H95" s="176"/>
      <c r="I95" s="176"/>
      <c r="J95" s="176" t="s">
        <v>21</v>
      </c>
      <c r="K95" s="176">
        <v>7700</v>
      </c>
      <c r="L95" s="173" t="s">
        <v>5048</v>
      </c>
      <c r="M95" s="173" t="s">
        <v>5243</v>
      </c>
      <c r="N95" s="173"/>
      <c r="O95" s="173"/>
      <c r="P95" s="173" t="s">
        <v>5206</v>
      </c>
      <c r="Q95" s="174">
        <v>42744</v>
      </c>
      <c r="R95" s="173" t="s">
        <v>3186</v>
      </c>
    </row>
    <row r="96" spans="1:18" x14ac:dyDescent="0.25">
      <c r="A96" s="173" t="s">
        <v>408</v>
      </c>
      <c r="B96" s="174">
        <v>42646</v>
      </c>
      <c r="C96" s="197" t="s">
        <v>5132</v>
      </c>
      <c r="D96" s="173" t="s">
        <v>5177</v>
      </c>
      <c r="E96" s="173" t="s">
        <v>5178</v>
      </c>
      <c r="F96" s="173" t="s">
        <v>5041</v>
      </c>
      <c r="G96" s="173" t="s">
        <v>5042</v>
      </c>
      <c r="H96" s="176"/>
      <c r="I96" s="176"/>
      <c r="J96" s="176" t="s">
        <v>21</v>
      </c>
      <c r="K96" s="176">
        <v>12200</v>
      </c>
      <c r="L96" s="173" t="s">
        <v>5179</v>
      </c>
      <c r="M96" s="173" t="s">
        <v>5240</v>
      </c>
      <c r="N96" s="173"/>
      <c r="O96" s="173"/>
      <c r="P96" s="173" t="s">
        <v>5206</v>
      </c>
      <c r="Q96" s="174">
        <v>42744</v>
      </c>
      <c r="R96" s="173" t="s">
        <v>3186</v>
      </c>
    </row>
    <row r="97" spans="1:18" x14ac:dyDescent="0.25">
      <c r="A97" s="173" t="s">
        <v>408</v>
      </c>
      <c r="B97" s="174">
        <v>42677</v>
      </c>
      <c r="C97" s="197" t="s">
        <v>5180</v>
      </c>
      <c r="D97" s="173" t="s">
        <v>5181</v>
      </c>
      <c r="E97" s="173" t="s">
        <v>5182</v>
      </c>
      <c r="F97" s="173" t="s">
        <v>5109</v>
      </c>
      <c r="G97" s="173" t="s">
        <v>5110</v>
      </c>
      <c r="H97" s="176"/>
      <c r="I97" s="176"/>
      <c r="J97" s="176" t="s">
        <v>21</v>
      </c>
      <c r="K97" s="176">
        <v>4900</v>
      </c>
      <c r="L97" s="173" t="s">
        <v>5161</v>
      </c>
      <c r="M97" s="173" t="s">
        <v>5236</v>
      </c>
      <c r="N97" s="173"/>
      <c r="O97" s="173"/>
      <c r="P97" s="173" t="s">
        <v>5206</v>
      </c>
      <c r="Q97" s="174">
        <v>42744</v>
      </c>
      <c r="R97" s="173" t="s">
        <v>3186</v>
      </c>
    </row>
    <row r="98" spans="1:18" x14ac:dyDescent="0.25">
      <c r="A98" s="173" t="s">
        <v>408</v>
      </c>
      <c r="B98" s="174">
        <v>42684</v>
      </c>
      <c r="C98" s="197" t="s">
        <v>5183</v>
      </c>
      <c r="D98" s="173" t="s">
        <v>5184</v>
      </c>
      <c r="E98" s="173" t="s">
        <v>5185</v>
      </c>
      <c r="F98" s="173" t="s">
        <v>4223</v>
      </c>
      <c r="G98" s="173" t="s">
        <v>5126</v>
      </c>
      <c r="H98" s="176"/>
      <c r="I98" s="176"/>
      <c r="J98" s="176" t="s">
        <v>21</v>
      </c>
      <c r="K98" s="176">
        <v>10500</v>
      </c>
      <c r="L98" s="173" t="s">
        <v>5149</v>
      </c>
      <c r="M98" s="173" t="s">
        <v>5238</v>
      </c>
      <c r="N98" s="173"/>
      <c r="O98" s="173"/>
      <c r="P98" s="173" t="s">
        <v>5206</v>
      </c>
      <c r="Q98" s="174">
        <v>42744</v>
      </c>
      <c r="R98" s="173" t="s">
        <v>3186</v>
      </c>
    </row>
    <row r="99" spans="1:18" x14ac:dyDescent="0.25">
      <c r="A99" s="173" t="s">
        <v>408</v>
      </c>
      <c r="B99" s="174">
        <v>42664</v>
      </c>
      <c r="C99" s="197" t="s">
        <v>5186</v>
      </c>
      <c r="D99" s="173" t="s">
        <v>5187</v>
      </c>
      <c r="E99" s="173" t="s">
        <v>5188</v>
      </c>
      <c r="F99" s="173" t="s">
        <v>4870</v>
      </c>
      <c r="G99" s="173" t="s">
        <v>5007</v>
      </c>
      <c r="H99" s="176"/>
      <c r="I99" s="176"/>
      <c r="J99" s="176" t="s">
        <v>21</v>
      </c>
      <c r="K99" s="176">
        <v>3500</v>
      </c>
      <c r="L99" s="173" t="s">
        <v>5189</v>
      </c>
      <c r="M99" s="173" t="s">
        <v>5229</v>
      </c>
      <c r="N99" s="173"/>
      <c r="O99" s="173"/>
      <c r="P99" s="173" t="s">
        <v>5206</v>
      </c>
      <c r="Q99" s="174">
        <v>42744</v>
      </c>
      <c r="R99" s="173" t="s">
        <v>3186</v>
      </c>
    </row>
    <row r="100" spans="1:18" x14ac:dyDescent="0.25">
      <c r="A100" s="173" t="s">
        <v>408</v>
      </c>
      <c r="B100" s="174">
        <v>42563</v>
      </c>
      <c r="C100" s="197" t="s">
        <v>835</v>
      </c>
      <c r="D100" s="173" t="s">
        <v>5190</v>
      </c>
      <c r="E100" s="173" t="s">
        <v>5033</v>
      </c>
      <c r="F100" s="173" t="s">
        <v>4803</v>
      </c>
      <c r="G100" s="173" t="s">
        <v>4961</v>
      </c>
      <c r="H100" s="176">
        <v>1652.8925619834711</v>
      </c>
      <c r="I100" s="176">
        <v>347.10743801652893</v>
      </c>
      <c r="J100" s="176"/>
      <c r="K100" s="176">
        <v>2000</v>
      </c>
      <c r="L100" s="173" t="s">
        <v>5191</v>
      </c>
      <c r="M100" s="173" t="s">
        <v>5237</v>
      </c>
      <c r="N100" s="173"/>
      <c r="O100" s="173"/>
      <c r="P100" s="173" t="s">
        <v>5206</v>
      </c>
      <c r="Q100" s="174">
        <v>42744</v>
      </c>
      <c r="R100" s="173" t="s">
        <v>3186</v>
      </c>
    </row>
    <row r="101" spans="1:18" x14ac:dyDescent="0.25">
      <c r="A101" s="173" t="s">
        <v>12</v>
      </c>
      <c r="B101" s="174">
        <v>42727</v>
      </c>
      <c r="C101" s="197" t="s">
        <v>5192</v>
      </c>
      <c r="D101" s="173" t="s">
        <v>5000</v>
      </c>
      <c r="E101" s="173" t="s">
        <v>5001</v>
      </c>
      <c r="F101" s="173" t="s">
        <v>5193</v>
      </c>
      <c r="G101" s="173" t="s">
        <v>5194</v>
      </c>
      <c r="H101" s="176"/>
      <c r="I101" s="176"/>
      <c r="J101" s="176" t="s">
        <v>21</v>
      </c>
      <c r="K101" s="176">
        <v>11000</v>
      </c>
      <c r="L101" s="173" t="s">
        <v>5276</v>
      </c>
      <c r="M101" s="173"/>
      <c r="N101" s="173"/>
      <c r="O101" s="173"/>
      <c r="P101" s="173" t="s">
        <v>5206</v>
      </c>
      <c r="Q101" s="174">
        <v>42744</v>
      </c>
      <c r="R101" s="173"/>
    </row>
    <row r="102" spans="1:18" x14ac:dyDescent="0.25">
      <c r="A102" s="173" t="s">
        <v>12</v>
      </c>
      <c r="B102" s="174">
        <v>42685</v>
      </c>
      <c r="C102" s="197" t="s">
        <v>944</v>
      </c>
      <c r="D102" s="173" t="s">
        <v>5195</v>
      </c>
      <c r="E102" s="173" t="s">
        <v>5196</v>
      </c>
      <c r="F102" s="173" t="s">
        <v>5153</v>
      </c>
      <c r="G102" s="173" t="s">
        <v>5152</v>
      </c>
      <c r="H102" s="176"/>
      <c r="I102" s="176"/>
      <c r="J102" s="176" t="s">
        <v>21</v>
      </c>
      <c r="K102" s="176">
        <v>1000</v>
      </c>
      <c r="L102" s="173" t="s">
        <v>4839</v>
      </c>
      <c r="M102" s="173"/>
      <c r="N102" s="173"/>
      <c r="O102" s="173"/>
      <c r="P102" s="173" t="s">
        <v>5206</v>
      </c>
      <c r="Q102" s="174">
        <v>42744</v>
      </c>
      <c r="R102" s="173"/>
    </row>
    <row r="103" spans="1:18" x14ac:dyDescent="0.25">
      <c r="A103" s="173" t="s">
        <v>12</v>
      </c>
      <c r="B103" s="174">
        <v>42645</v>
      </c>
      <c r="C103" s="197" t="s">
        <v>944</v>
      </c>
      <c r="D103" s="173" t="s">
        <v>5197</v>
      </c>
      <c r="E103" s="173" t="s">
        <v>5178</v>
      </c>
      <c r="F103" s="173" t="s">
        <v>906</v>
      </c>
      <c r="G103" s="173" t="s">
        <v>5198</v>
      </c>
      <c r="H103" s="176"/>
      <c r="I103" s="176"/>
      <c r="J103" s="176" t="s">
        <v>21</v>
      </c>
      <c r="K103" s="176">
        <v>2000</v>
      </c>
      <c r="L103" s="173" t="s">
        <v>4839</v>
      </c>
      <c r="M103" s="173"/>
      <c r="N103" s="173"/>
      <c r="O103" s="173"/>
      <c r="P103" s="173" t="s">
        <v>5206</v>
      </c>
      <c r="Q103" s="174">
        <v>42744</v>
      </c>
      <c r="R103" s="173"/>
    </row>
    <row r="104" spans="1:18" x14ac:dyDescent="0.25">
      <c r="A104" s="173" t="s">
        <v>408</v>
      </c>
      <c r="B104" s="174">
        <v>42716</v>
      </c>
      <c r="C104" s="197" t="s">
        <v>5199</v>
      </c>
      <c r="D104" s="173" t="s">
        <v>5200</v>
      </c>
      <c r="E104" s="173" t="s">
        <v>5201</v>
      </c>
      <c r="F104" s="173" t="s">
        <v>5153</v>
      </c>
      <c r="G104" s="173" t="s">
        <v>5152</v>
      </c>
      <c r="H104" s="176"/>
      <c r="I104" s="176"/>
      <c r="J104" s="176" t="s">
        <v>21</v>
      </c>
      <c r="K104" s="176">
        <v>1300</v>
      </c>
      <c r="L104" s="173" t="s">
        <v>5202</v>
      </c>
      <c r="M104" s="173"/>
      <c r="N104" s="173"/>
      <c r="O104" s="173"/>
      <c r="P104" s="173" t="s">
        <v>5206</v>
      </c>
      <c r="Q104" s="174">
        <v>42744</v>
      </c>
      <c r="R104" s="173"/>
    </row>
    <row r="105" spans="1:18" x14ac:dyDescent="0.25">
      <c r="A105" s="173" t="s">
        <v>408</v>
      </c>
      <c r="B105" s="174">
        <v>42667</v>
      </c>
      <c r="C105" s="197" t="s">
        <v>5203</v>
      </c>
      <c r="D105" s="173" t="s">
        <v>5204</v>
      </c>
      <c r="E105" s="173" t="s">
        <v>5209</v>
      </c>
      <c r="F105" s="173" t="s">
        <v>906</v>
      </c>
      <c r="G105" s="173" t="s">
        <v>5198</v>
      </c>
      <c r="H105" s="176"/>
      <c r="I105" s="176"/>
      <c r="J105" s="176" t="s">
        <v>21</v>
      </c>
      <c r="K105" s="176">
        <v>2450</v>
      </c>
      <c r="L105" s="173" t="s">
        <v>5205</v>
      </c>
      <c r="M105" s="173" t="s">
        <v>5220</v>
      </c>
      <c r="N105" s="173"/>
      <c r="O105" s="173"/>
      <c r="P105" s="173" t="s">
        <v>5206</v>
      </c>
      <c r="Q105" s="174">
        <v>42744</v>
      </c>
      <c r="R105" s="173" t="s">
        <v>3186</v>
      </c>
    </row>
    <row r="106" spans="1:18" x14ac:dyDescent="0.25">
      <c r="A106" s="173" t="s">
        <v>12</v>
      </c>
      <c r="B106" s="174">
        <v>42732</v>
      </c>
      <c r="C106" s="197" t="s">
        <v>5207</v>
      </c>
      <c r="D106" s="173" t="s">
        <v>4583</v>
      </c>
      <c r="E106" s="173" t="s">
        <v>4797</v>
      </c>
      <c r="F106" s="173" t="s">
        <v>4232</v>
      </c>
      <c r="G106" s="173" t="s">
        <v>5208</v>
      </c>
      <c r="H106" s="176"/>
      <c r="I106" s="176"/>
      <c r="J106" s="176" t="s">
        <v>21</v>
      </c>
      <c r="K106" s="176">
        <v>9000</v>
      </c>
      <c r="L106" s="173" t="s">
        <v>5276</v>
      </c>
      <c r="M106" s="173"/>
      <c r="N106" s="173"/>
      <c r="O106" s="173"/>
      <c r="P106" s="173" t="s">
        <v>5213</v>
      </c>
      <c r="Q106" s="174">
        <v>42746</v>
      </c>
      <c r="R106" s="173"/>
    </row>
    <row r="107" spans="1:18" x14ac:dyDescent="0.25">
      <c r="A107" s="173" t="s">
        <v>12</v>
      </c>
      <c r="B107" s="174">
        <v>42734</v>
      </c>
      <c r="C107" s="197" t="s">
        <v>5210</v>
      </c>
      <c r="D107" s="173" t="s">
        <v>4057</v>
      </c>
      <c r="E107" s="173" t="s">
        <v>4058</v>
      </c>
      <c r="F107" s="173" t="s">
        <v>5211</v>
      </c>
      <c r="G107" s="173" t="s">
        <v>5212</v>
      </c>
      <c r="H107" s="176"/>
      <c r="I107" s="176"/>
      <c r="J107" s="176" t="s">
        <v>21</v>
      </c>
      <c r="K107" s="176">
        <v>11000</v>
      </c>
      <c r="L107" s="173" t="s">
        <v>5276</v>
      </c>
      <c r="M107" s="173"/>
      <c r="N107" s="173"/>
      <c r="O107" s="173"/>
      <c r="P107" s="173" t="s">
        <v>5213</v>
      </c>
      <c r="Q107" s="174">
        <v>42746</v>
      </c>
      <c r="R107" s="173"/>
    </row>
    <row r="108" spans="1:18" x14ac:dyDescent="0.25">
      <c r="A108" s="173" t="s">
        <v>12</v>
      </c>
      <c r="B108" s="174">
        <v>42801</v>
      </c>
      <c r="C108" s="197" t="s">
        <v>5245</v>
      </c>
      <c r="D108" s="173" t="s">
        <v>5246</v>
      </c>
      <c r="E108" s="173" t="s">
        <v>4800</v>
      </c>
      <c r="F108" s="173" t="s">
        <v>906</v>
      </c>
      <c r="G108" s="173" t="s">
        <v>5247</v>
      </c>
      <c r="H108" s="173"/>
      <c r="I108" s="173"/>
      <c r="J108" s="176" t="s">
        <v>21</v>
      </c>
      <c r="K108" s="176">
        <v>650</v>
      </c>
      <c r="L108" s="173" t="s">
        <v>5276</v>
      </c>
      <c r="M108" s="173"/>
      <c r="N108" s="173"/>
      <c r="O108" s="173"/>
      <c r="P108" s="173" t="s">
        <v>5319</v>
      </c>
      <c r="Q108" s="174">
        <v>42834</v>
      </c>
      <c r="R108" s="173"/>
    </row>
    <row r="109" spans="1:18" x14ac:dyDescent="0.25">
      <c r="A109" s="173" t="s">
        <v>12</v>
      </c>
      <c r="B109" s="174">
        <v>42810</v>
      </c>
      <c r="C109" s="197" t="s">
        <v>5248</v>
      </c>
      <c r="D109" s="173" t="s">
        <v>5246</v>
      </c>
      <c r="E109" s="173" t="s">
        <v>4800</v>
      </c>
      <c r="F109" s="173" t="s">
        <v>5249</v>
      </c>
      <c r="G109" s="173" t="s">
        <v>5250</v>
      </c>
      <c r="H109" s="173"/>
      <c r="I109" s="173"/>
      <c r="J109" s="176" t="s">
        <v>21</v>
      </c>
      <c r="K109" s="176">
        <v>8000</v>
      </c>
      <c r="L109" s="173" t="s">
        <v>5276</v>
      </c>
      <c r="M109" s="173"/>
      <c r="N109" s="173"/>
      <c r="O109" s="173"/>
      <c r="P109" s="173" t="s">
        <v>5319</v>
      </c>
      <c r="Q109" s="174">
        <v>42834</v>
      </c>
      <c r="R109" s="173"/>
    </row>
    <row r="110" spans="1:18" x14ac:dyDescent="0.25">
      <c r="A110" s="173" t="s">
        <v>12</v>
      </c>
      <c r="B110" s="174">
        <v>42772</v>
      </c>
      <c r="C110" s="173">
        <v>2017100009</v>
      </c>
      <c r="D110" s="173" t="s">
        <v>5246</v>
      </c>
      <c r="E110" s="173" t="s">
        <v>4800</v>
      </c>
      <c r="F110" s="173" t="s">
        <v>355</v>
      </c>
      <c r="G110" s="173" t="s">
        <v>5251</v>
      </c>
      <c r="H110" s="176">
        <v>1322.31</v>
      </c>
      <c r="I110" s="176">
        <f>H110*0.21</f>
        <v>277.68509999999998</v>
      </c>
      <c r="J110" s="176"/>
      <c r="K110" s="176">
        <f>+H110+I110</f>
        <v>1599.9950999999999</v>
      </c>
      <c r="L110" s="173" t="s">
        <v>5276</v>
      </c>
      <c r="M110" s="173"/>
      <c r="N110" s="173"/>
      <c r="O110" s="173"/>
      <c r="P110" s="173" t="s">
        <v>5319</v>
      </c>
      <c r="Q110" s="174">
        <v>42834</v>
      </c>
      <c r="R110" s="173"/>
    </row>
    <row r="111" spans="1:18" x14ac:dyDescent="0.25">
      <c r="A111" s="173" t="s">
        <v>12</v>
      </c>
      <c r="B111" s="174">
        <v>42767</v>
      </c>
      <c r="C111" s="173">
        <v>15100161</v>
      </c>
      <c r="D111" s="173" t="s">
        <v>5143</v>
      </c>
      <c r="E111" s="173" t="s">
        <v>5144</v>
      </c>
      <c r="F111" s="173" t="s">
        <v>3967</v>
      </c>
      <c r="G111" s="173" t="s">
        <v>5252</v>
      </c>
      <c r="H111" s="173"/>
      <c r="I111" s="173"/>
      <c r="J111" s="173" t="s">
        <v>21</v>
      </c>
      <c r="K111" s="173">
        <v>5500</v>
      </c>
      <c r="L111" s="173" t="s">
        <v>5276</v>
      </c>
      <c r="M111" s="173"/>
      <c r="N111" s="173"/>
      <c r="O111" s="173"/>
      <c r="P111" s="173" t="s">
        <v>5319</v>
      </c>
      <c r="Q111" s="174">
        <v>42834</v>
      </c>
      <c r="R111" s="173"/>
    </row>
    <row r="112" spans="1:18" x14ac:dyDescent="0.25">
      <c r="A112" s="173" t="s">
        <v>12</v>
      </c>
      <c r="B112" s="174">
        <v>42787</v>
      </c>
      <c r="C112" s="197" t="s">
        <v>5256</v>
      </c>
      <c r="D112" s="173" t="s">
        <v>5246</v>
      </c>
      <c r="E112" s="173" t="s">
        <v>4800</v>
      </c>
      <c r="F112" s="173" t="s">
        <v>5271</v>
      </c>
      <c r="G112" s="173" t="s">
        <v>5257</v>
      </c>
      <c r="H112" s="173"/>
      <c r="I112" s="173"/>
      <c r="J112" s="176" t="s">
        <v>21</v>
      </c>
      <c r="K112" s="176">
        <v>1700</v>
      </c>
      <c r="L112" s="173" t="s">
        <v>5295</v>
      </c>
      <c r="M112" s="173" t="s">
        <v>5255</v>
      </c>
      <c r="N112" s="173"/>
      <c r="O112" s="173"/>
      <c r="P112" s="173" t="s">
        <v>5319</v>
      </c>
      <c r="Q112" s="174">
        <v>42834</v>
      </c>
      <c r="R112" s="173"/>
    </row>
    <row r="113" spans="1:18" x14ac:dyDescent="0.25">
      <c r="A113" s="173" t="s">
        <v>12</v>
      </c>
      <c r="B113" s="174">
        <v>42789</v>
      </c>
      <c r="C113" s="173">
        <v>2017100010</v>
      </c>
      <c r="D113" s="173" t="s">
        <v>5246</v>
      </c>
      <c r="E113" s="173" t="s">
        <v>4800</v>
      </c>
      <c r="F113" s="173" t="s">
        <v>49</v>
      </c>
      <c r="G113" s="173" t="s">
        <v>5258</v>
      </c>
      <c r="H113" s="176">
        <v>413.22</v>
      </c>
      <c r="I113" s="176">
        <f>H113*0.21</f>
        <v>86.776200000000003</v>
      </c>
      <c r="J113" s="176"/>
      <c r="K113" s="176">
        <f>+H113+I113</f>
        <v>499.99620000000004</v>
      </c>
      <c r="L113" s="173" t="s">
        <v>5276</v>
      </c>
      <c r="M113" s="173" t="s">
        <v>5259</v>
      </c>
      <c r="N113" s="173"/>
      <c r="O113" s="173"/>
      <c r="P113" s="173" t="s">
        <v>5319</v>
      </c>
      <c r="Q113" s="174">
        <v>42834</v>
      </c>
      <c r="R113" s="173"/>
    </row>
    <row r="114" spans="1:18" x14ac:dyDescent="0.25">
      <c r="A114" s="173" t="s">
        <v>12</v>
      </c>
      <c r="B114" s="174">
        <v>42790</v>
      </c>
      <c r="C114" s="173">
        <v>2017100011</v>
      </c>
      <c r="D114" s="173" t="s">
        <v>5246</v>
      </c>
      <c r="E114" s="173" t="s">
        <v>4800</v>
      </c>
      <c r="F114" s="173" t="s">
        <v>346</v>
      </c>
      <c r="G114" s="173" t="s">
        <v>5260</v>
      </c>
      <c r="H114" s="173">
        <v>661.16</v>
      </c>
      <c r="I114" s="176">
        <f>H114*0.21</f>
        <v>138.84359999999998</v>
      </c>
      <c r="J114" s="176"/>
      <c r="K114" s="176">
        <f>+H114+I114</f>
        <v>800.00360000000001</v>
      </c>
      <c r="L114" s="173" t="s">
        <v>5276</v>
      </c>
      <c r="M114" s="173" t="s">
        <v>5261</v>
      </c>
      <c r="N114" s="173"/>
      <c r="O114" s="173"/>
      <c r="P114" s="173" t="s">
        <v>5319</v>
      </c>
      <c r="Q114" s="174">
        <v>42834</v>
      </c>
      <c r="R114" s="173"/>
    </row>
    <row r="115" spans="1:18" x14ac:dyDescent="0.25">
      <c r="A115" s="173" t="s">
        <v>12</v>
      </c>
      <c r="B115" s="174">
        <v>42815</v>
      </c>
      <c r="C115" s="173" t="s">
        <v>5262</v>
      </c>
      <c r="D115" s="173" t="s">
        <v>5246</v>
      </c>
      <c r="E115" s="173" t="s">
        <v>4800</v>
      </c>
      <c r="F115" s="173" t="s">
        <v>362</v>
      </c>
      <c r="G115" s="173" t="s">
        <v>5263</v>
      </c>
      <c r="H115" s="173"/>
      <c r="I115" s="173"/>
      <c r="J115" s="176" t="s">
        <v>21</v>
      </c>
      <c r="K115" s="176">
        <v>1200</v>
      </c>
      <c r="L115" s="173" t="s">
        <v>5276</v>
      </c>
      <c r="M115" s="173" t="s">
        <v>5264</v>
      </c>
      <c r="N115" s="173"/>
      <c r="O115" s="173"/>
      <c r="P115" s="173" t="s">
        <v>5319</v>
      </c>
      <c r="Q115" s="174">
        <v>42834</v>
      </c>
      <c r="R115" s="173"/>
    </row>
    <row r="116" spans="1:18" x14ac:dyDescent="0.25">
      <c r="A116" s="173" t="s">
        <v>12</v>
      </c>
      <c r="B116" s="174">
        <v>42815</v>
      </c>
      <c r="C116" s="173" t="s">
        <v>5265</v>
      </c>
      <c r="D116" s="173" t="s">
        <v>5246</v>
      </c>
      <c r="E116" s="173" t="s">
        <v>4800</v>
      </c>
      <c r="F116" s="173" t="s">
        <v>3679</v>
      </c>
      <c r="G116" s="173" t="s">
        <v>5266</v>
      </c>
      <c r="H116" s="173"/>
      <c r="I116" s="173"/>
      <c r="J116" s="176" t="s">
        <v>21</v>
      </c>
      <c r="K116" s="176">
        <v>4400</v>
      </c>
      <c r="L116" s="173" t="s">
        <v>5276</v>
      </c>
      <c r="M116" s="173" t="s">
        <v>5320</v>
      </c>
      <c r="N116" s="173"/>
      <c r="O116" s="173"/>
      <c r="P116" s="173" t="s">
        <v>5319</v>
      </c>
      <c r="Q116" s="174">
        <v>42834</v>
      </c>
      <c r="R116" s="173"/>
    </row>
    <row r="117" spans="1:18" x14ac:dyDescent="0.25">
      <c r="A117" s="173" t="s">
        <v>12</v>
      </c>
      <c r="B117" s="174">
        <v>42815</v>
      </c>
      <c r="C117" s="173" t="s">
        <v>5267</v>
      </c>
      <c r="D117" s="173" t="s">
        <v>5246</v>
      </c>
      <c r="E117" s="173" t="s">
        <v>4800</v>
      </c>
      <c r="F117" s="173" t="s">
        <v>4820</v>
      </c>
      <c r="G117" s="206" t="s">
        <v>5321</v>
      </c>
      <c r="H117" s="173"/>
      <c r="I117" s="173"/>
      <c r="J117" s="176" t="s">
        <v>21</v>
      </c>
      <c r="K117" s="176">
        <v>800</v>
      </c>
      <c r="L117" s="173" t="s">
        <v>5276</v>
      </c>
      <c r="M117" s="173" t="s">
        <v>5322</v>
      </c>
      <c r="N117" s="173"/>
      <c r="O117" s="173"/>
      <c r="P117" s="173" t="s">
        <v>5319</v>
      </c>
      <c r="Q117" s="174">
        <v>42834</v>
      </c>
      <c r="R117" s="173"/>
    </row>
    <row r="118" spans="1:18" x14ac:dyDescent="0.25">
      <c r="A118" s="173" t="s">
        <v>408</v>
      </c>
      <c r="B118" s="174">
        <v>42777</v>
      </c>
      <c r="C118" s="173" t="s">
        <v>5268</v>
      </c>
      <c r="D118" s="173" t="s">
        <v>5269</v>
      </c>
      <c r="E118" s="173" t="s">
        <v>5270</v>
      </c>
      <c r="F118" s="173" t="s">
        <v>5271</v>
      </c>
      <c r="G118" s="173" t="s">
        <v>5272</v>
      </c>
      <c r="H118" s="173"/>
      <c r="I118" s="173"/>
      <c r="J118" s="176" t="s">
        <v>21</v>
      </c>
      <c r="K118" s="176">
        <v>8200</v>
      </c>
      <c r="L118" s="205" t="s">
        <v>5329</v>
      </c>
      <c r="M118" s="173" t="s">
        <v>5555</v>
      </c>
      <c r="N118" s="173"/>
      <c r="O118" s="173"/>
      <c r="P118" s="173" t="s">
        <v>5319</v>
      </c>
      <c r="Q118" s="174">
        <v>42834</v>
      </c>
      <c r="R118" s="173" t="s">
        <v>3791</v>
      </c>
    </row>
    <row r="119" spans="1:18" x14ac:dyDescent="0.25">
      <c r="A119" s="173" t="s">
        <v>408</v>
      </c>
      <c r="B119" s="174">
        <v>42818</v>
      </c>
      <c r="C119" s="173" t="s">
        <v>5273</v>
      </c>
      <c r="D119" s="173" t="s">
        <v>5274</v>
      </c>
      <c r="E119" s="173" t="s">
        <v>5275</v>
      </c>
      <c r="F119" s="173" t="s">
        <v>49</v>
      </c>
      <c r="G119" s="173" t="s">
        <v>5258</v>
      </c>
      <c r="H119" s="176">
        <f>1000/1.21</f>
        <v>826.44628099173553</v>
      </c>
      <c r="I119" s="176">
        <f>H119*0.21</f>
        <v>173.55371900826447</v>
      </c>
      <c r="J119" s="176"/>
      <c r="K119" s="176">
        <f>+H119+I119</f>
        <v>1000</v>
      </c>
      <c r="L119" s="173" t="s">
        <v>5277</v>
      </c>
      <c r="M119" s="173"/>
      <c r="N119" s="173"/>
      <c r="O119" s="173"/>
      <c r="P119" s="173" t="s">
        <v>5319</v>
      </c>
      <c r="Q119" s="174">
        <v>42834</v>
      </c>
      <c r="R119" s="173"/>
    </row>
    <row r="120" spans="1:18" x14ac:dyDescent="0.25">
      <c r="A120" s="173" t="s">
        <v>408</v>
      </c>
      <c r="B120" s="174">
        <v>42824</v>
      </c>
      <c r="C120" s="173" t="s">
        <v>5278</v>
      </c>
      <c r="D120" s="173" t="s">
        <v>5279</v>
      </c>
      <c r="E120" s="173" t="s">
        <v>5280</v>
      </c>
      <c r="F120" s="173" t="s">
        <v>5117</v>
      </c>
      <c r="G120" s="173" t="s">
        <v>5118</v>
      </c>
      <c r="H120" s="176"/>
      <c r="I120" s="176"/>
      <c r="J120" s="176" t="s">
        <v>21</v>
      </c>
      <c r="K120" s="176">
        <v>2600</v>
      </c>
      <c r="L120" s="173" t="s">
        <v>5281</v>
      </c>
      <c r="M120" s="173" t="s">
        <v>5550</v>
      </c>
      <c r="N120" s="173"/>
      <c r="O120" s="173"/>
      <c r="P120" s="173" t="s">
        <v>5319</v>
      </c>
      <c r="Q120" s="174">
        <v>42834</v>
      </c>
      <c r="R120" s="173" t="s">
        <v>3186</v>
      </c>
    </row>
    <row r="121" spans="1:18" x14ac:dyDescent="0.25">
      <c r="A121" s="173" t="s">
        <v>408</v>
      </c>
      <c r="B121" s="174">
        <v>42824</v>
      </c>
      <c r="C121" s="173" t="s">
        <v>5282</v>
      </c>
      <c r="D121" s="173" t="s">
        <v>5283</v>
      </c>
      <c r="E121" s="173" t="s">
        <v>5284</v>
      </c>
      <c r="F121" s="173" t="s">
        <v>5112</v>
      </c>
      <c r="G121" s="173" t="s">
        <v>5123</v>
      </c>
      <c r="H121" s="176"/>
      <c r="I121" s="176"/>
      <c r="J121" s="176" t="s">
        <v>21</v>
      </c>
      <c r="K121" s="176">
        <v>6000</v>
      </c>
      <c r="L121" s="173" t="s">
        <v>5285</v>
      </c>
      <c r="M121" s="173" t="s">
        <v>5566</v>
      </c>
      <c r="N121" s="173"/>
      <c r="O121" s="173"/>
      <c r="P121" s="173" t="s">
        <v>5319</v>
      </c>
      <c r="Q121" s="174">
        <v>42834</v>
      </c>
      <c r="R121" s="173" t="s">
        <v>3186</v>
      </c>
    </row>
    <row r="122" spans="1:18" x14ac:dyDescent="0.25">
      <c r="A122" s="173" t="s">
        <v>408</v>
      </c>
      <c r="B122" s="174">
        <v>42821</v>
      </c>
      <c r="C122" s="173" t="s">
        <v>5286</v>
      </c>
      <c r="D122" s="173" t="s">
        <v>5287</v>
      </c>
      <c r="E122" s="173" t="s">
        <v>5288</v>
      </c>
      <c r="F122" s="173" t="s">
        <v>3156</v>
      </c>
      <c r="G122" s="173" t="s">
        <v>5023</v>
      </c>
      <c r="H122" s="176"/>
      <c r="I122" s="176"/>
      <c r="J122" s="176" t="s">
        <v>21</v>
      </c>
      <c r="K122" s="176">
        <v>3000</v>
      </c>
      <c r="L122" s="173" t="s">
        <v>5135</v>
      </c>
      <c r="M122" s="173" t="s">
        <v>5558</v>
      </c>
      <c r="N122" s="173"/>
      <c r="O122" s="173"/>
      <c r="P122" s="173" t="s">
        <v>5319</v>
      </c>
      <c r="Q122" s="174">
        <v>42834</v>
      </c>
      <c r="R122" s="173" t="s">
        <v>3186</v>
      </c>
    </row>
    <row r="123" spans="1:18" x14ac:dyDescent="0.25">
      <c r="A123" s="173" t="s">
        <v>408</v>
      </c>
      <c r="B123" s="174">
        <v>42824</v>
      </c>
      <c r="C123" s="173" t="s">
        <v>5289</v>
      </c>
      <c r="D123" s="173" t="s">
        <v>5290</v>
      </c>
      <c r="E123" s="173" t="s">
        <v>5291</v>
      </c>
      <c r="F123" s="173" t="s">
        <v>355</v>
      </c>
      <c r="G123" s="173" t="s">
        <v>5251</v>
      </c>
      <c r="H123" s="176">
        <f>2000/1.21</f>
        <v>1652.8925619834711</v>
      </c>
      <c r="I123" s="176">
        <f>H123*0.21</f>
        <v>347.10743801652893</v>
      </c>
      <c r="J123" s="176"/>
      <c r="K123" s="176">
        <f>+H123+I123</f>
        <v>2000</v>
      </c>
      <c r="L123" s="173" t="s">
        <v>5292</v>
      </c>
      <c r="M123" s="173" t="s">
        <v>5545</v>
      </c>
      <c r="N123" s="173"/>
      <c r="O123" s="173"/>
      <c r="P123" s="173" t="s">
        <v>5319</v>
      </c>
      <c r="Q123" s="174">
        <v>42834</v>
      </c>
      <c r="R123" s="173" t="s">
        <v>3186</v>
      </c>
    </row>
    <row r="124" spans="1:18" x14ac:dyDescent="0.25">
      <c r="A124" s="173" t="s">
        <v>408</v>
      </c>
      <c r="B124" s="174">
        <v>42807</v>
      </c>
      <c r="C124" s="173" t="s">
        <v>5293</v>
      </c>
      <c r="D124" s="173" t="s">
        <v>5290</v>
      </c>
      <c r="E124" s="173" t="s">
        <v>5291</v>
      </c>
      <c r="F124" s="173" t="s">
        <v>5271</v>
      </c>
      <c r="G124" s="173" t="s">
        <v>5257</v>
      </c>
      <c r="H124" s="173"/>
      <c r="I124" s="173"/>
      <c r="J124" s="176" t="s">
        <v>21</v>
      </c>
      <c r="K124" s="176">
        <v>2200</v>
      </c>
      <c r="L124" s="173" t="s">
        <v>5294</v>
      </c>
      <c r="M124" s="173" t="s">
        <v>5546</v>
      </c>
      <c r="N124" s="173"/>
      <c r="O124" s="173"/>
      <c r="P124" s="173" t="s">
        <v>5319</v>
      </c>
      <c r="Q124" s="174">
        <v>42834</v>
      </c>
      <c r="R124" s="173" t="s">
        <v>3186</v>
      </c>
    </row>
    <row r="125" spans="1:18" x14ac:dyDescent="0.25">
      <c r="A125" s="173" t="s">
        <v>408</v>
      </c>
      <c r="B125" s="174">
        <v>42796</v>
      </c>
      <c r="C125" s="173" t="s">
        <v>5296</v>
      </c>
      <c r="D125" s="173" t="s">
        <v>5297</v>
      </c>
      <c r="E125" s="173" t="s">
        <v>5298</v>
      </c>
      <c r="F125" s="173" t="s">
        <v>3335</v>
      </c>
      <c r="G125" s="173" t="s">
        <v>5140</v>
      </c>
      <c r="H125" s="173"/>
      <c r="I125" s="173"/>
      <c r="J125" s="173" t="s">
        <v>21</v>
      </c>
      <c r="K125" s="173">
        <v>3500</v>
      </c>
      <c r="L125" s="173" t="s">
        <v>5299</v>
      </c>
      <c r="M125" s="173" t="s">
        <v>5557</v>
      </c>
      <c r="N125" s="173"/>
      <c r="O125" s="173"/>
      <c r="P125" s="173" t="s">
        <v>5319</v>
      </c>
      <c r="Q125" s="174">
        <v>42834</v>
      </c>
      <c r="R125" s="173" t="s">
        <v>3186</v>
      </c>
    </row>
    <row r="126" spans="1:18" x14ac:dyDescent="0.25">
      <c r="A126" s="173" t="s">
        <v>408</v>
      </c>
      <c r="B126" s="174">
        <v>42737</v>
      </c>
      <c r="C126" s="173" t="s">
        <v>5300</v>
      </c>
      <c r="D126" s="173" t="s">
        <v>5301</v>
      </c>
      <c r="E126" s="173" t="s">
        <v>5302</v>
      </c>
      <c r="F126" s="173" t="s">
        <v>5115</v>
      </c>
      <c r="G126" s="173" t="s">
        <v>5116</v>
      </c>
      <c r="H126" s="176"/>
      <c r="I126" s="176"/>
      <c r="J126" s="176" t="s">
        <v>21</v>
      </c>
      <c r="K126" s="176">
        <v>4000</v>
      </c>
      <c r="L126" s="173" t="s">
        <v>5303</v>
      </c>
      <c r="M126" s="173" t="s">
        <v>5559</v>
      </c>
      <c r="N126" s="173"/>
      <c r="O126" s="173"/>
      <c r="P126" s="173" t="s">
        <v>5319</v>
      </c>
      <c r="Q126" s="174">
        <v>42834</v>
      </c>
      <c r="R126" s="173" t="s">
        <v>3791</v>
      </c>
    </row>
    <row r="127" spans="1:18" x14ac:dyDescent="0.25">
      <c r="A127" s="173" t="s">
        <v>408</v>
      </c>
      <c r="B127" s="174">
        <v>42812</v>
      </c>
      <c r="C127" s="173" t="s">
        <v>5304</v>
      </c>
      <c r="D127" s="173" t="s">
        <v>5305</v>
      </c>
      <c r="E127" s="173" t="s">
        <v>5306</v>
      </c>
      <c r="F127" s="173" t="s">
        <v>4120</v>
      </c>
      <c r="G127" s="173" t="s">
        <v>5324</v>
      </c>
      <c r="H127" s="173"/>
      <c r="I127" s="173"/>
      <c r="J127" s="176" t="s">
        <v>21</v>
      </c>
      <c r="K127" s="176">
        <v>3900</v>
      </c>
      <c r="L127" s="173" t="s">
        <v>5326</v>
      </c>
      <c r="M127" s="173" t="s">
        <v>5560</v>
      </c>
      <c r="N127" s="173"/>
      <c r="O127" s="173"/>
      <c r="P127" s="173" t="s">
        <v>5319</v>
      </c>
      <c r="Q127" s="174">
        <v>42834</v>
      </c>
      <c r="R127" s="173" t="s">
        <v>3186</v>
      </c>
    </row>
    <row r="128" spans="1:18" x14ac:dyDescent="0.25">
      <c r="A128" s="173" t="s">
        <v>408</v>
      </c>
      <c r="B128" s="174">
        <v>42801</v>
      </c>
      <c r="C128" s="173" t="s">
        <v>5307</v>
      </c>
      <c r="D128" s="173" t="s">
        <v>5308</v>
      </c>
      <c r="E128" s="173" t="s">
        <v>5323</v>
      </c>
      <c r="F128" s="173" t="s">
        <v>2681</v>
      </c>
      <c r="G128" s="173" t="s">
        <v>5137</v>
      </c>
      <c r="H128" s="176"/>
      <c r="I128" s="176"/>
      <c r="J128" s="176" t="s">
        <v>21</v>
      </c>
      <c r="K128" s="176">
        <v>2550</v>
      </c>
      <c r="L128" s="173" t="s">
        <v>5309</v>
      </c>
      <c r="M128" s="173" t="s">
        <v>5549</v>
      </c>
      <c r="N128" s="173"/>
      <c r="O128" s="173"/>
      <c r="P128" s="173" t="s">
        <v>5319</v>
      </c>
      <c r="Q128" s="174">
        <v>42834</v>
      </c>
      <c r="R128" s="173" t="s">
        <v>3186</v>
      </c>
    </row>
    <row r="129" spans="1:18" x14ac:dyDescent="0.25">
      <c r="A129" s="173" t="s">
        <v>408</v>
      </c>
      <c r="B129" s="174">
        <v>42755</v>
      </c>
      <c r="C129" s="173" t="s">
        <v>5310</v>
      </c>
      <c r="D129" s="173" t="s">
        <v>2931</v>
      </c>
      <c r="E129" s="173" t="s">
        <v>2352</v>
      </c>
      <c r="F129" s="173" t="s">
        <v>5193</v>
      </c>
      <c r="G129" s="173" t="s">
        <v>5194</v>
      </c>
      <c r="H129" s="176"/>
      <c r="I129" s="176"/>
      <c r="J129" s="176" t="s">
        <v>21</v>
      </c>
      <c r="K129" s="176">
        <v>12000</v>
      </c>
      <c r="L129" s="173" t="s">
        <v>5311</v>
      </c>
      <c r="M129" s="173" t="s">
        <v>5573</v>
      </c>
      <c r="N129" s="173"/>
      <c r="O129" s="173"/>
      <c r="P129" s="173" t="s">
        <v>5319</v>
      </c>
      <c r="Q129" s="174">
        <v>42834</v>
      </c>
      <c r="R129" s="173" t="s">
        <v>3791</v>
      </c>
    </row>
    <row r="130" spans="1:18" x14ac:dyDescent="0.25">
      <c r="A130" s="173" t="s">
        <v>12</v>
      </c>
      <c r="B130" s="174">
        <v>42641</v>
      </c>
      <c r="C130" s="173" t="s">
        <v>944</v>
      </c>
      <c r="D130" s="173" t="s">
        <v>5312</v>
      </c>
      <c r="E130" s="173" t="s">
        <v>5313</v>
      </c>
      <c r="F130" s="173" t="s">
        <v>706</v>
      </c>
      <c r="G130" s="173" t="s">
        <v>5314</v>
      </c>
      <c r="H130" s="173"/>
      <c r="I130" s="173"/>
      <c r="J130" s="176" t="s">
        <v>21</v>
      </c>
      <c r="K130" s="176">
        <v>1300</v>
      </c>
      <c r="L130" s="173" t="s">
        <v>5276</v>
      </c>
      <c r="M130" s="173"/>
      <c r="N130" s="173"/>
      <c r="O130" s="173"/>
      <c r="P130" s="173" t="s">
        <v>5319</v>
      </c>
      <c r="Q130" s="174">
        <v>42834</v>
      </c>
      <c r="R130" s="173"/>
    </row>
    <row r="131" spans="1:18" x14ac:dyDescent="0.25">
      <c r="A131" s="173" t="s">
        <v>408</v>
      </c>
      <c r="B131" s="174">
        <v>42786</v>
      </c>
      <c r="C131" s="173" t="s">
        <v>5315</v>
      </c>
      <c r="D131" s="173" t="s">
        <v>5316</v>
      </c>
      <c r="E131" s="173" t="s">
        <v>5317</v>
      </c>
      <c r="F131" s="173" t="s">
        <v>706</v>
      </c>
      <c r="G131" s="173" t="s">
        <v>5314</v>
      </c>
      <c r="H131" s="173"/>
      <c r="I131" s="173"/>
      <c r="J131" s="176" t="s">
        <v>21</v>
      </c>
      <c r="K131" s="176">
        <v>2300</v>
      </c>
      <c r="L131" s="173" t="s">
        <v>5318</v>
      </c>
      <c r="M131" s="173"/>
      <c r="N131" s="173"/>
      <c r="O131" s="173"/>
      <c r="P131" s="173" t="s">
        <v>5319</v>
      </c>
      <c r="Q131" s="174">
        <v>42834</v>
      </c>
      <c r="R131" s="173"/>
    </row>
    <row r="132" spans="1:18" x14ac:dyDescent="0.25">
      <c r="A132" s="173" t="s">
        <v>12</v>
      </c>
      <c r="B132" s="174">
        <v>42794</v>
      </c>
      <c r="C132" s="173" t="s">
        <v>5325</v>
      </c>
      <c r="D132" s="173" t="s">
        <v>4583</v>
      </c>
      <c r="E132" s="173" t="s">
        <v>4797</v>
      </c>
      <c r="F132" s="173" t="s">
        <v>4120</v>
      </c>
      <c r="G132" s="173" t="s">
        <v>5324</v>
      </c>
      <c r="H132" s="173"/>
      <c r="I132" s="173"/>
      <c r="J132" s="176" t="s">
        <v>21</v>
      </c>
      <c r="K132" s="176">
        <v>2500</v>
      </c>
      <c r="L132" s="173" t="s">
        <v>5276</v>
      </c>
      <c r="M132" s="173"/>
      <c r="N132" s="173"/>
      <c r="O132" s="173"/>
      <c r="P132" s="173" t="s">
        <v>5319</v>
      </c>
      <c r="Q132" s="174">
        <v>42835</v>
      </c>
      <c r="R132" s="173"/>
    </row>
    <row r="133" spans="1:18" x14ac:dyDescent="0.25">
      <c r="A133" s="173" t="s">
        <v>12</v>
      </c>
      <c r="B133" s="174">
        <v>42739</v>
      </c>
      <c r="C133" s="173" t="s">
        <v>944</v>
      </c>
      <c r="D133" s="173" t="s">
        <v>5327</v>
      </c>
      <c r="E133" s="173" t="s">
        <v>5328</v>
      </c>
      <c r="F133" s="173" t="s">
        <v>5271</v>
      </c>
      <c r="G133" s="173" t="s">
        <v>5272</v>
      </c>
      <c r="H133" s="173"/>
      <c r="I133" s="173"/>
      <c r="J133" s="176" t="s">
        <v>21</v>
      </c>
      <c r="K133" s="176">
        <v>7700</v>
      </c>
      <c r="L133" s="173" t="s">
        <v>5276</v>
      </c>
      <c r="M133" s="173"/>
      <c r="N133" s="173"/>
      <c r="O133" s="173"/>
      <c r="P133" s="173" t="s">
        <v>5319</v>
      </c>
      <c r="Q133" s="174">
        <v>42835</v>
      </c>
      <c r="R133" s="173"/>
    </row>
    <row r="134" spans="1:18" x14ac:dyDescent="0.25">
      <c r="A134" s="173" t="s">
        <v>408</v>
      </c>
      <c r="B134" s="174">
        <v>42795</v>
      </c>
      <c r="C134" s="173" t="s">
        <v>699</v>
      </c>
      <c r="D134" s="173" t="s">
        <v>5330</v>
      </c>
      <c r="E134" s="173" t="s">
        <v>5331</v>
      </c>
      <c r="F134" s="173" t="s">
        <v>5004</v>
      </c>
      <c r="G134" s="173" t="s">
        <v>5332</v>
      </c>
      <c r="H134" s="173"/>
      <c r="I134" s="173"/>
      <c r="J134" s="176" t="s">
        <v>21</v>
      </c>
      <c r="K134" s="176">
        <v>1500</v>
      </c>
      <c r="L134" s="173" t="s">
        <v>5383</v>
      </c>
      <c r="M134" s="173"/>
      <c r="N134" s="173"/>
      <c r="O134" s="173"/>
      <c r="P134" s="173" t="s">
        <v>5387</v>
      </c>
      <c r="Q134" s="174">
        <v>42923</v>
      </c>
      <c r="R134" s="173"/>
    </row>
    <row r="135" spans="1:18" x14ac:dyDescent="0.25">
      <c r="A135" s="173" t="s">
        <v>408</v>
      </c>
      <c r="B135" s="174">
        <v>42800</v>
      </c>
      <c r="C135" s="173" t="s">
        <v>735</v>
      </c>
      <c r="D135" s="173" t="s">
        <v>2931</v>
      </c>
      <c r="E135" s="173" t="s">
        <v>2352</v>
      </c>
      <c r="F135" s="173" t="s">
        <v>711</v>
      </c>
      <c r="G135" s="173" t="s">
        <v>5333</v>
      </c>
      <c r="H135" s="173"/>
      <c r="I135" s="173"/>
      <c r="J135" s="176" t="s">
        <v>21</v>
      </c>
      <c r="K135" s="176">
        <v>2400</v>
      </c>
      <c r="L135" s="173" t="s">
        <v>5386</v>
      </c>
      <c r="M135" s="173" t="s">
        <v>5544</v>
      </c>
      <c r="N135" s="173"/>
      <c r="O135" s="173"/>
      <c r="P135" s="173" t="s">
        <v>5387</v>
      </c>
      <c r="Q135" s="174">
        <v>42923</v>
      </c>
      <c r="R135" s="173" t="s">
        <v>3186</v>
      </c>
    </row>
    <row r="136" spans="1:18" x14ac:dyDescent="0.25">
      <c r="A136" s="173" t="s">
        <v>12</v>
      </c>
      <c r="B136" s="174">
        <v>42846</v>
      </c>
      <c r="C136" s="173" t="s">
        <v>5335</v>
      </c>
      <c r="D136" s="173" t="s">
        <v>5246</v>
      </c>
      <c r="E136" s="173" t="s">
        <v>4800</v>
      </c>
      <c r="F136" s="173" t="s">
        <v>5336</v>
      </c>
      <c r="G136" s="173" t="s">
        <v>5337</v>
      </c>
      <c r="H136" s="173"/>
      <c r="I136" s="173"/>
      <c r="J136" s="176" t="s">
        <v>21</v>
      </c>
      <c r="K136" s="176">
        <v>16500</v>
      </c>
      <c r="L136" s="173" t="s">
        <v>5276</v>
      </c>
      <c r="M136" s="173"/>
      <c r="N136" s="173"/>
      <c r="O136" s="173"/>
      <c r="P136" s="173" t="s">
        <v>5387</v>
      </c>
      <c r="Q136" s="174">
        <v>42923</v>
      </c>
      <c r="R136" s="173"/>
    </row>
    <row r="137" spans="1:18" x14ac:dyDescent="0.25">
      <c r="A137" s="173" t="s">
        <v>12</v>
      </c>
      <c r="B137" s="174">
        <v>42906</v>
      </c>
      <c r="C137" s="173" t="s">
        <v>5338</v>
      </c>
      <c r="D137" s="173" t="s">
        <v>5246</v>
      </c>
      <c r="E137" s="173" t="s">
        <v>4800</v>
      </c>
      <c r="F137" s="173" t="s">
        <v>5339</v>
      </c>
      <c r="G137" s="173" t="s">
        <v>5340</v>
      </c>
      <c r="H137" s="173"/>
      <c r="I137" s="173"/>
      <c r="J137" s="176" t="s">
        <v>21</v>
      </c>
      <c r="K137" s="176">
        <v>1000</v>
      </c>
      <c r="L137" s="173" t="s">
        <v>5276</v>
      </c>
      <c r="M137" s="173"/>
      <c r="N137" s="173"/>
      <c r="O137" s="173"/>
      <c r="P137" s="173" t="s">
        <v>5387</v>
      </c>
      <c r="Q137" s="174">
        <v>42923</v>
      </c>
      <c r="R137" s="173"/>
    </row>
    <row r="138" spans="1:18" x14ac:dyDescent="0.25">
      <c r="A138" s="173" t="s">
        <v>12</v>
      </c>
      <c r="B138" s="174">
        <v>42846</v>
      </c>
      <c r="C138" s="173">
        <v>2017100015</v>
      </c>
      <c r="D138" s="173" t="s">
        <v>5246</v>
      </c>
      <c r="E138" s="173" t="s">
        <v>4800</v>
      </c>
      <c r="F138" s="173" t="s">
        <v>5341</v>
      </c>
      <c r="G138" s="173" t="s">
        <v>5342</v>
      </c>
      <c r="H138" s="173">
        <v>1157.02</v>
      </c>
      <c r="I138" s="176">
        <f>H138*0.21</f>
        <v>242.9742</v>
      </c>
      <c r="J138" s="176"/>
      <c r="K138" s="176">
        <f>+H138+I138+0.01</f>
        <v>1400.0042000000001</v>
      </c>
      <c r="L138" s="173" t="s">
        <v>5276</v>
      </c>
      <c r="M138" s="173"/>
      <c r="N138" s="173"/>
      <c r="O138" s="173"/>
      <c r="P138" s="173" t="s">
        <v>5387</v>
      </c>
      <c r="Q138" s="174">
        <v>42923</v>
      </c>
      <c r="R138" s="173"/>
    </row>
    <row r="139" spans="1:18" x14ac:dyDescent="0.25">
      <c r="A139" s="173" t="s">
        <v>12</v>
      </c>
      <c r="B139" s="174">
        <v>42861</v>
      </c>
      <c r="C139" s="197" t="s">
        <v>5343</v>
      </c>
      <c r="D139" s="173" t="s">
        <v>4583</v>
      </c>
      <c r="E139" s="173" t="s">
        <v>4797</v>
      </c>
      <c r="F139" s="173" t="s">
        <v>4232</v>
      </c>
      <c r="G139" s="173" t="s">
        <v>5344</v>
      </c>
      <c r="H139" s="173"/>
      <c r="I139" s="173"/>
      <c r="J139" s="176" t="s">
        <v>21</v>
      </c>
      <c r="K139" s="176">
        <v>2900</v>
      </c>
      <c r="L139" s="173" t="s">
        <v>5276</v>
      </c>
      <c r="M139" s="173"/>
      <c r="N139" s="173"/>
      <c r="O139" s="173"/>
      <c r="P139" s="173" t="s">
        <v>5387</v>
      </c>
      <c r="Q139" s="174">
        <v>42923</v>
      </c>
      <c r="R139" s="173"/>
    </row>
    <row r="140" spans="1:18" x14ac:dyDescent="0.25">
      <c r="A140" s="173" t="s">
        <v>12</v>
      </c>
      <c r="B140" s="174">
        <v>42854</v>
      </c>
      <c r="C140" s="197" t="s">
        <v>5345</v>
      </c>
      <c r="D140" s="173" t="s">
        <v>4583</v>
      </c>
      <c r="E140" s="173" t="s">
        <v>4797</v>
      </c>
      <c r="F140" s="173" t="s">
        <v>5346</v>
      </c>
      <c r="G140" s="173" t="s">
        <v>5347</v>
      </c>
      <c r="H140" s="173"/>
      <c r="I140" s="173"/>
      <c r="J140" s="176" t="s">
        <v>21</v>
      </c>
      <c r="K140" s="176">
        <v>8500</v>
      </c>
      <c r="L140" s="173" t="s">
        <v>5276</v>
      </c>
      <c r="M140" s="173"/>
      <c r="N140" s="173"/>
      <c r="O140" s="173"/>
      <c r="P140" s="173" t="s">
        <v>5387</v>
      </c>
      <c r="Q140" s="174">
        <v>42923</v>
      </c>
      <c r="R140" s="173"/>
    </row>
    <row r="141" spans="1:18" x14ac:dyDescent="0.25">
      <c r="A141" s="173" t="s">
        <v>408</v>
      </c>
      <c r="B141" s="174">
        <v>42916</v>
      </c>
      <c r="C141" s="173" t="s">
        <v>5062</v>
      </c>
      <c r="D141" s="173" t="s">
        <v>5348</v>
      </c>
      <c r="E141" s="173" t="s">
        <v>5349</v>
      </c>
      <c r="F141" s="173" t="s">
        <v>5336</v>
      </c>
      <c r="G141" s="173" t="s">
        <v>5337</v>
      </c>
      <c r="H141" s="173"/>
      <c r="I141" s="173"/>
      <c r="J141" s="176" t="s">
        <v>21</v>
      </c>
      <c r="K141" s="176">
        <v>17000</v>
      </c>
      <c r="L141" s="173" t="s">
        <v>5350</v>
      </c>
      <c r="M141" s="173" t="s">
        <v>5567</v>
      </c>
      <c r="N141" s="173"/>
      <c r="O141" s="173"/>
      <c r="P141" s="173" t="s">
        <v>5387</v>
      </c>
      <c r="Q141" s="174">
        <v>42923</v>
      </c>
      <c r="R141" s="173" t="s">
        <v>3791</v>
      </c>
    </row>
    <row r="142" spans="1:18" x14ac:dyDescent="0.25">
      <c r="A142" s="173" t="s">
        <v>408</v>
      </c>
      <c r="B142" s="174">
        <v>42859</v>
      </c>
      <c r="C142" s="173" t="s">
        <v>5351</v>
      </c>
      <c r="D142" s="173" t="s">
        <v>5352</v>
      </c>
      <c r="E142" s="173" t="s">
        <v>5353</v>
      </c>
      <c r="F142" s="173" t="s">
        <v>4820</v>
      </c>
      <c r="G142" s="173" t="s">
        <v>5321</v>
      </c>
      <c r="H142" s="173"/>
      <c r="I142" s="173"/>
      <c r="J142" s="173" t="s">
        <v>21</v>
      </c>
      <c r="K142" s="173">
        <v>1200</v>
      </c>
      <c r="L142" s="173" t="s">
        <v>5354</v>
      </c>
      <c r="M142" s="173"/>
      <c r="N142" s="173"/>
      <c r="O142" s="173"/>
      <c r="P142" s="173" t="s">
        <v>5387</v>
      </c>
      <c r="Q142" s="174">
        <v>42923</v>
      </c>
      <c r="R142" s="173"/>
    </row>
    <row r="143" spans="1:18" x14ac:dyDescent="0.25">
      <c r="A143" s="173" t="s">
        <v>408</v>
      </c>
      <c r="B143" s="174">
        <v>42892</v>
      </c>
      <c r="C143" s="173" t="s">
        <v>5355</v>
      </c>
      <c r="D143" s="173" t="s">
        <v>5356</v>
      </c>
      <c r="E143" s="173" t="s">
        <v>5357</v>
      </c>
      <c r="F143" s="173" t="s">
        <v>906</v>
      </c>
      <c r="G143" s="173" t="s">
        <v>5247</v>
      </c>
      <c r="H143" s="173"/>
      <c r="I143" s="173"/>
      <c r="J143" s="173" t="s">
        <v>21</v>
      </c>
      <c r="K143" s="173">
        <v>1200</v>
      </c>
      <c r="L143" s="173" t="s">
        <v>5358</v>
      </c>
      <c r="M143" s="173"/>
      <c r="N143" s="173"/>
      <c r="O143" s="173"/>
      <c r="P143" s="173" t="s">
        <v>5387</v>
      </c>
      <c r="Q143" s="174">
        <v>42923</v>
      </c>
      <c r="R143" s="173"/>
    </row>
    <row r="144" spans="1:18" x14ac:dyDescent="0.25">
      <c r="A144" s="173" t="s">
        <v>408</v>
      </c>
      <c r="B144" s="174">
        <v>42889</v>
      </c>
      <c r="C144" s="173" t="s">
        <v>5359</v>
      </c>
      <c r="D144" s="173" t="s">
        <v>5360</v>
      </c>
      <c r="E144" s="173" t="s">
        <v>5361</v>
      </c>
      <c r="F144" s="173" t="s">
        <v>3967</v>
      </c>
      <c r="G144" s="173" t="s">
        <v>5252</v>
      </c>
      <c r="H144" s="173"/>
      <c r="I144" s="173"/>
      <c r="J144" s="173" t="s">
        <v>21</v>
      </c>
      <c r="K144" s="173">
        <v>6000</v>
      </c>
      <c r="L144" s="173" t="s">
        <v>5362</v>
      </c>
      <c r="M144" s="173"/>
      <c r="N144" s="173"/>
      <c r="O144" s="173"/>
      <c r="P144" s="173" t="s">
        <v>5387</v>
      </c>
      <c r="Q144" s="174">
        <v>42923</v>
      </c>
      <c r="R144" s="173"/>
    </row>
    <row r="145" spans="1:18" x14ac:dyDescent="0.25">
      <c r="A145" s="173" t="s">
        <v>408</v>
      </c>
      <c r="B145" s="174">
        <v>42845</v>
      </c>
      <c r="C145" s="173" t="s">
        <v>5363</v>
      </c>
      <c r="D145" s="173" t="s">
        <v>5290</v>
      </c>
      <c r="E145" s="173" t="s">
        <v>5291</v>
      </c>
      <c r="F145" s="173" t="s">
        <v>362</v>
      </c>
      <c r="G145" s="173" t="s">
        <v>5263</v>
      </c>
      <c r="H145" s="173"/>
      <c r="I145" s="173"/>
      <c r="J145" s="176" t="s">
        <v>21</v>
      </c>
      <c r="K145" s="176">
        <v>1500</v>
      </c>
      <c r="L145" s="173" t="s">
        <v>5354</v>
      </c>
      <c r="M145" s="173" t="s">
        <v>5548</v>
      </c>
      <c r="N145" s="173"/>
      <c r="O145" s="173"/>
      <c r="P145" s="173" t="s">
        <v>5387</v>
      </c>
      <c r="Q145" s="174">
        <v>42923</v>
      </c>
      <c r="R145" s="173" t="s">
        <v>3186</v>
      </c>
    </row>
    <row r="146" spans="1:18" x14ac:dyDescent="0.25">
      <c r="A146" s="173" t="s">
        <v>408</v>
      </c>
      <c r="B146" s="174">
        <v>42843</v>
      </c>
      <c r="C146" s="173" t="s">
        <v>5364</v>
      </c>
      <c r="D146" s="173" t="s">
        <v>5290</v>
      </c>
      <c r="E146" s="173" t="s">
        <v>5291</v>
      </c>
      <c r="F146" s="173" t="s">
        <v>5249</v>
      </c>
      <c r="G146" s="173" t="s">
        <v>5250</v>
      </c>
      <c r="H146" s="173"/>
      <c r="I146" s="173"/>
      <c r="J146" s="176" t="s">
        <v>21</v>
      </c>
      <c r="K146" s="176">
        <v>8500</v>
      </c>
      <c r="L146" s="173" t="s">
        <v>5365</v>
      </c>
      <c r="M146" s="173" t="s">
        <v>5547</v>
      </c>
      <c r="N146" s="173"/>
      <c r="O146" s="173"/>
      <c r="P146" s="173" t="s">
        <v>5387</v>
      </c>
      <c r="Q146" s="174">
        <v>42923</v>
      </c>
      <c r="R146" s="173" t="s">
        <v>3186</v>
      </c>
    </row>
    <row r="147" spans="1:18" x14ac:dyDescent="0.25">
      <c r="A147" s="173" t="s">
        <v>408</v>
      </c>
      <c r="B147" s="174">
        <v>42883</v>
      </c>
      <c r="C147" s="173" t="s">
        <v>5366</v>
      </c>
      <c r="D147" s="173" t="s">
        <v>5367</v>
      </c>
      <c r="E147" s="173" t="s">
        <v>5368</v>
      </c>
      <c r="F147" s="173" t="s">
        <v>5346</v>
      </c>
      <c r="G147" s="173" t="s">
        <v>5347</v>
      </c>
      <c r="H147" s="173"/>
      <c r="I147" s="173"/>
      <c r="J147" s="176" t="s">
        <v>21</v>
      </c>
      <c r="K147" s="176">
        <v>9000</v>
      </c>
      <c r="L147" s="173" t="s">
        <v>5369</v>
      </c>
      <c r="M147" s="173" t="s">
        <v>5538</v>
      </c>
      <c r="N147" s="173"/>
      <c r="O147" s="173"/>
      <c r="P147" s="173" t="s">
        <v>5387</v>
      </c>
      <c r="Q147" s="174">
        <v>42923</v>
      </c>
      <c r="R147" s="173" t="s">
        <v>3186</v>
      </c>
    </row>
    <row r="148" spans="1:18" x14ac:dyDescent="0.25">
      <c r="A148" s="173" t="s">
        <v>408</v>
      </c>
      <c r="B148" s="174">
        <v>42884</v>
      </c>
      <c r="C148" s="173" t="s">
        <v>5370</v>
      </c>
      <c r="D148" s="173" t="s">
        <v>5290</v>
      </c>
      <c r="E148" s="173" t="s">
        <v>5291</v>
      </c>
      <c r="F148" s="173" t="s">
        <v>5341</v>
      </c>
      <c r="G148" s="173" t="s">
        <v>5342</v>
      </c>
      <c r="H148" s="176">
        <f>1700/1.21</f>
        <v>1404.9586776859505</v>
      </c>
      <c r="I148" s="176">
        <f>H148*0.21</f>
        <v>295.04132231404958</v>
      </c>
      <c r="J148" s="176"/>
      <c r="K148" s="176">
        <f>+H148+I148</f>
        <v>1700</v>
      </c>
      <c r="L148" s="173" t="s">
        <v>5350</v>
      </c>
      <c r="M148" s="173" t="s">
        <v>5543</v>
      </c>
      <c r="N148" s="173"/>
      <c r="O148" s="173"/>
      <c r="P148" s="173" t="s">
        <v>5387</v>
      </c>
      <c r="Q148" s="174">
        <v>42923</v>
      </c>
      <c r="R148" s="173" t="s">
        <v>3186</v>
      </c>
    </row>
    <row r="149" spans="1:18" x14ac:dyDescent="0.25">
      <c r="A149" s="173" t="s">
        <v>408</v>
      </c>
      <c r="B149" s="174">
        <v>42836</v>
      </c>
      <c r="C149" s="173" t="s">
        <v>5371</v>
      </c>
      <c r="D149" s="173" t="s">
        <v>5356</v>
      </c>
      <c r="E149" s="173" t="s">
        <v>5357</v>
      </c>
      <c r="F149" s="173" t="s">
        <v>3679</v>
      </c>
      <c r="G149" s="173" t="s">
        <v>5266</v>
      </c>
      <c r="H149" s="173"/>
      <c r="I149" s="173"/>
      <c r="J149" s="176" t="s">
        <v>21</v>
      </c>
      <c r="K149" s="176">
        <v>4500</v>
      </c>
      <c r="L149" s="173" t="s">
        <v>5354</v>
      </c>
      <c r="M149" s="173" t="s">
        <v>5551</v>
      </c>
      <c r="N149" s="173"/>
      <c r="O149" s="173"/>
      <c r="P149" s="173" t="s">
        <v>5387</v>
      </c>
      <c r="Q149" s="174">
        <v>42923</v>
      </c>
      <c r="R149" s="173" t="s">
        <v>3186</v>
      </c>
    </row>
    <row r="150" spans="1:18" x14ac:dyDescent="0.25">
      <c r="A150" s="173" t="s">
        <v>408</v>
      </c>
      <c r="B150" s="174">
        <v>42895</v>
      </c>
      <c r="C150" s="173" t="s">
        <v>5010</v>
      </c>
      <c r="D150" s="173" t="s">
        <v>5372</v>
      </c>
      <c r="E150" s="173" t="s">
        <v>5373</v>
      </c>
      <c r="F150" s="173" t="s">
        <v>4232</v>
      </c>
      <c r="G150" s="173" t="s">
        <v>5344</v>
      </c>
      <c r="H150" s="173"/>
      <c r="I150" s="173"/>
      <c r="J150" s="176" t="s">
        <v>21</v>
      </c>
      <c r="K150" s="176">
        <v>3400</v>
      </c>
      <c r="L150" s="173" t="s">
        <v>5374</v>
      </c>
      <c r="M150" s="173" t="s">
        <v>5554</v>
      </c>
      <c r="N150" s="173"/>
      <c r="O150" s="173"/>
      <c r="P150" s="173" t="s">
        <v>5387</v>
      </c>
      <c r="Q150" s="174">
        <v>42923</v>
      </c>
      <c r="R150" s="173" t="s">
        <v>3791</v>
      </c>
    </row>
    <row r="151" spans="1:18" x14ac:dyDescent="0.25">
      <c r="A151" s="173" t="s">
        <v>408</v>
      </c>
      <c r="B151" s="174">
        <v>42874</v>
      </c>
      <c r="C151" s="173" t="s">
        <v>5375</v>
      </c>
      <c r="D151" s="173" t="s">
        <v>2931</v>
      </c>
      <c r="E151" s="173" t="s">
        <v>2352</v>
      </c>
      <c r="F151" s="173" t="s">
        <v>4232</v>
      </c>
      <c r="G151" s="173" t="s">
        <v>5208</v>
      </c>
      <c r="H151" s="176"/>
      <c r="I151" s="176"/>
      <c r="J151" s="176" t="s">
        <v>21</v>
      </c>
      <c r="K151" s="176">
        <v>9000</v>
      </c>
      <c r="L151" s="173" t="s">
        <v>5376</v>
      </c>
      <c r="M151" s="173" t="s">
        <v>5572</v>
      </c>
      <c r="N151" s="173"/>
      <c r="O151" s="173"/>
      <c r="P151" s="173" t="s">
        <v>5387</v>
      </c>
      <c r="Q151" s="174">
        <v>42923</v>
      </c>
      <c r="R151" s="173" t="s">
        <v>3791</v>
      </c>
    </row>
    <row r="152" spans="1:18" x14ac:dyDescent="0.25">
      <c r="A152" s="173" t="s">
        <v>408</v>
      </c>
      <c r="B152" s="174">
        <v>42844</v>
      </c>
      <c r="C152" s="173" t="s">
        <v>821</v>
      </c>
      <c r="D152" s="173" t="s">
        <v>5377</v>
      </c>
      <c r="E152" s="173" t="s">
        <v>1846</v>
      </c>
      <c r="F152" s="173" t="s">
        <v>346</v>
      </c>
      <c r="G152" s="173" t="s">
        <v>5260</v>
      </c>
      <c r="H152" s="176">
        <f>1700/1.21</f>
        <v>1404.9586776859505</v>
      </c>
      <c r="I152" s="176">
        <f>H152*0.21</f>
        <v>295.04132231404958</v>
      </c>
      <c r="J152" s="176"/>
      <c r="K152" s="176">
        <f>+H152+I152</f>
        <v>1700</v>
      </c>
      <c r="L152" s="173" t="s">
        <v>5378</v>
      </c>
      <c r="M152" s="173" t="s">
        <v>5552</v>
      </c>
      <c r="N152" s="173"/>
      <c r="O152" s="173"/>
      <c r="P152" s="173" t="s">
        <v>5387</v>
      </c>
      <c r="Q152" s="174">
        <v>42923</v>
      </c>
      <c r="R152" s="173" t="s">
        <v>3186</v>
      </c>
    </row>
    <row r="153" spans="1:18" x14ac:dyDescent="0.25">
      <c r="A153" s="173" t="s">
        <v>408</v>
      </c>
      <c r="B153" s="174">
        <v>42836</v>
      </c>
      <c r="C153" s="173" t="s">
        <v>782</v>
      </c>
      <c r="D153" s="173" t="s">
        <v>5379</v>
      </c>
      <c r="E153" s="173" t="s">
        <v>5380</v>
      </c>
      <c r="F153" s="173" t="s">
        <v>5211</v>
      </c>
      <c r="G153" s="173" t="s">
        <v>5212</v>
      </c>
      <c r="H153" s="176"/>
      <c r="I153" s="176"/>
      <c r="J153" s="176" t="s">
        <v>21</v>
      </c>
      <c r="K153" s="176">
        <v>11200</v>
      </c>
      <c r="L153" s="173" t="s">
        <v>5381</v>
      </c>
      <c r="M153" s="173" t="s">
        <v>5565</v>
      </c>
      <c r="N153" s="173"/>
      <c r="O153" s="173"/>
      <c r="P153" s="173" t="s">
        <v>5387</v>
      </c>
      <c r="Q153" s="174">
        <v>42923</v>
      </c>
      <c r="R153" s="173" t="s">
        <v>3791</v>
      </c>
    </row>
    <row r="154" spans="1:18" x14ac:dyDescent="0.25">
      <c r="A154" s="173" t="s">
        <v>12</v>
      </c>
      <c r="B154" s="174">
        <v>42751</v>
      </c>
      <c r="C154" s="173" t="s">
        <v>5382</v>
      </c>
      <c r="D154" s="173" t="s">
        <v>5000</v>
      </c>
      <c r="E154" s="173" t="s">
        <v>5001</v>
      </c>
      <c r="F154" s="173" t="s">
        <v>5004</v>
      </c>
      <c r="G154" s="173" t="s">
        <v>5332</v>
      </c>
      <c r="H154" s="173"/>
      <c r="I154" s="173"/>
      <c r="J154" s="173" t="s">
        <v>21</v>
      </c>
      <c r="K154" s="173">
        <v>1400</v>
      </c>
      <c r="L154" s="173" t="s">
        <v>5276</v>
      </c>
      <c r="M154" s="173"/>
      <c r="N154" s="173"/>
      <c r="O154" s="173"/>
      <c r="P154" s="173" t="s">
        <v>5387</v>
      </c>
      <c r="Q154" s="174">
        <v>42923</v>
      </c>
      <c r="R154" s="173"/>
    </row>
    <row r="155" spans="1:18" x14ac:dyDescent="0.25">
      <c r="A155" s="173" t="s">
        <v>12</v>
      </c>
      <c r="B155" s="174">
        <v>42678</v>
      </c>
      <c r="C155" s="173" t="s">
        <v>944</v>
      </c>
      <c r="D155" s="173" t="s">
        <v>5384</v>
      </c>
      <c r="E155" s="173" t="s">
        <v>5385</v>
      </c>
      <c r="F155" s="173" t="s">
        <v>711</v>
      </c>
      <c r="G155" s="173" t="s">
        <v>5333</v>
      </c>
      <c r="H155" s="173"/>
      <c r="I155" s="173"/>
      <c r="J155" s="176" t="s">
        <v>21</v>
      </c>
      <c r="K155" s="176">
        <v>2000</v>
      </c>
      <c r="L155" s="173" t="s">
        <v>5276</v>
      </c>
      <c r="M155" s="173"/>
      <c r="N155" s="173"/>
      <c r="O155" s="173"/>
      <c r="P155" s="173" t="s">
        <v>5387</v>
      </c>
      <c r="Q155" s="174">
        <v>42923</v>
      </c>
      <c r="R155" s="173"/>
    </row>
    <row r="156" spans="1:18" x14ac:dyDescent="0.25">
      <c r="A156" s="173" t="s">
        <v>12</v>
      </c>
      <c r="B156" s="174">
        <v>42884</v>
      </c>
      <c r="C156" s="197">
        <v>634</v>
      </c>
      <c r="D156" s="173" t="s">
        <v>4579</v>
      </c>
      <c r="E156" s="173" t="s">
        <v>4580</v>
      </c>
      <c r="F156" s="173" t="s">
        <v>5388</v>
      </c>
      <c r="G156" s="173" t="s">
        <v>5389</v>
      </c>
      <c r="H156" s="173"/>
      <c r="I156" s="173"/>
      <c r="J156" s="176" t="s">
        <v>21</v>
      </c>
      <c r="K156" s="176">
        <v>700</v>
      </c>
      <c r="L156" s="173" t="s">
        <v>5276</v>
      </c>
      <c r="M156" s="173"/>
      <c r="N156" s="173"/>
      <c r="O156" s="173"/>
      <c r="P156" s="173" t="s">
        <v>5444</v>
      </c>
      <c r="Q156" s="174">
        <v>43016</v>
      </c>
      <c r="R156" s="173"/>
    </row>
    <row r="157" spans="1:18" x14ac:dyDescent="0.25">
      <c r="A157" s="173" t="s">
        <v>12</v>
      </c>
      <c r="B157" s="174">
        <v>42944</v>
      </c>
      <c r="C157" s="173" t="s">
        <v>5390</v>
      </c>
      <c r="D157" s="173" t="s">
        <v>4041</v>
      </c>
      <c r="E157" s="173" t="s">
        <v>4042</v>
      </c>
      <c r="F157" s="173" t="s">
        <v>2718</v>
      </c>
      <c r="G157" s="173" t="s">
        <v>5391</v>
      </c>
      <c r="H157" s="173"/>
      <c r="I157" s="173"/>
      <c r="J157" s="176" t="s">
        <v>21</v>
      </c>
      <c r="K157" s="176">
        <f>2300-354</f>
        <v>1946</v>
      </c>
      <c r="L157" s="173"/>
      <c r="M157" s="173" t="s">
        <v>5563</v>
      </c>
      <c r="N157" s="173"/>
      <c r="O157" s="173"/>
      <c r="P157" s="173" t="s">
        <v>5444</v>
      </c>
      <c r="Q157" s="174">
        <v>43016</v>
      </c>
      <c r="R157" s="173"/>
    </row>
    <row r="158" spans="1:18" x14ac:dyDescent="0.25">
      <c r="A158" s="173" t="s">
        <v>12</v>
      </c>
      <c r="B158" s="174">
        <v>42944</v>
      </c>
      <c r="C158" s="173" t="s">
        <v>5392</v>
      </c>
      <c r="D158" s="173" t="s">
        <v>4041</v>
      </c>
      <c r="E158" s="173" t="s">
        <v>4042</v>
      </c>
      <c r="F158" s="173" t="s">
        <v>5393</v>
      </c>
      <c r="G158" s="173" t="s">
        <v>5394</v>
      </c>
      <c r="H158" s="173"/>
      <c r="I158" s="173"/>
      <c r="J158" s="176" t="s">
        <v>21</v>
      </c>
      <c r="K158" s="176">
        <f>13000-354</f>
        <v>12646</v>
      </c>
      <c r="L158" s="173" t="s">
        <v>5276</v>
      </c>
      <c r="M158" s="173" t="s">
        <v>5563</v>
      </c>
      <c r="N158" s="173"/>
      <c r="O158" s="173"/>
      <c r="P158" s="173" t="s">
        <v>5444</v>
      </c>
      <c r="Q158" s="174">
        <v>43016</v>
      </c>
      <c r="R158" s="173"/>
    </row>
    <row r="159" spans="1:18" x14ac:dyDescent="0.25">
      <c r="A159" s="173" t="s">
        <v>12</v>
      </c>
      <c r="B159" s="174">
        <v>42930</v>
      </c>
      <c r="C159" s="197" t="s">
        <v>5395</v>
      </c>
      <c r="D159" s="173" t="s">
        <v>5000</v>
      </c>
      <c r="E159" s="173" t="s">
        <v>5001</v>
      </c>
      <c r="F159" s="173" t="s">
        <v>5112</v>
      </c>
      <c r="G159" s="173" t="s">
        <v>5396</v>
      </c>
      <c r="H159" s="173"/>
      <c r="I159" s="173"/>
      <c r="J159" s="176" t="s">
        <v>21</v>
      </c>
      <c r="K159" s="176">
        <v>5700</v>
      </c>
      <c r="L159" s="173" t="s">
        <v>5276</v>
      </c>
      <c r="M159" s="173" t="s">
        <v>5397</v>
      </c>
      <c r="N159" s="173"/>
      <c r="O159" s="173"/>
      <c r="P159" s="173" t="s">
        <v>5444</v>
      </c>
      <c r="Q159" s="174">
        <v>43016</v>
      </c>
      <c r="R159" s="173"/>
    </row>
    <row r="160" spans="1:18" x14ac:dyDescent="0.25">
      <c r="A160" s="173" t="s">
        <v>12</v>
      </c>
      <c r="B160" s="174">
        <v>42927</v>
      </c>
      <c r="C160" s="197" t="s">
        <v>5398</v>
      </c>
      <c r="D160" s="173" t="s">
        <v>5000</v>
      </c>
      <c r="E160" s="173" t="s">
        <v>5001</v>
      </c>
      <c r="F160" s="173" t="s">
        <v>2652</v>
      </c>
      <c r="G160" s="173" t="s">
        <v>5399</v>
      </c>
      <c r="H160" s="173"/>
      <c r="I160" s="173"/>
      <c r="J160" s="176" t="s">
        <v>21</v>
      </c>
      <c r="K160" s="176">
        <v>9500</v>
      </c>
      <c r="L160" s="173" t="s">
        <v>5276</v>
      </c>
      <c r="M160" s="173" t="s">
        <v>5406</v>
      </c>
      <c r="N160" s="173"/>
      <c r="O160" s="173"/>
      <c r="P160" s="173" t="s">
        <v>5444</v>
      </c>
      <c r="Q160" s="174">
        <v>43016</v>
      </c>
      <c r="R160" s="173"/>
    </row>
    <row r="161" spans="1:18" x14ac:dyDescent="0.25">
      <c r="A161" s="173" t="s">
        <v>12</v>
      </c>
      <c r="B161" s="174">
        <v>42956</v>
      </c>
      <c r="C161" s="197" t="s">
        <v>944</v>
      </c>
      <c r="D161" s="173" t="s">
        <v>5400</v>
      </c>
      <c r="E161" s="173" t="s">
        <v>5401</v>
      </c>
      <c r="F161" s="173" t="s">
        <v>3206</v>
      </c>
      <c r="G161" s="173" t="s">
        <v>5402</v>
      </c>
      <c r="H161" s="173"/>
      <c r="I161" s="173"/>
      <c r="J161" s="176" t="s">
        <v>21</v>
      </c>
      <c r="K161" s="176">
        <v>1000</v>
      </c>
      <c r="L161" s="173" t="s">
        <v>5276</v>
      </c>
      <c r="M161" s="173"/>
      <c r="N161" s="173"/>
      <c r="O161" s="173"/>
      <c r="P161" s="173" t="s">
        <v>5444</v>
      </c>
      <c r="Q161" s="174">
        <v>43016</v>
      </c>
      <c r="R161" s="173"/>
    </row>
    <row r="162" spans="1:18" x14ac:dyDescent="0.25">
      <c r="A162" s="173" t="s">
        <v>12</v>
      </c>
      <c r="B162" s="174">
        <v>42751</v>
      </c>
      <c r="C162" s="197" t="s">
        <v>5403</v>
      </c>
      <c r="D162" s="173" t="s">
        <v>5000</v>
      </c>
      <c r="E162" s="173" t="s">
        <v>5001</v>
      </c>
      <c r="F162" s="173" t="s">
        <v>5404</v>
      </c>
      <c r="G162" s="173" t="s">
        <v>5405</v>
      </c>
      <c r="H162" s="176">
        <v>15454.55</v>
      </c>
      <c r="I162" s="176">
        <f>+H162*0.21</f>
        <v>3245.4554999999996</v>
      </c>
      <c r="J162" s="176"/>
      <c r="K162" s="176">
        <f>+H162+I162</f>
        <v>18700.005499999999</v>
      </c>
      <c r="L162" s="173" t="s">
        <v>5276</v>
      </c>
      <c r="M162" s="173"/>
      <c r="N162" s="173"/>
      <c r="O162" s="173"/>
      <c r="P162" s="173" t="s">
        <v>5444</v>
      </c>
      <c r="Q162" s="174">
        <v>43016</v>
      </c>
      <c r="R162" s="173"/>
    </row>
    <row r="163" spans="1:18" x14ac:dyDescent="0.25">
      <c r="A163" s="173" t="s">
        <v>408</v>
      </c>
      <c r="B163" s="174">
        <v>42996</v>
      </c>
      <c r="C163" s="173" t="s">
        <v>5407</v>
      </c>
      <c r="D163" s="173" t="s">
        <v>5408</v>
      </c>
      <c r="E163" s="173" t="s">
        <v>5409</v>
      </c>
      <c r="F163" s="173" t="s">
        <v>5339</v>
      </c>
      <c r="G163" s="173" t="s">
        <v>5340</v>
      </c>
      <c r="H163" s="173"/>
      <c r="I163" s="173"/>
      <c r="J163" s="176" t="s">
        <v>21</v>
      </c>
      <c r="K163" s="176">
        <v>1500</v>
      </c>
      <c r="L163" s="173" t="s">
        <v>5410</v>
      </c>
      <c r="M163" s="173" t="s">
        <v>5539</v>
      </c>
      <c r="N163" s="173"/>
      <c r="O163" s="173"/>
      <c r="P163" s="173" t="s">
        <v>5444</v>
      </c>
      <c r="Q163" s="174">
        <v>43016</v>
      </c>
      <c r="R163" s="173" t="s">
        <v>3791</v>
      </c>
    </row>
    <row r="164" spans="1:18" x14ac:dyDescent="0.25">
      <c r="A164" s="173" t="s">
        <v>408</v>
      </c>
      <c r="B164" s="174">
        <v>42927</v>
      </c>
      <c r="C164" s="173" t="s">
        <v>5094</v>
      </c>
      <c r="D164" s="173" t="s">
        <v>5411</v>
      </c>
      <c r="E164" s="173" t="s">
        <v>5412</v>
      </c>
      <c r="F164" s="173" t="s">
        <v>5388</v>
      </c>
      <c r="G164" s="173" t="s">
        <v>5389</v>
      </c>
      <c r="H164" s="173"/>
      <c r="I164" s="173"/>
      <c r="J164" s="176" t="s">
        <v>21</v>
      </c>
      <c r="K164" s="176">
        <v>1000</v>
      </c>
      <c r="L164" s="173" t="s">
        <v>5413</v>
      </c>
      <c r="M164" s="173"/>
      <c r="N164" s="173"/>
      <c r="O164" s="173"/>
      <c r="P164" s="173" t="s">
        <v>5444</v>
      </c>
      <c r="Q164" s="174">
        <v>43016</v>
      </c>
      <c r="R164" s="173"/>
    </row>
    <row r="165" spans="1:18" x14ac:dyDescent="0.25">
      <c r="A165" s="173" t="s">
        <v>408</v>
      </c>
      <c r="B165" s="174">
        <v>42971</v>
      </c>
      <c r="C165" s="173" t="s">
        <v>5414</v>
      </c>
      <c r="D165" s="173" t="s">
        <v>5415</v>
      </c>
      <c r="E165" s="173" t="s">
        <v>5416</v>
      </c>
      <c r="F165" s="173" t="s">
        <v>5141</v>
      </c>
      <c r="G165" s="173" t="s">
        <v>5142</v>
      </c>
      <c r="H165" s="176"/>
      <c r="I165" s="176"/>
      <c r="J165" s="176" t="s">
        <v>21</v>
      </c>
      <c r="K165" s="176">
        <v>2000</v>
      </c>
      <c r="L165" s="173" t="s">
        <v>5417</v>
      </c>
      <c r="M165" s="173" t="s">
        <v>5540</v>
      </c>
      <c r="N165" s="173"/>
      <c r="O165" s="173"/>
      <c r="P165" s="173" t="s">
        <v>5444</v>
      </c>
      <c r="Q165" s="174">
        <v>43016</v>
      </c>
      <c r="R165" s="173" t="s">
        <v>3186</v>
      </c>
    </row>
    <row r="166" spans="1:18" x14ac:dyDescent="0.25">
      <c r="A166" s="173" t="s">
        <v>12</v>
      </c>
      <c r="B166" s="174">
        <v>42916</v>
      </c>
      <c r="C166" s="173" t="s">
        <v>5418</v>
      </c>
      <c r="D166" s="173" t="s">
        <v>4041</v>
      </c>
      <c r="E166" s="173" t="s">
        <v>4042</v>
      </c>
      <c r="F166" s="173" t="s">
        <v>4433</v>
      </c>
      <c r="G166" s="173" t="s">
        <v>5419</v>
      </c>
      <c r="H166" s="173"/>
      <c r="I166" s="173"/>
      <c r="J166" s="173" t="s">
        <v>303</v>
      </c>
      <c r="K166" s="176">
        <f>13900-354</f>
        <v>13546</v>
      </c>
      <c r="L166" s="173" t="s">
        <v>5276</v>
      </c>
      <c r="M166" s="173"/>
      <c r="N166" s="173"/>
      <c r="O166" s="173"/>
      <c r="P166" s="173" t="s">
        <v>5444</v>
      </c>
      <c r="Q166" s="174">
        <v>43016</v>
      </c>
      <c r="R166" s="173"/>
    </row>
    <row r="167" spans="1:18" x14ac:dyDescent="0.25">
      <c r="A167" s="173" t="s">
        <v>12</v>
      </c>
      <c r="B167" s="174">
        <v>42882</v>
      </c>
      <c r="C167" s="173">
        <v>2017100030</v>
      </c>
      <c r="D167" s="173" t="s">
        <v>5246</v>
      </c>
      <c r="E167" s="173" t="s">
        <v>4800</v>
      </c>
      <c r="F167" s="173" t="s">
        <v>5420</v>
      </c>
      <c r="G167" s="173" t="s">
        <v>5421</v>
      </c>
      <c r="H167" s="173">
        <v>2727.27</v>
      </c>
      <c r="I167" s="176">
        <f>H167*0.21</f>
        <v>572.72669999999994</v>
      </c>
      <c r="J167" s="176"/>
      <c r="K167" s="176">
        <f>+H167+I167</f>
        <v>3299.9966999999997</v>
      </c>
      <c r="L167" s="173" t="s">
        <v>5276</v>
      </c>
      <c r="M167" s="173"/>
      <c r="N167" s="173"/>
      <c r="O167" s="173"/>
      <c r="P167" s="173" t="s">
        <v>5444</v>
      </c>
      <c r="Q167" s="174">
        <v>43016</v>
      </c>
      <c r="R167" s="173"/>
    </row>
    <row r="168" spans="1:18" x14ac:dyDescent="0.25">
      <c r="A168" s="173" t="s">
        <v>12</v>
      </c>
      <c r="B168" s="174">
        <v>42886</v>
      </c>
      <c r="C168" s="173" t="s">
        <v>5422</v>
      </c>
      <c r="D168" s="173" t="s">
        <v>5246</v>
      </c>
      <c r="E168" s="173" t="s">
        <v>4800</v>
      </c>
      <c r="F168" s="173" t="s">
        <v>3326</v>
      </c>
      <c r="G168" s="173" t="s">
        <v>5423</v>
      </c>
      <c r="H168" s="173"/>
      <c r="I168" s="176"/>
      <c r="J168" s="176" t="s">
        <v>21</v>
      </c>
      <c r="K168" s="176">
        <v>1000</v>
      </c>
      <c r="L168" s="173" t="s">
        <v>5276</v>
      </c>
      <c r="M168" s="173"/>
      <c r="N168" s="173"/>
      <c r="O168" s="173"/>
      <c r="P168" s="173" t="s">
        <v>5444</v>
      </c>
      <c r="Q168" s="174">
        <v>43016</v>
      </c>
      <c r="R168" s="173"/>
    </row>
    <row r="169" spans="1:18" x14ac:dyDescent="0.25">
      <c r="A169" s="173" t="s">
        <v>12</v>
      </c>
      <c r="B169" s="174">
        <v>42886</v>
      </c>
      <c r="C169" s="173" t="s">
        <v>5424</v>
      </c>
      <c r="D169" s="173" t="s">
        <v>5246</v>
      </c>
      <c r="E169" s="173" t="s">
        <v>4800</v>
      </c>
      <c r="F169" s="173" t="s">
        <v>693</v>
      </c>
      <c r="G169" s="173" t="s">
        <v>5425</v>
      </c>
      <c r="H169" s="173"/>
      <c r="I169" s="176"/>
      <c r="J169" s="176" t="s">
        <v>21</v>
      </c>
      <c r="K169" s="176">
        <v>850</v>
      </c>
      <c r="L169" s="173" t="s">
        <v>5276</v>
      </c>
      <c r="M169" s="173"/>
      <c r="N169" s="173"/>
      <c r="O169" s="173"/>
      <c r="P169" s="173" t="s">
        <v>5444</v>
      </c>
      <c r="Q169" s="174">
        <v>43016</v>
      </c>
      <c r="R169" s="173"/>
    </row>
    <row r="170" spans="1:18" x14ac:dyDescent="0.25">
      <c r="A170" s="173" t="s">
        <v>12</v>
      </c>
      <c r="B170" s="174">
        <v>42920</v>
      </c>
      <c r="C170" s="173" t="s">
        <v>944</v>
      </c>
      <c r="D170" s="173" t="s">
        <v>5426</v>
      </c>
      <c r="E170" s="173" t="s">
        <v>5427</v>
      </c>
      <c r="F170" s="173" t="s">
        <v>2657</v>
      </c>
      <c r="G170" s="173" t="s">
        <v>5428</v>
      </c>
      <c r="H170" s="173"/>
      <c r="I170" s="173"/>
      <c r="J170" s="176" t="s">
        <v>21</v>
      </c>
      <c r="K170" s="176">
        <v>1500</v>
      </c>
      <c r="L170" s="173" t="s">
        <v>5276</v>
      </c>
      <c r="M170" s="173"/>
      <c r="N170" s="173"/>
      <c r="O170" s="173"/>
      <c r="P170" s="173" t="s">
        <v>5444</v>
      </c>
      <c r="Q170" s="174">
        <v>43016</v>
      </c>
      <c r="R170" s="173"/>
    </row>
    <row r="171" spans="1:18" x14ac:dyDescent="0.25">
      <c r="A171" s="173" t="s">
        <v>408</v>
      </c>
      <c r="B171" s="174">
        <v>42930</v>
      </c>
      <c r="C171" s="173" t="s">
        <v>5073</v>
      </c>
      <c r="D171" s="173" t="s">
        <v>5430</v>
      </c>
      <c r="E171" s="173" t="s">
        <v>5431</v>
      </c>
      <c r="F171" s="173" t="s">
        <v>693</v>
      </c>
      <c r="G171" s="173" t="s">
        <v>5425</v>
      </c>
      <c r="H171" s="173"/>
      <c r="I171" s="173"/>
      <c r="J171" s="176" t="s">
        <v>21</v>
      </c>
      <c r="K171" s="173">
        <v>1200</v>
      </c>
      <c r="L171" s="173" t="s">
        <v>5429</v>
      </c>
      <c r="M171" s="173"/>
      <c r="N171" s="173"/>
      <c r="O171" s="173"/>
      <c r="P171" s="173" t="s">
        <v>5444</v>
      </c>
      <c r="Q171" s="174">
        <v>43016</v>
      </c>
      <c r="R171" s="173"/>
    </row>
    <row r="172" spans="1:18" x14ac:dyDescent="0.25">
      <c r="A172" s="173" t="s">
        <v>408</v>
      </c>
      <c r="B172" s="174">
        <v>42997</v>
      </c>
      <c r="C172" s="173" t="s">
        <v>5432</v>
      </c>
      <c r="D172" s="173" t="s">
        <v>5433</v>
      </c>
      <c r="E172" s="173" t="s">
        <v>5434</v>
      </c>
      <c r="F172" s="173" t="s">
        <v>4433</v>
      </c>
      <c r="G172" s="173" t="s">
        <v>5419</v>
      </c>
      <c r="H172" s="173"/>
      <c r="I172" s="173"/>
      <c r="J172" s="173" t="s">
        <v>21</v>
      </c>
      <c r="K172" s="173">
        <v>14500</v>
      </c>
      <c r="L172" s="173" t="s">
        <v>5435</v>
      </c>
      <c r="M172" s="173" t="s">
        <v>5561</v>
      </c>
      <c r="N172" s="173"/>
      <c r="O172" s="173"/>
      <c r="P172" s="173" t="s">
        <v>5444</v>
      </c>
      <c r="Q172" s="174">
        <v>43016</v>
      </c>
      <c r="R172" s="173"/>
    </row>
    <row r="173" spans="1:18" x14ac:dyDescent="0.25">
      <c r="A173" s="173" t="s">
        <v>408</v>
      </c>
      <c r="B173" s="174">
        <v>42980</v>
      </c>
      <c r="C173" s="173" t="s">
        <v>5436</v>
      </c>
      <c r="D173" s="173" t="s">
        <v>5437</v>
      </c>
      <c r="E173" s="173" t="s">
        <v>5438</v>
      </c>
      <c r="F173" s="173" t="s">
        <v>2657</v>
      </c>
      <c r="G173" s="173" t="s">
        <v>5428</v>
      </c>
      <c r="H173" s="173"/>
      <c r="I173" s="173"/>
      <c r="J173" s="173" t="s">
        <v>21</v>
      </c>
      <c r="K173" s="173">
        <v>2000</v>
      </c>
      <c r="L173" s="173" t="s">
        <v>5439</v>
      </c>
      <c r="M173" s="173" t="s">
        <v>5568</v>
      </c>
      <c r="N173" s="173"/>
      <c r="O173" s="173"/>
      <c r="P173" s="173" t="s">
        <v>5444</v>
      </c>
      <c r="Q173" s="174">
        <v>43016</v>
      </c>
      <c r="R173" s="173" t="s">
        <v>3186</v>
      </c>
    </row>
    <row r="174" spans="1:18" x14ac:dyDescent="0.25">
      <c r="A174" s="173" t="s">
        <v>408</v>
      </c>
      <c r="B174" s="174">
        <v>42944</v>
      </c>
      <c r="C174" s="173" t="s">
        <v>5440</v>
      </c>
      <c r="D174" s="173" t="s">
        <v>5441</v>
      </c>
      <c r="E174" s="173" t="s">
        <v>5442</v>
      </c>
      <c r="F174" s="173" t="s">
        <v>5420</v>
      </c>
      <c r="G174" s="173" t="s">
        <v>5421</v>
      </c>
      <c r="H174" s="176">
        <f>4000/1.21</f>
        <v>3305.7851239669421</v>
      </c>
      <c r="I174" s="176">
        <f>H174*0.21</f>
        <v>694.21487603305786</v>
      </c>
      <c r="J174" s="176"/>
      <c r="K174" s="176">
        <f>+H174+I174</f>
        <v>4000</v>
      </c>
      <c r="L174" s="173" t="s">
        <v>5443</v>
      </c>
      <c r="M174" s="173" t="s">
        <v>5542</v>
      </c>
      <c r="N174" s="173"/>
      <c r="O174" s="173"/>
      <c r="P174" s="173" t="s">
        <v>5444</v>
      </c>
      <c r="Q174" s="174">
        <v>43016</v>
      </c>
      <c r="R174" s="173" t="s">
        <v>3186</v>
      </c>
    </row>
    <row r="175" spans="1:18" x14ac:dyDescent="0.25">
      <c r="A175" s="173" t="s">
        <v>408</v>
      </c>
      <c r="B175" s="174">
        <v>42956</v>
      </c>
      <c r="C175" s="173" t="s">
        <v>4792</v>
      </c>
      <c r="D175" s="173" t="s">
        <v>5400</v>
      </c>
      <c r="E175" s="173" t="s">
        <v>5401</v>
      </c>
      <c r="F175" s="173" t="s">
        <v>3326</v>
      </c>
      <c r="G175" s="173" t="s">
        <v>5423</v>
      </c>
      <c r="H175" s="173"/>
      <c r="I175" s="176"/>
      <c r="J175" s="176" t="s">
        <v>21</v>
      </c>
      <c r="K175" s="176">
        <v>2000</v>
      </c>
      <c r="L175" s="173" t="s">
        <v>5429</v>
      </c>
      <c r="M175" s="173" t="s">
        <v>5541</v>
      </c>
      <c r="N175" s="173"/>
      <c r="O175" s="173"/>
      <c r="P175" s="173" t="s">
        <v>5444</v>
      </c>
      <c r="Q175" s="174">
        <v>43016</v>
      </c>
      <c r="R175" s="173" t="s">
        <v>3186</v>
      </c>
    </row>
    <row r="176" spans="1:18" x14ac:dyDescent="0.25">
      <c r="A176" s="173" t="s">
        <v>12</v>
      </c>
      <c r="B176" s="174">
        <v>42787</v>
      </c>
      <c r="C176" s="173" t="s">
        <v>5253</v>
      </c>
      <c r="D176" s="173" t="s">
        <v>5246</v>
      </c>
      <c r="E176" s="173" t="s">
        <v>4800</v>
      </c>
      <c r="F176" s="173" t="s">
        <v>5445</v>
      </c>
      <c r="G176" s="173" t="s">
        <v>5254</v>
      </c>
      <c r="H176" s="173"/>
      <c r="I176" s="173"/>
      <c r="J176" s="176" t="s">
        <v>21</v>
      </c>
      <c r="K176" s="176">
        <v>2000</v>
      </c>
      <c r="L176" s="173"/>
      <c r="M176" s="173" t="s">
        <v>5255</v>
      </c>
      <c r="N176" s="173"/>
      <c r="O176" s="173"/>
      <c r="P176" s="173" t="s">
        <v>5444</v>
      </c>
      <c r="Q176" s="174">
        <v>43016</v>
      </c>
      <c r="R176" s="173"/>
    </row>
    <row r="177" spans="1:18" x14ac:dyDescent="0.25">
      <c r="A177" s="173" t="s">
        <v>12</v>
      </c>
      <c r="B177" s="174">
        <v>42940</v>
      </c>
      <c r="C177" s="173" t="s">
        <v>5446</v>
      </c>
      <c r="D177" s="173" t="s">
        <v>5246</v>
      </c>
      <c r="E177" s="173" t="s">
        <v>4800</v>
      </c>
      <c r="F177" s="173" t="s">
        <v>5271</v>
      </c>
      <c r="G177" s="173" t="s">
        <v>5447</v>
      </c>
      <c r="H177" s="173"/>
      <c r="I177" s="173"/>
      <c r="J177" s="176" t="s">
        <v>21</v>
      </c>
      <c r="K177" s="176">
        <v>10000</v>
      </c>
      <c r="L177" s="173" t="s">
        <v>5276</v>
      </c>
      <c r="M177" s="173"/>
      <c r="N177" s="173"/>
      <c r="O177" s="173"/>
      <c r="P177" s="173" t="s">
        <v>5444</v>
      </c>
      <c r="Q177" s="174">
        <v>43016</v>
      </c>
      <c r="R177" s="173"/>
    </row>
    <row r="178" spans="1:18" x14ac:dyDescent="0.25">
      <c r="A178" s="173" t="s">
        <v>12</v>
      </c>
      <c r="B178" s="174">
        <v>43006</v>
      </c>
      <c r="C178" s="173" t="s">
        <v>5448</v>
      </c>
      <c r="D178" s="173" t="s">
        <v>4496</v>
      </c>
      <c r="E178" s="173" t="s">
        <v>2171</v>
      </c>
      <c r="F178" s="173" t="s">
        <v>406</v>
      </c>
      <c r="G178" s="173" t="s">
        <v>5449</v>
      </c>
      <c r="H178" s="173">
        <v>743.8</v>
      </c>
      <c r="I178" s="176">
        <f>+H178*0.21</f>
        <v>156.19799999999998</v>
      </c>
      <c r="J178" s="176"/>
      <c r="K178" s="176">
        <f>+H178+I178</f>
        <v>899.99799999999993</v>
      </c>
      <c r="L178" s="173" t="s">
        <v>5276</v>
      </c>
      <c r="M178" s="173"/>
      <c r="N178" s="173"/>
      <c r="O178" s="173"/>
      <c r="P178" s="173" t="s">
        <v>5444</v>
      </c>
      <c r="Q178" s="174">
        <v>43016</v>
      </c>
      <c r="R178" s="173"/>
    </row>
    <row r="179" spans="1:18" x14ac:dyDescent="0.25">
      <c r="A179" s="173" t="s">
        <v>12</v>
      </c>
      <c r="B179" s="174">
        <v>43070</v>
      </c>
      <c r="C179" s="173" t="s">
        <v>5450</v>
      </c>
      <c r="D179" s="173" t="s">
        <v>4041</v>
      </c>
      <c r="E179" s="173" t="s">
        <v>4042</v>
      </c>
      <c r="F179" s="173" t="s">
        <v>5451</v>
      </c>
      <c r="G179" s="173" t="s">
        <v>5452</v>
      </c>
      <c r="H179" s="173"/>
      <c r="I179" s="173"/>
      <c r="J179" s="173" t="s">
        <v>21</v>
      </c>
      <c r="K179" s="173">
        <v>9946</v>
      </c>
      <c r="L179" s="173"/>
      <c r="M179" s="173"/>
      <c r="N179" s="173"/>
      <c r="O179" s="173"/>
      <c r="P179" s="173" t="s">
        <v>5523</v>
      </c>
      <c r="Q179" s="174">
        <v>43116</v>
      </c>
      <c r="R179" s="173"/>
    </row>
    <row r="180" spans="1:18" x14ac:dyDescent="0.25">
      <c r="A180" s="173" t="s">
        <v>12</v>
      </c>
      <c r="B180" s="174">
        <v>43039</v>
      </c>
      <c r="C180" s="173" t="s">
        <v>5453</v>
      </c>
      <c r="D180" s="173" t="s">
        <v>4041</v>
      </c>
      <c r="E180" s="173" t="s">
        <v>4042</v>
      </c>
      <c r="F180" s="173" t="s">
        <v>4386</v>
      </c>
      <c r="G180" s="173" t="s">
        <v>5454</v>
      </c>
      <c r="H180" s="173"/>
      <c r="I180" s="173"/>
      <c r="J180" s="173" t="s">
        <v>21</v>
      </c>
      <c r="K180" s="173">
        <v>11146</v>
      </c>
      <c r="L180" s="173" t="s">
        <v>5276</v>
      </c>
      <c r="M180" s="173"/>
      <c r="N180" s="173"/>
      <c r="O180" s="173"/>
      <c r="P180" s="173" t="s">
        <v>5523</v>
      </c>
      <c r="Q180" s="174">
        <v>43116</v>
      </c>
      <c r="R180" s="173"/>
    </row>
    <row r="181" spans="1:18" x14ac:dyDescent="0.25">
      <c r="A181" s="173" t="s">
        <v>12</v>
      </c>
      <c r="B181" s="174">
        <v>42940</v>
      </c>
      <c r="C181" s="173" t="s">
        <v>5455</v>
      </c>
      <c r="D181" s="173" t="s">
        <v>5246</v>
      </c>
      <c r="E181" s="173" t="s">
        <v>4800</v>
      </c>
      <c r="F181" s="173" t="s">
        <v>5456</v>
      </c>
      <c r="G181" s="173" t="s">
        <v>5457</v>
      </c>
      <c r="H181" s="173"/>
      <c r="I181" s="173"/>
      <c r="J181" s="176" t="s">
        <v>21</v>
      </c>
      <c r="K181" s="176">
        <v>4000</v>
      </c>
      <c r="L181" s="173" t="s">
        <v>5276</v>
      </c>
      <c r="M181" s="173"/>
      <c r="N181" s="173"/>
      <c r="O181" s="173"/>
      <c r="P181" s="173" t="s">
        <v>5523</v>
      </c>
      <c r="Q181" s="174">
        <v>43116</v>
      </c>
      <c r="R181" s="173"/>
    </row>
    <row r="182" spans="1:18" x14ac:dyDescent="0.25">
      <c r="A182" s="173" t="s">
        <v>12</v>
      </c>
      <c r="B182" s="174">
        <v>43028</v>
      </c>
      <c r="C182" s="173" t="s">
        <v>5458</v>
      </c>
      <c r="D182" s="173" t="s">
        <v>5246</v>
      </c>
      <c r="E182" s="173" t="s">
        <v>4800</v>
      </c>
      <c r="F182" s="173" t="s">
        <v>4406</v>
      </c>
      <c r="G182" s="173" t="s">
        <v>5459</v>
      </c>
      <c r="H182" s="173"/>
      <c r="I182" s="173"/>
      <c r="J182" s="176" t="s">
        <v>21</v>
      </c>
      <c r="K182" s="176">
        <v>1000</v>
      </c>
      <c r="L182" s="173"/>
      <c r="M182" s="173"/>
      <c r="N182" s="173"/>
      <c r="O182" s="173"/>
      <c r="P182" s="173" t="s">
        <v>5523</v>
      </c>
      <c r="Q182" s="174">
        <v>43116</v>
      </c>
      <c r="R182" s="173"/>
    </row>
    <row r="183" spans="1:18" x14ac:dyDescent="0.25">
      <c r="A183" s="173" t="s">
        <v>12</v>
      </c>
      <c r="B183" s="174">
        <v>43028</v>
      </c>
      <c r="C183" s="173" t="s">
        <v>5460</v>
      </c>
      <c r="D183" s="173" t="s">
        <v>5246</v>
      </c>
      <c r="E183" s="173" t="s">
        <v>4800</v>
      </c>
      <c r="F183" s="173" t="s">
        <v>2806</v>
      </c>
      <c r="G183" s="173" t="s">
        <v>5461</v>
      </c>
      <c r="H183" s="173"/>
      <c r="I183" s="173"/>
      <c r="J183" s="176" t="s">
        <v>21</v>
      </c>
      <c r="K183" s="176">
        <v>1200</v>
      </c>
      <c r="L183" s="173" t="s">
        <v>5276</v>
      </c>
      <c r="M183" s="173"/>
      <c r="N183" s="173"/>
      <c r="O183" s="173"/>
      <c r="P183" s="173" t="s">
        <v>5523</v>
      </c>
      <c r="Q183" s="174">
        <v>43116</v>
      </c>
      <c r="R183" s="173"/>
    </row>
    <row r="184" spans="1:18" x14ac:dyDescent="0.25">
      <c r="A184" s="173" t="s">
        <v>12</v>
      </c>
      <c r="B184" s="174">
        <v>43028</v>
      </c>
      <c r="C184" s="173" t="s">
        <v>5462</v>
      </c>
      <c r="D184" s="173" t="s">
        <v>5246</v>
      </c>
      <c r="E184" s="173" t="s">
        <v>4800</v>
      </c>
      <c r="F184" s="173" t="s">
        <v>5463</v>
      </c>
      <c r="G184" s="173" t="s">
        <v>5464</v>
      </c>
      <c r="H184" s="173"/>
      <c r="I184" s="173"/>
      <c r="J184" s="176" t="s">
        <v>21</v>
      </c>
      <c r="K184" s="176">
        <v>1000</v>
      </c>
      <c r="L184" s="173"/>
      <c r="M184" s="173"/>
      <c r="N184" s="173"/>
      <c r="O184" s="173"/>
      <c r="P184" s="173" t="s">
        <v>5523</v>
      </c>
      <c r="Q184" s="174">
        <v>43116</v>
      </c>
      <c r="R184" s="173"/>
    </row>
    <row r="185" spans="1:18" x14ac:dyDescent="0.25">
      <c r="A185" s="173" t="s">
        <v>12</v>
      </c>
      <c r="B185" s="174">
        <v>43040</v>
      </c>
      <c r="C185" s="175" t="s">
        <v>5465</v>
      </c>
      <c r="D185" s="173" t="s">
        <v>5246</v>
      </c>
      <c r="E185" s="173" t="s">
        <v>4800</v>
      </c>
      <c r="F185" s="173" t="s">
        <v>5466</v>
      </c>
      <c r="G185" s="173" t="s">
        <v>5467</v>
      </c>
      <c r="H185" s="173">
        <v>826.45</v>
      </c>
      <c r="I185" s="176">
        <f>H185*0.21</f>
        <v>173.55449999999999</v>
      </c>
      <c r="J185" s="176"/>
      <c r="K185" s="176">
        <f>+H185+I185</f>
        <v>1000.0045</v>
      </c>
      <c r="L185" s="173"/>
      <c r="M185" s="173"/>
      <c r="N185" s="173"/>
      <c r="O185" s="173"/>
      <c r="P185" s="173" t="s">
        <v>5523</v>
      </c>
      <c r="Q185" s="174">
        <v>43116</v>
      </c>
      <c r="R185" s="173"/>
    </row>
    <row r="186" spans="1:18" x14ac:dyDescent="0.25">
      <c r="A186" s="173" t="s">
        <v>12</v>
      </c>
      <c r="B186" s="174">
        <v>43066</v>
      </c>
      <c r="C186" s="175" t="s">
        <v>5468</v>
      </c>
      <c r="D186" s="173" t="s">
        <v>5246</v>
      </c>
      <c r="E186" s="173" t="s">
        <v>4800</v>
      </c>
      <c r="F186" s="173" t="s">
        <v>5469</v>
      </c>
      <c r="G186" s="173" t="s">
        <v>5470</v>
      </c>
      <c r="H186" s="173">
        <v>1652.89</v>
      </c>
      <c r="I186" s="176">
        <f>H186*0.21</f>
        <v>347.1069</v>
      </c>
      <c r="J186" s="176"/>
      <c r="K186" s="176">
        <f>+H186+I186</f>
        <v>1999.9969000000001</v>
      </c>
      <c r="L186" s="173"/>
      <c r="M186" s="173"/>
      <c r="N186" s="173"/>
      <c r="O186" s="173"/>
      <c r="P186" s="173" t="s">
        <v>5523</v>
      </c>
      <c r="Q186" s="174">
        <v>43116</v>
      </c>
      <c r="R186" s="173"/>
    </row>
    <row r="187" spans="1:18" x14ac:dyDescent="0.25">
      <c r="A187" s="173" t="s">
        <v>12</v>
      </c>
      <c r="B187" s="174">
        <v>43073</v>
      </c>
      <c r="C187" s="197">
        <v>645</v>
      </c>
      <c r="D187" s="173" t="s">
        <v>4579</v>
      </c>
      <c r="E187" s="173" t="s">
        <v>4580</v>
      </c>
      <c r="F187" s="173" t="s">
        <v>5471</v>
      </c>
      <c r="G187" s="173" t="s">
        <v>5472</v>
      </c>
      <c r="H187" s="173"/>
      <c r="I187" s="173"/>
      <c r="J187" s="176" t="s">
        <v>21</v>
      </c>
      <c r="K187" s="176">
        <v>1300</v>
      </c>
      <c r="L187" s="173"/>
      <c r="M187" s="173"/>
      <c r="N187" s="173"/>
      <c r="O187" s="173"/>
      <c r="P187" s="173" t="s">
        <v>5523</v>
      </c>
      <c r="Q187" s="174">
        <v>43116</v>
      </c>
      <c r="R187" s="173"/>
    </row>
    <row r="188" spans="1:18" x14ac:dyDescent="0.25">
      <c r="A188" s="173" t="s">
        <v>12</v>
      </c>
      <c r="B188" s="174">
        <v>43096</v>
      </c>
      <c r="C188" s="173" t="s">
        <v>5473</v>
      </c>
      <c r="D188" s="173" t="s">
        <v>5246</v>
      </c>
      <c r="E188" s="173" t="s">
        <v>4800</v>
      </c>
      <c r="F188" s="173" t="s">
        <v>5474</v>
      </c>
      <c r="G188" s="173" t="s">
        <v>5475</v>
      </c>
      <c r="H188" s="173"/>
      <c r="I188" s="173"/>
      <c r="J188" s="176" t="s">
        <v>21</v>
      </c>
      <c r="K188" s="176">
        <v>5300</v>
      </c>
      <c r="L188" s="173"/>
      <c r="M188" s="173" t="s">
        <v>5562</v>
      </c>
      <c r="N188" s="173"/>
      <c r="O188" s="173"/>
      <c r="P188" s="173" t="s">
        <v>5523</v>
      </c>
      <c r="Q188" s="174">
        <v>43116</v>
      </c>
      <c r="R188" s="173"/>
    </row>
    <row r="189" spans="1:18" x14ac:dyDescent="0.25">
      <c r="A189" s="173" t="s">
        <v>12</v>
      </c>
      <c r="B189" s="174">
        <v>43096</v>
      </c>
      <c r="C189" s="173" t="s">
        <v>5476</v>
      </c>
      <c r="D189" s="173" t="s">
        <v>5246</v>
      </c>
      <c r="E189" s="173" t="s">
        <v>4800</v>
      </c>
      <c r="F189" s="173" t="s">
        <v>5477</v>
      </c>
      <c r="G189" s="173" t="s">
        <v>5478</v>
      </c>
      <c r="H189" s="173"/>
      <c r="I189" s="173"/>
      <c r="J189" s="176" t="s">
        <v>21</v>
      </c>
      <c r="K189" s="176">
        <v>8500</v>
      </c>
      <c r="L189" s="173"/>
      <c r="M189" s="173" t="s">
        <v>5562</v>
      </c>
      <c r="N189" s="173"/>
      <c r="O189" s="173"/>
      <c r="P189" s="173" t="s">
        <v>5523</v>
      </c>
      <c r="Q189" s="174">
        <v>43116</v>
      </c>
      <c r="R189" s="173"/>
    </row>
    <row r="190" spans="1:18" x14ac:dyDescent="0.25">
      <c r="A190" s="173" t="s">
        <v>12</v>
      </c>
      <c r="B190" s="174">
        <v>43096</v>
      </c>
      <c r="C190" s="173" t="s">
        <v>5479</v>
      </c>
      <c r="D190" s="173" t="s">
        <v>5246</v>
      </c>
      <c r="E190" s="173" t="s">
        <v>4800</v>
      </c>
      <c r="F190" s="173" t="s">
        <v>5480</v>
      </c>
      <c r="G190" s="173" t="s">
        <v>5481</v>
      </c>
      <c r="H190" s="173"/>
      <c r="I190" s="173"/>
      <c r="J190" s="176" t="s">
        <v>21</v>
      </c>
      <c r="K190" s="176">
        <v>1000</v>
      </c>
      <c r="L190" s="173"/>
      <c r="M190" s="173"/>
      <c r="N190" s="173"/>
      <c r="O190" s="173"/>
      <c r="P190" s="173" t="s">
        <v>5523</v>
      </c>
      <c r="Q190" s="174">
        <v>43116</v>
      </c>
      <c r="R190" s="173"/>
    </row>
    <row r="191" spans="1:18" x14ac:dyDescent="0.25">
      <c r="A191" s="173" t="s">
        <v>12</v>
      </c>
      <c r="B191" s="174">
        <v>43096</v>
      </c>
      <c r="C191" s="173" t="s">
        <v>5482</v>
      </c>
      <c r="D191" s="173" t="s">
        <v>5246</v>
      </c>
      <c r="E191" s="173" t="s">
        <v>4800</v>
      </c>
      <c r="F191" s="173" t="s">
        <v>3344</v>
      </c>
      <c r="G191" s="173" t="s">
        <v>5483</v>
      </c>
      <c r="H191" s="173"/>
      <c r="I191" s="173"/>
      <c r="J191" s="176" t="s">
        <v>21</v>
      </c>
      <c r="K191" s="176">
        <v>3300</v>
      </c>
      <c r="L191" s="173"/>
      <c r="M191" s="173"/>
      <c r="N191" s="173"/>
      <c r="O191" s="173"/>
      <c r="P191" s="173" t="s">
        <v>5523</v>
      </c>
      <c r="Q191" s="174">
        <v>43116</v>
      </c>
      <c r="R191" s="173"/>
    </row>
    <row r="192" spans="1:18" x14ac:dyDescent="0.25">
      <c r="A192" s="173" t="s">
        <v>408</v>
      </c>
      <c r="B192" s="174">
        <v>43027</v>
      </c>
      <c r="C192" s="173" t="s">
        <v>5484</v>
      </c>
      <c r="D192" s="173" t="s">
        <v>5485</v>
      </c>
      <c r="E192" s="173" t="s">
        <v>5486</v>
      </c>
      <c r="F192" s="173" t="s">
        <v>5271</v>
      </c>
      <c r="G192" s="173" t="s">
        <v>5447</v>
      </c>
      <c r="H192" s="173"/>
      <c r="I192" s="173"/>
      <c r="J192" s="176" t="s">
        <v>21</v>
      </c>
      <c r="K192" s="173">
        <v>10500</v>
      </c>
      <c r="L192" s="173" t="s">
        <v>5487</v>
      </c>
      <c r="M192" s="173" t="s">
        <v>5553</v>
      </c>
      <c r="N192" s="173"/>
      <c r="O192" s="173"/>
      <c r="P192" s="173" t="s">
        <v>5523</v>
      </c>
      <c r="Q192" s="174">
        <v>43116</v>
      </c>
      <c r="R192" s="173" t="s">
        <v>3186</v>
      </c>
    </row>
    <row r="193" spans="1:18" x14ac:dyDescent="0.25">
      <c r="A193" s="173" t="s">
        <v>408</v>
      </c>
      <c r="B193" s="174">
        <v>43036</v>
      </c>
      <c r="C193" s="173" t="s">
        <v>835</v>
      </c>
      <c r="D193" s="173" t="s">
        <v>5488</v>
      </c>
      <c r="E193" s="173" t="s">
        <v>5489</v>
      </c>
      <c r="F193" s="173" t="s">
        <v>5404</v>
      </c>
      <c r="G193" s="173" t="s">
        <v>5405</v>
      </c>
      <c r="H193" s="176">
        <v>15702.48</v>
      </c>
      <c r="I193" s="176">
        <f>+H193*0.21</f>
        <v>3297.5207999999998</v>
      </c>
      <c r="J193" s="176"/>
      <c r="K193" s="176">
        <f>+H193+I193</f>
        <v>19000.000799999998</v>
      </c>
      <c r="L193" s="173" t="s">
        <v>5490</v>
      </c>
      <c r="M193" s="173" t="s">
        <v>5569</v>
      </c>
      <c r="N193" s="173"/>
      <c r="O193" s="173"/>
      <c r="P193" s="173" t="s">
        <v>5523</v>
      </c>
      <c r="Q193" s="174">
        <v>43116</v>
      </c>
      <c r="R193" s="173" t="s">
        <v>3186</v>
      </c>
    </row>
    <row r="194" spans="1:18" x14ac:dyDescent="0.25">
      <c r="A194" s="173" t="s">
        <v>408</v>
      </c>
      <c r="B194" s="174">
        <v>43097</v>
      </c>
      <c r="C194" s="173" t="s">
        <v>5491</v>
      </c>
      <c r="D194" s="173" t="s">
        <v>5492</v>
      </c>
      <c r="E194" s="173" t="s">
        <v>5493</v>
      </c>
      <c r="F194" s="173" t="s">
        <v>2806</v>
      </c>
      <c r="G194" s="173" t="s">
        <v>5461</v>
      </c>
      <c r="H194" s="173"/>
      <c r="I194" s="173"/>
      <c r="J194" s="176" t="s">
        <v>21</v>
      </c>
      <c r="K194" s="173">
        <v>1800</v>
      </c>
      <c r="L194" s="173" t="s">
        <v>5494</v>
      </c>
      <c r="M194" s="173" t="s">
        <v>5537</v>
      </c>
      <c r="N194" s="173"/>
      <c r="O194" s="173"/>
      <c r="P194" s="173" t="s">
        <v>5523</v>
      </c>
      <c r="Q194" s="174">
        <v>43116</v>
      </c>
      <c r="R194" s="173" t="s">
        <v>3186</v>
      </c>
    </row>
    <row r="195" spans="1:18" x14ac:dyDescent="0.25">
      <c r="A195" s="173" t="s">
        <v>408</v>
      </c>
      <c r="B195" s="174">
        <v>43070</v>
      </c>
      <c r="C195" s="173" t="s">
        <v>5495</v>
      </c>
      <c r="D195" s="173" t="s">
        <v>5496</v>
      </c>
      <c r="E195" s="173" t="s">
        <v>5497</v>
      </c>
      <c r="F195" s="173" t="s">
        <v>5393</v>
      </c>
      <c r="G195" s="173" t="s">
        <v>5394</v>
      </c>
      <c r="H195" s="173"/>
      <c r="I195" s="173"/>
      <c r="J195" s="176" t="s">
        <v>21</v>
      </c>
      <c r="K195" s="173">
        <v>14000</v>
      </c>
      <c r="L195" s="173" t="s">
        <v>5498</v>
      </c>
      <c r="M195" s="173" t="s">
        <v>5570</v>
      </c>
      <c r="N195" s="173"/>
      <c r="O195" s="173"/>
      <c r="P195" s="173" t="s">
        <v>5523</v>
      </c>
      <c r="Q195" s="174">
        <v>43116</v>
      </c>
      <c r="R195" s="173" t="s">
        <v>3791</v>
      </c>
    </row>
    <row r="196" spans="1:18" x14ac:dyDescent="0.25">
      <c r="A196" s="173" t="s">
        <v>408</v>
      </c>
      <c r="B196" s="174">
        <v>43053</v>
      </c>
      <c r="C196" s="173" t="s">
        <v>5499</v>
      </c>
      <c r="D196" s="173" t="s">
        <v>5500</v>
      </c>
      <c r="E196" s="173" t="s">
        <v>5501</v>
      </c>
      <c r="F196" s="173" t="s">
        <v>3206</v>
      </c>
      <c r="G196" s="173" t="s">
        <v>5402</v>
      </c>
      <c r="H196" s="173"/>
      <c r="I196" s="173"/>
      <c r="J196" s="176" t="s">
        <v>21</v>
      </c>
      <c r="K196" s="173">
        <v>1100</v>
      </c>
      <c r="L196" s="173" t="s">
        <v>5502</v>
      </c>
      <c r="M196" s="173" t="s">
        <v>5571</v>
      </c>
      <c r="N196" s="173"/>
      <c r="O196" s="173"/>
      <c r="P196" s="173" t="s">
        <v>5523</v>
      </c>
      <c r="Q196" s="174">
        <v>43116</v>
      </c>
      <c r="R196" s="173" t="s">
        <v>3791</v>
      </c>
    </row>
    <row r="197" spans="1:18" x14ac:dyDescent="0.25">
      <c r="A197" s="173" t="s">
        <v>408</v>
      </c>
      <c r="B197" s="174">
        <v>43064</v>
      </c>
      <c r="C197" s="173" t="s">
        <v>5503</v>
      </c>
      <c r="D197" s="173" t="s">
        <v>5504</v>
      </c>
      <c r="E197" s="173" t="s">
        <v>5505</v>
      </c>
      <c r="F197" s="173" t="s">
        <v>5112</v>
      </c>
      <c r="G197" s="173" t="s">
        <v>5396</v>
      </c>
      <c r="H197" s="173"/>
      <c r="I197" s="173"/>
      <c r="J197" s="176" t="s">
        <v>21</v>
      </c>
      <c r="K197" s="173">
        <v>6200</v>
      </c>
      <c r="L197" s="173" t="s">
        <v>5506</v>
      </c>
      <c r="M197" s="173" t="s">
        <v>5556</v>
      </c>
      <c r="N197" s="173"/>
      <c r="O197" s="173"/>
      <c r="P197" s="173" t="s">
        <v>5523</v>
      </c>
      <c r="Q197" s="174">
        <v>43116</v>
      </c>
      <c r="R197" s="173" t="s">
        <v>3791</v>
      </c>
    </row>
    <row r="198" spans="1:18" x14ac:dyDescent="0.25">
      <c r="A198" s="173" t="s">
        <v>408</v>
      </c>
      <c r="B198" s="174">
        <v>43054</v>
      </c>
      <c r="C198" s="173" t="s">
        <v>5507</v>
      </c>
      <c r="D198" s="173" t="s">
        <v>5508</v>
      </c>
      <c r="E198" s="173" t="s">
        <v>5509</v>
      </c>
      <c r="F198" s="173" t="s">
        <v>406</v>
      </c>
      <c r="G198" s="173" t="s">
        <v>5449</v>
      </c>
      <c r="H198" s="176">
        <f>1895/1.21</f>
        <v>1566.1157024793388</v>
      </c>
      <c r="I198" s="176">
        <f>+H198*0.21</f>
        <v>328.88429752066111</v>
      </c>
      <c r="J198" s="176"/>
      <c r="K198" s="176">
        <f>+H198+I198</f>
        <v>1895</v>
      </c>
      <c r="L198" s="173" t="s">
        <v>5510</v>
      </c>
      <c r="M198" s="173" t="s">
        <v>5564</v>
      </c>
      <c r="N198" s="173"/>
      <c r="O198" s="173"/>
      <c r="P198" s="173" t="s">
        <v>5523</v>
      </c>
      <c r="Q198" s="174">
        <v>43116</v>
      </c>
      <c r="R198" s="173" t="s">
        <v>3791</v>
      </c>
    </row>
    <row r="199" spans="1:18" x14ac:dyDescent="0.25">
      <c r="A199" s="173" t="s">
        <v>408</v>
      </c>
      <c r="B199" s="174">
        <v>43021</v>
      </c>
      <c r="C199" s="173" t="s">
        <v>5511</v>
      </c>
      <c r="D199" s="173" t="s">
        <v>5512</v>
      </c>
      <c r="E199" s="173" t="s">
        <v>5513</v>
      </c>
      <c r="F199" s="173" t="s">
        <v>5456</v>
      </c>
      <c r="G199" s="173" t="s">
        <v>5457</v>
      </c>
      <c r="H199" s="173"/>
      <c r="I199" s="173"/>
      <c r="J199" s="173" t="s">
        <v>21</v>
      </c>
      <c r="K199" s="173">
        <v>5000</v>
      </c>
      <c r="L199" s="173" t="s">
        <v>5514</v>
      </c>
      <c r="M199" s="173" t="s">
        <v>5575</v>
      </c>
      <c r="N199" s="173"/>
      <c r="O199" s="173"/>
      <c r="P199" s="173" t="s">
        <v>5523</v>
      </c>
      <c r="Q199" s="174">
        <v>43116</v>
      </c>
      <c r="R199" s="173" t="s">
        <v>3186</v>
      </c>
    </row>
    <row r="200" spans="1:18" x14ac:dyDescent="0.25">
      <c r="A200" s="173" t="s">
        <v>408</v>
      </c>
      <c r="B200" s="174">
        <v>43021</v>
      </c>
      <c r="C200" s="173" t="s">
        <v>5515</v>
      </c>
      <c r="D200" s="173" t="s">
        <v>5516</v>
      </c>
      <c r="E200" s="173" t="s">
        <v>5517</v>
      </c>
      <c r="F200" s="173" t="s">
        <v>2652</v>
      </c>
      <c r="G200" s="173" t="s">
        <v>5399</v>
      </c>
      <c r="H200" s="173"/>
      <c r="I200" s="173"/>
      <c r="J200" s="176" t="s">
        <v>21</v>
      </c>
      <c r="K200" s="173">
        <v>10000</v>
      </c>
      <c r="L200" s="173" t="s">
        <v>5518</v>
      </c>
      <c r="M200" s="173" t="s">
        <v>5574</v>
      </c>
      <c r="N200" s="173"/>
      <c r="O200" s="173"/>
      <c r="P200" s="173" t="s">
        <v>5523</v>
      </c>
      <c r="Q200" s="174">
        <v>43116</v>
      </c>
      <c r="R200" s="173"/>
    </row>
    <row r="201" spans="1:18" x14ac:dyDescent="0.25">
      <c r="A201" s="173" t="s">
        <v>408</v>
      </c>
      <c r="B201" s="174">
        <v>43083</v>
      </c>
      <c r="C201" s="173" t="s">
        <v>5519</v>
      </c>
      <c r="D201" s="173" t="s">
        <v>5520</v>
      </c>
      <c r="E201" s="173" t="s">
        <v>5521</v>
      </c>
      <c r="F201" s="173" t="s">
        <v>4386</v>
      </c>
      <c r="G201" s="173" t="s">
        <v>5454</v>
      </c>
      <c r="H201" s="173"/>
      <c r="I201" s="173"/>
      <c r="J201" s="173" t="s">
        <v>21</v>
      </c>
      <c r="K201" s="173">
        <v>12000</v>
      </c>
      <c r="L201" s="173" t="s">
        <v>5522</v>
      </c>
      <c r="M201" s="173" t="s">
        <v>5536</v>
      </c>
      <c r="N201" s="173"/>
      <c r="O201" s="173"/>
      <c r="P201" s="173" t="s">
        <v>5523</v>
      </c>
      <c r="Q201" s="174">
        <v>43116</v>
      </c>
      <c r="R201" s="173" t="s">
        <v>3186</v>
      </c>
    </row>
    <row r="202" spans="1:18" x14ac:dyDescent="0.25">
      <c r="A202" s="202" t="s">
        <v>12</v>
      </c>
      <c r="B202" s="207">
        <v>42989</v>
      </c>
      <c r="C202" s="202" t="s">
        <v>944</v>
      </c>
      <c r="D202" s="202" t="s">
        <v>5524</v>
      </c>
      <c r="E202" s="202" t="s">
        <v>5525</v>
      </c>
      <c r="F202" s="202" t="s">
        <v>5526</v>
      </c>
      <c r="G202" s="202" t="s">
        <v>5527</v>
      </c>
      <c r="J202" s="208" t="s">
        <v>21</v>
      </c>
      <c r="K202" s="202">
        <v>400</v>
      </c>
      <c r="L202" s="202" t="s">
        <v>5276</v>
      </c>
      <c r="P202" s="173" t="s">
        <v>5523</v>
      </c>
      <c r="Q202" s="174">
        <v>43119</v>
      </c>
    </row>
    <row r="203" spans="1:18" x14ac:dyDescent="0.25">
      <c r="A203" s="202" t="s">
        <v>408</v>
      </c>
      <c r="B203" s="207">
        <v>43055</v>
      </c>
      <c r="C203" s="202" t="s">
        <v>5528</v>
      </c>
      <c r="D203" s="202" t="s">
        <v>3745</v>
      </c>
      <c r="E203" s="202" t="s">
        <v>3746</v>
      </c>
      <c r="F203" s="202" t="s">
        <v>5526</v>
      </c>
      <c r="G203" s="202" t="s">
        <v>5527</v>
      </c>
      <c r="J203" s="208" t="s">
        <v>21</v>
      </c>
      <c r="K203" s="202">
        <v>700</v>
      </c>
      <c r="L203" t="s">
        <v>5529</v>
      </c>
      <c r="P203" s="173" t="s">
        <v>5523</v>
      </c>
      <c r="Q203" s="174">
        <v>43119</v>
      </c>
    </row>
    <row r="204" spans="1:18" x14ac:dyDescent="0.25">
      <c r="A204" s="202" t="s">
        <v>12</v>
      </c>
      <c r="B204" s="207">
        <v>42940</v>
      </c>
      <c r="C204" s="173" t="s">
        <v>5530</v>
      </c>
      <c r="D204" s="173" t="s">
        <v>5246</v>
      </c>
      <c r="E204" s="173" t="s">
        <v>4800</v>
      </c>
      <c r="F204" s="173" t="s">
        <v>5532</v>
      </c>
      <c r="G204" s="173" t="s">
        <v>5531</v>
      </c>
      <c r="H204" s="173"/>
      <c r="I204" s="173"/>
      <c r="J204" s="176" t="s">
        <v>21</v>
      </c>
      <c r="K204" s="176">
        <v>500</v>
      </c>
      <c r="L204" t="s">
        <v>5276</v>
      </c>
      <c r="P204" s="173" t="s">
        <v>5523</v>
      </c>
      <c r="Q204" s="207">
        <v>43122</v>
      </c>
    </row>
    <row r="205" spans="1:18" x14ac:dyDescent="0.25">
      <c r="A205" s="202" t="s">
        <v>408</v>
      </c>
      <c r="B205" s="207">
        <v>43068</v>
      </c>
      <c r="C205" s="202" t="s">
        <v>5533</v>
      </c>
      <c r="D205" s="202" t="s">
        <v>5534</v>
      </c>
      <c r="E205" s="202" t="s">
        <v>5535</v>
      </c>
      <c r="F205" s="173" t="s">
        <v>5532</v>
      </c>
      <c r="G205" s="173" t="s">
        <v>5531</v>
      </c>
      <c r="H205" s="173"/>
      <c r="I205" s="173"/>
      <c r="J205" s="176" t="s">
        <v>21</v>
      </c>
      <c r="K205" s="176">
        <v>700</v>
      </c>
      <c r="L205" t="s">
        <v>5487</v>
      </c>
      <c r="P205" s="173" t="s">
        <v>5523</v>
      </c>
      <c r="Q205" s="207">
        <v>43122</v>
      </c>
    </row>
  </sheetData>
  <autoFilter ref="A1:R205" xr:uid="{00000000-0009-0000-0000-000004000000}"/>
  <pageMargins left="0.7" right="0.7" top="0.75" bottom="0.75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WEB</vt:lpstr>
      <vt:lpstr>Informe</vt:lpstr>
      <vt:lpstr>2022-25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Movimientos2013</vt:lpstr>
      <vt:lpstr>2012</vt:lpstr>
      <vt:lpstr>2011</vt:lpstr>
      <vt:lpstr>2010</vt:lpstr>
      <vt:lpstr>2009</vt:lpstr>
      <vt:lpstr>Plantillas</vt:lpstr>
      <vt:lpstr>RECTIFICACIONES</vt:lpstr>
      <vt:lpstr>Ho2012declarado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María M</cp:lastModifiedBy>
  <cp:lastPrinted>2011-12-25T09:26:02Z</cp:lastPrinted>
  <dcterms:created xsi:type="dcterms:W3CDTF">2009-04-10T17:49:32Z</dcterms:created>
  <dcterms:modified xsi:type="dcterms:W3CDTF">2025-06-03T17:33:26Z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a288f72f-5e97-424a-a3cc-eaa8d0eab990</vt:lpwstr>
  </property>
</Properties>
</file>