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NiftyBank MW" sheetId="1" r:id="rId1"/>
  </sheets>
  <calcPr calcId="144525"/>
</workbook>
</file>

<file path=xl/calcChain.xml><?xml version="1.0" encoding="utf-8"?>
<calcChain xmlns="http://schemas.openxmlformats.org/spreadsheetml/2006/main">
  <c r="M110" i="1" l="1"/>
  <c r="E110" i="1"/>
  <c r="J109" i="1"/>
  <c r="B109" i="1"/>
  <c r="G108" i="1"/>
  <c r="L107" i="1"/>
  <c r="D107" i="1"/>
  <c r="I106" i="1"/>
  <c r="A106" i="1"/>
  <c r="F105" i="1"/>
  <c r="K104" i="1"/>
  <c r="C104" i="1"/>
  <c r="H103" i="1"/>
  <c r="M102" i="1"/>
  <c r="E102" i="1"/>
  <c r="J101" i="1"/>
  <c r="B101" i="1"/>
  <c r="G100" i="1"/>
  <c r="L99" i="1"/>
  <c r="D99" i="1"/>
  <c r="I98" i="1"/>
  <c r="A98" i="1"/>
  <c r="F97" i="1"/>
  <c r="K96" i="1"/>
  <c r="C96" i="1"/>
  <c r="H95" i="1"/>
  <c r="M94" i="1"/>
  <c r="E94" i="1"/>
  <c r="J93" i="1"/>
  <c r="B93" i="1"/>
  <c r="G92" i="1"/>
  <c r="L91" i="1"/>
  <c r="D91" i="1"/>
  <c r="I90" i="1"/>
  <c r="A90" i="1"/>
  <c r="F89" i="1"/>
  <c r="K88" i="1"/>
  <c r="C88" i="1"/>
  <c r="H87" i="1"/>
  <c r="M86" i="1"/>
  <c r="E86" i="1"/>
  <c r="J85" i="1"/>
  <c r="B85" i="1"/>
  <c r="G84" i="1"/>
  <c r="L83" i="1"/>
  <c r="D83" i="1"/>
  <c r="I82" i="1"/>
  <c r="A82" i="1"/>
  <c r="F81" i="1"/>
  <c r="K80" i="1"/>
  <c r="C80" i="1"/>
  <c r="H79" i="1"/>
  <c r="M78" i="1"/>
  <c r="E78" i="1"/>
  <c r="J77" i="1"/>
  <c r="B77" i="1"/>
  <c r="G76" i="1"/>
  <c r="L75" i="1"/>
  <c r="D75" i="1"/>
  <c r="I74" i="1"/>
  <c r="A74" i="1"/>
  <c r="F73" i="1"/>
  <c r="K72" i="1"/>
  <c r="C72" i="1"/>
  <c r="H71" i="1"/>
  <c r="M70" i="1"/>
  <c r="E70" i="1"/>
  <c r="J69" i="1"/>
  <c r="B69" i="1"/>
  <c r="G68" i="1"/>
  <c r="L67" i="1"/>
  <c r="D67" i="1"/>
  <c r="I66" i="1"/>
  <c r="A66" i="1"/>
  <c r="F65" i="1"/>
  <c r="K64" i="1"/>
  <c r="C64" i="1"/>
  <c r="H63" i="1"/>
  <c r="M62" i="1"/>
  <c r="D70" i="1"/>
  <c r="K67" i="1"/>
  <c r="E65" i="1"/>
  <c r="L62" i="1"/>
  <c r="L110" i="1"/>
  <c r="D110" i="1"/>
  <c r="I109" i="1"/>
  <c r="A109" i="1"/>
  <c r="F108" i="1"/>
  <c r="K107" i="1"/>
  <c r="C107" i="1"/>
  <c r="H106" i="1"/>
  <c r="M105" i="1"/>
  <c r="E105" i="1"/>
  <c r="J104" i="1"/>
  <c r="B104" i="1"/>
  <c r="G103" i="1"/>
  <c r="L102" i="1"/>
  <c r="D102" i="1"/>
  <c r="I101" i="1"/>
  <c r="A101" i="1"/>
  <c r="F100" i="1"/>
  <c r="K99" i="1"/>
  <c r="C99" i="1"/>
  <c r="H98" i="1"/>
  <c r="M97" i="1"/>
  <c r="E97" i="1"/>
  <c r="J96" i="1"/>
  <c r="B96" i="1"/>
  <c r="G95" i="1"/>
  <c r="L94" i="1"/>
  <c r="D94" i="1"/>
  <c r="I93" i="1"/>
  <c r="A93" i="1"/>
  <c r="F92" i="1"/>
  <c r="K91" i="1"/>
  <c r="C91" i="1"/>
  <c r="H90" i="1"/>
  <c r="M89" i="1"/>
  <c r="E89" i="1"/>
  <c r="J88" i="1"/>
  <c r="B88" i="1"/>
  <c r="G87" i="1"/>
  <c r="L86" i="1"/>
  <c r="D86" i="1"/>
  <c r="I85" i="1"/>
  <c r="A85" i="1"/>
  <c r="F84" i="1"/>
  <c r="K83" i="1"/>
  <c r="C83" i="1"/>
  <c r="H82" i="1"/>
  <c r="M81" i="1"/>
  <c r="E81" i="1"/>
  <c r="J80" i="1"/>
  <c r="B80" i="1"/>
  <c r="G79" i="1"/>
  <c r="L78" i="1"/>
  <c r="D78" i="1"/>
  <c r="I77" i="1"/>
  <c r="A77" i="1"/>
  <c r="F76" i="1"/>
  <c r="K75" i="1"/>
  <c r="C75" i="1"/>
  <c r="H74" i="1"/>
  <c r="M73" i="1"/>
  <c r="E73" i="1"/>
  <c r="J72" i="1"/>
  <c r="B72" i="1"/>
  <c r="G71" i="1"/>
  <c r="I69" i="1"/>
  <c r="F68" i="1"/>
  <c r="H66" i="1"/>
  <c r="B64" i="1"/>
  <c r="K110" i="1"/>
  <c r="C110" i="1"/>
  <c r="H109" i="1"/>
  <c r="M108" i="1"/>
  <c r="E108" i="1"/>
  <c r="J107" i="1"/>
  <c r="B107" i="1"/>
  <c r="G106" i="1"/>
  <c r="L105" i="1"/>
  <c r="D105" i="1"/>
  <c r="I104" i="1"/>
  <c r="A104" i="1"/>
  <c r="F103" i="1"/>
  <c r="K102" i="1"/>
  <c r="C102" i="1"/>
  <c r="H101" i="1"/>
  <c r="M100" i="1"/>
  <c r="E100" i="1"/>
  <c r="J99" i="1"/>
  <c r="B99" i="1"/>
  <c r="G98" i="1"/>
  <c r="L97" i="1"/>
  <c r="D97" i="1"/>
  <c r="I96" i="1"/>
  <c r="A96" i="1"/>
  <c r="F95" i="1"/>
  <c r="K94" i="1"/>
  <c r="C94" i="1"/>
  <c r="H93" i="1"/>
  <c r="M92" i="1"/>
  <c r="E92" i="1"/>
  <c r="J91" i="1"/>
  <c r="B91" i="1"/>
  <c r="G90" i="1"/>
  <c r="L89" i="1"/>
  <c r="D89" i="1"/>
  <c r="I88" i="1"/>
  <c r="A88" i="1"/>
  <c r="F87" i="1"/>
  <c r="K86" i="1"/>
  <c r="C86" i="1"/>
  <c r="H85" i="1"/>
  <c r="M84" i="1"/>
  <c r="E84" i="1"/>
  <c r="J83" i="1"/>
  <c r="B83" i="1"/>
  <c r="G82" i="1"/>
  <c r="L81" i="1"/>
  <c r="D81" i="1"/>
  <c r="I80" i="1"/>
  <c r="A80" i="1"/>
  <c r="F79" i="1"/>
  <c r="K78" i="1"/>
  <c r="C78" i="1"/>
  <c r="H77" i="1"/>
  <c r="M76" i="1"/>
  <c r="E76" i="1"/>
  <c r="J75" i="1"/>
  <c r="B75" i="1"/>
  <c r="G74" i="1"/>
  <c r="L73" i="1"/>
  <c r="D73" i="1"/>
  <c r="I72" i="1"/>
  <c r="A72" i="1"/>
  <c r="F71" i="1"/>
  <c r="K70" i="1"/>
  <c r="C70" i="1"/>
  <c r="H69" i="1"/>
  <c r="M68" i="1"/>
  <c r="E68" i="1"/>
  <c r="J67" i="1"/>
  <c r="B67" i="1"/>
  <c r="G66" i="1"/>
  <c r="L65" i="1"/>
  <c r="D65" i="1"/>
  <c r="I64" i="1"/>
  <c r="A64" i="1"/>
  <c r="F63" i="1"/>
  <c r="K62" i="1"/>
  <c r="C62" i="1"/>
  <c r="B68" i="1"/>
  <c r="D66" i="1"/>
  <c r="K63" i="1"/>
  <c r="J110" i="1"/>
  <c r="B110" i="1"/>
  <c r="G109" i="1"/>
  <c r="L108" i="1"/>
  <c r="D108" i="1"/>
  <c r="I107" i="1"/>
  <c r="A107" i="1"/>
  <c r="F106" i="1"/>
  <c r="K105" i="1"/>
  <c r="C105" i="1"/>
  <c r="H104" i="1"/>
  <c r="M103" i="1"/>
  <c r="E103" i="1"/>
  <c r="J102" i="1"/>
  <c r="B102" i="1"/>
  <c r="G101" i="1"/>
  <c r="L100" i="1"/>
  <c r="D100" i="1"/>
  <c r="I99" i="1"/>
  <c r="A99" i="1"/>
  <c r="F98" i="1"/>
  <c r="K97" i="1"/>
  <c r="C97" i="1"/>
  <c r="H96" i="1"/>
  <c r="M95" i="1"/>
  <c r="E95" i="1"/>
  <c r="J94" i="1"/>
  <c r="B94" i="1"/>
  <c r="G93" i="1"/>
  <c r="L92" i="1"/>
  <c r="D92" i="1"/>
  <c r="I91" i="1"/>
  <c r="A91" i="1"/>
  <c r="F90" i="1"/>
  <c r="K89" i="1"/>
  <c r="C89" i="1"/>
  <c r="H88" i="1"/>
  <c r="M87" i="1"/>
  <c r="E87" i="1"/>
  <c r="J86" i="1"/>
  <c r="B86" i="1"/>
  <c r="G85" i="1"/>
  <c r="L84" i="1"/>
  <c r="D84" i="1"/>
  <c r="I83" i="1"/>
  <c r="A83" i="1"/>
  <c r="F82" i="1"/>
  <c r="K81" i="1"/>
  <c r="C81" i="1"/>
  <c r="H80" i="1"/>
  <c r="M79" i="1"/>
  <c r="E79" i="1"/>
  <c r="J78" i="1"/>
  <c r="B78" i="1"/>
  <c r="G77" i="1"/>
  <c r="L76" i="1"/>
  <c r="D76" i="1"/>
  <c r="I75" i="1"/>
  <c r="A75" i="1"/>
  <c r="F74" i="1"/>
  <c r="K73" i="1"/>
  <c r="C73" i="1"/>
  <c r="H72" i="1"/>
  <c r="M71" i="1"/>
  <c r="E71" i="1"/>
  <c r="J70" i="1"/>
  <c r="B70" i="1"/>
  <c r="G69" i="1"/>
  <c r="L68" i="1"/>
  <c r="D68" i="1"/>
  <c r="I67" i="1"/>
  <c r="A67" i="1"/>
  <c r="F66" i="1"/>
  <c r="K65" i="1"/>
  <c r="C65" i="1"/>
  <c r="H64" i="1"/>
  <c r="M63" i="1"/>
  <c r="E63" i="1"/>
  <c r="J62" i="1"/>
  <c r="B62" i="1"/>
  <c r="A62" i="1"/>
  <c r="J68" i="1"/>
  <c r="I65" i="1"/>
  <c r="C63" i="1"/>
  <c r="I110" i="1"/>
  <c r="A110" i="1"/>
  <c r="F109" i="1"/>
  <c r="K108" i="1"/>
  <c r="C108" i="1"/>
  <c r="H107" i="1"/>
  <c r="M106" i="1"/>
  <c r="E106" i="1"/>
  <c r="J105" i="1"/>
  <c r="B105" i="1"/>
  <c r="G104" i="1"/>
  <c r="L103" i="1"/>
  <c r="D103" i="1"/>
  <c r="I102" i="1"/>
  <c r="A102" i="1"/>
  <c r="F101" i="1"/>
  <c r="K100" i="1"/>
  <c r="C100" i="1"/>
  <c r="H99" i="1"/>
  <c r="M98" i="1"/>
  <c r="E98" i="1"/>
  <c r="J97" i="1"/>
  <c r="B97" i="1"/>
  <c r="G96" i="1"/>
  <c r="L95" i="1"/>
  <c r="D95" i="1"/>
  <c r="I94" i="1"/>
  <c r="A94" i="1"/>
  <c r="F93" i="1"/>
  <c r="K92" i="1"/>
  <c r="C92" i="1"/>
  <c r="H91" i="1"/>
  <c r="M90" i="1"/>
  <c r="E90" i="1"/>
  <c r="J89" i="1"/>
  <c r="B89" i="1"/>
  <c r="G88" i="1"/>
  <c r="L87" i="1"/>
  <c r="D87" i="1"/>
  <c r="I86" i="1"/>
  <c r="A86" i="1"/>
  <c r="F85" i="1"/>
  <c r="K84" i="1"/>
  <c r="C84" i="1"/>
  <c r="H83" i="1"/>
  <c r="M82" i="1"/>
  <c r="E82" i="1"/>
  <c r="J81" i="1"/>
  <c r="B81" i="1"/>
  <c r="G80" i="1"/>
  <c r="L79" i="1"/>
  <c r="D79" i="1"/>
  <c r="I78" i="1"/>
  <c r="A78" i="1"/>
  <c r="F77" i="1"/>
  <c r="K76" i="1"/>
  <c r="C76" i="1"/>
  <c r="H75" i="1"/>
  <c r="M74" i="1"/>
  <c r="E74" i="1"/>
  <c r="J73" i="1"/>
  <c r="B73" i="1"/>
  <c r="G72" i="1"/>
  <c r="L71" i="1"/>
  <c r="D71" i="1"/>
  <c r="I70" i="1"/>
  <c r="A70" i="1"/>
  <c r="F69" i="1"/>
  <c r="K68" i="1"/>
  <c r="C68" i="1"/>
  <c r="H67" i="1"/>
  <c r="M66" i="1"/>
  <c r="E66" i="1"/>
  <c r="J65" i="1"/>
  <c r="B65" i="1"/>
  <c r="G64" i="1"/>
  <c r="L63" i="1"/>
  <c r="D63" i="1"/>
  <c r="I62" i="1"/>
  <c r="E69" i="1"/>
  <c r="A65" i="1"/>
  <c r="H62" i="1"/>
  <c r="H110" i="1"/>
  <c r="M109" i="1"/>
  <c r="E109" i="1"/>
  <c r="J108" i="1"/>
  <c r="B108" i="1"/>
  <c r="G107" i="1"/>
  <c r="L106" i="1"/>
  <c r="D106" i="1"/>
  <c r="I105" i="1"/>
  <c r="A105" i="1"/>
  <c r="F104" i="1"/>
  <c r="K103" i="1"/>
  <c r="C103" i="1"/>
  <c r="H102" i="1"/>
  <c r="M101" i="1"/>
  <c r="E101" i="1"/>
  <c r="J100" i="1"/>
  <c r="B100" i="1"/>
  <c r="G99" i="1"/>
  <c r="L98" i="1"/>
  <c r="D98" i="1"/>
  <c r="I97" i="1"/>
  <c r="A97" i="1"/>
  <c r="F96" i="1"/>
  <c r="K95" i="1"/>
  <c r="C95" i="1"/>
  <c r="H94" i="1"/>
  <c r="M93" i="1"/>
  <c r="E93" i="1"/>
  <c r="J92" i="1"/>
  <c r="B92" i="1"/>
  <c r="G91" i="1"/>
  <c r="L90" i="1"/>
  <c r="D90" i="1"/>
  <c r="I89" i="1"/>
  <c r="A89" i="1"/>
  <c r="F88" i="1"/>
  <c r="K87" i="1"/>
  <c r="C87" i="1"/>
  <c r="H86" i="1"/>
  <c r="M85" i="1"/>
  <c r="E85" i="1"/>
  <c r="J84" i="1"/>
  <c r="B84" i="1"/>
  <c r="G83" i="1"/>
  <c r="L82" i="1"/>
  <c r="D82" i="1"/>
  <c r="I81" i="1"/>
  <c r="A81" i="1"/>
  <c r="F80" i="1"/>
  <c r="K79" i="1"/>
  <c r="C79" i="1"/>
  <c r="H78" i="1"/>
  <c r="M77" i="1"/>
  <c r="E77" i="1"/>
  <c r="J76" i="1"/>
  <c r="B76" i="1"/>
  <c r="G75" i="1"/>
  <c r="L74" i="1"/>
  <c r="D74" i="1"/>
  <c r="I73" i="1"/>
  <c r="A73" i="1"/>
  <c r="F72" i="1"/>
  <c r="K71" i="1"/>
  <c r="C71" i="1"/>
  <c r="H70" i="1"/>
  <c r="M69" i="1"/>
  <c r="G67" i="1"/>
  <c r="L66" i="1"/>
  <c r="F64" i="1"/>
  <c r="G110" i="1"/>
  <c r="L109" i="1"/>
  <c r="D109" i="1"/>
  <c r="I108" i="1"/>
  <c r="A108" i="1"/>
  <c r="F107" i="1"/>
  <c r="K106" i="1"/>
  <c r="C106" i="1"/>
  <c r="H105" i="1"/>
  <c r="M104" i="1"/>
  <c r="E104" i="1"/>
  <c r="J103" i="1"/>
  <c r="B103" i="1"/>
  <c r="G102" i="1"/>
  <c r="L101" i="1"/>
  <c r="D101" i="1"/>
  <c r="I100" i="1"/>
  <c r="A100" i="1"/>
  <c r="F99" i="1"/>
  <c r="K98" i="1"/>
  <c r="C98" i="1"/>
  <c r="H97" i="1"/>
  <c r="M96" i="1"/>
  <c r="E96" i="1"/>
  <c r="J95" i="1"/>
  <c r="B95" i="1"/>
  <c r="G94" i="1"/>
  <c r="L93" i="1"/>
  <c r="D93" i="1"/>
  <c r="I92" i="1"/>
  <c r="A92" i="1"/>
  <c r="F91" i="1"/>
  <c r="K90" i="1"/>
  <c r="C90" i="1"/>
  <c r="H89" i="1"/>
  <c r="M88" i="1"/>
  <c r="E88" i="1"/>
  <c r="J87" i="1"/>
  <c r="B87" i="1"/>
  <c r="G86" i="1"/>
  <c r="L85" i="1"/>
  <c r="D85" i="1"/>
  <c r="I84" i="1"/>
  <c r="A84" i="1"/>
  <c r="F83" i="1"/>
  <c r="K82" i="1"/>
  <c r="C82" i="1"/>
  <c r="H81" i="1"/>
  <c r="M80" i="1"/>
  <c r="E80" i="1"/>
  <c r="J79" i="1"/>
  <c r="B79" i="1"/>
  <c r="G78" i="1"/>
  <c r="L77" i="1"/>
  <c r="D77" i="1"/>
  <c r="I76" i="1"/>
  <c r="A76" i="1"/>
  <c r="F75" i="1"/>
  <c r="K74" i="1"/>
  <c r="C74" i="1"/>
  <c r="H73" i="1"/>
  <c r="M72" i="1"/>
  <c r="E72" i="1"/>
  <c r="J71" i="1"/>
  <c r="B71" i="1"/>
  <c r="G70" i="1"/>
  <c r="L69" i="1"/>
  <c r="D69" i="1"/>
  <c r="I68" i="1"/>
  <c r="A68" i="1"/>
  <c r="F67" i="1"/>
  <c r="K66" i="1"/>
  <c r="C66" i="1"/>
  <c r="H65" i="1"/>
  <c r="M64" i="1"/>
  <c r="E64" i="1"/>
  <c r="J63" i="1"/>
  <c r="B63" i="1"/>
  <c r="G62" i="1"/>
  <c r="E62" i="1"/>
  <c r="A69" i="1"/>
  <c r="C67" i="1"/>
  <c r="J64" i="1"/>
  <c r="D62" i="1"/>
  <c r="F110" i="1"/>
  <c r="K109" i="1"/>
  <c r="C109" i="1"/>
  <c r="H108" i="1"/>
  <c r="M107" i="1"/>
  <c r="E107" i="1"/>
  <c r="J106" i="1"/>
  <c r="B106" i="1"/>
  <c r="G105" i="1"/>
  <c r="L104" i="1"/>
  <c r="D104" i="1"/>
  <c r="I103" i="1"/>
  <c r="A103" i="1"/>
  <c r="F102" i="1"/>
  <c r="K101" i="1"/>
  <c r="C101" i="1"/>
  <c r="H100" i="1"/>
  <c r="M99" i="1"/>
  <c r="E99" i="1"/>
  <c r="J98" i="1"/>
  <c r="B98" i="1"/>
  <c r="G97" i="1"/>
  <c r="L96" i="1"/>
  <c r="D96" i="1"/>
  <c r="I95" i="1"/>
  <c r="A95" i="1"/>
  <c r="F94" i="1"/>
  <c r="K93" i="1"/>
  <c r="C93" i="1"/>
  <c r="H92" i="1"/>
  <c r="M91" i="1"/>
  <c r="E91" i="1"/>
  <c r="J90" i="1"/>
  <c r="B90" i="1"/>
  <c r="G89" i="1"/>
  <c r="L88" i="1"/>
  <c r="D88" i="1"/>
  <c r="I87" i="1"/>
  <c r="A87" i="1"/>
  <c r="F86" i="1"/>
  <c r="K85" i="1"/>
  <c r="C85" i="1"/>
  <c r="H84" i="1"/>
  <c r="M83" i="1"/>
  <c r="E83" i="1"/>
  <c r="J82" i="1"/>
  <c r="B82" i="1"/>
  <c r="G81" i="1"/>
  <c r="L80" i="1"/>
  <c r="D80" i="1"/>
  <c r="I79" i="1"/>
  <c r="A79" i="1"/>
  <c r="F78" i="1"/>
  <c r="K77" i="1"/>
  <c r="C77" i="1"/>
  <c r="H76" i="1"/>
  <c r="M75" i="1"/>
  <c r="E75" i="1"/>
  <c r="J74" i="1"/>
  <c r="B74" i="1"/>
  <c r="G73" i="1"/>
  <c r="L72" i="1"/>
  <c r="D72" i="1"/>
  <c r="I71" i="1"/>
  <c r="A71" i="1"/>
  <c r="F70" i="1"/>
  <c r="K69" i="1"/>
  <c r="C69" i="1"/>
  <c r="H68" i="1"/>
  <c r="M67" i="1"/>
  <c r="E67" i="1"/>
  <c r="J66" i="1"/>
  <c r="B66" i="1"/>
  <c r="G65" i="1"/>
  <c r="L64" i="1"/>
  <c r="D64" i="1"/>
  <c r="I63" i="1"/>
  <c r="A63" i="1"/>
  <c r="F62" i="1"/>
  <c r="L70" i="1"/>
  <c r="M65" i="1"/>
  <c r="G63" i="1"/>
  <c r="M61" i="1"/>
  <c r="E61" i="1"/>
  <c r="J60" i="1"/>
  <c r="B60" i="1"/>
  <c r="G59" i="1"/>
  <c r="L58" i="1"/>
  <c r="D58" i="1"/>
  <c r="I57" i="1"/>
  <c r="A57" i="1"/>
  <c r="F56" i="1"/>
  <c r="K55" i="1"/>
  <c r="C55" i="1"/>
  <c r="H54" i="1"/>
  <c r="M53" i="1"/>
  <c r="E53" i="1"/>
  <c r="J52" i="1"/>
  <c r="B52" i="1"/>
  <c r="G51" i="1"/>
  <c r="L50" i="1"/>
  <c r="D50" i="1"/>
  <c r="I49" i="1"/>
  <c r="A49" i="1"/>
  <c r="F48" i="1"/>
  <c r="K47" i="1"/>
  <c r="C47" i="1"/>
  <c r="H46" i="1"/>
  <c r="M45" i="1"/>
  <c r="E45" i="1"/>
  <c r="J44" i="1"/>
  <c r="B44" i="1"/>
  <c r="G43" i="1"/>
  <c r="L42" i="1"/>
  <c r="D42" i="1"/>
  <c r="I41" i="1"/>
  <c r="A41" i="1"/>
  <c r="F40" i="1"/>
  <c r="K39" i="1"/>
  <c r="C39" i="1"/>
  <c r="H38" i="1"/>
  <c r="M37" i="1"/>
  <c r="E37" i="1"/>
  <c r="J36" i="1"/>
  <c r="B36" i="1"/>
  <c r="G35" i="1"/>
  <c r="L34" i="1"/>
  <c r="D34" i="1"/>
  <c r="I33" i="1"/>
  <c r="A33" i="1"/>
  <c r="F32" i="1"/>
  <c r="K31" i="1"/>
  <c r="C31" i="1"/>
  <c r="H30" i="1"/>
  <c r="M29" i="1"/>
  <c r="E29" i="1"/>
  <c r="J28" i="1"/>
  <c r="B28" i="1"/>
  <c r="G27" i="1"/>
  <c r="L26" i="1"/>
  <c r="D26" i="1"/>
  <c r="I25" i="1"/>
  <c r="A25" i="1"/>
  <c r="F24" i="1"/>
  <c r="K23" i="1"/>
  <c r="C23" i="1"/>
  <c r="H22" i="1"/>
  <c r="M21" i="1"/>
  <c r="E21" i="1"/>
  <c r="J20" i="1"/>
  <c r="B20" i="1"/>
  <c r="G19" i="1"/>
  <c r="L18" i="1"/>
  <c r="D18" i="1"/>
  <c r="A17" i="1"/>
  <c r="F16" i="1"/>
  <c r="C15" i="1"/>
  <c r="M13" i="1"/>
  <c r="M27" i="1"/>
  <c r="A23" i="1"/>
  <c r="M19" i="1"/>
  <c r="G17" i="1"/>
  <c r="A15" i="1"/>
  <c r="L61" i="1"/>
  <c r="D61" i="1"/>
  <c r="I60" i="1"/>
  <c r="A60" i="1"/>
  <c r="F59" i="1"/>
  <c r="K58" i="1"/>
  <c r="C58" i="1"/>
  <c r="H57" i="1"/>
  <c r="M56" i="1"/>
  <c r="E56" i="1"/>
  <c r="J55" i="1"/>
  <c r="B55" i="1"/>
  <c r="G54" i="1"/>
  <c r="L53" i="1"/>
  <c r="D53" i="1"/>
  <c r="I52" i="1"/>
  <c r="A52" i="1"/>
  <c r="F51" i="1"/>
  <c r="K50" i="1"/>
  <c r="C50" i="1"/>
  <c r="H49" i="1"/>
  <c r="M48" i="1"/>
  <c r="E48" i="1"/>
  <c r="J47" i="1"/>
  <c r="B47" i="1"/>
  <c r="G46" i="1"/>
  <c r="L45" i="1"/>
  <c r="D45" i="1"/>
  <c r="I44" i="1"/>
  <c r="A44" i="1"/>
  <c r="F43" i="1"/>
  <c r="K42" i="1"/>
  <c r="C42" i="1"/>
  <c r="H41" i="1"/>
  <c r="M40" i="1"/>
  <c r="E40" i="1"/>
  <c r="J39" i="1"/>
  <c r="B39" i="1"/>
  <c r="G38" i="1"/>
  <c r="L37" i="1"/>
  <c r="D37" i="1"/>
  <c r="I36" i="1"/>
  <c r="A36" i="1"/>
  <c r="F35" i="1"/>
  <c r="K34" i="1"/>
  <c r="C34" i="1"/>
  <c r="H33" i="1"/>
  <c r="M32" i="1"/>
  <c r="E32" i="1"/>
  <c r="J31" i="1"/>
  <c r="B31" i="1"/>
  <c r="G30" i="1"/>
  <c r="L29" i="1"/>
  <c r="D29" i="1"/>
  <c r="I28" i="1"/>
  <c r="A28" i="1"/>
  <c r="F27" i="1"/>
  <c r="K26" i="1"/>
  <c r="C26" i="1"/>
  <c r="H25" i="1"/>
  <c r="M24" i="1"/>
  <c r="E24" i="1"/>
  <c r="J23" i="1"/>
  <c r="B23" i="1"/>
  <c r="G22" i="1"/>
  <c r="L21" i="1"/>
  <c r="D21" i="1"/>
  <c r="I20" i="1"/>
  <c r="A20" i="1"/>
  <c r="F19" i="1"/>
  <c r="K18" i="1"/>
  <c r="C18" i="1"/>
  <c r="H17" i="1"/>
  <c r="M16" i="1"/>
  <c r="E16" i="1"/>
  <c r="J15" i="1"/>
  <c r="B15" i="1"/>
  <c r="G14" i="1"/>
  <c r="L13" i="1"/>
  <c r="D13" i="1"/>
  <c r="B34" i="1"/>
  <c r="K29" i="1"/>
  <c r="E27" i="1"/>
  <c r="G25" i="1"/>
  <c r="L24" i="1"/>
  <c r="I23" i="1"/>
  <c r="C21" i="1"/>
  <c r="E19" i="1"/>
  <c r="L16" i="1"/>
  <c r="F14" i="1"/>
  <c r="K61" i="1"/>
  <c r="C61" i="1"/>
  <c r="H60" i="1"/>
  <c r="M59" i="1"/>
  <c r="E59" i="1"/>
  <c r="J58" i="1"/>
  <c r="B58" i="1"/>
  <c r="G57" i="1"/>
  <c r="L56" i="1"/>
  <c r="D56" i="1"/>
  <c r="I55" i="1"/>
  <c r="A55" i="1"/>
  <c r="F54" i="1"/>
  <c r="K53" i="1"/>
  <c r="C53" i="1"/>
  <c r="H52" i="1"/>
  <c r="M51" i="1"/>
  <c r="E51" i="1"/>
  <c r="J50" i="1"/>
  <c r="B50" i="1"/>
  <c r="G49" i="1"/>
  <c r="L48" i="1"/>
  <c r="D48" i="1"/>
  <c r="I47" i="1"/>
  <c r="A47" i="1"/>
  <c r="F46" i="1"/>
  <c r="K45" i="1"/>
  <c r="C45" i="1"/>
  <c r="H44" i="1"/>
  <c r="M43" i="1"/>
  <c r="E43" i="1"/>
  <c r="J42" i="1"/>
  <c r="B42" i="1"/>
  <c r="G41" i="1"/>
  <c r="L40" i="1"/>
  <c r="D40" i="1"/>
  <c r="I39" i="1"/>
  <c r="A39" i="1"/>
  <c r="F38" i="1"/>
  <c r="K37" i="1"/>
  <c r="C37" i="1"/>
  <c r="H36" i="1"/>
  <c r="M35" i="1"/>
  <c r="E35" i="1"/>
  <c r="J34" i="1"/>
  <c r="G33" i="1"/>
  <c r="L32" i="1"/>
  <c r="D32" i="1"/>
  <c r="I31" i="1"/>
  <c r="A31" i="1"/>
  <c r="F30" i="1"/>
  <c r="C29" i="1"/>
  <c r="H28" i="1"/>
  <c r="B26" i="1"/>
  <c r="D24" i="1"/>
  <c r="F22" i="1"/>
  <c r="H20" i="1"/>
  <c r="B18" i="1"/>
  <c r="D16" i="1"/>
  <c r="C13" i="1"/>
  <c r="J61" i="1"/>
  <c r="B61" i="1"/>
  <c r="G60" i="1"/>
  <c r="L59" i="1"/>
  <c r="D59" i="1"/>
  <c r="I58" i="1"/>
  <c r="A58" i="1"/>
  <c r="F57" i="1"/>
  <c r="K56" i="1"/>
  <c r="C56" i="1"/>
  <c r="H55" i="1"/>
  <c r="M54" i="1"/>
  <c r="E54" i="1"/>
  <c r="J53" i="1"/>
  <c r="B53" i="1"/>
  <c r="G52" i="1"/>
  <c r="L51" i="1"/>
  <c r="D51" i="1"/>
  <c r="I50" i="1"/>
  <c r="A50" i="1"/>
  <c r="F49" i="1"/>
  <c r="K48" i="1"/>
  <c r="C48" i="1"/>
  <c r="H47" i="1"/>
  <c r="M46" i="1"/>
  <c r="E46" i="1"/>
  <c r="J45" i="1"/>
  <c r="B45" i="1"/>
  <c r="G44" i="1"/>
  <c r="L43" i="1"/>
  <c r="D43" i="1"/>
  <c r="I42" i="1"/>
  <c r="A42" i="1"/>
  <c r="F41" i="1"/>
  <c r="K40" i="1"/>
  <c r="C40" i="1"/>
  <c r="H39" i="1"/>
  <c r="M38" i="1"/>
  <c r="E38" i="1"/>
  <c r="J37" i="1"/>
  <c r="B37" i="1"/>
  <c r="G36" i="1"/>
  <c r="L35" i="1"/>
  <c r="D35" i="1"/>
  <c r="I34" i="1"/>
  <c r="A34" i="1"/>
  <c r="F33" i="1"/>
  <c r="K32" i="1"/>
  <c r="C32" i="1"/>
  <c r="H31" i="1"/>
  <c r="M30" i="1"/>
  <c r="E30" i="1"/>
  <c r="J29" i="1"/>
  <c r="B29" i="1"/>
  <c r="G28" i="1"/>
  <c r="L27" i="1"/>
  <c r="D27" i="1"/>
  <c r="I26" i="1"/>
  <c r="A26" i="1"/>
  <c r="F25" i="1"/>
  <c r="K24" i="1"/>
  <c r="C24" i="1"/>
  <c r="H23" i="1"/>
  <c r="M22" i="1"/>
  <c r="E22" i="1"/>
  <c r="J21" i="1"/>
  <c r="B21" i="1"/>
  <c r="G20" i="1"/>
  <c r="L19" i="1"/>
  <c r="D19" i="1"/>
  <c r="I18" i="1"/>
  <c r="A18" i="1"/>
  <c r="F17" i="1"/>
  <c r="K16" i="1"/>
  <c r="C16" i="1"/>
  <c r="H15" i="1"/>
  <c r="M14" i="1"/>
  <c r="E14" i="1"/>
  <c r="J13" i="1"/>
  <c r="B13" i="1"/>
  <c r="K19" i="1"/>
  <c r="H18" i="1"/>
  <c r="E17" i="1"/>
  <c r="B16" i="1"/>
  <c r="G15" i="1"/>
  <c r="D14" i="1"/>
  <c r="A13" i="1"/>
  <c r="B22" i="1"/>
  <c r="I19" i="1"/>
  <c r="C17" i="1"/>
  <c r="J14" i="1"/>
  <c r="I61" i="1"/>
  <c r="A61" i="1"/>
  <c r="F60" i="1"/>
  <c r="K59" i="1"/>
  <c r="C59" i="1"/>
  <c r="H58" i="1"/>
  <c r="M57" i="1"/>
  <c r="E57" i="1"/>
  <c r="J56" i="1"/>
  <c r="B56" i="1"/>
  <c r="G55" i="1"/>
  <c r="L54" i="1"/>
  <c r="D54" i="1"/>
  <c r="I53" i="1"/>
  <c r="A53" i="1"/>
  <c r="F52" i="1"/>
  <c r="K51" i="1"/>
  <c r="C51" i="1"/>
  <c r="H50" i="1"/>
  <c r="M49" i="1"/>
  <c r="E49" i="1"/>
  <c r="J48" i="1"/>
  <c r="B48" i="1"/>
  <c r="G47" i="1"/>
  <c r="L46" i="1"/>
  <c r="D46" i="1"/>
  <c r="I45" i="1"/>
  <c r="A45" i="1"/>
  <c r="F44" i="1"/>
  <c r="K43" i="1"/>
  <c r="C43" i="1"/>
  <c r="H42" i="1"/>
  <c r="M41" i="1"/>
  <c r="E41" i="1"/>
  <c r="J40" i="1"/>
  <c r="B40" i="1"/>
  <c r="G39" i="1"/>
  <c r="L38" i="1"/>
  <c r="D38" i="1"/>
  <c r="I37" i="1"/>
  <c r="A37" i="1"/>
  <c r="F36" i="1"/>
  <c r="K35" i="1"/>
  <c r="C35" i="1"/>
  <c r="H34" i="1"/>
  <c r="M33" i="1"/>
  <c r="E33" i="1"/>
  <c r="J32" i="1"/>
  <c r="B32" i="1"/>
  <c r="G31" i="1"/>
  <c r="L30" i="1"/>
  <c r="D30" i="1"/>
  <c r="I29" i="1"/>
  <c r="A29" i="1"/>
  <c r="F28" i="1"/>
  <c r="K27" i="1"/>
  <c r="C27" i="1"/>
  <c r="H26" i="1"/>
  <c r="M25" i="1"/>
  <c r="E25" i="1"/>
  <c r="J24" i="1"/>
  <c r="B24" i="1"/>
  <c r="G23" i="1"/>
  <c r="L22" i="1"/>
  <c r="D22" i="1"/>
  <c r="I21" i="1"/>
  <c r="A21" i="1"/>
  <c r="F20" i="1"/>
  <c r="C19" i="1"/>
  <c r="M17" i="1"/>
  <c r="J16" i="1"/>
  <c r="L14" i="1"/>
  <c r="I13" i="1"/>
  <c r="M23" i="1"/>
  <c r="A19" i="1"/>
  <c r="H16" i="1"/>
  <c r="B14" i="1"/>
  <c r="H61" i="1"/>
  <c r="M60" i="1"/>
  <c r="E60" i="1"/>
  <c r="J59" i="1"/>
  <c r="B59" i="1"/>
  <c r="G58" i="1"/>
  <c r="L57" i="1"/>
  <c r="D57" i="1"/>
  <c r="I56" i="1"/>
  <c r="A56" i="1"/>
  <c r="F55" i="1"/>
  <c r="K54" i="1"/>
  <c r="C54" i="1"/>
  <c r="H53" i="1"/>
  <c r="M52" i="1"/>
  <c r="E52" i="1"/>
  <c r="J51" i="1"/>
  <c r="B51" i="1"/>
  <c r="G50" i="1"/>
  <c r="L49" i="1"/>
  <c r="D49" i="1"/>
  <c r="I48" i="1"/>
  <c r="A48" i="1"/>
  <c r="F47" i="1"/>
  <c r="K46" i="1"/>
  <c r="C46" i="1"/>
  <c r="H45" i="1"/>
  <c r="M44" i="1"/>
  <c r="E44" i="1"/>
  <c r="J43" i="1"/>
  <c r="B43" i="1"/>
  <c r="G42" i="1"/>
  <c r="L41" i="1"/>
  <c r="D41" i="1"/>
  <c r="I40" i="1"/>
  <c r="A40" i="1"/>
  <c r="F39" i="1"/>
  <c r="K38" i="1"/>
  <c r="C38" i="1"/>
  <c r="H37" i="1"/>
  <c r="M36" i="1"/>
  <c r="E36" i="1"/>
  <c r="J35" i="1"/>
  <c r="B35" i="1"/>
  <c r="G34" i="1"/>
  <c r="L33" i="1"/>
  <c r="D33" i="1"/>
  <c r="I32" i="1"/>
  <c r="A32" i="1"/>
  <c r="F31" i="1"/>
  <c r="K30" i="1"/>
  <c r="C30" i="1"/>
  <c r="H29" i="1"/>
  <c r="M28" i="1"/>
  <c r="E28" i="1"/>
  <c r="J27" i="1"/>
  <c r="B27" i="1"/>
  <c r="G26" i="1"/>
  <c r="L25" i="1"/>
  <c r="D25" i="1"/>
  <c r="I24" i="1"/>
  <c r="A24" i="1"/>
  <c r="F23" i="1"/>
  <c r="K22" i="1"/>
  <c r="C22" i="1"/>
  <c r="H21" i="1"/>
  <c r="M20" i="1"/>
  <c r="E20" i="1"/>
  <c r="J19" i="1"/>
  <c r="B19" i="1"/>
  <c r="G18" i="1"/>
  <c r="L17" i="1"/>
  <c r="D17" i="1"/>
  <c r="I16" i="1"/>
  <c r="A16" i="1"/>
  <c r="F15" i="1"/>
  <c r="K14" i="1"/>
  <c r="C14" i="1"/>
  <c r="H13" i="1"/>
  <c r="C33" i="1"/>
  <c r="D28" i="1"/>
  <c r="I27" i="1"/>
  <c r="F26" i="1"/>
  <c r="C25" i="1"/>
  <c r="E23" i="1"/>
  <c r="G21" i="1"/>
  <c r="D20" i="1"/>
  <c r="K17" i="1"/>
  <c r="E15" i="1"/>
  <c r="G61" i="1"/>
  <c r="L60" i="1"/>
  <c r="D60" i="1"/>
  <c r="I59" i="1"/>
  <c r="A59" i="1"/>
  <c r="F58" i="1"/>
  <c r="K57" i="1"/>
  <c r="C57" i="1"/>
  <c r="H56" i="1"/>
  <c r="M55" i="1"/>
  <c r="E55" i="1"/>
  <c r="J54" i="1"/>
  <c r="B54" i="1"/>
  <c r="G53" i="1"/>
  <c r="L52" i="1"/>
  <c r="D52" i="1"/>
  <c r="I51" i="1"/>
  <c r="A51" i="1"/>
  <c r="F50" i="1"/>
  <c r="K49" i="1"/>
  <c r="C49" i="1"/>
  <c r="H48" i="1"/>
  <c r="M47" i="1"/>
  <c r="E47" i="1"/>
  <c r="J46" i="1"/>
  <c r="B46" i="1"/>
  <c r="G45" i="1"/>
  <c r="L44" i="1"/>
  <c r="D44" i="1"/>
  <c r="I43" i="1"/>
  <c r="A43" i="1"/>
  <c r="F42" i="1"/>
  <c r="K41" i="1"/>
  <c r="C41" i="1"/>
  <c r="H40" i="1"/>
  <c r="M39" i="1"/>
  <c r="E39" i="1"/>
  <c r="J38" i="1"/>
  <c r="B38" i="1"/>
  <c r="G37" i="1"/>
  <c r="L36" i="1"/>
  <c r="D36" i="1"/>
  <c r="I35" i="1"/>
  <c r="A35" i="1"/>
  <c r="F34" i="1"/>
  <c r="K33" i="1"/>
  <c r="H32" i="1"/>
  <c r="M31" i="1"/>
  <c r="E31" i="1"/>
  <c r="J30" i="1"/>
  <c r="B30" i="1"/>
  <c r="G29" i="1"/>
  <c r="L28" i="1"/>
  <c r="A27" i="1"/>
  <c r="K25" i="1"/>
  <c r="H24" i="1"/>
  <c r="J22" i="1"/>
  <c r="L20" i="1"/>
  <c r="F18" i="1"/>
  <c r="M15" i="1"/>
  <c r="G13" i="1"/>
  <c r="F61" i="1"/>
  <c r="K60" i="1"/>
  <c r="C60" i="1"/>
  <c r="H59" i="1"/>
  <c r="M58" i="1"/>
  <c r="E58" i="1"/>
  <c r="J57" i="1"/>
  <c r="B57" i="1"/>
  <c r="G56" i="1"/>
  <c r="L55" i="1"/>
  <c r="D55" i="1"/>
  <c r="I54" i="1"/>
  <c r="A54" i="1"/>
  <c r="F53" i="1"/>
  <c r="K52" i="1"/>
  <c r="C52" i="1"/>
  <c r="H51" i="1"/>
  <c r="M50" i="1"/>
  <c r="E50" i="1"/>
  <c r="J49" i="1"/>
  <c r="B49" i="1"/>
  <c r="G48" i="1"/>
  <c r="L47" i="1"/>
  <c r="D47" i="1"/>
  <c r="I46" i="1"/>
  <c r="A46" i="1"/>
  <c r="F45" i="1"/>
  <c r="K44" i="1"/>
  <c r="C44" i="1"/>
  <c r="H43" i="1"/>
  <c r="M42" i="1"/>
  <c r="E42" i="1"/>
  <c r="J41" i="1"/>
  <c r="B41" i="1"/>
  <c r="G40" i="1"/>
  <c r="L39" i="1"/>
  <c r="D39" i="1"/>
  <c r="I38" i="1"/>
  <c r="A38" i="1"/>
  <c r="F37" i="1"/>
  <c r="K36" i="1"/>
  <c r="C36" i="1"/>
  <c r="H35" i="1"/>
  <c r="M34" i="1"/>
  <c r="E34" i="1"/>
  <c r="J33" i="1"/>
  <c r="B33" i="1"/>
  <c r="G32" i="1"/>
  <c r="L31" i="1"/>
  <c r="D31" i="1"/>
  <c r="I30" i="1"/>
  <c r="A30" i="1"/>
  <c r="F29" i="1"/>
  <c r="K28" i="1"/>
  <c r="C28" i="1"/>
  <c r="H27" i="1"/>
  <c r="M26" i="1"/>
  <c r="E26" i="1"/>
  <c r="J25" i="1"/>
  <c r="B25" i="1"/>
  <c r="G24" i="1"/>
  <c r="L23" i="1"/>
  <c r="D23" i="1"/>
  <c r="I22" i="1"/>
  <c r="A22" i="1"/>
  <c r="F21" i="1"/>
  <c r="K20" i="1"/>
  <c r="C20" i="1"/>
  <c r="H19" i="1"/>
  <c r="M18" i="1"/>
  <c r="E18" i="1"/>
  <c r="J17" i="1"/>
  <c r="B17" i="1"/>
  <c r="G16" i="1"/>
  <c r="L15" i="1"/>
  <c r="D15" i="1"/>
  <c r="I14" i="1"/>
  <c r="A14" i="1"/>
  <c r="F13" i="1"/>
  <c r="I17" i="1"/>
  <c r="K15" i="1"/>
  <c r="H14" i="1"/>
  <c r="E13" i="1"/>
  <c r="J26" i="1"/>
  <c r="K21" i="1"/>
  <c r="J18" i="1"/>
  <c r="I15" i="1"/>
  <c r="K13" i="1"/>
  <c r="M12" i="1"/>
  <c r="C10" i="1"/>
  <c r="J2" i="1"/>
  <c r="K2" i="1"/>
  <c r="M3" i="1"/>
  <c r="F4" i="1"/>
  <c r="C4" i="1"/>
  <c r="I12" i="1"/>
  <c r="L9" i="1"/>
  <c r="F7" i="1"/>
  <c r="D5" i="1"/>
  <c r="G2" i="1"/>
  <c r="I9" i="1"/>
  <c r="D2" i="1"/>
  <c r="A11" i="1"/>
  <c r="H8" i="1"/>
  <c r="J5" i="1"/>
  <c r="I3" i="1"/>
  <c r="E9" i="1"/>
  <c r="J3" i="1"/>
  <c r="H11" i="1"/>
  <c r="J8" i="1"/>
  <c r="I6" i="1"/>
  <c r="L3" i="1"/>
  <c r="D10" i="1"/>
  <c r="A2" i="1"/>
  <c r="J9" i="1"/>
  <c r="C7" i="1"/>
  <c r="F5" i="1"/>
  <c r="E12" i="1"/>
  <c r="K9" i="1"/>
  <c r="B7" i="1"/>
  <c r="M4" i="1"/>
  <c r="C2" i="1"/>
  <c r="A9" i="1"/>
  <c r="L12" i="1"/>
  <c r="F10" i="1"/>
  <c r="D8" i="1"/>
  <c r="G5" i="1"/>
  <c r="E3" i="1"/>
  <c r="F8" i="1"/>
  <c r="C3" i="1"/>
  <c r="D11" i="1"/>
  <c r="G8" i="1"/>
  <c r="E6" i="1"/>
  <c r="K3" i="1"/>
  <c r="B8" i="1"/>
  <c r="G6" i="1"/>
  <c r="L4" i="1"/>
  <c r="L7" i="1"/>
  <c r="A12" i="1"/>
  <c r="H9" i="1"/>
  <c r="J6" i="1"/>
  <c r="I4" i="1"/>
  <c r="B2" i="1"/>
  <c r="G7" i="1"/>
  <c r="K12" i="1"/>
  <c r="B10" i="1"/>
  <c r="M7" i="1"/>
  <c r="C5" i="1"/>
  <c r="A3" i="1"/>
  <c r="J7" i="1"/>
  <c r="H2" i="1"/>
  <c r="M10" i="1"/>
  <c r="C8" i="1"/>
  <c r="A6" i="1"/>
  <c r="H3" i="1"/>
  <c r="L6" i="1"/>
  <c r="E4" i="1"/>
  <c r="I7" i="1"/>
  <c r="J12" i="1"/>
  <c r="D3" i="1"/>
  <c r="F11" i="1"/>
  <c r="D9" i="1"/>
  <c r="K6" i="1"/>
  <c r="H12" i="1"/>
  <c r="F2" i="1"/>
  <c r="I10" i="1"/>
  <c r="I5" i="1"/>
  <c r="B11" i="1"/>
  <c r="M8" i="1"/>
  <c r="C6" i="1"/>
  <c r="A4" i="1"/>
  <c r="F12" i="1"/>
  <c r="D6" i="1"/>
  <c r="D12" i="1"/>
  <c r="G9" i="1"/>
  <c r="E7" i="1"/>
  <c r="K4" i="1"/>
  <c r="E2" i="1"/>
  <c r="H6" i="1"/>
  <c r="G12" i="1"/>
  <c r="E10" i="1"/>
  <c r="K7" i="1"/>
  <c r="B5" i="1"/>
  <c r="M2" i="1"/>
  <c r="B4" i="1"/>
  <c r="G11" i="1"/>
  <c r="H5" i="1"/>
  <c r="K8" i="1"/>
  <c r="K11" i="1"/>
  <c r="K10" i="1"/>
  <c r="J10" i="1"/>
  <c r="I8" i="1"/>
  <c r="L5" i="1"/>
  <c r="F3" i="1"/>
  <c r="J11" i="1"/>
  <c r="A5" i="1"/>
  <c r="M11" i="1"/>
  <c r="C9" i="1"/>
  <c r="A7" i="1"/>
  <c r="H4" i="1"/>
  <c r="B12" i="1"/>
  <c r="M5" i="1"/>
  <c r="C12" i="1"/>
  <c r="A10" i="1"/>
  <c r="H7" i="1"/>
  <c r="J4" i="1"/>
  <c r="I2" i="1"/>
  <c r="L2" i="1"/>
  <c r="A8" i="1"/>
  <c r="B6" i="1"/>
  <c r="B9" i="1"/>
  <c r="G10" i="1"/>
  <c r="E8" i="1"/>
  <c r="K5" i="1"/>
  <c r="B3" i="1"/>
  <c r="C11" i="1"/>
  <c r="G3" i="1"/>
  <c r="I11" i="1"/>
  <c r="L8" i="1"/>
  <c r="F6" i="1"/>
  <c r="D4" i="1"/>
  <c r="L10" i="1"/>
  <c r="E5" i="1"/>
  <c r="L11" i="1"/>
  <c r="F9" i="1"/>
  <c r="D7" i="1"/>
  <c r="G4" i="1"/>
  <c r="H10" i="1"/>
  <c r="E11" i="1"/>
  <c r="M9" i="1"/>
  <c r="M6" i="1"/>
</calcChain>
</file>

<file path=xl/sharedStrings.xml><?xml version="1.0" encoding="utf-8"?>
<sst xmlns="http://schemas.openxmlformats.org/spreadsheetml/2006/main" count="13" uniqueCount="13">
  <si>
    <t>Trading symbol</t>
  </si>
  <si>
    <t>LTP</t>
  </si>
  <si>
    <t>Bid qty</t>
  </si>
  <si>
    <t>Bid rate</t>
  </si>
  <si>
    <t>Ask rate</t>
  </si>
  <si>
    <t>Ask qty</t>
  </si>
  <si>
    <t>LTQ</t>
  </si>
  <si>
    <t>Volume traded today</t>
  </si>
  <si>
    <t>Open interest</t>
  </si>
  <si>
    <t>Total bid qty</t>
  </si>
  <si>
    <t>Total ask qty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</si>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</sst>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s">
        <v>N.A.</v>
        <stp/>
        <stp>NSE_INDUSINDBK-EQ</stp>
        <stp>Last</stp>
        <tr r="B8" s="1"/>
        <tr r="B86" s="1"/>
      </tp>
      <tp t="s">
        <v>N.A.</v>
        <stp/>
        <stp>NSE_ADANIPORTS-EQ</stp>
        <stp>lastTradeTime</stp>
        <tr r="L62" s="1"/>
      </tp>
      <tp t="s">
        <v>N.A.</v>
        <stp/>
        <stp>NSE_AUROPHARMA-EQ</stp>
        <stp>lastTradeTime</stp>
        <tr r="L65" s="1"/>
      </tp>
      <tp t="s">
        <v>N.A.</v>
        <stp/>
        <stp>NSE_LUPIN-EQ</stp>
        <stp>Bid</stp>
        <tr r="D92" s="1"/>
      </tp>
      <tp t="s">
        <v>N.A.</v>
        <stp/>
        <stp>NSE_DRREDDY-EQ</stp>
        <stp>Bid</stp>
        <tr r="D74" s="1"/>
      </tp>
      <tp t="s">
        <v>N.A.</v>
        <stp/>
        <stp>NSE_BAJAJ-AUTO-EQ</stp>
        <stp>lastTradeTime</stp>
        <tr r="L67" s="1"/>
      </tp>
      <tp t="s">
        <v>N.A.</v>
        <stp/>
        <stp>NSE_MARUTI-EQ</stp>
        <stp>LTQ</stp>
        <tr r="G94" s="1"/>
      </tp>
      <tp t="s">
        <v>N.A.</v>
        <stp/>
        <stp>NSE_HDFCBANK-EQ</stp>
        <stp>OpenInterest</stp>
        <tr r="I6" s="1"/>
        <tr r="I79" s="1"/>
      </tp>
      <tp t="s">
        <v>N.A.</v>
        <stp/>
        <stp>NSE_IBULHSGFIN-EQ</stp>
        <stp>OpenInterest</stp>
        <tr r="I84" s="1"/>
      </tp>
      <tp t="s">
        <v>N.A.</v>
        <stp/>
        <stp>NSE_HINDALCO-EQ</stp>
        <stp>OpenInterest</stp>
        <tr r="I81" s="1"/>
      </tp>
      <tp t="s">
        <v>N.A.</v>
        <stp/>
        <stp>NSE_BHARTIARTL-EQ</stp>
        <stp>TradingSymbol</stp>
        <tr r="A69" s="1"/>
      </tp>
      <tp t="s">
        <v>N.A.</v>
        <stp/>
        <stp>_India VIX</stp>
        <stp>Bid</stp>
        <tr r="D61" s="1"/>
      </tp>
      <tp t="s">
        <v>N.A.</v>
        <stp/>
        <stp>NSE_IOC-EQ</stp>
        <stp>OpenInterest</stp>
        <tr r="I88" s="1"/>
      </tp>
      <tp t="s">
        <v>N.A.</v>
        <stp/>
        <stp>NSE_ITC-EQ</stp>
        <stp>OpenInterest</stp>
        <tr r="I89" s="1"/>
      </tp>
      <tp t="s">
        <v>N.A.</v>
        <stp/>
        <stp>NSE_AXISBANK-EQ</stp>
        <stp>TradingSymbol</stp>
        <tr r="A2" s="1"/>
        <tr r="A66" s="1"/>
      </tp>
      <tp t="s">
        <v>N.A.</v>
        <stp/>
        <stp>NSE_BOSCHLTD-EQ</stp>
        <stp>TradingSymbol</stp>
        <tr r="A70" s="1"/>
      </tp>
      <tp t="s">
        <v>N.A.</v>
        <stp/>
        <stp>NSE_KOTAKBANK-EQ</stp>
        <stp>Last</stp>
        <tr r="B9" s="1"/>
        <tr r="B90" s="1"/>
      </tp>
      <tp t="s">
        <v>N.A.</v>
        <stp/>
        <stp>NSE_IOC-EQ</stp>
        <stp>lastUpdateTime</stp>
        <tr r="M88" s="1"/>
      </tp>
      <tp t="s">
        <v>N.A.</v>
        <stp/>
        <stp>NSE_ITC-EQ</stp>
        <stp>lastUpdateTime</stp>
        <tr r="M89" s="1"/>
      </tp>
      <tp t="s">
        <v>N.A.</v>
        <stp/>
        <stp>_India VIX</stp>
        <stp>Ask</stp>
        <tr r="E61" s="1"/>
      </tp>
      <tp t="s">
        <v>N.A.</v>
        <stp/>
        <stp>NSE_BAJFINANCE-EQ</stp>
        <stp>lastUpdateTime</stp>
        <tr r="M68" s="1"/>
      </tp>
      <tp t="s">
        <v>N.A.</v>
        <stp/>
        <stp>NSE_ASIANPAINT-EQ</stp>
        <stp>TradingSymbol</stp>
        <tr r="A64" s="1"/>
      </tp>
      <tp t="s">
        <v>N.A.</v>
        <stp/>
        <stp>NSE_PNB-EQ</stp>
        <stp>Volume</stp>
        <tr r="H10" s="1"/>
      </tp>
      <tp t="s">
        <v>N.A.</v>
        <stp/>
        <stp>NSE_PNB-EQ</stp>
        <stp>Last</stp>
        <tr r="B10" s="1"/>
      </tp>
      <tp t="s">
        <v>N.A.</v>
        <stp/>
        <stp>NSE_EICHERMOT-EQ</stp>
        <stp>OpenInterest</stp>
        <tr r="I75" s="1"/>
      </tp>
      <tp t="s">
        <v>N.A.</v>
        <stp/>
        <stp>NSE_ASIANPAINT-EQ</stp>
        <stp>OpenInterest</stp>
        <tr r="I64" s="1"/>
      </tp>
      <tp t="s">
        <v>N.A.</v>
        <stp/>
        <stp>NSE_BAJFINANCE-EQ</stp>
        <stp>OpenInterest</stp>
        <tr r="I68" s="1"/>
      </tp>
      <tp t="s">
        <v>N.A.</v>
        <stp/>
        <stp>NSE_HINDUNILVR-EQ</stp>
        <stp>OpenInterest</stp>
        <tr r="I83" s="1"/>
      </tp>
      <tp t="s">
        <v>N.A.</v>
        <stp/>
        <stp>NSE_PNB-EQ</stp>
        <stp>lastUpdateTime</stp>
        <tr r="M10" s="1"/>
      </tp>
      <tp t="s">
        <v>N.A.</v>
        <stp/>
        <stp>NSE_BAJFINANCE-EQ</stp>
        <stp>Volume</stp>
        <tr r="H68" s="1"/>
      </tp>
      <tp t="s">
        <v>N.A.</v>
        <stp/>
        <stp>NSE_IOC-EQ</stp>
        <stp>Volume</stp>
        <tr r="H88" s="1"/>
      </tp>
      <tp t="s">
        <v>N.A.</v>
        <stp/>
        <stp>NSE_ITC-EQ</stp>
        <stp>Volume</stp>
        <tr r="H89" s="1"/>
      </tp>
      <tp t="s">
        <v>N.A.</v>
        <stp/>
        <stp>NSE_DRREDDY-EQ</stp>
        <stp>Ask</stp>
        <tr r="E74" s="1"/>
      </tp>
      <tp t="s">
        <v>N.A.</v>
        <stp/>
        <stp>NSE_LUPIN-EQ</stp>
        <stp>Ask</stp>
        <tr r="E92" s="1"/>
      </tp>
      <tp t="s">
        <v>N.A.</v>
        <stp/>
        <stp>NSE_SUNPHARMA-EQ</stp>
        <stp>lastTradeTime</stp>
        <tr r="L100" s="1"/>
      </tp>
      <tp t="s">
        <v>N.A.</v>
        <stp/>
        <stp>NFO_BANKNIFTY18OCTFUT</stp>
        <stp>LTQ</stp>
        <tr r="G16" s="1"/>
      </tp>
      <tp t="s">
        <v>N.A.</v>
        <stp/>
        <stp>NFO_BANKNIFTY18NOVFUT</stp>
        <stp>LTQ</stp>
        <tr r="G17" s="1"/>
      </tp>
      <tp t="s">
        <v>N.A.</v>
        <stp/>
        <stp>NFO_BANKNIFTY18SEPFUT</stp>
        <stp>LTQ</stp>
        <tr r="G15" s="1"/>
      </tp>
      <tp t="s">
        <v>N.A.</v>
        <stp/>
        <stp>NSE_INDUSINDBK-EQ</stp>
        <stp>lastTradeTime</stp>
        <tr r="L8" s="1"/>
        <tr r="L86" s="1"/>
      </tp>
      <tp t="s">
        <v>N.A.</v>
        <stp/>
        <stp>NSE_RELIANCE-EQ</stp>
        <stp>LTQ</stp>
        <tr r="G98" s="1"/>
      </tp>
      <tp t="s">
        <v>N.A.</v>
        <stp/>
        <stp>NSE_BHARTIARTL-EQ</stp>
        <stp>Volume</stp>
        <tr r="H69" s="1"/>
      </tp>
      <tp t="s">
        <v>N.A.</v>
        <stp/>
        <stp>NFO_BANKNIFTY18SEP24600PE</stp>
        <stp>lastUpdateTime</stp>
        <tr r="M37" s="1"/>
      </tp>
      <tp t="s">
        <v>N.A.</v>
        <stp/>
        <stp>NFO_BANKNIFTY18SEP24700PE</stp>
        <stp>lastUpdateTime</stp>
        <tr r="M39" s="1"/>
      </tp>
      <tp t="s">
        <v>N.A.</v>
        <stp/>
        <stp>NFO_BANKNIFTY18SEP24800PE</stp>
        <stp>lastUpdateTime</stp>
        <tr r="M41" s="1"/>
      </tp>
      <tp t="s">
        <v>N.A.</v>
        <stp/>
        <stp>NFO_BANKNIFTY18SEP24900PE</stp>
        <stp>lastUpdateTime</stp>
        <tr r="M43" s="1"/>
      </tp>
      <tp t="s">
        <v>N.A.</v>
        <stp/>
        <stp>NFO_BANKNIFTY18SEP25000PE</stp>
        <stp>lastUpdateTime</stp>
        <tr r="M45" s="1"/>
      </tp>
      <tp t="s">
        <v>N.A.</v>
        <stp/>
        <stp>NFO_BANKNIFTY18SEP25100PE</stp>
        <stp>lastUpdateTime</stp>
        <tr r="M47" s="1"/>
      </tp>
      <tp t="s">
        <v>N.A.</v>
        <stp/>
        <stp>NFO_BANKNIFTY18SEP25200PE</stp>
        <stp>lastUpdateTime</stp>
        <tr r="M49" s="1"/>
      </tp>
      <tp t="s">
        <v>N.A.</v>
        <stp/>
        <stp>NFO_BANKNIFTY18SEP25300PE</stp>
        <stp>lastUpdateTime</stp>
        <tr r="M51" s="1"/>
      </tp>
      <tp t="s">
        <v>N.A.</v>
        <stp/>
        <stp>NFO_BANKNIFTY18SEP25400PE</stp>
        <stp>lastUpdateTime</stp>
        <tr r="M53" s="1"/>
      </tp>
      <tp t="s">
        <v>N.A.</v>
        <stp/>
        <stp>NFO_BANKNIFTY18SEP25500PE</stp>
        <stp>lastUpdateTime</stp>
        <tr r="M55" s="1"/>
      </tp>
      <tp t="s">
        <v>N.A.</v>
        <stp/>
        <stp>NFO_BANKNIFTY18SEP25600PE</stp>
        <stp>lastUpdateTime</stp>
        <tr r="M56" s="1"/>
      </tp>
      <tp t="s">
        <v>N.A.</v>
        <stp/>
        <stp>NFO_BANKNIFTY18SEP25700PE</stp>
        <stp>lastUpdateTime</stp>
        <tr r="M59" s="1"/>
      </tp>
      <tp t="s">
        <v>N.A.</v>
        <stp/>
        <stp>NFO_BANKNIFTY18SEP25000CE</stp>
        <stp>lastUpdateTime</stp>
        <tr r="M44" s="1"/>
      </tp>
      <tp t="s">
        <v>N.A.</v>
        <stp/>
        <stp>NFO_BANKNIFTY18SEP25100CE</stp>
        <stp>lastUpdateTime</stp>
        <tr r="M46" s="1"/>
      </tp>
      <tp t="s">
        <v>N.A.</v>
        <stp/>
        <stp>NFO_BANKNIFTY18SEP25200CE</stp>
        <stp>lastUpdateTime</stp>
        <tr r="M48" s="1"/>
      </tp>
      <tp t="s">
        <v>N.A.</v>
        <stp/>
        <stp>NFO_BANKNIFTY18SEP25300CE</stp>
        <stp>lastUpdateTime</stp>
        <tr r="M50" s="1"/>
      </tp>
      <tp t="s">
        <v>N.A.</v>
        <stp/>
        <stp>NFO_BANKNIFTY18SEP25400CE</stp>
        <stp>lastUpdateTime</stp>
        <tr r="M52" s="1"/>
      </tp>
      <tp t="s">
        <v>N.A.</v>
        <stp/>
        <stp>NFO_BANKNIFTY18SEP25500CE</stp>
        <stp>lastUpdateTime</stp>
        <tr r="M54" s="1"/>
      </tp>
      <tp t="s">
        <v>N.A.</v>
        <stp/>
        <stp>NFO_BANKNIFTY18SEP25600CE</stp>
        <stp>lastUpdateTime</stp>
        <tr r="M60" s="1"/>
      </tp>
      <tp t="s">
        <v>N.A.</v>
        <stp/>
        <stp>NFO_BANKNIFTY18SEP25700CE</stp>
        <stp>lastUpdateTime</stp>
        <tr r="M57" s="1"/>
      </tp>
      <tp t="s">
        <v>N.A.</v>
        <stp/>
        <stp>NFO_BANKNIFTY18SEP25800CE</stp>
        <stp>lastUpdateTime</stp>
        <tr r="M58" s="1"/>
      </tp>
      <tp t="s">
        <v>N.A.</v>
        <stp/>
        <stp>NFO_BANKNIFTY18SEP24600CE</stp>
        <stp>lastUpdateTime</stp>
        <tr r="M36" s="1"/>
      </tp>
      <tp t="s">
        <v>N.A.</v>
        <stp/>
        <stp>NFO_BANKNIFTY18SEP24700CE</stp>
        <stp>lastUpdateTime</stp>
        <tr r="M38" s="1"/>
      </tp>
      <tp t="s">
        <v>N.A.</v>
        <stp/>
        <stp>NFO_BANKNIFTY18SEP24800CE</stp>
        <stp>lastUpdateTime</stp>
        <tr r="M40" s="1"/>
      </tp>
      <tp t="s">
        <v>N.A.</v>
        <stp/>
        <stp>NFO_BANKNIFTY18SEP24900CE</stp>
        <stp>lastUpdateTime</stp>
        <tr r="M42" s="1"/>
      </tp>
      <tp t="s">
        <v>N.A.</v>
        <stp/>
        <stp>NFO_NIFTY18SEP10950CE</stp>
        <stp>Bid</stp>
        <tr r="D20" s="1"/>
      </tp>
      <tp t="s">
        <v>N.A.</v>
        <stp/>
        <stp>NFO_NIFTY18SEP10900CE</stp>
        <stp>Bid</stp>
        <tr r="D18" s="1"/>
      </tp>
      <tp t="s">
        <v>N.A.</v>
        <stp/>
        <stp>NFO_NIFTY18SEP11150CE</stp>
        <stp>Bid</stp>
        <tr r="D35" s="1"/>
      </tp>
      <tp t="s">
        <v>N.A.</v>
        <stp/>
        <stp>NFO_NIFTY18SEP11100CE</stp>
        <stp>Bid</stp>
        <tr r="D26" s="1"/>
      </tp>
      <tp t="s">
        <v>N.A.</v>
        <stp/>
        <stp>NFO_NIFTY18SEP11050CE</stp>
        <stp>Bid</stp>
        <tr r="D24" s="1"/>
      </tp>
      <tp t="s">
        <v>N.A.</v>
        <stp/>
        <stp>NFO_NIFTY18SEP11000CE</stp>
        <stp>Bid</stp>
        <tr r="D22" s="1"/>
      </tp>
      <tp t="s">
        <v>N.A.</v>
        <stp/>
        <stp>NFO_NIFTY18SEP11300CE</stp>
        <stp>Bid</stp>
        <tr r="D32" s="1"/>
      </tp>
      <tp t="s">
        <v>N.A.</v>
        <stp/>
        <stp>NFO_NIFTY18SEP11250CE</stp>
        <stp>Bid</stp>
        <tr r="D30" s="1"/>
      </tp>
      <tp t="s">
        <v>N.A.</v>
        <stp/>
        <stp>NFO_NIFTY18SEP11200CE</stp>
        <stp>Bid</stp>
        <tr r="D28" s="1"/>
      </tp>
      <tp t="s">
        <v>N.A.</v>
        <stp/>
        <stp>NSE_INFY-EQ</stp>
        <stp>lastUpdateTime</stp>
        <tr r="M87" s="1"/>
      </tp>
      <tp t="s">
        <v>N.A.</v>
        <stp/>
        <stp>NSE_INDUSINDBK-EQ</stp>
        <stp>lastUpdateTime</stp>
        <tr r="M8" s="1"/>
        <tr r="M86" s="1"/>
      </tp>
      <tp t="s">
        <v>N.A.</v>
        <stp/>
        <stp>NFO_NIFTY18SEP11150PE</stp>
        <stp>Bid</stp>
        <tr r="D34" s="1"/>
      </tp>
      <tp t="s">
        <v>N.A.</v>
        <stp/>
        <stp>NFO_NIFTY18SEP11100PE</stp>
        <stp>Bid</stp>
        <tr r="D27" s="1"/>
      </tp>
      <tp t="s">
        <v>N.A.</v>
        <stp/>
        <stp>NFO_NIFTY18SEP11050PE</stp>
        <stp>Bid</stp>
        <tr r="D25" s="1"/>
      </tp>
      <tp t="s">
        <v>N.A.</v>
        <stp/>
        <stp>NFO_NIFTY18SEP11000PE</stp>
        <stp>Bid</stp>
        <tr r="D23" s="1"/>
      </tp>
      <tp t="s">
        <v>N.A.</v>
        <stp/>
        <stp>NFO_NIFTY18SEP11300PE</stp>
        <stp>Bid</stp>
        <tr r="D33" s="1"/>
      </tp>
      <tp t="s">
        <v>N.A.</v>
        <stp/>
        <stp>NFO_NIFTY18SEP11250PE</stp>
        <stp>Bid</stp>
        <tr r="D31" s="1"/>
      </tp>
      <tp t="s">
        <v>N.A.</v>
        <stp/>
        <stp>NFO_NIFTY18SEP11200PE</stp>
        <stp>Bid</stp>
        <tr r="D29" s="1"/>
      </tp>
      <tp t="s">
        <v>N.A.</v>
        <stp/>
        <stp>NFO_NIFTY18SEP10950PE</stp>
        <stp>Bid</stp>
        <tr r="D21" s="1"/>
      </tp>
      <tp t="s">
        <v>N.A.</v>
        <stp/>
        <stp>NFO_NIFTY18SEP10900PE</stp>
        <stp>Bid</stp>
        <tr r="D19" s="1"/>
      </tp>
      <tp t="s">
        <v>N.A.</v>
        <stp/>
        <stp>NSE_YESBANK-EQ</stp>
        <stp>Ask</stp>
        <tr r="E12" s="1"/>
        <tr r="E109" s="1"/>
      </tp>
      <tp t="s">
        <v>N.A.</v>
        <stp/>
        <stp>NSE_COALINDIA-EQ</stp>
        <stp>TradingSymbol</stp>
        <tr r="A73" s="1"/>
      </tp>
      <tp t="s">
        <v>N.A.</v>
        <stp/>
        <stp>NSE_YESBANK-EQ</stp>
        <stp>TradingSymbol</stp>
        <tr r="A12" s="1"/>
        <tr r="A109" s="1"/>
      </tp>
      <tp t="s">
        <v>N.A.</v>
        <stp/>
        <stp>NSE_BAJAJ-AUTO-EQ</stp>
        <stp>Last</stp>
        <tr r="B67" s="1"/>
      </tp>
      <tp t="s">
        <v>N.A.</v>
        <stp/>
        <stp>NSE_ICICIBANK-EQ</stp>
        <stp>OpenInterest</stp>
        <tr r="I7" s="1"/>
        <tr r="I85" s="1"/>
      </tp>
      <tp t="s">
        <v>N.A.</v>
        <stp/>
        <stp>NSE_TATAMOTORS-EQ</stp>
        <stp>OpenInterest</stp>
        <tr r="I101" s="1"/>
      </tp>
      <tp t="s">
        <v>N.A.</v>
        <stp/>
        <stp>NSE_INFY-EQ</stp>
        <stp>Volume</stp>
        <tr r="H87" s="1"/>
      </tp>
      <tp t="s">
        <v>N.A.</v>
        <stp/>
        <stp>NSE_HEROMOTOCO-EQ</stp>
        <stp>TradingSymbol</stp>
        <tr r="A80" s="1"/>
      </tp>
      <tp t="s">
        <v>N.A.</v>
        <stp/>
        <stp>NSE_M&amp;M-EQ</stp>
        <stp>OpenInterest</stp>
        <tr r="I93" s="1"/>
      </tp>
      <tp t="s">
        <v>N.A.</v>
        <stp/>
        <stp>NSE_INDUSINDBK-EQ</stp>
        <stp>Volume</stp>
        <tr r="H8" s="1"/>
        <tr r="H86" s="1"/>
      </tp>
      <tp t="s">
        <v>N.A.</v>
        <stp/>
        <stp>NFO_BANKNIFTY18SEP24900CE</stp>
        <stp>Volume</stp>
        <tr r="H42" s="1"/>
      </tp>
      <tp t="s">
        <v>N.A.</v>
        <stp/>
        <stp>NFO_BANKNIFTY18SEP24800CE</stp>
        <stp>Volume</stp>
        <tr r="H40" s="1"/>
      </tp>
      <tp t="s">
        <v>N.A.</v>
        <stp/>
        <stp>NFO_BANKNIFTY18SEP24700CE</stp>
        <stp>Volume</stp>
        <tr r="H38" s="1"/>
      </tp>
      <tp t="s">
        <v>N.A.</v>
        <stp/>
        <stp>NFO_BANKNIFTY18SEP24600CE</stp>
        <stp>Volume</stp>
        <tr r="H36" s="1"/>
      </tp>
      <tp t="s">
        <v>N.A.</v>
        <stp/>
        <stp>NFO_BANKNIFTY18SEP25800CE</stp>
        <stp>Volume</stp>
        <tr r="H58" s="1"/>
      </tp>
      <tp t="s">
        <v>N.A.</v>
        <stp/>
        <stp>NFO_BANKNIFTY18SEP25700CE</stp>
        <stp>Volume</stp>
        <tr r="H57" s="1"/>
      </tp>
      <tp t="s">
        <v>N.A.</v>
        <stp/>
        <stp>NFO_BANKNIFTY18SEP25600CE</stp>
        <stp>Volume</stp>
        <tr r="H60" s="1"/>
      </tp>
      <tp t="s">
        <v>N.A.</v>
        <stp/>
        <stp>NFO_BANKNIFTY18SEP25500CE</stp>
        <stp>Volume</stp>
        <tr r="H54" s="1"/>
      </tp>
      <tp t="s">
        <v>N.A.</v>
        <stp/>
        <stp>NFO_BANKNIFTY18SEP25400CE</stp>
        <stp>Volume</stp>
        <tr r="H52" s="1"/>
      </tp>
      <tp t="s">
        <v>N.A.</v>
        <stp/>
        <stp>NFO_BANKNIFTY18SEP25300CE</stp>
        <stp>Volume</stp>
        <tr r="H50" s="1"/>
      </tp>
      <tp t="s">
        <v>N.A.</v>
        <stp/>
        <stp>NFO_BANKNIFTY18SEP25200CE</stp>
        <stp>Volume</stp>
        <tr r="H48" s="1"/>
      </tp>
      <tp t="s">
        <v>N.A.</v>
        <stp/>
        <stp>NFO_BANKNIFTY18SEP25100CE</stp>
        <stp>Volume</stp>
        <tr r="H46" s="1"/>
      </tp>
      <tp t="s">
        <v>N.A.</v>
        <stp/>
        <stp>NFO_BANKNIFTY18SEP25000CE</stp>
        <stp>Volume</stp>
        <tr r="H44" s="1"/>
      </tp>
      <tp t="s">
        <v>N.A.</v>
        <stp/>
        <stp>NFO_BANKNIFTY18SEP25700PE</stp>
        <stp>Volume</stp>
        <tr r="H59" s="1"/>
      </tp>
      <tp t="s">
        <v>N.A.</v>
        <stp/>
        <stp>NFO_BANKNIFTY18SEP25600PE</stp>
        <stp>Volume</stp>
        <tr r="H56" s="1"/>
      </tp>
      <tp t="s">
        <v>N.A.</v>
        <stp/>
        <stp>NFO_BANKNIFTY18SEP25500PE</stp>
        <stp>Volume</stp>
        <tr r="H55" s="1"/>
      </tp>
      <tp t="s">
        <v>N.A.</v>
        <stp/>
        <stp>NFO_BANKNIFTY18SEP25400PE</stp>
        <stp>Volume</stp>
        <tr r="H53" s="1"/>
      </tp>
      <tp t="s">
        <v>N.A.</v>
        <stp/>
        <stp>NFO_BANKNIFTY18SEP25300PE</stp>
        <stp>Volume</stp>
        <tr r="H51" s="1"/>
      </tp>
      <tp t="s">
        <v>N.A.</v>
        <stp/>
        <stp>NFO_BANKNIFTY18SEP25200PE</stp>
        <stp>Volume</stp>
        <tr r="H49" s="1"/>
      </tp>
      <tp t="s">
        <v>N.A.</v>
        <stp/>
        <stp>NFO_BANKNIFTY18SEP25100PE</stp>
        <stp>Volume</stp>
        <tr r="H47" s="1"/>
      </tp>
      <tp t="s">
        <v>N.A.</v>
        <stp/>
        <stp>NFO_BANKNIFTY18SEP25000PE</stp>
        <stp>Volume</stp>
        <tr r="H45" s="1"/>
      </tp>
      <tp t="s">
        <v>N.A.</v>
        <stp/>
        <stp>NFO_BANKNIFTY18SEP24900PE</stp>
        <stp>Volume</stp>
        <tr r="H43" s="1"/>
      </tp>
      <tp t="s">
        <v>N.A.</v>
        <stp/>
        <stp>NFO_BANKNIFTY18SEP24800PE</stp>
        <stp>Volume</stp>
        <tr r="H41" s="1"/>
      </tp>
      <tp t="s">
        <v>N.A.</v>
        <stp/>
        <stp>NFO_BANKNIFTY18SEP24700PE</stp>
        <stp>Volume</stp>
        <tr r="H39" s="1"/>
      </tp>
      <tp t="s">
        <v>N.A.</v>
        <stp/>
        <stp>NFO_BANKNIFTY18SEP24600PE</stp>
        <stp>Volume</stp>
        <tr r="H37" s="1"/>
      </tp>
      <tp t="s">
        <v>N.A.</v>
        <stp/>
        <stp>NSE_BHARTIARTL-EQ</stp>
        <stp>lastUpdateTime</stp>
        <tr r="M69" s="1"/>
      </tp>
      <tp t="s">
        <v>N.A.</v>
        <stp/>
        <stp>NSE_TATASTEEL-EQ</stp>
        <stp>TradingSymbol</stp>
        <tr r="A102" s="1"/>
      </tp>
      <tp t="s">
        <v>N.A.</v>
        <stp/>
        <stp>NSE_FEDERALBNK-EQ</stp>
        <stp>lastTradeTime</stp>
        <tr r="L5" s="1"/>
      </tp>
      <tp t="s">
        <v>N.A.</v>
        <stp/>
        <stp>NSE_TATASTEEL-EQ</stp>
        <stp>Last</stp>
        <tr r="B102" s="1"/>
      </tp>
      <tp t="s">
        <v>N.A.</v>
        <stp/>
        <stp>NSE_FEDERALBNK-EQ</stp>
        <stp>Volume</stp>
        <tr r="H5" s="1"/>
      </tp>
      <tp t="s">
        <v>N.A.</v>
        <stp/>
        <stp>NSE_DRREDDY-EQ</stp>
        <stp>lastTradeTime</stp>
        <tr r="L74" s="1"/>
      </tp>
      <tp t="s">
        <v>N.A.</v>
        <stp/>
        <stp>NSE_TCS-EQ</stp>
        <stp>Last</stp>
        <tr r="B103" s="1"/>
      </tp>
      <tp t="s">
        <v>N.A.</v>
        <stp/>
        <stp>NSE_LUPIN-EQ</stp>
        <stp>lastUpdateTime</stp>
        <tr r="M92" s="1"/>
      </tp>
      <tp t="s">
        <v>N.A.</v>
        <stp/>
        <stp>NSE_EICHERMOT-EQ</stp>
        <stp>TradingSymbol</stp>
        <tr r="A75" s="1"/>
      </tp>
      <tp t="s">
        <v>N.A.</v>
        <stp/>
        <stp>NSE_CIPLA-EQ</stp>
        <stp>lastUpdateTime</stp>
        <tr r="M72" s="1"/>
      </tp>
      <tp t="s">
        <v>N.A.</v>
        <stp/>
        <stp>NSE_BOSCHLTD-EQ</stp>
        <stp>OpenInterest</stp>
        <tr r="I70" s="1"/>
      </tp>
      <tp t="s">
        <v>N.A.</v>
        <stp/>
        <stp>NSE_AXISBANK-EQ</stp>
        <stp>Last</stp>
        <tr r="B2" s="1"/>
        <tr r="B66" s="1"/>
      </tp>
      <tp t="s">
        <v>N.A.</v>
        <stp/>
        <stp>NFO_NIFTY18SEP11250PE</stp>
        <stp>Ask</stp>
        <tr r="E31" s="1"/>
      </tp>
      <tp t="s">
        <v>N.A.</v>
        <stp/>
        <stp>NFO_NIFTY18SEP11200PE</stp>
        <stp>Ask</stp>
        <tr r="E29" s="1"/>
      </tp>
      <tp t="s">
        <v>N.A.</v>
        <stp/>
        <stp>NFO_NIFTY18SEP11300PE</stp>
        <stp>Ask</stp>
        <tr r="E33" s="1"/>
      </tp>
      <tp t="s">
        <v>N.A.</v>
        <stp/>
        <stp>NFO_NIFTY18SEP11050PE</stp>
        <stp>Ask</stp>
        <tr r="E25" s="1"/>
      </tp>
      <tp t="s">
        <v>N.A.</v>
        <stp/>
        <stp>NFO_NIFTY18SEP11000PE</stp>
        <stp>Ask</stp>
        <tr r="E23" s="1"/>
      </tp>
      <tp t="s">
        <v>N.A.</v>
        <stp/>
        <stp>NFO_NIFTY18SEP11150PE</stp>
        <stp>Ask</stp>
        <tr r="E34" s="1"/>
      </tp>
      <tp t="s">
        <v>N.A.</v>
        <stp/>
        <stp>NFO_NIFTY18SEP11100PE</stp>
        <stp>Ask</stp>
        <tr r="E27" s="1"/>
      </tp>
      <tp t="s">
        <v>N.A.</v>
        <stp/>
        <stp>NFO_NIFTY18SEP10950PE</stp>
        <stp>Ask</stp>
        <tr r="E21" s="1"/>
      </tp>
      <tp t="s">
        <v>N.A.</v>
        <stp/>
        <stp>NFO_NIFTY18SEP10900PE</stp>
        <stp>Ask</stp>
        <tr r="E19" s="1"/>
      </tp>
      <tp t="s">
        <v>N.A.</v>
        <stp/>
        <stp>NSE_BANKBARODA-EQ</stp>
        <stp>TradingSymbol</stp>
        <tr r="A3" s="1"/>
      </tp>
      <tp t="s">
        <v>N.A.</v>
        <stp/>
        <stp>NFO_NIFTY18SEP10950CE</stp>
        <stp>Ask</stp>
        <tr r="E20" s="1"/>
      </tp>
      <tp t="s">
        <v>N.A.</v>
        <stp/>
        <stp>NFO_NIFTY18SEP10900CE</stp>
        <stp>Ask</stp>
        <tr r="E18" s="1"/>
      </tp>
      <tp t="s">
        <v>N.A.</v>
        <stp/>
        <stp>NSE_FEDERALBNK-EQ</stp>
        <stp>lastUpdateTime</stp>
        <tr r="M5" s="1"/>
      </tp>
      <tp t="s">
        <v>N.A.</v>
        <stp/>
        <stp>NFO_NIFTY18SEP11250CE</stp>
        <stp>Ask</stp>
        <tr r="E30" s="1"/>
      </tp>
      <tp t="s">
        <v>N.A.</v>
        <stp/>
        <stp>NFO_NIFTY18SEP11200CE</stp>
        <stp>Ask</stp>
        <tr r="E28" s="1"/>
      </tp>
      <tp t="s">
        <v>N.A.</v>
        <stp/>
        <stp>NFO_NIFTY18SEP11300CE</stp>
        <stp>Ask</stp>
        <tr r="E32" s="1"/>
      </tp>
      <tp t="s">
        <v>N.A.</v>
        <stp/>
        <stp>NFO_NIFTY18SEP11050CE</stp>
        <stp>Ask</stp>
        <tr r="E24" s="1"/>
      </tp>
      <tp t="s">
        <v>N.A.</v>
        <stp/>
        <stp>NFO_NIFTY18SEP11000CE</stp>
        <stp>Ask</stp>
        <tr r="E22" s="1"/>
      </tp>
      <tp t="s">
        <v>N.A.</v>
        <stp/>
        <stp>NFO_NIFTY18SEP11150CE</stp>
        <stp>Ask</stp>
        <tr r="E35" s="1"/>
      </tp>
      <tp t="s">
        <v>N.A.</v>
        <stp/>
        <stp>NFO_NIFTY18SEP11100CE</stp>
        <stp>Ask</stp>
        <tr r="E26" s="1"/>
      </tp>
      <tp t="s">
        <v>N.A.</v>
        <stp/>
        <stp>NSE_YESBANK-EQ</stp>
        <stp>Bid</stp>
        <tr r="D12" s="1"/>
        <tr r="D109" s="1"/>
      </tp>
      <tp t="s">
        <v>N.A.</v>
        <stp/>
        <stp>NSE_UPL-EQ</stp>
        <stp>Last</stp>
        <tr r="B106" s="1"/>
      </tp>
      <tp t="s">
        <v>N.A.</v>
        <stp/>
        <stp>NSE_CIPLA-EQ</stp>
        <stp>Volume</stp>
        <tr r="H72" s="1"/>
      </tp>
      <tp t="s">
        <v>N.A.</v>
        <stp/>
        <stp>NSE_LUPIN-EQ</stp>
        <stp>Volume</stp>
        <tr r="H92" s="1"/>
      </tp>
      <tp t="s">
        <v>N.A.</v>
        <stp/>
        <stp>NSE_COALINDIA-EQ</stp>
        <stp>OpenInterest</stp>
        <tr r="I73" s="1"/>
      </tp>
      <tp t="s">
        <v>N.A.</v>
        <stp/>
        <stp>NSE_POWERGRID-EQ</stp>
        <stp>OpenInterest</stp>
        <tr r="I97" s="1"/>
      </tp>
      <tp t="s">
        <v>N.A.</v>
        <stp/>
        <stp>NSE_ULTRACEMCO-EQ</stp>
        <stp>lastUpdateTime</stp>
        <tr r="M105" s="1"/>
      </tp>
      <tp t="s">
        <v>N.A.</v>
        <stp/>
        <stp>NSE_TATAMOTORS-EQ</stp>
        <stp>TradingSymbol</stp>
        <tr r="A101" s="1"/>
      </tp>
      <tp t="s">
        <v>N.A.</v>
        <stp/>
        <stp>NSE_BANKBARODA-EQ</stp>
        <stp>Volume</stp>
        <tr r="H3" s="1"/>
      </tp>
      <tp t="s">
        <v>N.A.</v>
        <stp/>
        <stp>NSE_HINDUNILVR-EQ</stp>
        <stp>TradingSymbol</stp>
        <tr r="A83" s="1"/>
      </tp>
      <tp t="s">
        <v>N.A.</v>
        <stp/>
        <stp>NSE_HINDPETRO-EQ</stp>
        <stp>lastTradeTime</stp>
        <tr r="L82" s="1"/>
      </tp>
      <tp t="s">
        <v>N.A.</v>
        <stp/>
        <stp>NSE_RELIANCE-EQ</stp>
        <stp>Ask</stp>
        <tr r="E98" s="1"/>
      </tp>
      <tp t="s">
        <v>N.A.</v>
        <stp/>
        <stp>NSE_LT-EQ</stp>
        <stp>Last</stp>
        <tr r="B91" s="1"/>
      </tp>
      <tp t="s">
        <v>N.A.</v>
        <stp/>
        <stp>NSE_BANKBARODA-EQ</stp>
        <stp>lastUpdateTime</stp>
        <tr r="M3" s="1"/>
      </tp>
      <tp t="s">
        <v>N.A.</v>
        <stp/>
        <stp>NSE_ULTRACEMCO-EQ</stp>
        <stp>Volume</stp>
        <tr r="H105" s="1"/>
      </tp>
      <tp t="s">
        <v>N.A.</v>
        <stp/>
        <stp>NSE_RELIANCE-EQ</stp>
        <stp>TradingSymbol</stp>
        <tr r="A98" s="1"/>
      </tp>
      <tp t="s">
        <v>N.A.</v>
        <stp/>
        <stp>NSE_YESBANK-EQ</stp>
        <stp>LTQ</stp>
        <tr r="G12" s="1"/>
        <tr r="G109" s="1"/>
      </tp>
      <tp t="s">
        <v>N.A.</v>
        <stp/>
        <stp>NFO_NIFTY18SEP10950PE</stp>
        <stp>LTQ</stp>
        <tr r="G21" s="1"/>
      </tp>
      <tp t="s">
        <v>N.A.</v>
        <stp/>
        <stp>NFO_NIFTY18SEP10900PE</stp>
        <stp>LTQ</stp>
        <tr r="G19" s="1"/>
      </tp>
      <tp t="s">
        <v>N.A.</v>
        <stp/>
        <stp>NFO_NIFTY18SEP11050PE</stp>
        <stp>LTQ</stp>
        <tr r="G25" s="1"/>
      </tp>
      <tp t="s">
        <v>N.A.</v>
        <stp/>
        <stp>NFO_NIFTY18SEP11000PE</stp>
        <stp>LTQ</stp>
        <tr r="G23" s="1"/>
      </tp>
      <tp t="s">
        <v>N.A.</v>
        <stp/>
        <stp>NFO_NIFTY18SEP11150PE</stp>
        <stp>LTQ</stp>
        <tr r="G34" s="1"/>
      </tp>
      <tp t="s">
        <v>N.A.</v>
        <stp/>
        <stp>NFO_NIFTY18SEP11100PE</stp>
        <stp>LTQ</stp>
        <tr r="G27" s="1"/>
      </tp>
      <tp t="s">
        <v>N.A.</v>
        <stp/>
        <stp>NFO_NIFTY18SEP11250PE</stp>
        <stp>LTQ</stp>
        <tr r="G31" s="1"/>
      </tp>
      <tp t="s">
        <v>N.A.</v>
        <stp/>
        <stp>NFO_NIFTY18SEP11200PE</stp>
        <stp>LTQ</stp>
        <tr r="G29" s="1"/>
      </tp>
      <tp t="s">
        <v>N.A.</v>
        <stp/>
        <stp>NFO_NIFTY18SEP11300PE</stp>
        <stp>LTQ</stp>
        <tr r="G33" s="1"/>
      </tp>
      <tp t="s">
        <v>N.A.</v>
        <stp/>
        <stp>NFO_NIFTY18SEP11050CE</stp>
        <stp>LTQ</stp>
        <tr r="G24" s="1"/>
      </tp>
      <tp t="s">
        <v>N.A.</v>
        <stp/>
        <stp>NFO_NIFTY18SEP11000CE</stp>
        <stp>LTQ</stp>
        <tr r="G22" s="1"/>
      </tp>
      <tp t="s">
        <v>N.A.</v>
        <stp/>
        <stp>NFO_NIFTY18SEP11150CE</stp>
        <stp>LTQ</stp>
        <tr r="G35" s="1"/>
      </tp>
      <tp t="s">
        <v>N.A.</v>
        <stp/>
        <stp>NFO_NIFTY18SEP11100CE</stp>
        <stp>LTQ</stp>
        <tr r="G26" s="1"/>
      </tp>
      <tp t="s">
        <v>N.A.</v>
        <stp/>
        <stp>NFO_NIFTY18SEP11250CE</stp>
        <stp>LTQ</stp>
        <tr r="G30" s="1"/>
      </tp>
      <tp t="s">
        <v>N.A.</v>
        <stp/>
        <stp>NFO_NIFTY18SEP11200CE</stp>
        <stp>LTQ</stp>
        <tr r="G28" s="1"/>
      </tp>
      <tp t="s">
        <v>N.A.</v>
        <stp/>
        <stp>NFO_NIFTY18SEP11300CE</stp>
        <stp>LTQ</stp>
        <tr r="G32" s="1"/>
      </tp>
      <tp t="s">
        <v>N.A.</v>
        <stp/>
        <stp>NFO_NIFTY18SEP10950CE</stp>
        <stp>LTQ</stp>
        <tr r="G20" s="1"/>
      </tp>
      <tp t="s">
        <v>N.A.</v>
        <stp/>
        <stp>NFO_NIFTY18SEP10900CE</stp>
        <stp>LTQ</stp>
        <tr r="G18" s="1"/>
      </tp>
      <tp t="s">
        <v>N.A.</v>
        <stp/>
        <stp>NSE_RELIANCE-EQ</stp>
        <stp>Bid</stp>
        <tr r="D98" s="1"/>
      </tp>
      <tp t="s">
        <v>N.A.</v>
        <stp/>
        <stp>NSE_HEROMOTOCO-EQ</stp>
        <stp>OpenInterest</stp>
        <tr r="I80" s="1"/>
      </tp>
      <tp t="s">
        <v>N.A.</v>
        <stp/>
        <stp>NSE_BHARTIARTL-EQ</stp>
        <stp>OpenInterest</stp>
        <tr r="I69" s="1"/>
      </tp>
      <tp t="s">
        <v>N.A.</v>
        <stp/>
        <stp>NSE_ULTRACEMCO-EQ</stp>
        <stp>lastTradeTime</stp>
        <tr r="L105" s="1"/>
      </tp>
      <tp t="s">
        <v>N.A.</v>
        <stp/>
        <stp>NSE_SUNPHARMA-EQ</stp>
        <stp>Last</stp>
        <tr r="B100" s="1"/>
      </tp>
      <tp t="s">
        <v>N.A.</v>
        <stp/>
        <stp>NSE_BAJFINANCE-EQ</stp>
        <stp>TradingSymbol</stp>
        <tr r="A68" s="1"/>
      </tp>
      <tp t="s">
        <v>N.A.</v>
        <stp/>
        <stp>NSE_IBULHSGFIN-EQ</stp>
        <stp>TradingSymbol</stp>
        <tr r="A84" s="1"/>
      </tp>
      <tp t="s">
        <v>N.A.</v>
        <stp/>
        <stp>NSE_HINDALCO-EQ</stp>
        <stp>TradingSymbol</stp>
        <tr r="A81" s="1"/>
      </tp>
      <tp t="s">
        <v>N.A.</v>
        <stp/>
        <stp>NSE_AUROPHARMA-EQ</stp>
        <stp>Last</stp>
        <tr r="B65" s="1"/>
      </tp>
      <tp t="s">
        <v>N.A.</v>
        <stp/>
        <stp>NSE_AMBUJACEM-EQ</stp>
        <stp>OpenInterest</stp>
        <tr r="I63" s="1"/>
      </tp>
      <tp t="s">
        <v>N.A.</v>
        <stp/>
        <stp>NSE_FEDERALBNK-EQ</stp>
        <stp>OpenInterest</stp>
        <tr r="I5" s="1"/>
      </tp>
      <tp t="s">
        <v>N.A.</v>
        <stp/>
        <stp>NSE_M&amp;M-EQ</stp>
        <stp>lastUpdateTime</stp>
        <tr r="M93" s="1"/>
      </tp>
      <tp t="s">
        <v>N.A.</v>
        <stp/>
        <stp>NSE_HEROMOTOCO-EQ</stp>
        <stp>Volume</stp>
        <tr r="H80" s="1"/>
      </tp>
      <tp t="s">
        <v>N.A.</v>
        <stp/>
        <stp>NSE_UPL-EQ</stp>
        <stp>Volume</stp>
        <tr r="H106" s="1"/>
      </tp>
      <tp t="s">
        <v>N.A.</v>
        <stp/>
        <stp>NSE_ICICIBANK-EQ</stp>
        <stp>TradingSymbol</stp>
        <tr r="A7" s="1"/>
        <tr r="A85" s="1"/>
      </tp>
      <tp t="s">
        <v>N.A.</v>
        <stp/>
        <stp>NSE_CANBK-EQ</stp>
        <stp>lastUpdateTime</stp>
        <tr r="M4" s="1"/>
      </tp>
      <tp t="s">
        <v>N.A.</v>
        <stp/>
        <stp>NSE_HINDPETRO-EQ</stp>
        <stp>Last</stp>
        <tr r="B82" s="1"/>
      </tp>
      <tp t="s">
        <v>N.A.</v>
        <stp/>
        <stp>NSE_ADANIPORTS-EQ</stp>
        <stp>Last</stp>
        <tr r="B62" s="1"/>
      </tp>
      <tp t="s">
        <v>N.A.</v>
        <stp/>
        <stp>NSE_UPL-EQ</stp>
        <stp>lastUpdateTime</stp>
        <tr r="M106" s="1"/>
      </tp>
      <tp t="s">
        <v>N.A.</v>
        <stp/>
        <stp>NSE_HEROMOTOCO-EQ</stp>
        <stp>lastUpdateTime</stp>
        <tr r="M80" s="1"/>
      </tp>
      <tp t="s">
        <v>N.A.</v>
        <stp/>
        <stp>NSE_M&amp;M-EQ</stp>
        <stp>Volume</stp>
        <tr r="H93" s="1"/>
      </tp>
      <tp t="s">
        <v>N.A.</v>
        <stp/>
        <stp>NFO_BANKNIFTY18SEPFUT</stp>
        <stp>Bid</stp>
        <tr r="D15" s="1"/>
      </tp>
      <tp t="s">
        <v>N.A.</v>
        <stp/>
        <stp>NSE_MARUTI-EQ</stp>
        <stp>Ask</stp>
        <tr r="E94" s="1"/>
      </tp>
      <tp t="s">
        <v>N.A.</v>
        <stp/>
        <stp>NFO_BANKNIFTY18NOVFUT</stp>
        <stp>Bid</stp>
        <tr r="D17" s="1"/>
      </tp>
      <tp t="s">
        <v>N.A.</v>
        <stp/>
        <stp>NFO_BANKNIFTY18OCTFUT</stp>
        <stp>Bid</stp>
        <tr r="D16" s="1"/>
      </tp>
      <tp t="s">
        <v>N.A.</v>
        <stp/>
        <stp>NSE_POWERGRID-EQ</stp>
        <stp>TradingSymbol</stp>
        <tr r="A97" s="1"/>
      </tp>
      <tp t="s">
        <v>N.A.</v>
        <stp/>
        <stp>NSE_CANBK-EQ</stp>
        <stp>Volume</stp>
        <tr r="H4" s="1"/>
      </tp>
      <tp t="s">
        <v>N.A.</v>
        <stp/>
        <stp>NSE_ULTRACEMCO-EQ</stp>
        <stp>Last</stp>
        <tr r="B105" s="1"/>
      </tp>
      <tp t="s">
        <v>N.A.</v>
        <stp/>
        <stp>NSE_ADANIPORTS-EQ</stp>
        <stp>Volume</stp>
        <tr r="H62" s="1"/>
      </tp>
      <tp t="s">
        <v>N.A.</v>
        <stp/>
        <stp>NSE_AMBUJACEM-EQ</stp>
        <stp>lastTradeTime</stp>
        <tr r="L63" s="1"/>
      </tp>
      <tp t="s">
        <v>N.A.</v>
        <stp/>
        <stp>NFO_BANKNIFTY18NOVFUT</stp>
        <stp>Ask</stp>
        <tr r="E17" s="1"/>
      </tp>
      <tp t="s">
        <v>N.A.</v>
        <stp/>
        <stp>NFO_BANKNIFTY18OCTFUT</stp>
        <stp>Ask</stp>
        <tr r="E16" s="1"/>
      </tp>
      <tp t="s">
        <v>N.A.</v>
        <stp/>
        <stp>NSE_MARUTI-EQ</stp>
        <stp>Bid</stp>
        <tr r="D94" s="1"/>
      </tp>
      <tp t="s">
        <v>N.A.</v>
        <stp/>
        <stp>NFO_BANKNIFTY18SEPFUT</stp>
        <stp>Ask</stp>
        <tr r="E15" s="1"/>
      </tp>
      <tp t="s">
        <v>N.A.</v>
        <stp/>
        <stp>NSE_DRREDDY-EQ</stp>
        <stp>LTQ</stp>
        <tr r="G74" s="1"/>
      </tp>
      <tp t="s">
        <v>N.A.</v>
        <stp/>
        <stp>NSE_KOTAKBANK-EQ</stp>
        <stp>TradingSymbol</stp>
        <tr r="A9" s="1"/>
        <tr r="A90" s="1"/>
      </tp>
      <tp t="s">
        <v>N.A.</v>
        <stp/>
        <stp>NSE_LUPIN-EQ</stp>
        <stp>LTQ</stp>
        <tr r="G92" s="1"/>
      </tp>
      <tp t="s">
        <v>N.A.</v>
        <stp/>
        <stp>NSE_HDFCBANK-EQ</stp>
        <stp>TradingSymbol</stp>
        <tr r="A6" s="1"/>
        <tr r="A79" s="1"/>
      </tp>
      <tp t="s">
        <v>N.A.</v>
        <stp/>
        <stp>NSE_BANKBARODA-EQ</stp>
        <stp>OpenInterest</stp>
        <tr r="I3" s="1"/>
      </tp>
      <tp t="s">
        <v>N.A.</v>
        <stp/>
        <stp>NSE_RELIANCE-EQ</stp>
        <stp>OpenInterest</stp>
        <tr r="I98" s="1"/>
      </tp>
      <tp t="s">
        <v>N.A.</v>
        <stp/>
        <stp>_India VIX</stp>
        <stp>LTQ</stp>
        <tr r="G61" s="1"/>
      </tp>
      <tp t="s">
        <v>N.A.</v>
        <stp/>
        <stp>NSE_ADANIPORTS-EQ</stp>
        <stp>lastUpdateTime</stp>
        <tr r="M62" s="1"/>
      </tp>
      <tp t="s">
        <v>N.A.</v>
        <stp/>
        <stp>NSE_LT-EQ</stp>
        <stp>TradingSymbol</stp>
        <tr r="A91" s="1"/>
      </tp>
      <tp t="s">
        <v>N.A.</v>
        <stp/>
        <stp>NSE_HCLTECH-EQ</stp>
        <stp>TradingSymbol</stp>
        <tr r="A77" s="1"/>
      </tp>
      <tp t="s">
        <v>N.A.</v>
        <stp/>
        <stp>NSE_HDFCBANK-EQ</stp>
        <stp>Ask</stp>
        <tr r="E6" s="1"/>
        <tr r="E79" s="1"/>
      </tp>
      <tp t="s">
        <v>N.A.</v>
        <stp/>
        <stp>NSE_BOSCHLTD-EQ</stp>
        <stp>Ask</stp>
        <tr r="E70" s="1"/>
      </tp>
      <tp t="s">
        <v>N.A.</v>
        <stp/>
        <stp>NSE_HINDALCO-EQ</stp>
        <stp>Bid</stp>
        <tr r="D81" s="1"/>
      </tp>
      <tp t="s">
        <v>N.A.</v>
        <stp/>
        <stp>NSE_LT-EQ</stp>
        <stp>lastTradeTime</stp>
        <tr r="L91" s="1"/>
      </tp>
      <tp t="s">
        <v>N.A.</v>
        <stp/>
        <stp>NSE_BPCL-EQ</stp>
        <stp>Volume</stp>
        <tr r="H71" s="1"/>
      </tp>
      <tp t="s">
        <v>N.A.</v>
        <stp/>
        <stp>NSE_GAIL-EQ</stp>
        <stp>Volume</stp>
        <tr r="H76" s="1"/>
      </tp>
      <tp t="s">
        <v>N.A.</v>
        <stp/>
        <stp>NSE_VEDL-EQ</stp>
        <stp>Volume</stp>
        <tr r="H107" s="1"/>
      </tp>
      <tp t="s">
        <v>N.A.</v>
        <stp/>
        <stp>NSE_ZEEL-EQ</stp>
        <stp>Volume</stp>
        <tr r="H110" s="1"/>
      </tp>
      <tp t="s">
        <v>N.A.</v>
        <stp/>
        <stp>NSE_HCLTECH-EQ</stp>
        <stp>lastTradeTime</stp>
        <tr r="L77" s="1"/>
      </tp>
      <tp t="s">
        <v>N.A.</v>
        <stp/>
        <stp>NSE_TECHM-EQ</stp>
        <stp>Bid</stp>
        <tr r="D104" s="1"/>
      </tp>
      <tp t="s">
        <v>N.A.</v>
        <stp/>
        <stp>NSE_HEROMOTOCO-EQ</stp>
        <stp>Last</stp>
        <tr r="B80" s="1"/>
      </tp>
      <tp t="s">
        <v>N.A.</v>
        <stp/>
        <stp>NSE_BHARTIARTL-EQ</stp>
        <stp>Last</stp>
        <tr r="B69" s="1"/>
      </tp>
      <tp t="s">
        <v>N.A.</v>
        <stp/>
        <stp>NSE_SUNPHARMA-EQ</stp>
        <stp>OpenInterest</stp>
        <tr r="I100" s="1"/>
      </tp>
      <tp t="s">
        <v>N.A.</v>
        <stp/>
        <stp>NSE_ZEEL-EQ</stp>
        <stp>lastUpdateTime</stp>
        <tr r="M110" s="1"/>
      </tp>
      <tp t="s">
        <v>N.A.</v>
        <stp/>
        <stp>NSE_VEDL-EQ</stp>
        <stp>lastUpdateTime</stp>
        <tr r="M107" s="1"/>
      </tp>
      <tp t="s">
        <v>N.A.</v>
        <stp/>
        <stp>NSE_BPCL-EQ</stp>
        <stp>lastUpdateTime</stp>
        <tr r="M71" s="1"/>
      </tp>
      <tp t="s">
        <v>N.A.</v>
        <stp/>
        <stp>NSE_GAIL-EQ</stp>
        <stp>lastUpdateTime</stp>
        <tr r="M76" s="1"/>
      </tp>
      <tp t="s">
        <v>N.A.</v>
        <stp/>
        <stp>NSE_KOTAKBANK-EQ</stp>
        <stp>lastTradeTime</stp>
        <tr r="L9" s="1"/>
        <tr r="L90" s="1"/>
      </tp>
      <tp t="s">
        <v>N.A.</v>
        <stp/>
        <stp>NSE_HDFCBANK-EQ</stp>
        <stp>lastTradeTime</stp>
        <tr r="L6" s="1"/>
        <tr r="L79" s="1"/>
      </tp>
      <tp t="s">
        <v>N.A.</v>
        <stp/>
        <stp>NSE_HCLTECH-EQ</stp>
        <stp>Bid</stp>
        <tr r="D77" s="1"/>
      </tp>
      <tp t="s">
        <v>N.A.</v>
        <stp/>
        <stp>NSE_AMBUJACEM-EQ</stp>
        <stp>TradingSymbol</stp>
        <tr r="A63" s="1"/>
      </tp>
      <tp t="s">
        <v>N.A.</v>
        <stp/>
        <stp>NSE_COALINDIA-EQ</stp>
        <stp>Last</stp>
        <tr r="B73" s="1"/>
      </tp>
      <tp t="s">
        <v>N.A.</v>
        <stp/>
        <stp>NSE_POWERGRID-EQ</stp>
        <stp>Last</stp>
        <tr r="B97" s="1"/>
      </tp>
      <tp t="s">
        <v>N.A.</v>
        <stp/>
        <stp>NSE_TCS-EQ</stp>
        <stp>lastUpdateTime</stp>
        <tr r="M103" s="1"/>
      </tp>
      <tp t="s">
        <v>N.A.</v>
        <stp/>
        <stp>NSE_SBIN-EQ</stp>
        <stp>Volume</stp>
        <tr r="H11" s="1"/>
        <tr r="H99" s="1"/>
      </tp>
      <tp t="s">
        <v>N.A.</v>
        <stp/>
        <stp>NSE_POWERGRID-EQ</stp>
        <stp>lastTradeTime</stp>
        <tr r="L97" s="1"/>
      </tp>
      <tp t="s">
        <v>N.A.</v>
        <stp/>
        <stp>NSE_HCLTECH-EQ</stp>
        <stp>Ask</stp>
        <tr r="E77" s="1"/>
      </tp>
      <tp t="s">
        <v>N.A.</v>
        <stp/>
        <stp>NSE_CIPLA-EQ</stp>
        <stp>LTQ</stp>
        <tr r="G72" s="1"/>
      </tp>
      <tp t="s">
        <v>N.A.</v>
        <stp/>
        <stp>NSE_WIPRO-EQ</stp>
        <stp>LTQ</stp>
        <tr r="G108" s="1"/>
      </tp>
      <tp t="s">
        <v>N.A.</v>
        <stp/>
        <stp>NSE_HINDALCO-EQ</stp>
        <stp>Ask</stp>
        <tr r="E81" s="1"/>
      </tp>
      <tp t="s">
        <v>N.A.</v>
        <stp/>
        <stp>NSE_LT-EQ</stp>
        <stp>OpenInterest</stp>
        <tr r="I91" s="1"/>
      </tp>
      <tp t="s">
        <v>N.A.</v>
        <stp/>
        <stp>NSE_HDFCBANK-EQ</stp>
        <stp>Bid</stp>
        <tr r="D6" s="1"/>
        <tr r="D79" s="1"/>
      </tp>
      <tp t="s">
        <v>N.A.</v>
        <stp/>
        <stp>NSE_BOSCHLTD-EQ</stp>
        <stp>Bid</stp>
        <tr r="D70" s="1"/>
      </tp>
      <tp t="s">
        <v>N.A.</v>
        <stp/>
        <stp>NSE_SBIN-EQ</stp>
        <stp>lastUpdateTime</stp>
        <tr r="M11" s="1"/>
        <tr r="M99" s="1"/>
      </tp>
      <tp t="s">
        <v>N.A.</v>
        <stp/>
        <stp>NSE_TCS-EQ</stp>
        <stp>Volume</stp>
        <tr r="H103" s="1"/>
      </tp>
      <tp t="s">
        <v>N.A.</v>
        <stp/>
        <stp>NSE_TECHM-EQ</stp>
        <stp>Ask</stp>
        <tr r="E104" s="1"/>
      </tp>
      <tp t="s">
        <v>N.A.</v>
        <stp/>
        <stp>NSE_ICICIBANK-EQ</stp>
        <stp>lastTradeTime</stp>
        <tr r="L7" s="1"/>
        <tr r="L85" s="1"/>
      </tp>
      <tp t="s">
        <v>N.A.</v>
        <stp/>
        <stp>NSE_BAJFINANCE-EQ</stp>
        <stp>lastTradeTime</stp>
        <tr r="L68" s="1"/>
      </tp>
      <tp t="s">
        <v>N.A.</v>
        <stp/>
        <stp>NSE_ULTRACEMCO-EQ</stp>
        <stp>OpenInterest</stp>
        <tr r="I105" s="1"/>
      </tp>
      <tp t="s">
        <v>N.A.</v>
        <stp/>
        <stp>NSE_IBULHSGFIN-EQ</stp>
        <stp>lastTradeTime</stp>
        <tr r="L84" s="1"/>
      </tp>
      <tp t="s">
        <v>N.A.</v>
        <stp/>
        <stp>NSE_TATAMOTORS-EQ</stp>
        <stp>Volume</stp>
        <tr r="H101" s="1"/>
      </tp>
      <tp t="s">
        <v>N.A.</v>
        <stp/>
        <stp>NSE_AUROPHARMA-EQ</stp>
        <stp>lastUpdateTime</stp>
        <tr r="M65" s="1"/>
      </tp>
      <tp t="s">
        <v>N.A.</v>
        <stp/>
        <stp>NSE_ULTRACEMCO-EQ</stp>
        <stp>TradingSymbol</stp>
        <tr r="A105" s="1"/>
      </tp>
      <tp t="s">
        <v>N.A.</v>
        <stp/>
        <stp>_Nifty 50</stp>
        <stp>BidSize</stp>
        <tr r="C13" s="1"/>
      </tp>
      <tp t="s">
        <v>N.A.</v>
        <stp/>
        <stp>NSE_AXISBANK-EQ</stp>
        <stp>LTQ</stp>
        <tr r="G2" s="1"/>
        <tr r="G66" s="1"/>
      </tp>
      <tp t="s">
        <v>N.A.</v>
        <stp/>
        <stp>NSE_HINDALCO-EQ</stp>
        <stp>lastTradeTime</stp>
        <tr r="L81" s="1"/>
      </tp>
      <tp t="s">
        <v>N.A.</v>
        <stp/>
        <stp>NSE_CANBK-EQ</stp>
        <stp>Bid</stp>
        <tr r="D4" s="1"/>
      </tp>
      <tp t="s">
        <v>N.A.</v>
        <stp/>
        <stp>NSE_BANKBARODA-EQ</stp>
        <stp>Last</stp>
        <tr r="B3" s="1"/>
      </tp>
      <tp t="s">
        <v>N.A.</v>
        <stp/>
        <stp>NSE_RELIANCE-EQ</stp>
        <stp>Last</stp>
        <tr r="B98" s="1"/>
      </tp>
      <tp t="s">
        <v>N.A.</v>
        <stp/>
        <stp>NSE_AUROPHARMA-EQ</stp>
        <stp>Volume</stp>
        <tr r="H65" s="1"/>
      </tp>
      <tp t="s">
        <v>N.A.</v>
        <stp/>
        <stp>NSE_TATAMOTORS-EQ</stp>
        <stp>lastUpdateTime</stp>
        <tr r="M101" s="1"/>
      </tp>
      <tp t="s">
        <v>N.A.</v>
        <stp/>
        <stp>NSE_AMBUJACEM-EQ</stp>
        <stp>Last</stp>
        <tr r="B63" s="1"/>
      </tp>
      <tp t="s">
        <v>N.A.</v>
        <stp/>
        <stp>NSE_FEDERALBNK-EQ</stp>
        <stp>Last</stp>
        <tr r="B5" s="1"/>
      </tp>
      <tp t="s">
        <v>N.A.</v>
        <stp/>
        <stp>NSE_AUROPHARMA-EQ</stp>
        <stp>OpenInterest</stp>
        <tr r="I65" s="1"/>
      </tp>
      <tp t="s">
        <v>N.A.</v>
        <stp/>
        <stp>NSE_IBULHSGFIN-EQ</stp>
        <stp>Volume</stp>
        <tr r="H84" s="1"/>
      </tp>
      <tp t="s">
        <v>N.A.</v>
        <stp/>
        <stp>NSE_RELIANCE-EQ</stp>
        <stp>lastTradeTime</stp>
        <tr r="L98" s="1"/>
      </tp>
      <tp t="s">
        <v>N.A.</v>
        <stp/>
        <stp>NSE_HINDPETRO-EQ</stp>
        <stp>OpenInterest</stp>
        <tr r="I82" s="1"/>
      </tp>
      <tp t="s">
        <v>N.A.</v>
        <stp/>
        <stp>NSE_TATAMOTORS-EQ</stp>
        <stp>lastTradeTime</stp>
        <tr r="L101" s="1"/>
      </tp>
      <tp t="s">
        <v>N.A.</v>
        <stp/>
        <stp>NSE_ADANIPORTS-EQ</stp>
        <stp>OpenInterest</stp>
        <tr r="I62" s="1"/>
      </tp>
      <tp t="s">
        <v>N.A.</v>
        <stp/>
        <stp>NSE_HINDUNILVR-EQ</stp>
        <stp>lastTradeTime</stp>
        <tr r="L83" s="1"/>
      </tp>
      <tp t="s">
        <v>N.A.</v>
        <stp/>
        <stp>_Nifty 50</stp>
        <stp>AskSize</stp>
        <tr r="F13" s="1"/>
      </tp>
      <tp t="s">
        <v>N.A.</v>
        <stp/>
        <stp>NSE_IBULHSGFIN-EQ</stp>
        <stp>lastUpdateTime</stp>
        <tr r="M84" s="1"/>
      </tp>
      <tp t="s">
        <v>N.A.</v>
        <stp/>
        <stp>NSE_CANBK-EQ</stp>
        <stp>Ask</stp>
        <tr r="E4" s="1"/>
      </tp>
      <tp t="s">
        <v>N.A.</v>
        <stp/>
        <stp>NSE_HINDPETRO-EQ</stp>
        <stp>TradingSymbol</stp>
        <tr r="A82" s="1"/>
      </tp>
      <tp t="s">
        <v>N.A.</v>
        <stp/>
        <stp>NSE_KOTAKBANK-EQ</stp>
        <stp>OpenInterest</stp>
        <tr r="I9" s="1"/>
        <tr r="I90" s="1"/>
      </tp>
      <tp t="s">
        <v>N.A.</v>
        <stp/>
        <stp>NSE_BANKBARODA-EQ</stp>
        <stp>lastTradeTime</stp>
        <tr r="L3" s="1"/>
      </tp>
      <tp t="s">
        <v>N.A.</v>
        <stp/>
        <stp>NSE_PNB-EQ</stp>
        <stp>OpenInterest</stp>
        <tr r="I10" s="1"/>
      </tp>
      <tp t="s">
        <v>N.A.</v>
        <stp/>
        <stp>NSE_EICHERMOT-EQ</stp>
        <stp>Last</stp>
        <tr r="B75" s="1"/>
      </tp>
      <tp t="s">
        <v>N.A.</v>
        <stp/>
        <stp>NSE_AXISBANK-EQ</stp>
        <stp>Ask</stp>
        <tr r="E2" s="1"/>
        <tr r="E66" s="1"/>
      </tp>
      <tp t="s">
        <v>N.A.</v>
        <stp/>
        <stp>NSE_ASIANPAINT-EQ</stp>
        <stp>Last</stp>
        <tr r="B64" s="1"/>
      </tp>
      <tp t="s">
        <v>N.A.</v>
        <stp/>
        <stp>NSE_BAJFINANCE-EQ</stp>
        <stp>Last</stp>
        <tr r="B68" s="1"/>
      </tp>
      <tp t="s">
        <v>N.A.</v>
        <stp/>
        <stp>NSE_HINDUNILVR-EQ</stp>
        <stp>Last</stp>
        <tr r="B83" s="1"/>
      </tp>
      <tp t="s">
        <v>N.A.</v>
        <stp/>
        <stp>NSE_FEDERALBNK-EQ</stp>
        <stp>TradingSymbol</stp>
        <tr r="A5" s="1"/>
      </tp>
      <tp t="s">
        <v>N.A.</v>
        <stp/>
        <stp>NSE_EICHERMOT-EQ</stp>
        <stp>lastTradeTime</stp>
        <tr r="L75" s="1"/>
      </tp>
      <tp t="s">
        <v>N.A.</v>
        <stp/>
        <stp>NSE_DRREDDY-EQ</stp>
        <stp>TradingSymbol</stp>
        <tr r="A74" s="1"/>
      </tp>
      <tp t="s">
        <v>N.A.</v>
        <stp/>
        <stp>NSE_AXISBANK-EQ</stp>
        <stp>Bid</stp>
        <tr r="D2" s="1"/>
        <tr r="D66" s="1"/>
      </tp>
      <tp t="s">
        <v>N.A.</v>
        <stp/>
        <stp>NSE_HEROMOTOCO-EQ</stp>
        <stp>lastTradeTime</stp>
        <tr r="L80" s="1"/>
      </tp>
      <tp t="s">
        <v>N.A.</v>
        <stp/>
        <stp>NSE_INDUSINDBK-EQ</stp>
        <stp>OpenInterest</stp>
        <tr r="I8" s="1"/>
        <tr r="I86" s="1"/>
      </tp>
      <tp t="s">
        <v>N.A.</v>
        <stp/>
        <stp>NSE_TATASTEEL-EQ</stp>
        <stp>lastTradeTime</stp>
        <tr r="L102" s="1"/>
      </tp>
      <tp t="s">
        <v>N.A.</v>
        <stp/>
        <stp>NSE_CANBK-EQ</stp>
        <stp>LTQ</stp>
        <tr r="G4" s="1"/>
      </tp>
      <tp t="s">
        <v>N.A.</v>
        <stp/>
        <stp>NSE_HDFCBANK-EQ</stp>
        <stp>Last</stp>
        <tr r="B6" s="1"/>
        <tr r="B79" s="1"/>
      </tp>
      <tp t="s">
        <v>N.A.</v>
        <stp/>
        <stp>NSE_IBULHSGFIN-EQ</stp>
        <stp>Last</stp>
        <tr r="B84" s="1"/>
      </tp>
      <tp t="s">
        <v>N.A.</v>
        <stp/>
        <stp>NSE_HINDALCO-EQ</stp>
        <stp>Last</stp>
        <tr r="B81" s="1"/>
      </tp>
      <tp t="s">
        <v>N.A.</v>
        <stp/>
        <stp>NSE_INDUSINDBK-EQ</stp>
        <stp>TradingSymbol</stp>
        <tr r="A8" s="1"/>
        <tr r="A86" s="1"/>
      </tp>
      <tp t="s">
        <v>N.A.</v>
        <stp/>
        <stp>NSE_ITC-EQ</stp>
        <stp>Last</stp>
        <tr r="B89" s="1"/>
      </tp>
      <tp t="s">
        <v>N.A.</v>
        <stp/>
        <stp>NSE_COALINDIA-EQ</stp>
        <stp>lastTradeTime</stp>
        <tr r="L73" s="1"/>
      </tp>
      <tp t="s">
        <v>N.A.</v>
        <stp/>
        <stp>NSE_IOC-EQ</stp>
        <stp>Last</stp>
        <tr r="B88" s="1"/>
      </tp>
      <tp t="s">
        <v>N.A.</v>
        <stp/>
        <stp>NSE_YESBANK-EQ</stp>
        <stp>lastTradeTime</stp>
        <tr r="L12" s="1"/>
        <tr r="L109" s="1"/>
      </tp>
      <tp t="s">
        <v>N.A.</v>
        <stp/>
        <stp>_Nifty Bank</stp>
        <stp>TotalBidQty</stp>
        <tr r="J14" s="1"/>
      </tp>
      <tp t="s">
        <v>N.A.</v>
        <stp/>
        <stp>_Nifty Bank</stp>
        <stp>TotalAskQty</stp>
        <tr r="K14" s="1"/>
      </tp>
      <tp t="s">
        <v>N.A.</v>
        <stp/>
        <stp>NSE_TATASTEEL-EQ</stp>
        <stp>OpenInterest</stp>
        <tr r="I102" s="1"/>
      </tp>
      <tp t="s">
        <v>N.A.</v>
        <stp/>
        <stp>NSE_HINDUNILVR-EQ</stp>
        <stp>Volume</stp>
        <tr r="H83" s="1"/>
      </tp>
      <tp t="s">
        <v>N.A.</v>
        <stp/>
        <stp>NSE_LT-EQ</stp>
        <stp>lastUpdateTime</stp>
        <tr r="M91" s="1"/>
      </tp>
      <tp t="s">
        <v>N.A.</v>
        <stp/>
        <stp>NSE_TCS-EQ</stp>
        <stp>OpenInterest</stp>
        <tr r="I103" s="1"/>
      </tp>
      <tp t="s">
        <v>N.A.</v>
        <stp/>
        <stp>NSE_WIPRO-EQ</stp>
        <stp>Bid</stp>
        <tr r="D108" s="1"/>
      </tp>
      <tp t="s">
        <v>N.A.</v>
        <stp/>
        <stp>NSE_CIPLA-EQ</stp>
        <stp>Bid</stp>
        <tr r="D72" s="1"/>
      </tp>
      <tp t="s">
        <v>N.A.</v>
        <stp/>
        <stp>NSE_TECHM-EQ</stp>
        <stp>Volume</stp>
        <tr r="H104" s="1"/>
      </tp>
      <tp t="s">
        <v>N.A.</v>
        <stp/>
        <stp>NSE_SUNPHARMA-EQ</stp>
        <stp>TradingSymbol</stp>
        <tr r="A100" s="1"/>
      </tp>
      <tp t="s">
        <v>N.A.</v>
        <stp/>
        <stp>NSE_WIPRO-EQ</stp>
        <stp>lastUpdateTime</stp>
        <tr r="M108" s="1"/>
      </tp>
      <tp t="s">
        <v>N.A.</v>
        <stp/>
        <stp>NSE_AXISBANK-EQ</stp>
        <stp>OpenInterest</stp>
        <tr r="I2" s="1"/>
        <tr r="I66" s="1"/>
      </tp>
      <tp t="s">
        <v>N.A.</v>
        <stp/>
        <stp>NSE_BOSCHLTD-EQ</stp>
        <stp>Last</stp>
        <tr r="B70" s="1"/>
      </tp>
      <tp t="s">
        <v>N.A.</v>
        <stp/>
        <stp>NSE_ASIANPAINT-EQ</stp>
        <stp>lastTradeTime</stp>
        <tr r="L64" s="1"/>
      </tp>
      <tp t="s">
        <v>N.A.</v>
        <stp/>
        <stp>NSE_LT-EQ</stp>
        <stp>Volume</stp>
        <tr r="H91" s="1"/>
      </tp>
      <tp t="s">
        <v>N.A.</v>
        <stp/>
        <stp>NSE_BOSCHLTD-EQ</stp>
        <stp>LTQ</stp>
        <tr r="G70" s="1"/>
      </tp>
      <tp t="s">
        <v>N.A.</v>
        <stp/>
        <stp>NSE_HDFCBANK-EQ</stp>
        <stp>LTQ</stp>
        <tr r="G6" s="1"/>
        <tr r="G79" s="1"/>
      </tp>
      <tp t="s">
        <v>N.A.</v>
        <stp/>
        <stp>NSE_HINDUNILVR-EQ</stp>
        <stp>lastUpdateTime</stp>
        <tr r="M83" s="1"/>
      </tp>
      <tp t="s">
        <v>N.A.</v>
        <stp/>
        <stp>NSE_UPL-EQ</stp>
        <stp>OpenInterest</stp>
        <tr r="I106" s="1"/>
      </tp>
      <tp t="s">
        <v>N.A.</v>
        <stp/>
        <stp>NSE_WIPRO-EQ</stp>
        <stp>Volume</stp>
        <tr r="H108" s="1"/>
      </tp>
      <tp t="s">
        <v>N.A.</v>
        <stp/>
        <stp>NSE_TECHM-EQ</stp>
        <stp>lastUpdateTime</stp>
        <tr r="M104" s="1"/>
      </tp>
      <tp t="s">
        <v>N.A.</v>
        <stp/>
        <stp>NSE_BHARTIARTL-EQ</stp>
        <stp>lastTradeTime</stp>
        <tr r="L69" s="1"/>
      </tp>
      <tp t="s">
        <v>N.A.</v>
        <stp/>
        <stp>NSE_ASIANPAINT-EQ</stp>
        <stp>Volume</stp>
        <tr r="H64" s="1"/>
      </tp>
      <tp t="s">
        <v>N.A.</v>
        <stp/>
        <stp>NSE_HINDALCO-EQ</stp>
        <stp>LTQ</stp>
        <tr r="G81" s="1"/>
      </tp>
      <tp t="s">
        <v>N.A.</v>
        <stp/>
        <stp>NSE_HDFC-EQ</stp>
        <stp>lastUpdateTime</stp>
        <tr r="M78" s="1"/>
      </tp>
      <tp t="s">
        <v>N.A.</v>
        <stp/>
        <stp>NSE_ONGC-EQ</stp>
        <stp>lastUpdateTime</stp>
        <tr r="M96" s="1"/>
      </tp>
      <tp t="s">
        <v>N.A.</v>
        <stp/>
        <stp>NSE_NTPC-EQ</stp>
        <stp>lastUpdateTime</stp>
        <tr r="M95" s="1"/>
      </tp>
      <tp t="s">
        <v>N.A.</v>
        <stp/>
        <stp>NSE_AXISBANK-EQ</stp>
        <stp>lastTradeTime</stp>
        <tr r="L2" s="1"/>
        <tr r="L66" s="1"/>
      </tp>
      <tp t="s">
        <v>N.A.</v>
        <stp/>
        <stp>NSE_BOSCHLTD-EQ</stp>
        <stp>lastTradeTime</stp>
        <tr r="L70" s="1"/>
      </tp>
      <tp t="s">
        <v>N.A.</v>
        <stp/>
        <stp>NSE_TECHM-EQ</stp>
        <stp>LTQ</stp>
        <tr r="G104" s="1"/>
      </tp>
      <tp t="s">
        <v>N.A.</v>
        <stp/>
        <stp>NSE_BAJAJ-AUTO-EQ</stp>
        <stp>OpenInterest</stp>
        <tr r="I67" s="1"/>
      </tp>
      <tp t="s">
        <v>N.A.</v>
        <stp/>
        <stp>NSE_ICICIBANK-EQ</stp>
        <stp>Last</stp>
        <tr r="B7" s="1"/>
        <tr r="B85" s="1"/>
      </tp>
      <tp t="s">
        <v>N.A.</v>
        <stp/>
        <stp>NSE_TATAMOTORS-EQ</stp>
        <stp>Last</stp>
        <tr r="B101" s="1"/>
      </tp>
      <tp t="s">
        <v>N.A.</v>
        <stp/>
        <stp>NSE_HDFC-EQ</stp>
        <stp>Volume</stp>
        <tr r="H78" s="1"/>
      </tp>
      <tp t="s">
        <v>N.A.</v>
        <stp/>
        <stp>NSE_ADANIPORTS-EQ</stp>
        <stp>TradingSymbol</stp>
        <tr r="A62" s="1"/>
      </tp>
      <tp t="s">
        <v>N.A.</v>
        <stp/>
        <stp>NSE_NTPC-EQ</stp>
        <stp>Volume</stp>
        <tr r="H95" s="1"/>
      </tp>
      <tp t="s">
        <v>N.A.</v>
        <stp/>
        <stp>NSE_ONGC-EQ</stp>
        <stp>Volume</stp>
        <tr r="H96" s="1"/>
      </tp>
      <tp t="s">
        <v>N.A.</v>
        <stp/>
        <stp>NSE_AUROPHARMA-EQ</stp>
        <stp>TradingSymbol</stp>
        <tr r="A65" s="1"/>
      </tp>
      <tp t="s">
        <v>N.A.</v>
        <stp/>
        <stp>NSE_ASIANPAINT-EQ</stp>
        <stp>lastUpdateTime</stp>
        <tr r="M64" s="1"/>
      </tp>
      <tp t="s">
        <v>N.A.</v>
        <stp/>
        <stp>NSE_M&amp;M-EQ</stp>
        <stp>Last</stp>
        <tr r="B93" s="1"/>
      </tp>
      <tp t="s">
        <v>N.A.</v>
        <stp/>
        <stp>NSE_BAJAJ-AUTO-EQ</stp>
        <stp>TradingSymbol</stp>
        <tr r="A67" s="1"/>
      </tp>
      <tp t="s">
        <v>N.A.</v>
        <stp/>
        <stp>NSE_WIPRO-EQ</stp>
        <stp>Ask</stp>
        <tr r="E108" s="1"/>
      </tp>
      <tp t="s">
        <v>N.A.</v>
        <stp/>
        <stp>NSE_CIPLA-EQ</stp>
        <stp>Ask</stp>
        <tr r="E72" s="1"/>
      </tp>
      <tp t="s">
        <v>N.A.</v>
        <stp/>
        <stp>NSE_HCLTECH-EQ</stp>
        <stp>LTQ</stp>
        <tr r="G77" s="1"/>
      </tp>
      <tp t="s">
        <v>N.A.</v>
        <stp/>
        <stp>NFO_BANKNIFTY18SEP24600PE</stp>
        <stp>BidSize</stp>
        <tr r="C37" s="1"/>
      </tp>
      <tp t="s">
        <v>N.A.</v>
        <stp/>
        <stp>NFO_BANKNIFTY18SEP24700PE</stp>
        <stp>BidSize</stp>
        <tr r="C39" s="1"/>
      </tp>
      <tp t="s">
        <v>N.A.</v>
        <stp/>
        <stp>NFO_BANKNIFTY18SEP24800PE</stp>
        <stp>BidSize</stp>
        <tr r="C41" s="1"/>
      </tp>
      <tp t="s">
        <v>N.A.</v>
        <stp/>
        <stp>NFO_BANKNIFTY18SEP24900PE</stp>
        <stp>BidSize</stp>
        <tr r="C43" s="1"/>
      </tp>
      <tp t="s">
        <v>N.A.</v>
        <stp/>
        <stp>NFO_BANKNIFTY18SEP25200PE</stp>
        <stp>BidSize</stp>
        <tr r="C49" s="1"/>
      </tp>
      <tp t="s">
        <v>N.A.</v>
        <stp/>
        <stp>NFO_BANKNIFTY18SEP25300PE</stp>
        <stp>BidSize</stp>
        <tr r="C51" s="1"/>
      </tp>
      <tp t="s">
        <v>N.A.</v>
        <stp/>
        <stp>NFO_BANKNIFTY18SEP25000PE</stp>
        <stp>BidSize</stp>
        <tr r="C45" s="1"/>
      </tp>
      <tp t="s">
        <v>N.A.</v>
        <stp/>
        <stp>NFO_BANKNIFTY18SEP25100PE</stp>
        <stp>BidSize</stp>
        <tr r="C47" s="1"/>
      </tp>
      <tp t="s">
        <v>N.A.</v>
        <stp/>
        <stp>NFO_BANKNIFTY18SEP25600PE</stp>
        <stp>BidSize</stp>
        <tr r="C56" s="1"/>
      </tp>
      <tp t="s">
        <v>N.A.</v>
        <stp/>
        <stp>NFO_BANKNIFTY18SEP25700PE</stp>
        <stp>BidSize</stp>
        <tr r="C59" s="1"/>
      </tp>
      <tp t="s">
        <v>N.A.</v>
        <stp/>
        <stp>NFO_BANKNIFTY18SEP25400PE</stp>
        <stp>BidSize</stp>
        <tr r="C53" s="1"/>
      </tp>
      <tp t="s">
        <v>N.A.</v>
        <stp/>
        <stp>NFO_BANKNIFTY18SEP25500PE</stp>
        <stp>BidSize</stp>
        <tr r="C55" s="1"/>
      </tp>
      <tp t="s">
        <v>N.A.</v>
        <stp/>
        <stp>NFO_BANKNIFTY18SEP25200CE</stp>
        <stp>BidSize</stp>
        <tr r="C48" s="1"/>
      </tp>
      <tp t="s">
        <v>N.A.</v>
        <stp/>
        <stp>NFO_BANKNIFTY18SEP25300CE</stp>
        <stp>BidSize</stp>
        <tr r="C50" s="1"/>
      </tp>
      <tp t="s">
        <v>N.A.</v>
        <stp/>
        <stp>NFO_BANKNIFTY18SEP25000CE</stp>
        <stp>BidSize</stp>
        <tr r="C44" s="1"/>
      </tp>
      <tp t="s">
        <v>N.A.</v>
        <stp/>
        <stp>NFO_BANKNIFTY18SEP25100CE</stp>
        <stp>BidSize</stp>
        <tr r="C46" s="1"/>
      </tp>
      <tp t="s">
        <v>N.A.</v>
        <stp/>
        <stp>NFO_BANKNIFTY18SEP25600CE</stp>
        <stp>BidSize</stp>
        <tr r="C60" s="1"/>
      </tp>
      <tp t="s">
        <v>N.A.</v>
        <stp/>
        <stp>NFO_BANKNIFTY18SEP25700CE</stp>
        <stp>BidSize</stp>
        <tr r="C57" s="1"/>
      </tp>
      <tp t="s">
        <v>N.A.</v>
        <stp/>
        <stp>NFO_BANKNIFTY18SEP25400CE</stp>
        <stp>BidSize</stp>
        <tr r="C52" s="1"/>
      </tp>
      <tp t="s">
        <v>N.A.</v>
        <stp/>
        <stp>NFO_BANKNIFTY18SEP25500CE</stp>
        <stp>BidSize</stp>
        <tr r="C54" s="1"/>
      </tp>
      <tp t="s">
        <v>N.A.</v>
        <stp/>
        <stp>NFO_BANKNIFTY18SEP25800CE</stp>
        <stp>BidSize</stp>
        <tr r="C58" s="1"/>
      </tp>
      <tp t="s">
        <v>N.A.</v>
        <stp/>
        <stp>NFO_BANKNIFTY18SEP24600CE</stp>
        <stp>BidSize</stp>
        <tr r="C36" s="1"/>
      </tp>
      <tp t="s">
        <v>N.A.</v>
        <stp/>
        <stp>NFO_BANKNIFTY18SEP24700CE</stp>
        <stp>BidSize</stp>
        <tr r="C38" s="1"/>
      </tp>
      <tp t="s">
        <v>N.A.</v>
        <stp/>
        <stp>NFO_BANKNIFTY18SEP24800CE</stp>
        <stp>BidSize</stp>
        <tr r="C40" s="1"/>
      </tp>
      <tp t="s">
        <v>N.A.</v>
        <stp/>
        <stp>NFO_BANKNIFTY18SEP24900CE</stp>
        <stp>BidSize</stp>
        <tr r="C42" s="1"/>
      </tp>
      <tp t="s">
        <v>N.A.</v>
        <stp/>
        <stp>NSE_SBIN-EQ</stp>
        <stp>AskSize</stp>
        <tr r="F11" s="1"/>
        <tr r="F99" s="1"/>
      </tp>
      <tp t="s">
        <v>N.A.</v>
        <stp/>
        <stp>NSE_RELIANCE-EQ</stp>
        <stp>TotalBidQty</stp>
        <tr r="J98" s="1"/>
      </tp>
      <tp t="s">
        <v>N.A.</v>
        <stp/>
        <stp>NSE_RELIANCE-EQ</stp>
        <stp>TotalAskQty</stp>
        <tr r="K98" s="1"/>
      </tp>
      <tp t="s">
        <v>N.A.</v>
        <stp/>
        <stp>NFO_BANKNIFTY18SEP25800CE</stp>
        <stp>AskSize</stp>
        <tr r="F58" s="1"/>
      </tp>
      <tp t="s">
        <v>N.A.</v>
        <stp/>
        <stp>NFO_BANKNIFTY18SEP25500CE</stp>
        <stp>AskSize</stp>
        <tr r="F54" s="1"/>
      </tp>
      <tp t="s">
        <v>N.A.</v>
        <stp/>
        <stp>NFO_BANKNIFTY18SEP25400CE</stp>
        <stp>AskSize</stp>
        <tr r="F52" s="1"/>
      </tp>
      <tp t="s">
        <v>N.A.</v>
        <stp/>
        <stp>NFO_BANKNIFTY18SEP25700CE</stp>
        <stp>AskSize</stp>
        <tr r="F57" s="1"/>
      </tp>
      <tp t="s">
        <v>N.A.</v>
        <stp/>
        <stp>NFO_BANKNIFTY18SEP25600CE</stp>
        <stp>AskSize</stp>
        <tr r="F60" s="1"/>
      </tp>
      <tp t="s">
        <v>N.A.</v>
        <stp/>
        <stp>NFO_BANKNIFTY18SEP25100CE</stp>
        <stp>AskSize</stp>
        <tr r="F46" s="1"/>
      </tp>
      <tp t="s">
        <v>N.A.</v>
        <stp/>
        <stp>NFO_BANKNIFTY18SEP25000CE</stp>
        <stp>AskSize</stp>
        <tr r="F44" s="1"/>
      </tp>
      <tp t="s">
        <v>N.A.</v>
        <stp/>
        <stp>NFO_BANKNIFTY18SEP25300CE</stp>
        <stp>AskSize</stp>
        <tr r="F50" s="1"/>
      </tp>
      <tp t="s">
        <v>N.A.</v>
        <stp/>
        <stp>NFO_BANKNIFTY18SEP25200CE</stp>
        <stp>AskSize</stp>
        <tr r="F48" s="1"/>
      </tp>
      <tp t="s">
        <v>N.A.</v>
        <stp/>
        <stp>NFO_BANKNIFTY18SEP24900CE</stp>
        <stp>AskSize</stp>
        <tr r="F42" s="1"/>
      </tp>
      <tp t="s">
        <v>N.A.</v>
        <stp/>
        <stp>NFO_BANKNIFTY18SEP24800CE</stp>
        <stp>AskSize</stp>
        <tr r="F40" s="1"/>
      </tp>
      <tp t="s">
        <v>N.A.</v>
        <stp/>
        <stp>NFO_BANKNIFTY18SEP24700CE</stp>
        <stp>AskSize</stp>
        <tr r="F38" s="1"/>
      </tp>
      <tp t="s">
        <v>N.A.</v>
        <stp/>
        <stp>NFO_BANKNIFTY18SEP24600CE</stp>
        <stp>AskSize</stp>
        <tr r="F36" s="1"/>
      </tp>
      <tp t="s">
        <v>N.A.</v>
        <stp/>
        <stp>NFO_BANKNIFTY18SEP24900PE</stp>
        <stp>AskSize</stp>
        <tr r="F43" s="1"/>
      </tp>
      <tp t="s">
        <v>N.A.</v>
        <stp/>
        <stp>NFO_BANKNIFTY18SEP24800PE</stp>
        <stp>AskSize</stp>
        <tr r="F41" s="1"/>
      </tp>
      <tp t="s">
        <v>N.A.</v>
        <stp/>
        <stp>NFO_BANKNIFTY18SEP24700PE</stp>
        <stp>AskSize</stp>
        <tr r="F39" s="1"/>
      </tp>
      <tp t="s">
        <v>N.A.</v>
        <stp/>
        <stp>NFO_BANKNIFTY18SEP24600PE</stp>
        <stp>AskSize</stp>
        <tr r="F37" s="1"/>
      </tp>
      <tp t="s">
        <v>N.A.</v>
        <stp/>
        <stp>NFO_BANKNIFTY18SEP25500PE</stp>
        <stp>AskSize</stp>
        <tr r="F55" s="1"/>
      </tp>
      <tp t="s">
        <v>N.A.</v>
        <stp/>
        <stp>NFO_BANKNIFTY18SEP25400PE</stp>
        <stp>AskSize</stp>
        <tr r="F53" s="1"/>
      </tp>
      <tp t="s">
        <v>N.A.</v>
        <stp/>
        <stp>NFO_BANKNIFTY18SEP25700PE</stp>
        <stp>AskSize</stp>
        <tr r="F59" s="1"/>
      </tp>
      <tp t="s">
        <v>N.A.</v>
        <stp/>
        <stp>NFO_BANKNIFTY18SEP25600PE</stp>
        <stp>AskSize</stp>
        <tr r="F56" s="1"/>
      </tp>
      <tp t="s">
        <v>N.A.</v>
        <stp/>
        <stp>NFO_BANKNIFTY18SEP25100PE</stp>
        <stp>AskSize</stp>
        <tr r="F47" s="1"/>
      </tp>
      <tp t="s">
        <v>N.A.</v>
        <stp/>
        <stp>NFO_BANKNIFTY18SEP25000PE</stp>
        <stp>AskSize</stp>
        <tr r="F45" s="1"/>
      </tp>
      <tp t="s">
        <v>N.A.</v>
        <stp/>
        <stp>NFO_BANKNIFTY18SEP25300PE</stp>
        <stp>AskSize</stp>
        <tr r="F51" s="1"/>
      </tp>
      <tp t="s">
        <v>N.A.</v>
        <stp/>
        <stp>NFO_BANKNIFTY18SEP25200PE</stp>
        <stp>AskSize</stp>
        <tr r="F49" s="1"/>
      </tp>
      <tp t="s">
        <v>N.A.</v>
        <stp/>
        <stp>NSE_SBIN-EQ</stp>
        <stp>BidSize</stp>
        <tr r="C11" s="1"/>
        <tr r="C99" s="1"/>
      </tp>
      <tp t="s">
        <v>N.A.</v>
        <stp/>
        <stp>NFO_NIFTY18SEP10950CE</stp>
        <stp>lastTradeTime</stp>
        <tr r="L20" s="1"/>
      </tp>
      <tp t="s">
        <v>N.A.</v>
        <stp/>
        <stp>NFO_NIFTY18SEP10950PE</stp>
        <stp>lastTradeTime</stp>
        <tr r="L21" s="1"/>
      </tp>
      <tp t="s">
        <v>N.A.</v>
        <stp/>
        <stp>NFO_NIFTY18SEP10900CE</stp>
        <stp>lastTradeTime</stp>
        <tr r="L18" s="1"/>
      </tp>
      <tp t="s">
        <v>N.A.</v>
        <stp/>
        <stp>NFO_NIFTY18SEP10900PE</stp>
        <stp>lastTradeTime</stp>
        <tr r="L19" s="1"/>
      </tp>
      <tp t="s">
        <v>N.A.</v>
        <stp/>
        <stp>NFO_NIFTY18SEP10950CE</stp>
        <stp>Last</stp>
        <tr r="B20" s="1"/>
      </tp>
      <tp t="s">
        <v>N.A.</v>
        <stp/>
        <stp>NFO_NIFTY18SEP10900CE</stp>
        <stp>Last</stp>
        <tr r="B18" s="1"/>
      </tp>
      <tp t="s">
        <v>N.A.</v>
        <stp/>
        <stp>NSE_EICHERMOT-EQ</stp>
        <stp>AskSize</stp>
        <tr r="F75" s="1"/>
      </tp>
      <tp t="s">
        <v>N.A.</v>
        <stp/>
        <stp>NSE_IBULHSGFIN-EQ</stp>
        <stp>AskSize</stp>
        <tr r="F84" s="1"/>
      </tp>
      <tp t="s">
        <v>N.A.</v>
        <stp/>
        <stp>NSE_ULTRACEMCO-EQ</stp>
        <stp>BidSize</stp>
        <tr r="C105" s="1"/>
      </tp>
      <tp t="s">
        <v>N.A.</v>
        <stp/>
        <stp>NFO_NIFTY18SEP11250CE</stp>
        <stp>Last</stp>
        <tr r="B30" s="1"/>
      </tp>
      <tp t="s">
        <v>N.A.</v>
        <stp/>
        <stp>NFO_NIFTY18SEP11200CE</stp>
        <stp>Last</stp>
        <tr r="B28" s="1"/>
      </tp>
      <tp t="s">
        <v>N.A.</v>
        <stp/>
        <stp>NFO_NIFTY18SEP11300CE</stp>
        <stp>Last</stp>
        <tr r="B32" s="1"/>
      </tp>
      <tp t="s">
        <v>N.A.</v>
        <stp/>
        <stp>NFO_NIFTY18SEP11050CE</stp>
        <stp>Last</stp>
        <tr r="B24" s="1"/>
      </tp>
      <tp t="s">
        <v>N.A.</v>
        <stp/>
        <stp>NFO_NIFTY18SEP11000CE</stp>
        <stp>Last</stp>
        <tr r="B22" s="1"/>
      </tp>
      <tp t="s">
        <v>N.A.</v>
        <stp/>
        <stp>NFO_NIFTY18SEP11150CE</stp>
        <stp>Last</stp>
        <tr r="B35" s="1"/>
      </tp>
      <tp t="s">
        <v>N.A.</v>
        <stp/>
        <stp>NFO_NIFTY18SEP11100CE</stp>
        <stp>Last</stp>
        <tr r="B26" s="1"/>
      </tp>
      <tp t="s">
        <v>N.A.</v>
        <stp/>
        <stp>NSE_VEDL-EQ</stp>
        <stp>AskSize</stp>
        <tr r="F107" s="1"/>
      </tp>
      <tp t="s">
        <v>N.A.</v>
        <stp/>
        <stp>NSE_MARUTI-EQ</stp>
        <stp>TotalBidQty</stp>
        <tr r="J94" s="1"/>
      </tp>
      <tp t="s">
        <v>N.A.</v>
        <stp/>
        <stp>NSE_MARUTI-EQ</stp>
        <stp>TotalAskQty</stp>
        <tr r="K94" s="1"/>
      </tp>
      <tp t="s">
        <v>N.A.</v>
        <stp/>
        <stp>NSE_AUROPHARMA-EQ</stp>
        <stp>AskSize</stp>
        <tr r="F65" s="1"/>
      </tp>
      <tp t="s">
        <v>N.A.</v>
        <stp/>
        <stp>NSE_VEDL-EQ</stp>
        <stp>BidSize</stp>
        <tr r="C107" s="1"/>
      </tp>
      <tp t="s">
        <v>N.A.</v>
        <stp/>
        <stp>_Nifty Bank</stp>
        <stp>lastUpdateTime</stp>
        <tr r="M14" s="1"/>
      </tp>
      <tp t="s">
        <v>N.A.</v>
        <stp/>
        <stp>_India VIX</stp>
        <stp>Last</stp>
        <tr r="B61" s="1"/>
      </tp>
      <tp t="s">
        <v>N.A.</v>
        <stp/>
        <stp>NFO_BANKNIFTY18NOVFUT</stp>
        <stp>TotalBidQty</stp>
        <tr r="J17" s="1"/>
      </tp>
      <tp t="s">
        <v>N.A.</v>
        <stp/>
        <stp>NFO_BANKNIFTY18OCTFUT</stp>
        <stp>TotalBidQty</stp>
        <tr r="J16" s="1"/>
      </tp>
      <tp t="s">
        <v>N.A.</v>
        <stp/>
        <stp>NFO_BANKNIFTY18OCTFUT</stp>
        <stp>TotalAskQty</stp>
        <tr r="K16" s="1"/>
      </tp>
      <tp t="s">
        <v>N.A.</v>
        <stp/>
        <stp>NFO_BANKNIFTY18NOVFUT</stp>
        <stp>TotalAskQty</stp>
        <tr r="K17" s="1"/>
      </tp>
      <tp t="s">
        <v>N.A.</v>
        <stp/>
        <stp>NFO_BANKNIFTY18SEPFUT</stp>
        <stp>TotalBidQty</stp>
        <tr r="J15" s="1"/>
      </tp>
      <tp t="s">
        <v>N.A.</v>
        <stp/>
        <stp>NFO_BANKNIFTY18SEPFUT</stp>
        <stp>TotalAskQty</stp>
        <tr r="K15" s="1"/>
      </tp>
      <tp t="s">
        <v>N.A.</v>
        <stp/>
        <stp>NSE_AUROPHARMA-EQ</stp>
        <stp>BidSize</stp>
        <tr r="C65" s="1"/>
      </tp>
      <tp t="s">
        <v>N.A.</v>
        <stp/>
        <stp>_Nifty Bank</stp>
        <stp>Volume</stp>
        <tr r="H14" s="1"/>
      </tp>
      <tp t="s">
        <v>N.A.</v>
        <stp/>
        <stp>NSE_ULTRACEMCO-EQ</stp>
        <stp>AskSize</stp>
        <tr r="F105" s="1"/>
      </tp>
      <tp t="s">
        <v>N.A.</v>
        <stp/>
        <stp>NSE_IBULHSGFIN-EQ</stp>
        <stp>BidSize</stp>
        <tr r="C84" s="1"/>
      </tp>
      <tp t="s">
        <v>N.A.</v>
        <stp/>
        <stp>NSE_EICHERMOT-EQ</stp>
        <stp>BidSize</stp>
        <tr r="C75" s="1"/>
      </tp>
      <tp t="s">
        <v>N.A.</v>
        <stp/>
        <stp>NFO_NIFTY18SEP11250CE</stp>
        <stp>lastTradeTime</stp>
        <tr r="L30" s="1"/>
      </tp>
      <tp t="s">
        <v>N.A.</v>
        <stp/>
        <stp>NFO_NIFTY18SEP11250PE</stp>
        <stp>lastTradeTime</stp>
        <tr r="L31" s="1"/>
      </tp>
      <tp t="s">
        <v>N.A.</v>
        <stp/>
        <stp>NFO_NIFTY18SEP11200CE</stp>
        <stp>lastTradeTime</stp>
        <tr r="L28" s="1"/>
      </tp>
      <tp t="s">
        <v>N.A.</v>
        <stp/>
        <stp>NFO_NIFTY18SEP11200PE</stp>
        <stp>lastTradeTime</stp>
        <tr r="L29" s="1"/>
      </tp>
      <tp t="s">
        <v>N.A.</v>
        <stp/>
        <stp>NSE_IOC-EQ</stp>
        <stp>BidSize</stp>
        <tr r="C88" s="1"/>
      </tp>
      <tp t="s">
        <v>N.A.</v>
        <stp/>
        <stp>NSE_ITC-EQ</stp>
        <stp>BidSize</stp>
        <tr r="C89" s="1"/>
      </tp>
      <tp t="s">
        <v>N.A.</v>
        <stp/>
        <stp>NSE_M&amp;M-EQ</stp>
        <stp>BidSize</stp>
        <tr r="C93" s="1"/>
      </tp>
      <tp t="s">
        <v>N.A.</v>
        <stp/>
        <stp>NSE_PNB-EQ</stp>
        <stp>BidSize</stp>
        <tr r="C10" s="1"/>
      </tp>
      <tp t="s">
        <v>N.A.</v>
        <stp/>
        <stp>NSE_TCS-EQ</stp>
        <stp>BidSize</stp>
        <tr r="C103" s="1"/>
      </tp>
      <tp t="s">
        <v>N.A.</v>
        <stp/>
        <stp>NSE_UPL-EQ</stp>
        <stp>BidSize</stp>
        <tr r="C106" s="1"/>
      </tp>
      <tp t="s">
        <v>N.A.</v>
        <stp/>
        <stp>NSE_SUNPHARMA-EQ</stp>
        <stp>BidSize</stp>
        <tr r="C100" s="1"/>
      </tp>
      <tp t="s">
        <v>N.A.</v>
        <stp/>
        <stp>NSE_M&amp;M-EQ</stp>
        <stp>TradingSymbol</stp>
        <tr r="A93" s="1"/>
      </tp>
      <tp t="s">
        <v>N.A.</v>
        <stp/>
        <stp>NSE_ZEEL-EQ</stp>
        <stp>AskSize</stp>
        <tr r="F110" s="1"/>
      </tp>
      <tp t="s">
        <v>N.A.</v>
        <stp/>
        <stp>NFO_NIFTY18SEP11300CE</stp>
        <stp>lastTradeTime</stp>
        <tr r="L32" s="1"/>
      </tp>
      <tp t="s">
        <v>N.A.</v>
        <stp/>
        <stp>NFO_NIFTY18SEP11300PE</stp>
        <stp>lastTradeTime</stp>
        <tr r="L33" s="1"/>
      </tp>
      <tp t="s">
        <v>N.A.</v>
        <stp/>
        <stp>NSE_BANKBARODA-EQ</stp>
        <stp>BidSize</stp>
        <tr r="C3" s="1"/>
      </tp>
      <tp t="s">
        <v>N.A.</v>
        <stp/>
        <stp>NSE_TATASTEEL-EQ</stp>
        <stp>BidSize</stp>
        <tr r="C102" s="1"/>
      </tp>
      <tp t="s">
        <v>N.A.</v>
        <stp/>
        <stp>_India VIX</stp>
        <stp>TotalAskQty</stp>
        <tr r="K61" s="1"/>
      </tp>
      <tp t="s">
        <v>N.A.</v>
        <stp/>
        <stp>_India VIX</stp>
        <stp>TotalBidQty</stp>
        <tr r="J61" s="1"/>
      </tp>
      <tp t="s">
        <v>N.A.</v>
        <stp/>
        <stp>NSE_ZEEL-EQ</stp>
        <stp>BidSize</stp>
        <tr r="C110" s="1"/>
      </tp>
      <tp t="s">
        <v>N.A.</v>
        <stp/>
        <stp>NFO_NIFTY18SEP11050CE</stp>
        <stp>lastTradeTime</stp>
        <tr r="L24" s="1"/>
      </tp>
      <tp t="s">
        <v>N.A.</v>
        <stp/>
        <stp>NFO_NIFTY18SEP11050PE</stp>
        <stp>lastTradeTime</stp>
        <tr r="L25" s="1"/>
      </tp>
      <tp t="s">
        <v>N.A.</v>
        <stp/>
        <stp>NFO_NIFTY18SEP11000CE</stp>
        <stp>lastTradeTime</stp>
        <tr r="L22" s="1"/>
      </tp>
      <tp t="s">
        <v>N.A.</v>
        <stp/>
        <stp>NFO_NIFTY18SEP11000PE</stp>
        <stp>lastTradeTime</stp>
        <tr r="L23" s="1"/>
      </tp>
      <tp t="s">
        <v>N.A.</v>
        <stp/>
        <stp>NSE_TATASTEEL-EQ</stp>
        <stp>AskSize</stp>
        <tr r="F102" s="1"/>
      </tp>
      <tp t="s">
        <v>N.A.</v>
        <stp/>
        <stp>NSE_BANKBARODA-EQ</stp>
        <stp>AskSize</stp>
        <tr r="F3" s="1"/>
      </tp>
      <tp t="s">
        <v>N.A.</v>
        <stp/>
        <stp>NFO_NIFTY18SEP11150CE</stp>
        <stp>lastTradeTime</stp>
        <tr r="L35" s="1"/>
      </tp>
      <tp t="s">
        <v>N.A.</v>
        <stp/>
        <stp>NFO_NIFTY18SEP11150PE</stp>
        <stp>lastTradeTime</stp>
        <tr r="L34" s="1"/>
      </tp>
      <tp t="s">
        <v>N.A.</v>
        <stp/>
        <stp>NFO_NIFTY18SEP11100CE</stp>
        <stp>lastTradeTime</stp>
        <tr r="L26" s="1"/>
      </tp>
      <tp t="s">
        <v>N.A.</v>
        <stp/>
        <stp>NFO_NIFTY18SEP11100PE</stp>
        <stp>lastTradeTime</stp>
        <tr r="L27" s="1"/>
      </tp>
      <tp t="s">
        <v>N.A.</v>
        <stp/>
        <stp>NSE_SUNPHARMA-EQ</stp>
        <stp>AskSize</stp>
        <tr r="F100" s="1"/>
      </tp>
      <tp t="s">
        <v>N.A.</v>
        <stp/>
        <stp>NSE_DRREDDY-EQ</stp>
        <stp>TotalAskQty</stp>
        <tr r="K74" s="1"/>
      </tp>
      <tp t="s">
        <v>N.A.</v>
        <stp/>
        <stp>NSE_DRREDDY-EQ</stp>
        <stp>TotalBidQty</stp>
        <tr r="J74" s="1"/>
      </tp>
      <tp t="s">
        <v>N.A.</v>
        <stp/>
        <stp>NSE_PNB-EQ</stp>
        <stp>AskSize</stp>
        <tr r="F10" s="1"/>
      </tp>
      <tp t="s">
        <v>N.A.</v>
        <stp/>
        <stp>NSE_TCS-EQ</stp>
        <stp>AskSize</stp>
        <tr r="F103" s="1"/>
      </tp>
      <tp t="s">
        <v>N.A.</v>
        <stp/>
        <stp>NSE_UPL-EQ</stp>
        <stp>AskSize</stp>
        <tr r="F106" s="1"/>
      </tp>
      <tp t="s">
        <v>N.A.</v>
        <stp/>
        <stp>NSE_IOC-EQ</stp>
        <stp>AskSize</stp>
        <tr r="F88" s="1"/>
      </tp>
      <tp t="s">
        <v>N.A.</v>
        <stp/>
        <stp>NSE_ITC-EQ</stp>
        <stp>AskSize</stp>
        <tr r="F89" s="1"/>
      </tp>
      <tp t="s">
        <v>N.A.</v>
        <stp/>
        <stp>NSE_M&amp;M-EQ</stp>
        <stp>AskSize</stp>
        <tr r="F93" s="1"/>
      </tp>
      <tp t="s">
        <v>N.A.</v>
        <stp/>
        <stp>NSE_LUPIN-EQ</stp>
        <stp>TotalAskQty</stp>
        <tr r="K92" s="1"/>
      </tp>
      <tp t="s">
        <v>N.A.</v>
        <stp/>
        <stp>NSE_LUPIN-EQ</stp>
        <stp>TotalBidQty</stp>
        <tr r="J92" s="1"/>
      </tp>
      <tp t="s">
        <v>N.A.</v>
        <stp/>
        <stp>_Nifty 50</stp>
        <stp>lastUpdateTime</stp>
        <tr r="M13" s="1"/>
      </tp>
      <tp t="s">
        <v>N.A.</v>
        <stp/>
        <stp>NFO_NIFTY18SEP11300PE</stp>
        <stp>OpenInterest</stp>
        <tr r="I33" s="1"/>
      </tp>
      <tp t="s">
        <v>N.A.</v>
        <stp/>
        <stp>NFO_NIFTY18SEP11250PE</stp>
        <stp>OpenInterest</stp>
        <tr r="I31" s="1"/>
      </tp>
      <tp t="s">
        <v>N.A.</v>
        <stp/>
        <stp>NFO_NIFTY18SEP11200PE</stp>
        <stp>OpenInterest</stp>
        <tr r="I29" s="1"/>
      </tp>
      <tp t="s">
        <v>N.A.</v>
        <stp/>
        <stp>NFO_NIFTY18SEP11150PE</stp>
        <stp>OpenInterest</stp>
        <tr r="I34" s="1"/>
      </tp>
      <tp t="s">
        <v>N.A.</v>
        <stp/>
        <stp>NFO_NIFTY18SEP11100PE</stp>
        <stp>OpenInterest</stp>
        <tr r="I27" s="1"/>
      </tp>
      <tp t="s">
        <v>N.A.</v>
        <stp/>
        <stp>NFO_NIFTY18SEP11050PE</stp>
        <stp>OpenInterest</stp>
        <tr r="I25" s="1"/>
      </tp>
      <tp t="s">
        <v>N.A.</v>
        <stp/>
        <stp>NFO_NIFTY18SEP11000PE</stp>
        <stp>OpenInterest</stp>
        <tr r="I23" s="1"/>
      </tp>
      <tp t="s">
        <v>N.A.</v>
        <stp/>
        <stp>NSE_YESBANK-EQ</stp>
        <stp>TotalAskQty</stp>
        <tr r="K12" s="1"/>
        <tr r="K109" s="1"/>
      </tp>
      <tp t="s">
        <v>N.A.</v>
        <stp/>
        <stp>NSE_YESBANK-EQ</stp>
        <stp>TotalBidQty</stp>
        <tr r="J12" s="1"/>
        <tr r="J109" s="1"/>
      </tp>
      <tp t="s">
        <v>N.A.</v>
        <stp/>
        <stp>_Nifty 50</stp>
        <stp>Volume</stp>
        <tr r="H13" s="1"/>
      </tp>
      <tp t="s">
        <v>N.A.</v>
        <stp/>
        <stp>NFO_NIFTY18SEP10950PE</stp>
        <stp>OpenInterest</stp>
        <tr r="I21" s="1"/>
      </tp>
      <tp t="s">
        <v>N.A.</v>
        <stp/>
        <stp>NFO_NIFTY18SEP10900PE</stp>
        <stp>OpenInterest</stp>
        <tr r="I19" s="1"/>
      </tp>
      <tp t="s">
        <v>N.A.</v>
        <stp/>
        <stp>NFO_NIFTY18SEP10950PE</stp>
        <stp>TotalAskQty</stp>
        <tr r="K21" s="1"/>
      </tp>
      <tp t="s">
        <v>N.A.</v>
        <stp/>
        <stp>NFO_NIFTY18SEP10900PE</stp>
        <stp>TotalAskQty</stp>
        <tr r="K19" s="1"/>
      </tp>
      <tp t="s">
        <v>N.A.</v>
        <stp/>
        <stp>NFO_NIFTY18SEP11300PE</stp>
        <stp>TotalAskQty</stp>
        <tr r="K33" s="1"/>
      </tp>
      <tp t="s">
        <v>N.A.</v>
        <stp/>
        <stp>NFO_NIFTY18SEP11250PE</stp>
        <stp>TotalAskQty</stp>
        <tr r="K31" s="1"/>
      </tp>
      <tp t="s">
        <v>N.A.</v>
        <stp/>
        <stp>NFO_NIFTY18SEP11200PE</stp>
        <stp>TotalAskQty</stp>
        <tr r="K29" s="1"/>
      </tp>
      <tp t="s">
        <v>N.A.</v>
        <stp/>
        <stp>NFO_NIFTY18SEP11150PE</stp>
        <stp>TotalAskQty</stp>
        <tr r="K34" s="1"/>
      </tp>
      <tp t="s">
        <v>N.A.</v>
        <stp/>
        <stp>NFO_NIFTY18SEP11100PE</stp>
        <stp>TotalAskQty</stp>
        <tr r="K27" s="1"/>
      </tp>
      <tp t="s">
        <v>N.A.</v>
        <stp/>
        <stp>NFO_NIFTY18SEP11050PE</stp>
        <stp>TotalAskQty</stp>
        <tr r="K25" s="1"/>
      </tp>
      <tp t="s">
        <v>N.A.</v>
        <stp/>
        <stp>NFO_NIFTY18SEP11000PE</stp>
        <stp>TotalAskQty</stp>
        <tr r="K23" s="1"/>
      </tp>
      <tp t="s">
        <v>N.A.</v>
        <stp/>
        <stp>NFO_NIFTY18SEP11100PE</stp>
        <stp>TotalBidQty</stp>
        <tr r="J27" s="1"/>
      </tp>
      <tp t="s">
        <v>N.A.</v>
        <stp/>
        <stp>NFO_NIFTY18SEP11150PE</stp>
        <stp>TotalBidQty</stp>
        <tr r="J34" s="1"/>
      </tp>
      <tp t="s">
        <v>N.A.</v>
        <stp/>
        <stp>NFO_NIFTY18SEP11000PE</stp>
        <stp>TotalBidQty</stp>
        <tr r="J23" s="1"/>
      </tp>
      <tp t="s">
        <v>N.A.</v>
        <stp/>
        <stp>NFO_NIFTY18SEP11050PE</stp>
        <stp>TotalBidQty</stp>
        <tr r="J25" s="1"/>
      </tp>
      <tp t="s">
        <v>N.A.</v>
        <stp/>
        <stp>NFO_NIFTY18SEP11300PE</stp>
        <stp>TotalBidQty</stp>
        <tr r="J33" s="1"/>
      </tp>
      <tp t="s">
        <v>N.A.</v>
        <stp/>
        <stp>NFO_NIFTY18SEP11200PE</stp>
        <stp>TotalBidQty</stp>
        <tr r="J29" s="1"/>
      </tp>
      <tp t="s">
        <v>N.A.</v>
        <stp/>
        <stp>NFO_NIFTY18SEP11250PE</stp>
        <stp>TotalBidQty</stp>
        <tr r="J31" s="1"/>
      </tp>
      <tp t="s">
        <v>N.A.</v>
        <stp/>
        <stp>NFO_NIFTY18SEP10900PE</stp>
        <stp>TotalBidQty</stp>
        <tr r="J19" s="1"/>
      </tp>
      <tp t="s">
        <v>N.A.</v>
        <stp/>
        <stp>NFO_NIFTY18SEP10950PE</stp>
        <stp>TotalBidQty</stp>
        <tr r="J21" s="1"/>
      </tp>
      <tp t="s">
        <v>N.A.</v>
        <stp/>
        <stp>NFO_NIFTY18SEP10900CE</stp>
        <stp>TotalBidQty</stp>
        <tr r="J18" s="1"/>
      </tp>
      <tp t="s">
        <v>N.A.</v>
        <stp/>
        <stp>NFO_NIFTY18SEP10950CE</stp>
        <stp>TotalBidQty</stp>
        <tr r="J20" s="1"/>
      </tp>
      <tp t="s">
        <v>N.A.</v>
        <stp/>
        <stp>NFO_NIFTY18SEP11100CE</stp>
        <stp>TotalBidQty</stp>
        <tr r="J26" s="1"/>
      </tp>
      <tp t="s">
        <v>N.A.</v>
        <stp/>
        <stp>NFO_NIFTY18SEP11150CE</stp>
        <stp>TotalBidQty</stp>
        <tr r="J35" s="1"/>
      </tp>
      <tp t="s">
        <v>N.A.</v>
        <stp/>
        <stp>NFO_NIFTY18SEP11000CE</stp>
        <stp>TotalBidQty</stp>
        <tr r="J22" s="1"/>
      </tp>
      <tp t="s">
        <v>N.A.</v>
        <stp/>
        <stp>NFO_NIFTY18SEP11050CE</stp>
        <stp>TotalBidQty</stp>
        <tr r="J24" s="1"/>
      </tp>
      <tp t="s">
        <v>N.A.</v>
        <stp/>
        <stp>NFO_NIFTY18SEP11300CE</stp>
        <stp>TotalBidQty</stp>
        <tr r="J32" s="1"/>
      </tp>
      <tp t="s">
        <v>N.A.</v>
        <stp/>
        <stp>NFO_NIFTY18SEP11200CE</stp>
        <stp>TotalBidQty</stp>
        <tr r="J28" s="1"/>
      </tp>
      <tp t="s">
        <v>N.A.</v>
        <stp/>
        <stp>NFO_NIFTY18SEP11250CE</stp>
        <stp>TotalBidQty</stp>
        <tr r="J30" s="1"/>
      </tp>
      <tp t="s">
        <v>N.A.</v>
        <stp/>
        <stp>NFO_NIFTY18SEP11300CE</stp>
        <stp>TotalAskQty</stp>
        <tr r="K32" s="1"/>
      </tp>
      <tp t="s">
        <v>N.A.</v>
        <stp/>
        <stp>NFO_NIFTY18SEP11250CE</stp>
        <stp>TotalAskQty</stp>
        <tr r="K30" s="1"/>
      </tp>
      <tp t="s">
        <v>N.A.</v>
        <stp/>
        <stp>NFO_NIFTY18SEP11200CE</stp>
        <stp>TotalAskQty</stp>
        <tr r="K28" s="1"/>
      </tp>
      <tp t="s">
        <v>N.A.</v>
        <stp/>
        <stp>NFO_NIFTY18SEP11150CE</stp>
        <stp>TotalAskQty</stp>
        <tr r="K35" s="1"/>
      </tp>
      <tp t="s">
        <v>N.A.</v>
        <stp/>
        <stp>NFO_NIFTY18SEP11100CE</stp>
        <stp>TotalAskQty</stp>
        <tr r="K26" s="1"/>
      </tp>
      <tp t="s">
        <v>N.A.</v>
        <stp/>
        <stp>NFO_NIFTY18SEP11050CE</stp>
        <stp>TotalAskQty</stp>
        <tr r="K24" s="1"/>
      </tp>
      <tp t="s">
        <v>N.A.</v>
        <stp/>
        <stp>NFO_NIFTY18SEP11000CE</stp>
        <stp>TotalAskQty</stp>
        <tr r="K22" s="1"/>
      </tp>
      <tp t="s">
        <v>N.A.</v>
        <stp/>
        <stp>NFO_NIFTY18SEP10950CE</stp>
        <stp>TotalAskQty</stp>
        <tr r="K20" s="1"/>
      </tp>
      <tp t="s">
        <v>N.A.</v>
        <stp/>
        <stp>NFO_NIFTY18SEP10900CE</stp>
        <stp>TotalAskQty</stp>
        <tr r="K18" s="1"/>
      </tp>
      <tp t="s">
        <v>N.A.</v>
        <stp/>
        <stp>_Nifty Bank</stp>
        <stp>lastTradeTime</stp>
        <tr r="L14" s="1"/>
      </tp>
      <tp t="s">
        <v>N.A.</v>
        <stp/>
        <stp>_Nifty Bank</stp>
        <stp>TradingSymbol</stp>
        <tr r="A14" s="1"/>
      </tp>
      <tp t="s">
        <v>N.A.</v>
        <stp/>
        <stp>_Nifty Bank</stp>
        <stp>Bid</stp>
        <tr r="D14" s="1"/>
      </tp>
      <tp t="s">
        <v>N.A.</v>
        <stp/>
        <stp>NSE_AMBUJACEM-EQ</stp>
        <stp>BidSize</stp>
        <tr r="C63" s="1"/>
      </tp>
      <tp t="s">
        <v>N.A.</v>
        <stp/>
        <stp>NFO_BANKNIFTY18OCTFUT</stp>
        <stp>lastUpdateTime</stp>
        <tr r="M16" s="1"/>
      </tp>
      <tp t="s">
        <v>N.A.</v>
        <stp/>
        <stp>NSE_HEROMOTOCO-EQ</stp>
        <stp>AskSize</stp>
        <tr r="F80" s="1"/>
      </tp>
      <tp t="s">
        <v>N.A.</v>
        <stp/>
        <stp>NSE_HINDPETRO-EQ</stp>
        <stp>BidSize</stp>
        <tr r="C82" s="1"/>
      </tp>
      <tp t="s">
        <v>N.A.</v>
        <stp/>
        <stp>NSE_BPCL-EQ</stp>
        <stp>AskSize</stp>
        <tr r="F71" s="1"/>
      </tp>
      <tp t="s">
        <v>N.A.</v>
        <stp/>
        <stp>NSE_AXISBANK-EQ</stp>
        <stp>TotalAskQty</stp>
        <tr r="K2" s="1"/>
        <tr r="K66" s="1"/>
      </tp>
      <tp t="s">
        <v>N.A.</v>
        <stp/>
        <stp>NSE_AXISBANK-EQ</stp>
        <stp>TotalBidQty</stp>
        <tr r="J2" s="1"/>
        <tr r="J66" s="1"/>
      </tp>
      <tp t="s">
        <v>N.A.</v>
        <stp/>
        <stp>NSE_KOTAKBANK-EQ</stp>
        <stp>BidSize</stp>
        <tr r="C9" s="1"/>
        <tr r="C90" s="1"/>
      </tp>
      <tp t="s">
        <v>N.A.</v>
        <stp/>
        <stp>NSE_HINDUNILVR-EQ</stp>
        <stp>AskSize</stp>
        <tr r="F83" s="1"/>
      </tp>
      <tp t="s">
        <v>N.A.</v>
        <stp/>
        <stp>NFO_BANKNIFTY18OCTFUT</stp>
        <stp>Volume</stp>
        <tr r="H16" s="1"/>
      </tp>
      <tp t="s">
        <v>N.A.</v>
        <stp/>
        <stp>NSE_BPCL-EQ</stp>
        <stp>BidSize</stp>
        <tr r="C71" s="1"/>
      </tp>
      <tp t="s">
        <v>N.A.</v>
        <stp/>
        <stp>NSE_KOTAKBANK-EQ</stp>
        <stp>AskSize</stp>
        <tr r="F9" s="1"/>
        <tr r="F90" s="1"/>
      </tp>
      <tp t="s">
        <v>N.A.</v>
        <stp/>
        <stp>NSE_HINDUNILVR-EQ</stp>
        <stp>BidSize</stp>
        <tr r="C83" s="1"/>
      </tp>
      <tp t="s">
        <v>N.A.</v>
        <stp/>
        <stp>NFO_BANKNIFTY18NOVFUT</stp>
        <stp>lastUpdateTime</stp>
        <tr r="M17" s="1"/>
      </tp>
      <tp t="s">
        <v>N.A.</v>
        <stp/>
        <stp>_Nifty Bank</stp>
        <stp>Ask</stp>
        <tr r="E14" s="1"/>
      </tp>
      <tp t="s">
        <v>N.A.</v>
        <stp/>
        <stp>NSE_HEROMOTOCO-EQ</stp>
        <stp>BidSize</stp>
        <tr r="C80" s="1"/>
      </tp>
      <tp t="s">
        <v>N.A.</v>
        <stp/>
        <stp>NSE_HINDPETRO-EQ</stp>
        <stp>AskSize</stp>
        <tr r="F82" s="1"/>
      </tp>
      <tp t="s">
        <v>N.A.</v>
        <stp/>
        <stp>NFO_BANKNIFTY18NOVFUT</stp>
        <stp>Volume</stp>
        <tr r="H17" s="1"/>
      </tp>
      <tp t="s">
        <v>N.A.</v>
        <stp/>
        <stp>NSE_AMBUJACEM-EQ</stp>
        <stp>AskSize</stp>
        <tr r="F63" s="1"/>
      </tp>
      <tp t="s">
        <v>N.A.</v>
        <stp/>
        <stp>NSE_GAIL-EQ</stp>
        <stp>AskSize</stp>
        <tr r="F76" s="1"/>
      </tp>
      <tp t="s">
        <v>N.A.</v>
        <stp/>
        <stp>NSE_POWERGRID-EQ</stp>
        <stp>BidSize</stp>
        <tr r="C97" s="1"/>
      </tp>
      <tp t="s">
        <v>N.A.</v>
        <stp/>
        <stp>NFO_NIFTY18SEP11100PE</stp>
        <stp>TradingSymbol</stp>
        <tr r="A27" s="1"/>
      </tp>
      <tp t="s">
        <v>N.A.</v>
        <stp/>
        <stp>NFO_NIFTY18SEP11100CE</stp>
        <stp>TradingSymbol</stp>
        <tr r="A26" s="1"/>
      </tp>
      <tp t="s">
        <v>N.A.</v>
        <stp/>
        <stp>NFO_NIFTY18SEP11150PE</stp>
        <stp>TradingSymbol</stp>
        <tr r="A34" s="1"/>
      </tp>
      <tp t="s">
        <v>N.A.</v>
        <stp/>
        <stp>NFO_NIFTY18SEP11150CE</stp>
        <stp>TradingSymbol</stp>
        <tr r="A35" s="1"/>
      </tp>
      <tp t="s">
        <v>N.A.</v>
        <stp/>
        <stp>NFO_BANKNIFTY18SEPFUT</stp>
        <stp>lastUpdateTime</stp>
        <tr r="M15" s="1"/>
      </tp>
      <tp t="s">
        <v>N.A.</v>
        <stp/>
        <stp>NFO_NIFTY18SEP11000PE</stp>
        <stp>TradingSymbol</stp>
        <tr r="A23" s="1"/>
      </tp>
      <tp t="s">
        <v>N.A.</v>
        <stp/>
        <stp>NFO_NIFTY18SEP11000CE</stp>
        <stp>TradingSymbol</stp>
        <tr r="A22" s="1"/>
      </tp>
      <tp t="s">
        <v>N.A.</v>
        <stp/>
        <stp>NSE_BHARTIARTL-EQ</stp>
        <stp>BidSize</stp>
        <tr r="C69" s="1"/>
      </tp>
      <tp t="s">
        <v>N.A.</v>
        <stp/>
        <stp>NFO_NIFTY18SEP11050PE</stp>
        <stp>TradingSymbol</stp>
        <tr r="A25" s="1"/>
      </tp>
      <tp t="s">
        <v>N.A.</v>
        <stp/>
        <stp>NFO_NIFTY18SEP11050CE</stp>
        <stp>TradingSymbol</stp>
        <tr r="A24" s="1"/>
      </tp>
      <tp t="s">
        <v>N.A.</v>
        <stp/>
        <stp>NSE_TATAMOTORS-EQ</stp>
        <stp>BidSize</stp>
        <tr r="C101" s="1"/>
      </tp>
      <tp t="s">
        <v>N.A.</v>
        <stp/>
        <stp>NFO_BANKNIFTY18SEPFUT</stp>
        <stp>Volume</stp>
        <tr r="H15" s="1"/>
      </tp>
      <tp t="s">
        <v>N.A.</v>
        <stp/>
        <stp>NSE_LT-EQ</stp>
        <stp>BidSize</stp>
        <tr r="C91" s="1"/>
      </tp>
      <tp t="s">
        <v>N.A.</v>
        <stp/>
        <stp>NSE_M&amp;M-EQ</stp>
        <stp>lastTradeTime</stp>
        <tr r="L93" s="1"/>
      </tp>
      <tp t="s">
        <v>N.A.</v>
        <stp/>
        <stp>NFO_NIFTY18SEP11250PE</stp>
        <stp>Last</stp>
        <tr r="B31" s="1"/>
      </tp>
      <tp t="s">
        <v>N.A.</v>
        <stp/>
        <stp>NFO_NIFTY18SEP11200PE</stp>
        <stp>Last</stp>
        <tr r="B29" s="1"/>
      </tp>
      <tp t="s">
        <v>N.A.</v>
        <stp/>
        <stp>NFO_NIFTY18SEP11300PE</stp>
        <stp>Last</stp>
        <tr r="B33" s="1"/>
      </tp>
      <tp t="s">
        <v>N.A.</v>
        <stp/>
        <stp>NFO_NIFTY18SEP11050PE</stp>
        <stp>Last</stp>
        <tr r="B25" s="1"/>
      </tp>
      <tp t="s">
        <v>N.A.</v>
        <stp/>
        <stp>NFO_NIFTY18SEP11000PE</stp>
        <stp>Last</stp>
        <tr r="B23" s="1"/>
      </tp>
      <tp t="s">
        <v>N.A.</v>
        <stp/>
        <stp>NFO_NIFTY18SEP11150PE</stp>
        <stp>Last</stp>
        <tr r="B34" s="1"/>
      </tp>
      <tp t="s">
        <v>N.A.</v>
        <stp/>
        <stp>NFO_NIFTY18SEP11100PE</stp>
        <stp>Last</stp>
        <tr r="B27" s="1"/>
      </tp>
      <tp t="s">
        <v>N.A.</v>
        <stp/>
        <stp>NSE_LT-EQ</stp>
        <stp>AskSize</stp>
        <tr r="F91" s="1"/>
      </tp>
      <tp t="s">
        <v>N.A.</v>
        <stp/>
        <stp>NFO_NIFTY18SEP11300PE</stp>
        <stp>TradingSymbol</stp>
        <tr r="A33" s="1"/>
      </tp>
      <tp t="s">
        <v>N.A.</v>
        <stp/>
        <stp>NFO_NIFTY18SEP11300CE</stp>
        <stp>TradingSymbol</stp>
        <tr r="A32" s="1"/>
      </tp>
      <tp t="s">
        <v>N.A.</v>
        <stp/>
        <stp>NSE_TATAMOTORS-EQ</stp>
        <stp>AskSize</stp>
        <tr r="F101" s="1"/>
      </tp>
      <tp t="s">
        <v>N.A.</v>
        <stp/>
        <stp>NSE_BHARTIARTL-EQ</stp>
        <stp>AskSize</stp>
        <tr r="F69" s="1"/>
      </tp>
      <tp t="s">
        <v>N.A.</v>
        <stp/>
        <stp>NFO_NIFTY18SEP10950PE</stp>
        <stp>Last</stp>
        <tr r="B21" s="1"/>
      </tp>
      <tp t="s">
        <v>N.A.</v>
        <stp/>
        <stp>NFO_NIFTY18SEP10900PE</stp>
        <stp>Last</stp>
        <tr r="B19" s="1"/>
      </tp>
      <tp t="s">
        <v>N.A.</v>
        <stp/>
        <stp>NSE_GAIL-EQ</stp>
        <stp>BidSize</stp>
        <tr r="C76" s="1"/>
      </tp>
      <tp t="s">
        <v>N.A.</v>
        <stp/>
        <stp>NFO_NIFTY18SEP11200PE</stp>
        <stp>TradingSymbol</stp>
        <tr r="A29" s="1"/>
      </tp>
      <tp t="s">
        <v>N.A.</v>
        <stp/>
        <stp>NFO_NIFTY18SEP11200CE</stp>
        <stp>TradingSymbol</stp>
        <tr r="A28" s="1"/>
      </tp>
      <tp t="s">
        <v>N.A.</v>
        <stp/>
        <stp>NFO_NIFTY18SEP11250PE</stp>
        <stp>TradingSymbol</stp>
        <tr r="A31" s="1"/>
      </tp>
      <tp t="s">
        <v>N.A.</v>
        <stp/>
        <stp>NFO_NIFTY18SEP11250CE</stp>
        <stp>TradingSymbol</stp>
        <tr r="A30" s="1"/>
      </tp>
      <tp t="s">
        <v>N.A.</v>
        <stp/>
        <stp>NSE_POWERGRID-EQ</stp>
        <stp>AskSize</stp>
        <tr r="F97" s="1"/>
      </tp>
      <tp t="s">
        <v>N.A.</v>
        <stp/>
        <stp>NSE_CIPLA-EQ</stp>
        <stp>TotalAskQty</stp>
        <tr r="K72" s="1"/>
      </tp>
      <tp t="s">
        <v>N.A.</v>
        <stp/>
        <stp>NSE_WIPRO-EQ</stp>
        <stp>TotalAskQty</stp>
        <tr r="K108" s="1"/>
      </tp>
      <tp t="s">
        <v>N.A.</v>
        <stp/>
        <stp>NSE_WIPRO-EQ</stp>
        <stp>TotalBidQty</stp>
        <tr r="J108" s="1"/>
      </tp>
      <tp t="s">
        <v>N.A.</v>
        <stp/>
        <stp>NSE_CIPLA-EQ</stp>
        <stp>TotalBidQty</stp>
        <tr r="J72" s="1"/>
      </tp>
      <tp t="s">
        <v>N.A.</v>
        <stp/>
        <stp>NSE_HDFCBANK-EQ</stp>
        <stp>TotalAskQty</stp>
        <tr r="K6" s="1"/>
        <tr r="K79" s="1"/>
      </tp>
      <tp t="s">
        <v>N.A.</v>
        <stp/>
        <stp>NSE_HDFCBANK-EQ</stp>
        <stp>TotalBidQty</stp>
        <tr r="J6" s="1"/>
        <tr r="J79" s="1"/>
      </tp>
      <tp t="s">
        <v>N.A.</v>
        <stp/>
        <stp>NSE_BOSCHLTD-EQ</stp>
        <stp>TotalBidQty</stp>
        <tr r="J70" s="1"/>
      </tp>
      <tp t="s">
        <v>N.A.</v>
        <stp/>
        <stp>NSE_BOSCHLTD-EQ</stp>
        <stp>TotalAskQty</stp>
        <tr r="K70" s="1"/>
      </tp>
      <tp t="s">
        <v>N.A.</v>
        <stp/>
        <stp>NSE_HDFC-EQ</stp>
        <stp>BidSize</stp>
        <tr r="C78" s="1"/>
      </tp>
      <tp t="s">
        <v>N.A.</v>
        <stp/>
        <stp>NSE_ADANIPORTS-EQ</stp>
        <stp>AskSize</stp>
        <tr r="F62" s="1"/>
      </tp>
      <tp t="s">
        <v>N.A.</v>
        <stp/>
        <stp>NSE_INFY-EQ</stp>
        <stp>BidSize</stp>
        <tr r="C87" s="1"/>
      </tp>
      <tp t="s">
        <v>N.A.</v>
        <stp/>
        <stp>NSE_INFY-EQ</stp>
        <stp>AskSize</stp>
        <tr r="F87" s="1"/>
      </tp>
      <tp t="s">
        <v>N.A.</v>
        <stp/>
        <stp>NSE_HCLTECH-EQ</stp>
        <stp>TotalAskQty</stp>
        <tr r="K77" s="1"/>
      </tp>
      <tp t="s">
        <v>N.A.</v>
        <stp/>
        <stp>NSE_HCLTECH-EQ</stp>
        <stp>TotalBidQty</stp>
        <tr r="J77" s="1"/>
      </tp>
      <tp t="s">
        <v>N.A.</v>
        <stp/>
        <stp>NSE_HINDALCO-EQ</stp>
        <stp>TotalAskQty</stp>
        <tr r="K81" s="1"/>
      </tp>
      <tp t="s">
        <v>N.A.</v>
        <stp/>
        <stp>NSE_HINDALCO-EQ</stp>
        <stp>TotalBidQty</stp>
        <tr r="J81" s="1"/>
      </tp>
      <tp t="s">
        <v>N.A.</v>
        <stp/>
        <stp>NSE_HDFC-EQ</stp>
        <stp>AskSize</stp>
        <tr r="F78" s="1"/>
      </tp>
      <tp t="s">
        <v>N.A.</v>
        <stp/>
        <stp>NSE_TECHM-EQ</stp>
        <stp>TotalBidQty</stp>
        <tr r="J104" s="1"/>
      </tp>
      <tp t="s">
        <v>N.A.</v>
        <stp/>
        <stp>NSE_TECHM-EQ</stp>
        <stp>TotalAskQty</stp>
        <tr r="K104" s="1"/>
      </tp>
      <tp t="s">
        <v>N.A.</v>
        <stp/>
        <stp>NSE_ADANIPORTS-EQ</stp>
        <stp>BidSize</stp>
        <tr r="C62" s="1"/>
      </tp>
      <tp t="s">
        <v>N.A.</v>
        <stp/>
        <stp>NSE_ONGC-EQ</stp>
        <stp>AskSize</stp>
        <tr r="F96" s="1"/>
      </tp>
      <tp t="s">
        <v>N.A.</v>
        <stp/>
        <stp>NFO_NIFTY18SEP10900PE</stp>
        <stp>TradingSymbol</stp>
        <tr r="A19" s="1"/>
      </tp>
      <tp t="s">
        <v>N.A.</v>
        <stp/>
        <stp>NFO_NIFTY18SEP10900CE</stp>
        <stp>TradingSymbol</stp>
        <tr r="A18" s="1"/>
      </tp>
      <tp t="s">
        <v>N.A.</v>
        <stp/>
        <stp>NFO_NIFTY18SEP10950PE</stp>
        <stp>TradingSymbol</stp>
        <tr r="A21" s="1"/>
      </tp>
      <tp t="s">
        <v>N.A.</v>
        <stp/>
        <stp>NFO_NIFTY18SEP10950CE</stp>
        <stp>TradingSymbol</stp>
        <tr r="A20" s="1"/>
      </tp>
      <tp t="s">
        <v>N.A.</v>
        <stp/>
        <stp>NSE_INDUSINDBK-EQ</stp>
        <stp>AskSize</stp>
        <tr r="F8" s="1"/>
        <tr r="F86" s="1"/>
      </tp>
      <tp t="s">
        <v>N.A.</v>
        <stp/>
        <stp>_India VIX</stp>
        <stp>OpenInterest</stp>
        <tr r="I61" s="1"/>
      </tp>
      <tp t="s">
        <v>N.A.</v>
        <stp/>
        <stp>NSE_NTPC-EQ</stp>
        <stp>AskSize</stp>
        <tr r="F95" s="1"/>
      </tp>
      <tp t="s">
        <v>N.A.</v>
        <stp/>
        <stp>NSE_COALINDIA-EQ</stp>
        <stp>BidSize</stp>
        <tr r="C73" s="1"/>
      </tp>
      <tp t="s">
        <v>N.A.</v>
        <stp/>
        <stp>NSE_FEDERALBNK-EQ</stp>
        <stp>BidSize</stp>
        <tr r="C5" s="1"/>
      </tp>
      <tp t="s">
        <v>N.A.</v>
        <stp/>
        <stp>NSE_ASIANPAINT-EQ</stp>
        <stp>BidSize</stp>
        <tr r="C64" s="1"/>
      </tp>
      <tp t="s">
        <v>N.A.</v>
        <stp/>
        <stp>NSE_ICICIBANK-EQ</stp>
        <stp>BidSize</stp>
        <tr r="C7" s="1"/>
        <tr r="C85" s="1"/>
      </tp>
      <tp t="s">
        <v>N.A.</v>
        <stp/>
        <stp>NSE_BAJAJ-AUTO-EQ</stp>
        <stp>AskSize</stp>
        <tr r="F67" s="1"/>
      </tp>
      <tp t="s">
        <v>N.A.</v>
        <stp/>
        <stp>NSE_BAJFINANCE-EQ</stp>
        <stp>AskSize</stp>
        <tr r="F68" s="1"/>
      </tp>
      <tp t="s">
        <v>N.A.</v>
        <stp/>
        <stp>NSE_NTPC-EQ</stp>
        <stp>BidSize</stp>
        <tr r="C95" s="1"/>
      </tp>
      <tp t="s">
        <v>N.A.</v>
        <stp/>
        <stp>NFO_NIFTY18SEP10950CE</stp>
        <stp>OpenInterest</stp>
        <tr r="I20" s="1"/>
      </tp>
      <tp t="s">
        <v>N.A.</v>
        <stp/>
        <stp>NFO_NIFTY18SEP10900CE</stp>
        <stp>OpenInterest</stp>
        <tr r="I18" s="1"/>
      </tp>
      <tp t="s">
        <v>N.A.</v>
        <stp/>
        <stp>_Nifty Bank</stp>
        <stp>LTQ</stp>
        <tr r="G14" s="1"/>
      </tp>
      <tp t="s">
        <v>N.A.</v>
        <stp/>
        <stp>NSE_BAJFINANCE-EQ</stp>
        <stp>BidSize</stp>
        <tr r="C68" s="1"/>
      </tp>
      <tp t="s">
        <v>N.A.</v>
        <stp/>
        <stp>NSE_ASIANPAINT-EQ</stp>
        <stp>AskSize</stp>
        <tr r="F64" s="1"/>
      </tp>
      <tp t="s">
        <v>N.A.</v>
        <stp/>
        <stp>NSE_ICICIBANK-EQ</stp>
        <stp>AskSize</stp>
        <tr r="F7" s="1"/>
        <tr r="F85" s="1"/>
      </tp>
      <tp t="s">
        <v>N.A.</v>
        <stp/>
        <stp>NSE_BAJAJ-AUTO-EQ</stp>
        <stp>BidSize</stp>
        <tr r="C67" s="1"/>
      </tp>
      <tp t="s">
        <v>N.A.</v>
        <stp/>
        <stp>NSE_COALINDIA-EQ</stp>
        <stp>AskSize</stp>
        <tr r="F73" s="1"/>
      </tp>
      <tp t="s">
        <v>N.A.</v>
        <stp/>
        <stp>NSE_FEDERALBNK-EQ</stp>
        <stp>AskSize</stp>
        <tr r="F5" s="1"/>
      </tp>
      <tp t="s">
        <v>N.A.</v>
        <stp/>
        <stp>NSE_ONGC-EQ</stp>
        <stp>BidSize</stp>
        <tr r="C96" s="1"/>
      </tp>
      <tp t="s">
        <v>N.A.</v>
        <stp/>
        <stp>NFO_NIFTY18SEP11300CE</stp>
        <stp>OpenInterest</stp>
        <tr r="I32" s="1"/>
      </tp>
      <tp t="s">
        <v>N.A.</v>
        <stp/>
        <stp>NFO_NIFTY18SEP11250CE</stp>
        <stp>OpenInterest</stp>
        <tr r="I30" s="1"/>
      </tp>
      <tp t="s">
        <v>N.A.</v>
        <stp/>
        <stp>NFO_NIFTY18SEP11200CE</stp>
        <stp>OpenInterest</stp>
        <tr r="I28" s="1"/>
      </tp>
      <tp t="s">
        <v>N.A.</v>
        <stp/>
        <stp>NFO_NIFTY18SEP11150CE</stp>
        <stp>OpenInterest</stp>
        <tr r="I35" s="1"/>
      </tp>
      <tp t="s">
        <v>N.A.</v>
        <stp/>
        <stp>NFO_NIFTY18SEP11100CE</stp>
        <stp>OpenInterest</stp>
        <tr r="I26" s="1"/>
      </tp>
      <tp t="s">
        <v>N.A.</v>
        <stp/>
        <stp>NFO_NIFTY18SEP11050CE</stp>
        <stp>OpenInterest</stp>
        <tr r="I24" s="1"/>
      </tp>
      <tp t="s">
        <v>N.A.</v>
        <stp/>
        <stp>NFO_NIFTY18SEP11000CE</stp>
        <stp>OpenInterest</stp>
        <tr r="I22" s="1"/>
      </tp>
      <tp t="s">
        <v>N.A.</v>
        <stp/>
        <stp>NSE_CANBK-EQ</stp>
        <stp>TotalBidQty</stp>
        <tr r="J4" s="1"/>
      </tp>
      <tp t="s">
        <v>N.A.</v>
        <stp/>
        <stp>NSE_CANBK-EQ</stp>
        <stp>TotalAskQty</stp>
        <tr r="K4" s="1"/>
      </tp>
      <tp t="s">
        <v>N.A.</v>
        <stp/>
        <stp>NSE_INDUSINDBK-EQ</stp>
        <stp>BidSize</stp>
        <tr r="C8" s="1"/>
        <tr r="C86" s="1"/>
      </tp>
      <tp t="s">
        <v>N.A.</v>
        <stp/>
        <stp>NSE_TATASTEEL-EQ</stp>
        <stp>Bid</stp>
        <tr r="D102" s="1"/>
      </tp>
      <tp t="s">
        <v>N.A.</v>
        <stp/>
        <stp>NSE_CANBK-EQ</stp>
        <stp>lastTradeTime</stp>
        <tr r="L4" s="1"/>
      </tp>
      <tp t="s">
        <v>N.A.</v>
        <stp/>
        <stp>NSE_UPL-EQ</stp>
        <stp>lastTradeTime</stp>
        <tr r="L106" s="1"/>
      </tp>
      <tp t="s">
        <v>N.A.</v>
        <stp/>
        <stp>NSE_BANKBARODA-EQ</stp>
        <stp>Bid</stp>
        <tr r="D3" s="1"/>
      </tp>
      <tp t="s">
        <v>N.A.</v>
        <stp/>
        <stp>NSE_INFY-EQ</stp>
        <stp>TradingSymbol</stp>
        <tr r="A87" s="1"/>
      </tp>
      <tp t="s">
        <v>N.A.</v>
        <stp/>
        <stp>NSE_IOC-EQ</stp>
        <stp>TradingSymbol</stp>
        <tr r="A88" s="1"/>
      </tp>
      <tp t="s">
        <v>N.A.</v>
        <stp/>
        <stp>NSE_EICHERMOT-EQ</stp>
        <stp>LTQ</stp>
        <tr r="G75" s="1"/>
      </tp>
      <tp t="s">
        <v>N.A.</v>
        <stp/>
        <stp>NSE_IBULHSGFIN-EQ</stp>
        <stp>LTQ</stp>
        <tr r="G84" s="1"/>
      </tp>
      <tp t="s">
        <v>N.A.</v>
        <stp/>
        <stp>NSE_HDFC-EQ</stp>
        <stp>TradingSymbol</stp>
        <tr r="A78" s="1"/>
      </tp>
      <tp t="s">
        <v>N.A.</v>
        <stp/>
        <stp>NSE_HDFC-EQ</stp>
        <stp>OpenInterest</stp>
        <tr r="I78" s="1"/>
      </tp>
      <tp t="s">
        <v>N.A.</v>
        <stp/>
        <stp>NSE_ZEEL-EQ</stp>
        <stp>Ask</stp>
        <tr r="E110" s="1"/>
      </tp>
      <tp t="s">
        <v>N.A.</v>
        <stp/>
        <stp>_Nifty 50</stp>
        <stp>Last</stp>
        <tr r="B13" s="1"/>
      </tp>
      <tp t="s">
        <v>N.A.</v>
        <stp/>
        <stp>NSE_AXISBANK-EQ</stp>
        <stp>Volume</stp>
        <tr r="H2" s="1"/>
        <tr r="H66" s="1"/>
      </tp>
      <tp t="s">
        <v>N.A.</v>
        <stp/>
        <stp>NFO_NIFTY18SEP11250PE</stp>
        <stp>lastUpdateTime</stp>
        <tr r="M31" s="1"/>
      </tp>
      <tp t="s">
        <v>N.A.</v>
        <stp/>
        <stp>NFO_NIFTY18SEP11050PE</stp>
        <stp>lastUpdateTime</stp>
        <tr r="M25" s="1"/>
      </tp>
      <tp t="s">
        <v>N.A.</v>
        <stp/>
        <stp>NFO_NIFTY18SEP11150PE</stp>
        <stp>lastUpdateTime</stp>
        <tr r="M34" s="1"/>
      </tp>
      <tp t="s">
        <v>N.A.</v>
        <stp/>
        <stp>NFO_NIFTY18SEP10950PE</stp>
        <stp>lastUpdateTime</stp>
        <tr r="M21" s="1"/>
      </tp>
      <tp t="s">
        <v>N.A.</v>
        <stp/>
        <stp>NFO_NIFTY18SEP10950CE</stp>
        <stp>lastUpdateTime</stp>
        <tr r="M20" s="1"/>
      </tp>
      <tp t="s">
        <v>N.A.</v>
        <stp/>
        <stp>NFO_NIFTY18SEP11250CE</stp>
        <stp>lastUpdateTime</stp>
        <tr r="M30" s="1"/>
      </tp>
      <tp t="s">
        <v>N.A.</v>
        <stp/>
        <stp>NFO_NIFTY18SEP11050CE</stp>
        <stp>lastUpdateTime</stp>
        <tr r="M24" s="1"/>
      </tp>
      <tp t="s">
        <v>N.A.</v>
        <stp/>
        <stp>NFO_NIFTY18SEP11150CE</stp>
        <stp>lastUpdateTime</stp>
        <tr r="M35" s="1"/>
      </tp>
      <tp t="s">
        <v>N.A.</v>
        <stp/>
        <stp>NSE_MARUTI-EQ</stp>
        <stp>lastUpdateTime</stp>
        <tr r="M94" s="1"/>
      </tp>
      <tp t="s">
        <v>N.A.</v>
        <stp/>
        <stp>NSE_SUNPHARMA-EQ</stp>
        <stp>Bid</stp>
        <tr r="D100" s="1"/>
      </tp>
      <tp t="s">
        <v>N.A.</v>
        <stp/>
        <stp>NSE_PNB-EQ</stp>
        <stp>Bid</stp>
        <tr r="D10" s="1"/>
      </tp>
      <tp t="s">
        <v>N.A.</v>
        <stp/>
        <stp>NSE_TCS-EQ</stp>
        <stp>Bid</stp>
        <tr r="D103" s="1"/>
      </tp>
      <tp t="s">
        <v>N.A.</v>
        <stp/>
        <stp>NSE_UPL-EQ</stp>
        <stp>Bid</stp>
        <tr r="D106" s="1"/>
      </tp>
      <tp t="s">
        <v>N.A.</v>
        <stp/>
        <stp>NSE_IOC-EQ</stp>
        <stp>Bid</stp>
        <tr r="D88" s="1"/>
      </tp>
      <tp t="s">
        <v>N.A.</v>
        <stp/>
        <stp>NSE_ITC-EQ</stp>
        <stp>Bid</stp>
        <tr r="D89" s="1"/>
      </tp>
      <tp t="s">
        <v>N.A.</v>
        <stp/>
        <stp>NSE_M&amp;M-EQ</stp>
        <stp>Bid</stp>
        <tr r="D93" s="1"/>
      </tp>
      <tp t="s">
        <v>N.A.</v>
        <stp/>
        <stp>NSE_PNB-EQ</stp>
        <stp>TradingSymbol</stp>
        <tr r="A10" s="1"/>
      </tp>
      <tp t="s">
        <v>N.A.</v>
        <stp/>
        <stp>NSE_AUROPHARMA-EQ</stp>
        <stp>LTQ</stp>
        <tr r="G65" s="1"/>
      </tp>
      <tp t="s">
        <v>N.A.</v>
        <stp/>
        <stp>NSE_ONGC-EQ</stp>
        <stp>TradingSymbol</stp>
        <tr r="A96" s="1"/>
      </tp>
      <tp t="s">
        <v>N.A.</v>
        <stp/>
        <stp>NSE_VEDL-EQ</stp>
        <stp>OpenInterest</stp>
        <tr r="I107" s="1"/>
      </tp>
      <tp t="s">
        <v>N.A.</v>
        <stp/>
        <stp>NSE_ZEEL-EQ</stp>
        <stp>OpenInterest</stp>
        <tr r="I110" s="1"/>
      </tp>
      <tp t="s">
        <v>N.A.</v>
        <stp/>
        <stp>NSE_VEDL-EQ</stp>
        <stp>LTQ</stp>
        <tr r="G107" s="1"/>
      </tp>
      <tp t="s">
        <v>N.A.</v>
        <stp/>
        <stp>NSE_MARUTI-EQ</stp>
        <stp>Volume</stp>
        <tr r="H94" s="1"/>
      </tp>
      <tp t="s">
        <v>N.A.</v>
        <stp/>
        <stp>NSE_AXISBANK-EQ</stp>
        <stp>lastUpdateTime</stp>
        <tr r="M2" s="1"/>
        <tr r="M66" s="1"/>
      </tp>
      <tp t="s">
        <v>N.A.</v>
        <stp/>
        <stp>NFO_NIFTY18SEP11150CE</stp>
        <stp>Volume</stp>
        <tr r="H35" s="1"/>
      </tp>
      <tp t="s">
        <v>N.A.</v>
        <stp/>
        <stp>NFO_NIFTY18SEP11050CE</stp>
        <stp>Volume</stp>
        <tr r="H24" s="1"/>
      </tp>
      <tp t="s">
        <v>N.A.</v>
        <stp/>
        <stp>NFO_NIFTY18SEP11250CE</stp>
        <stp>Volume</stp>
        <tr r="H30" s="1"/>
      </tp>
      <tp t="s">
        <v>N.A.</v>
        <stp/>
        <stp>NFO_NIFTY18SEP10950CE</stp>
        <stp>Volume</stp>
        <tr r="H20" s="1"/>
      </tp>
      <tp t="s">
        <v>N.A.</v>
        <stp/>
        <stp>NFO_NIFTY18SEP10950PE</stp>
        <stp>Volume</stp>
        <tr r="H21" s="1"/>
      </tp>
      <tp t="s">
        <v>N.A.</v>
        <stp/>
        <stp>NFO_NIFTY18SEP11150PE</stp>
        <stp>Volume</stp>
        <tr r="H34" s="1"/>
      </tp>
      <tp t="s">
        <v>N.A.</v>
        <stp/>
        <stp>NFO_NIFTY18SEP11050PE</stp>
        <stp>Volume</stp>
        <tr r="H25" s="1"/>
      </tp>
      <tp t="s">
        <v>N.A.</v>
        <stp/>
        <stp>NFO_NIFTY18SEP11250PE</stp>
        <stp>Volume</stp>
        <tr r="H31" s="1"/>
      </tp>
      <tp t="s">
        <v>N.A.</v>
        <stp/>
        <stp>NSE_IOC-EQ</stp>
        <stp>Ask</stp>
        <tr r="E88" s="1"/>
      </tp>
      <tp t="s">
        <v>N.A.</v>
        <stp/>
        <stp>NSE_ITC-EQ</stp>
        <stp>Ask</stp>
        <tr r="E89" s="1"/>
      </tp>
      <tp t="s">
        <v>N.A.</v>
        <stp/>
        <stp>NSE_M&amp;M-EQ</stp>
        <stp>Ask</stp>
        <tr r="E93" s="1"/>
      </tp>
      <tp t="s">
        <v>N.A.</v>
        <stp/>
        <stp>NSE_PNB-EQ</stp>
        <stp>Ask</stp>
        <tr r="E10" s="1"/>
      </tp>
      <tp t="s">
        <v>N.A.</v>
        <stp/>
        <stp>NSE_TCS-EQ</stp>
        <stp>Ask</stp>
        <tr r="E103" s="1"/>
      </tp>
      <tp t="s">
        <v>N.A.</v>
        <stp/>
        <stp>NSE_UPL-EQ</stp>
        <stp>Ask</stp>
        <tr r="E106" s="1"/>
      </tp>
      <tp t="s">
        <v>N.A.</v>
        <stp/>
        <stp>NSE_SUNPHARMA-EQ</stp>
        <stp>Ask</stp>
        <tr r="E100" s="1"/>
      </tp>
      <tp t="s">
        <v>N.A.</v>
        <stp/>
        <stp>NSE_VEDL-EQ</stp>
        <stp>TradingSymbol</stp>
        <tr r="A107" s="1"/>
      </tp>
      <tp t="s">
        <v>N.A.</v>
        <stp/>
        <stp>NSE_AMBUJACEM-EQ</stp>
        <stp>lastUpdateTime</stp>
        <tr r="M63" s="1"/>
      </tp>
      <tp t="s">
        <v>N.A.</v>
        <stp/>
        <stp>NSE_POWERGRID-EQ</stp>
        <stp>lastUpdateTime</stp>
        <tr r="M97" s="1"/>
      </tp>
      <tp t="s">
        <v>N.A.</v>
        <stp/>
        <stp>NSE_MARUTI-EQ</stp>
        <stp>OpenInterest</stp>
        <tr r="I94" s="1"/>
      </tp>
      <tp t="s">
        <v>N.A.</v>
        <stp/>
        <stp>NSE_BANKBARODA-EQ</stp>
        <stp>Ask</stp>
        <tr r="E3" s="1"/>
      </tp>
      <tp t="s">
        <v>N.A.</v>
        <stp/>
        <stp>NSE_TATASTEEL-EQ</stp>
        <stp>Ask</stp>
        <tr r="E102" s="1"/>
      </tp>
      <tp t="s">
        <v>N.A.</v>
        <stp/>
        <stp>NSE_AMBUJACEM-EQ</stp>
        <stp>Volume</stp>
        <tr r="H63" s="1"/>
      </tp>
      <tp t="s">
        <v>N.A.</v>
        <stp/>
        <stp>NSE_POWERGRID-EQ</stp>
        <stp>Volume</stp>
        <tr r="H97" s="1"/>
      </tp>
      <tp t="s">
        <v>N.A.</v>
        <stp/>
        <stp>NFO_BANKNIFTY18NOVFUT</stp>
        <stp>lastTradeTime</stp>
        <tr r="L17" s="1"/>
      </tp>
      <tp t="s">
        <v>N.A.</v>
        <stp/>
        <stp>NSE_ZEEL-EQ</stp>
        <stp>TradingSymbol</stp>
        <tr r="A110" s="1"/>
      </tp>
      <tp t="s">
        <v>N.A.</v>
        <stp/>
        <stp>NSE_ULTRACEMCO-EQ</stp>
        <stp>LTQ</stp>
        <tr r="G105" s="1"/>
      </tp>
      <tp t="s">
        <v>N.A.</v>
        <stp/>
        <stp>NSE_ZEEL-EQ</stp>
        <stp>Bid</stp>
        <tr r="D110" s="1"/>
      </tp>
      <tp t="s">
        <v>N.A.</v>
        <stp/>
        <stp>NSE_CANBK-EQ</stp>
        <stp>OpenInterest</stp>
        <tr r="I4" s="1"/>
      </tp>
      <tp t="s">
        <v>N.A.</v>
        <stp/>
        <stp>NSE_ITC-EQ</stp>
        <stp>lastTradeTime</stp>
        <tr r="L89" s="1"/>
      </tp>
      <tp t="s">
        <v>N.A.</v>
        <stp/>
        <stp>NSE_HCLTECH-EQ</stp>
        <stp>Volume</stp>
        <tr r="H77" s="1"/>
      </tp>
      <tp t="s">
        <v>N.A.</v>
        <stp/>
        <stp>NSE_SBIN-EQ</stp>
        <stp>LTQ</stp>
        <tr r="G11" s="1"/>
        <tr r="G99" s="1"/>
      </tp>
      <tp t="s">
        <v>N.A.</v>
        <stp/>
        <stp>NFO_NIFTY18SEP11100CE</stp>
        <stp>Volume</stp>
        <tr r="H26" s="1"/>
      </tp>
      <tp t="s">
        <v>N.A.</v>
        <stp/>
        <stp>NFO_NIFTY18SEP11000CE</stp>
        <stp>Volume</stp>
        <tr r="H22" s="1"/>
      </tp>
      <tp t="s">
        <v>N.A.</v>
        <stp/>
        <stp>NFO_NIFTY18SEP11300CE</stp>
        <stp>Volume</stp>
        <tr r="H32" s="1"/>
      </tp>
      <tp t="s">
        <v>N.A.</v>
        <stp/>
        <stp>NFO_NIFTY18SEP11200CE</stp>
        <stp>Volume</stp>
        <tr r="H28" s="1"/>
      </tp>
      <tp t="s">
        <v>N.A.</v>
        <stp/>
        <stp>NFO_NIFTY18SEP10900CE</stp>
        <stp>Volume</stp>
        <tr r="H18" s="1"/>
      </tp>
      <tp t="s">
        <v>N.A.</v>
        <stp/>
        <stp>NFO_NIFTY18SEP10900PE</stp>
        <stp>Volume</stp>
        <tr r="H19" s="1"/>
      </tp>
      <tp t="s">
        <v>N.A.</v>
        <stp/>
        <stp>NFO_NIFTY18SEP11100PE</stp>
        <stp>Volume</stp>
        <tr r="H27" s="1"/>
      </tp>
      <tp t="s">
        <v>N.A.</v>
        <stp/>
        <stp>NFO_NIFTY18SEP11000PE</stp>
        <stp>Volume</stp>
        <tr r="H23" s="1"/>
      </tp>
      <tp t="s">
        <v>N.A.</v>
        <stp/>
        <stp>NFO_NIFTY18SEP11300PE</stp>
        <stp>Volume</stp>
        <tr r="H33" s="1"/>
      </tp>
      <tp t="s">
        <v>N.A.</v>
        <stp/>
        <stp>NFO_NIFTY18SEP11200PE</stp>
        <stp>Volume</stp>
        <tr r="H29" s="1"/>
      </tp>
      <tp t="s">
        <v>N.A.</v>
        <stp/>
        <stp>NSE_HCLTECH-EQ</stp>
        <stp>OpenInterest</stp>
        <tr r="I77" s="1"/>
      </tp>
      <tp t="s">
        <v>N.A.</v>
        <stp/>
        <stp>NSE_BPCL-EQ</stp>
        <stp>TradingSymbol</stp>
        <tr r="A71" s="1"/>
      </tp>
      <tp t="s">
        <v>N.A.</v>
        <stp/>
        <stp>NSE_MARUTI-EQ</stp>
        <stp>lastTradeTime</stp>
        <tr r="L94" s="1"/>
      </tp>
      <tp t="s">
        <v>N.A.</v>
        <stp/>
        <stp>NSE_GAIL-EQ</stp>
        <stp>OpenInterest</stp>
        <tr r="I76" s="1"/>
      </tp>
      <tp t="s">
        <v>N.A.</v>
        <stp/>
        <stp>NFO_NIFTY18SEP11200PE</stp>
        <stp>lastUpdateTime</stp>
        <tr r="M29" s="1"/>
      </tp>
      <tp t="s">
        <v>N.A.</v>
        <stp/>
        <stp>NFO_NIFTY18SEP11300PE</stp>
        <stp>lastUpdateTime</stp>
        <tr r="M33" s="1"/>
      </tp>
      <tp t="s">
        <v>N.A.</v>
        <stp/>
        <stp>NFO_NIFTY18SEP11000PE</stp>
        <stp>lastUpdateTime</stp>
        <tr r="M23" s="1"/>
      </tp>
      <tp t="s">
        <v>N.A.</v>
        <stp/>
        <stp>NFO_NIFTY18SEP11100PE</stp>
        <stp>lastUpdateTime</stp>
        <tr r="M27" s="1"/>
      </tp>
      <tp t="s">
        <v>N.A.</v>
        <stp/>
        <stp>NFO_NIFTY18SEP10900PE</stp>
        <stp>lastUpdateTime</stp>
        <tr r="M19" s="1"/>
      </tp>
      <tp t="s">
        <v>N.A.</v>
        <stp/>
        <stp>NFO_NIFTY18SEP10900CE</stp>
        <stp>lastUpdateTime</stp>
        <tr r="M18" s="1"/>
      </tp>
      <tp t="s">
        <v>N.A.</v>
        <stp/>
        <stp>NFO_NIFTY18SEP11200CE</stp>
        <stp>lastUpdateTime</stp>
        <tr r="M28" s="1"/>
      </tp>
      <tp t="s">
        <v>N.A.</v>
        <stp/>
        <stp>NFO_NIFTY18SEP11300CE</stp>
        <stp>lastUpdateTime</stp>
        <tr r="M32" s="1"/>
      </tp>
      <tp t="s">
        <v>N.A.</v>
        <stp/>
        <stp>NFO_NIFTY18SEP11000CE</stp>
        <stp>lastUpdateTime</stp>
        <tr r="M22" s="1"/>
      </tp>
      <tp t="s">
        <v>N.A.</v>
        <stp/>
        <stp>NFO_NIFTY18SEP11100CE</stp>
        <stp>lastUpdateTime</stp>
        <tr r="M26" s="1"/>
      </tp>
      <tp t="s">
        <v>N.A.</v>
        <stp/>
        <stp>NSE_HCLTECH-EQ</stp>
        <stp>lastUpdateTime</stp>
        <tr r="M77" s="1"/>
      </tp>
      <tp t="s">
        <v>N.A.</v>
        <stp/>
        <stp>NSE_SBIN-EQ</stp>
        <stp>OpenInterest</stp>
        <tr r="I11" s="1"/>
        <tr r="I99" s="1"/>
      </tp>
      <tp t="s">
        <v>N.A.</v>
        <stp/>
        <stp>_Nifty 50</stp>
        <stp>TradingSymbol</stp>
        <tr r="A13" s="1"/>
      </tp>
      <tp t="s">
        <v>N.A.</v>
        <stp/>
        <stp>NFO_BANKNIFTY18SEP25200PE</stp>
        <stp>LTQ</stp>
        <tr r="G49" s="1"/>
      </tp>
      <tp t="s">
        <v>N.A.</v>
        <stp/>
        <stp>NFO_BANKNIFTY18SEP25300PE</stp>
        <stp>LTQ</stp>
        <tr r="G51" s="1"/>
      </tp>
      <tp t="s">
        <v>N.A.</v>
        <stp/>
        <stp>NFO_BANKNIFTY18SEP25000PE</stp>
        <stp>LTQ</stp>
        <tr r="G45" s="1"/>
      </tp>
      <tp t="s">
        <v>N.A.</v>
        <stp/>
        <stp>NFO_BANKNIFTY18SEP25100PE</stp>
        <stp>LTQ</stp>
        <tr r="G47" s="1"/>
      </tp>
      <tp t="s">
        <v>N.A.</v>
        <stp/>
        <stp>NFO_BANKNIFTY18SEP25600PE</stp>
        <stp>LTQ</stp>
        <tr r="G56" s="1"/>
      </tp>
      <tp t="s">
        <v>N.A.</v>
        <stp/>
        <stp>NFO_BANKNIFTY18SEP25700PE</stp>
        <stp>LTQ</stp>
        <tr r="G59" s="1"/>
      </tp>
      <tp t="s">
        <v>N.A.</v>
        <stp/>
        <stp>NFO_BANKNIFTY18SEP25400PE</stp>
        <stp>LTQ</stp>
        <tr r="G53" s="1"/>
      </tp>
      <tp t="s">
        <v>N.A.</v>
        <stp/>
        <stp>NFO_BANKNIFTY18SEP25500PE</stp>
        <stp>LTQ</stp>
        <tr r="G55" s="1"/>
      </tp>
      <tp t="s">
        <v>N.A.</v>
        <stp/>
        <stp>NFO_BANKNIFTY18SEP24600PE</stp>
        <stp>LTQ</stp>
        <tr r="G37" s="1"/>
      </tp>
      <tp t="s">
        <v>N.A.</v>
        <stp/>
        <stp>NFO_BANKNIFTY18SEP24700PE</stp>
        <stp>LTQ</stp>
        <tr r="G39" s="1"/>
      </tp>
      <tp t="s">
        <v>N.A.</v>
        <stp/>
        <stp>NFO_BANKNIFTY18SEP24800PE</stp>
        <stp>LTQ</stp>
        <tr r="G41" s="1"/>
      </tp>
      <tp t="s">
        <v>N.A.</v>
        <stp/>
        <stp>NFO_BANKNIFTY18SEP24900PE</stp>
        <stp>LTQ</stp>
        <tr r="G43" s="1"/>
      </tp>
      <tp t="s">
        <v>N.A.</v>
        <stp/>
        <stp>NSE_LUPIN-EQ</stp>
        <stp>Last</stp>
        <tr r="B92" s="1"/>
      </tp>
      <tp t="s">
        <v>N.A.</v>
        <stp/>
        <stp>NSE_CIPLA-EQ</stp>
        <stp>Last</stp>
        <tr r="B72" s="1"/>
      </tp>
      <tp t="s">
        <v>N.A.</v>
        <stp/>
        <stp>NFO_BANKNIFTY18SEP24600CE</stp>
        <stp>LTQ</stp>
        <tr r="G36" s="1"/>
      </tp>
      <tp t="s">
        <v>N.A.</v>
        <stp/>
        <stp>NFO_BANKNIFTY18SEP24700CE</stp>
        <stp>LTQ</stp>
        <tr r="G38" s="1"/>
      </tp>
      <tp t="s">
        <v>N.A.</v>
        <stp/>
        <stp>NFO_BANKNIFTY18SEP24800CE</stp>
        <stp>LTQ</stp>
        <tr r="G40" s="1"/>
      </tp>
      <tp t="s">
        <v>N.A.</v>
        <stp/>
        <stp>NFO_BANKNIFTY18SEP24900CE</stp>
        <stp>LTQ</stp>
        <tr r="G42" s="1"/>
      </tp>
      <tp t="s">
        <v>N.A.</v>
        <stp/>
        <stp>NFO_BANKNIFTY18SEP25200CE</stp>
        <stp>LTQ</stp>
        <tr r="G48" s="1"/>
      </tp>
      <tp t="s">
        <v>N.A.</v>
        <stp/>
        <stp>NFO_BANKNIFTY18SEP25300CE</stp>
        <stp>LTQ</stp>
        <tr r="G50" s="1"/>
      </tp>
      <tp t="s">
        <v>N.A.</v>
        <stp/>
        <stp>NFO_BANKNIFTY18SEP25000CE</stp>
        <stp>LTQ</stp>
        <tr r="G44" s="1"/>
      </tp>
      <tp t="s">
        <v>N.A.</v>
        <stp/>
        <stp>NFO_BANKNIFTY18SEP25100CE</stp>
        <stp>LTQ</stp>
        <tr r="G46" s="1"/>
      </tp>
      <tp t="s">
        <v>N.A.</v>
        <stp/>
        <stp>NFO_BANKNIFTY18SEP25600CE</stp>
        <stp>LTQ</stp>
        <tr r="G60" s="1"/>
      </tp>
      <tp t="s">
        <v>N.A.</v>
        <stp/>
        <stp>NFO_BANKNIFTY18SEP25700CE</stp>
        <stp>LTQ</stp>
        <tr r="G57" s="1"/>
      </tp>
      <tp t="s">
        <v>N.A.</v>
        <stp/>
        <stp>NFO_BANKNIFTY18SEP25400CE</stp>
        <stp>LTQ</stp>
        <tr r="G52" s="1"/>
      </tp>
      <tp t="s">
        <v>N.A.</v>
        <stp/>
        <stp>NFO_BANKNIFTY18SEP25500CE</stp>
        <stp>LTQ</stp>
        <tr r="G54" s="1"/>
      </tp>
      <tp t="s">
        <v>N.A.</v>
        <stp/>
        <stp>NFO_BANKNIFTY18SEP25800CE</stp>
        <stp>LTQ</stp>
        <tr r="G58" s="1"/>
      </tp>
      <tp t="s">
        <v>N.A.</v>
        <stp/>
        <stp>NSE_WIPRO-EQ</stp>
        <stp>Last</stp>
        <tr r="B108" s="1"/>
      </tp>
      <tp t="s">
        <v>N.A.</v>
        <stp/>
        <stp>NSE_DRREDDY-EQ</stp>
        <stp>OpenInterest</stp>
        <tr r="I74" s="1"/>
      </tp>
      <tp t="s">
        <v>N.A.</v>
        <stp/>
        <stp>NSE_NTPC-EQ</stp>
        <stp>lastTradeTime</stp>
        <tr r="L95" s="1"/>
      </tp>
      <tp t="s">
        <v>N.A.</v>
        <stp/>
        <stp>NFO_BANKNIFTY18SEPFUT</stp>
        <stp>lastTradeTime</stp>
        <tr r="L15" s="1"/>
      </tp>
      <tp t="s">
        <v>N.A.</v>
        <stp/>
        <stp>NFO_BANKNIFTY18SEPFUT</stp>
        <stp>Last</stp>
        <tr r="B15" s="1"/>
      </tp>
      <tp t="s">
        <v>N.A.</v>
        <stp/>
        <stp>NSE_SBIN-EQ</stp>
        <stp>Ask</stp>
        <tr r="E11" s="1"/>
        <tr r="E99" s="1"/>
      </tp>
      <tp t="s">
        <v>N.A.</v>
        <stp/>
        <stp>NFO_BANKNIFTY18SEP25700CE</stp>
        <stp>Bid</stp>
        <tr r="D57" s="1"/>
      </tp>
      <tp t="s">
        <v>N.A.</v>
        <stp/>
        <stp>NFO_BANKNIFTY18SEP25600CE</stp>
        <stp>Bid</stp>
        <tr r="D60" s="1"/>
      </tp>
      <tp t="s">
        <v>N.A.</v>
        <stp/>
        <stp>NFO_BANKNIFTY18SEP25500CE</stp>
        <stp>Bid</stp>
        <tr r="D54" s="1"/>
      </tp>
      <tp t="s">
        <v>N.A.</v>
        <stp/>
        <stp>NFO_BANKNIFTY18SEP25400CE</stp>
        <stp>Bid</stp>
        <tr r="D52" s="1"/>
      </tp>
      <tp t="s">
        <v>N.A.</v>
        <stp/>
        <stp>NFO_BANKNIFTY18SEP25300CE</stp>
        <stp>Bid</stp>
        <tr r="D50" s="1"/>
      </tp>
      <tp t="s">
        <v>N.A.</v>
        <stp/>
        <stp>NFO_BANKNIFTY18SEP25200CE</stp>
        <stp>Bid</stp>
        <tr r="D48" s="1"/>
      </tp>
      <tp t="s">
        <v>N.A.</v>
        <stp/>
        <stp>NFO_BANKNIFTY18SEP25100CE</stp>
        <stp>Bid</stp>
        <tr r="D46" s="1"/>
      </tp>
      <tp t="s">
        <v>N.A.</v>
        <stp/>
        <stp>NFO_BANKNIFTY18SEP25000CE</stp>
        <stp>Bid</stp>
        <tr r="D44" s="1"/>
      </tp>
      <tp t="s">
        <v>N.A.</v>
        <stp/>
        <stp>NFO_BANKNIFTY18SEP25800CE</stp>
        <stp>Bid</stp>
        <tr r="D58" s="1"/>
      </tp>
      <tp t="s">
        <v>N.A.</v>
        <stp/>
        <stp>NFO_BANKNIFTY18SEP24700CE</stp>
        <stp>Bid</stp>
        <tr r="D38" s="1"/>
      </tp>
      <tp t="s">
        <v>N.A.</v>
        <stp/>
        <stp>NFO_BANKNIFTY18SEP24600CE</stp>
        <stp>Bid</stp>
        <tr r="D36" s="1"/>
      </tp>
      <tp t="s">
        <v>N.A.</v>
        <stp/>
        <stp>NFO_BANKNIFTY18SEP24900CE</stp>
        <stp>Bid</stp>
        <tr r="D42" s="1"/>
      </tp>
      <tp t="s">
        <v>N.A.</v>
        <stp/>
        <stp>NFO_BANKNIFTY18SEP24800CE</stp>
        <stp>Bid</stp>
        <tr r="D40" s="1"/>
      </tp>
      <tp t="s">
        <v>N.A.</v>
        <stp/>
        <stp>NFO_BANKNIFTY18SEP24700PE</stp>
        <stp>Bid</stp>
        <tr r="D39" s="1"/>
      </tp>
      <tp t="s">
        <v>N.A.</v>
        <stp/>
        <stp>NFO_BANKNIFTY18SEP24600PE</stp>
        <stp>Bid</stp>
        <tr r="D37" s="1"/>
      </tp>
      <tp t="s">
        <v>N.A.</v>
        <stp/>
        <stp>NFO_BANKNIFTY18SEP24900PE</stp>
        <stp>Bid</stp>
        <tr r="D43" s="1"/>
      </tp>
      <tp t="s">
        <v>N.A.</v>
        <stp/>
        <stp>NFO_BANKNIFTY18SEP24800PE</stp>
        <stp>Bid</stp>
        <tr r="D41" s="1"/>
      </tp>
      <tp t="s">
        <v>N.A.</v>
        <stp/>
        <stp>NFO_BANKNIFTY18SEP25700PE</stp>
        <stp>Bid</stp>
        <tr r="D59" s="1"/>
      </tp>
      <tp t="s">
        <v>N.A.</v>
        <stp/>
        <stp>NFO_BANKNIFTY18SEP25600PE</stp>
        <stp>Bid</stp>
        <tr r="D56" s="1"/>
      </tp>
      <tp t="s">
        <v>N.A.</v>
        <stp/>
        <stp>NFO_BANKNIFTY18SEP25500PE</stp>
        <stp>Bid</stp>
        <tr r="D55" s="1"/>
      </tp>
      <tp t="s">
        <v>N.A.</v>
        <stp/>
        <stp>NFO_BANKNIFTY18SEP25400PE</stp>
        <stp>Bid</stp>
        <tr r="D53" s="1"/>
      </tp>
      <tp t="s">
        <v>N.A.</v>
        <stp/>
        <stp>NFO_BANKNIFTY18SEP25300PE</stp>
        <stp>Bid</stp>
        <tr r="D51" s="1"/>
      </tp>
      <tp t="s">
        <v>N.A.</v>
        <stp/>
        <stp>NFO_BANKNIFTY18SEP25200PE</stp>
        <stp>Bid</stp>
        <tr r="D49" s="1"/>
      </tp>
      <tp t="s">
        <v>N.A.</v>
        <stp/>
        <stp>NFO_BANKNIFTY18SEP25100PE</stp>
        <stp>Bid</stp>
        <tr r="D47" s="1"/>
      </tp>
      <tp t="s">
        <v>N.A.</v>
        <stp/>
        <stp>NFO_BANKNIFTY18SEP25000PE</stp>
        <stp>Bid</stp>
        <tr r="D45" s="1"/>
      </tp>
      <tp t="s">
        <v>N.A.</v>
        <stp/>
        <stp>NSE_YESBANK-EQ</stp>
        <stp>Last</stp>
        <tr r="B12" s="1"/>
        <tr r="B109" s="1"/>
      </tp>
      <tp t="s">
        <v>N.A.</v>
        <stp/>
        <stp>NSE_TECHM-EQ</stp>
        <stp>lastTradeTime</stp>
        <tr r="L104" s="1"/>
      </tp>
      <tp t="s">
        <v>N.A.</v>
        <stp/>
        <stp>NSE_NTPC-EQ</stp>
        <stp>Last</stp>
        <tr r="B95" s="1"/>
      </tp>
      <tp t="s">
        <v>N.A.</v>
        <stp/>
        <stp>NSE_INFY-EQ</stp>
        <stp>OpenInterest</stp>
        <tr r="I87" s="1"/>
      </tp>
      <tp t="s">
        <v>N.A.</v>
        <stp/>
        <stp>NSE_ONGC-EQ</stp>
        <stp>OpenInterest</stp>
        <tr r="I96" s="1"/>
      </tp>
      <tp t="s">
        <v>N.A.</v>
        <stp/>
        <stp>NSE_SBIN-EQ</stp>
        <stp>Bid</stp>
        <tr r="D11" s="1"/>
        <tr r="D99" s="1"/>
      </tp>
      <tp t="s">
        <v>N.A.</v>
        <stp/>
        <stp>NSE_DRREDDY-EQ</stp>
        <stp>lastUpdateTime</stp>
        <tr r="M74" s="1"/>
      </tp>
      <tp t="s">
        <v>N.A.</v>
        <stp/>
        <stp>_India VIX</stp>
        <stp>lastUpdateTime</stp>
        <tr r="M61" s="1"/>
      </tp>
      <tp t="s">
        <v>N.A.</v>
        <stp/>
        <stp>NFO_BANKNIFTY18SEP24800PE</stp>
        <stp>Ask</stp>
        <tr r="E41" s="1"/>
      </tp>
      <tp t="s">
        <v>N.A.</v>
        <stp/>
        <stp>NFO_BANKNIFTY18SEP24900PE</stp>
        <stp>Ask</stp>
        <tr r="E43" s="1"/>
      </tp>
      <tp t="s">
        <v>N.A.</v>
        <stp/>
        <stp>NFO_BANKNIFTY18SEP24600PE</stp>
        <stp>Ask</stp>
        <tr r="E37" s="1"/>
      </tp>
      <tp t="s">
        <v>N.A.</v>
        <stp/>
        <stp>NFO_BANKNIFTY18SEP24700PE</stp>
        <stp>Ask</stp>
        <tr r="E39" s="1"/>
      </tp>
      <tp t="s">
        <v>N.A.</v>
        <stp/>
        <stp>NFO_BANKNIFTY18SEP25000PE</stp>
        <stp>Ask</stp>
        <tr r="E45" s="1"/>
      </tp>
      <tp t="s">
        <v>N.A.</v>
        <stp/>
        <stp>NFO_BANKNIFTY18SEP25100PE</stp>
        <stp>Ask</stp>
        <tr r="E47" s="1"/>
      </tp>
      <tp t="s">
        <v>N.A.</v>
        <stp/>
        <stp>NFO_BANKNIFTY18SEP25200PE</stp>
        <stp>Ask</stp>
        <tr r="E49" s="1"/>
      </tp>
      <tp t="s">
        <v>N.A.</v>
        <stp/>
        <stp>NFO_BANKNIFTY18SEP25300PE</stp>
        <stp>Ask</stp>
        <tr r="E51" s="1"/>
      </tp>
      <tp t="s">
        <v>N.A.</v>
        <stp/>
        <stp>NFO_BANKNIFTY18SEP25400PE</stp>
        <stp>Ask</stp>
        <tr r="E53" s="1"/>
      </tp>
      <tp t="s">
        <v>N.A.</v>
        <stp/>
        <stp>NFO_BANKNIFTY18SEP25500PE</stp>
        <stp>Ask</stp>
        <tr r="E55" s="1"/>
      </tp>
      <tp t="s">
        <v>N.A.</v>
        <stp/>
        <stp>NFO_BANKNIFTY18SEP25600PE</stp>
        <stp>Ask</stp>
        <tr r="E56" s="1"/>
      </tp>
      <tp t="s">
        <v>N.A.</v>
        <stp/>
        <stp>NFO_BANKNIFTY18SEP25700PE</stp>
        <stp>Ask</stp>
        <tr r="E59" s="1"/>
      </tp>
      <tp t="s">
        <v>N.A.</v>
        <stp/>
        <stp>NFO_BANKNIFTY18SEP25800CE</stp>
        <stp>Ask</stp>
        <tr r="E58" s="1"/>
      </tp>
      <tp t="s">
        <v>N.A.</v>
        <stp/>
        <stp>NFO_BANKNIFTY18SEP25000CE</stp>
        <stp>Ask</stp>
        <tr r="E44" s="1"/>
      </tp>
      <tp t="s">
        <v>N.A.</v>
        <stp/>
        <stp>NFO_BANKNIFTY18SEP25100CE</stp>
        <stp>Ask</stp>
        <tr r="E46" s="1"/>
      </tp>
      <tp t="s">
        <v>N.A.</v>
        <stp/>
        <stp>NFO_BANKNIFTY18SEP25200CE</stp>
        <stp>Ask</stp>
        <tr r="E48" s="1"/>
      </tp>
      <tp t="s">
        <v>N.A.</v>
        <stp/>
        <stp>NFO_BANKNIFTY18SEP25300CE</stp>
        <stp>Ask</stp>
        <tr r="E50" s="1"/>
      </tp>
      <tp t="s">
        <v>N.A.</v>
        <stp/>
        <stp>NFO_BANKNIFTY18SEP25400CE</stp>
        <stp>Ask</stp>
        <tr r="E52" s="1"/>
      </tp>
      <tp t="s">
        <v>N.A.</v>
        <stp/>
        <stp>NFO_BANKNIFTY18SEP25500CE</stp>
        <stp>Ask</stp>
        <tr r="E54" s="1"/>
      </tp>
      <tp t="s">
        <v>N.A.</v>
        <stp/>
        <stp>NFO_BANKNIFTY18SEP25600CE</stp>
        <stp>Ask</stp>
        <tr r="E60" s="1"/>
      </tp>
      <tp t="s">
        <v>N.A.</v>
        <stp/>
        <stp>NFO_BANKNIFTY18SEP25700CE</stp>
        <stp>Ask</stp>
        <tr r="E57" s="1"/>
      </tp>
      <tp t="s">
        <v>N.A.</v>
        <stp/>
        <stp>NFO_BANKNIFTY18SEP24800CE</stp>
        <stp>Ask</stp>
        <tr r="E40" s="1"/>
      </tp>
      <tp t="s">
        <v>N.A.</v>
        <stp/>
        <stp>NFO_BANKNIFTY18SEP24900CE</stp>
        <stp>Ask</stp>
        <tr r="E42" s="1"/>
      </tp>
      <tp t="s">
        <v>N.A.</v>
        <stp/>
        <stp>NFO_BANKNIFTY18SEP24600CE</stp>
        <stp>Ask</stp>
        <tr r="E36" s="1"/>
      </tp>
      <tp t="s">
        <v>N.A.</v>
        <stp/>
        <stp>NFO_BANKNIFTY18SEP24700CE</stp>
        <stp>Ask</stp>
        <tr r="E38" s="1"/>
      </tp>
      <tp t="s">
        <v>N.A.</v>
        <stp/>
        <stp>NSE_LUPIN-EQ</stp>
        <stp>lastTradeTime</stp>
        <tr r="L92" s="1"/>
      </tp>
      <tp t="s">
        <v>N.A.</v>
        <stp/>
        <stp>_Nifty Bank</stp>
        <stp>OpenInterest</stp>
        <tr r="I14" s="1"/>
      </tp>
      <tp t="s">
        <v>N.A.</v>
        <stp/>
        <stp>_India VIX</stp>
        <stp>Volume</stp>
        <tr r="H61" s="1"/>
      </tp>
      <tp t="s">
        <v>N.A.</v>
        <stp/>
        <stp>NSE_DRREDDY-EQ</stp>
        <stp>Volume</stp>
        <tr r="H74" s="1"/>
      </tp>
      <tp t="s">
        <v>N.A.</v>
        <stp/>
        <stp>NSE_AUROPHARMA-EQ</stp>
        <stp>Ask</stp>
        <tr r="E65" s="1"/>
      </tp>
      <tp t="s">
        <v>N.A.</v>
        <stp/>
        <stp>NSE_TCS-EQ</stp>
        <stp>TradingSymbol</stp>
        <tr r="A103" s="1"/>
      </tp>
      <tp t="s">
        <v>N.A.</v>
        <stp/>
        <stp>NSE_VEDL-EQ</stp>
        <stp>Ask</stp>
        <tr r="E107" s="1"/>
      </tp>
      <tp t="s">
        <v>N.A.</v>
        <stp/>
        <stp>NSE_ULTRACEMCO-EQ</stp>
        <stp>Bid</stp>
        <tr r="D105" s="1"/>
      </tp>
      <tp t="s">
        <v>N.A.</v>
        <stp/>
        <stp>NSE_IBULHSGFIN-EQ</stp>
        <stp>Ask</stp>
        <tr r="E84" s="1"/>
      </tp>
      <tp t="s">
        <v>N.A.</v>
        <stp/>
        <stp>NSE_EICHERMOT-EQ</stp>
        <stp>Ask</stp>
        <tr r="E75" s="1"/>
      </tp>
      <tp t="s">
        <v>N.A.</v>
        <stp/>
        <stp>NSE_ZEEL-EQ</stp>
        <stp>LTQ</stp>
        <tr r="G110" s="1"/>
      </tp>
      <tp t="s">
        <v>N.A.</v>
        <stp/>
        <stp>NSE_CIPLA-EQ</stp>
        <stp>lastTradeTime</stp>
        <tr r="L72" s="1"/>
      </tp>
      <tp t="s">
        <v>N.A.</v>
        <stp/>
        <stp>NSE_EICHERMOT-EQ</stp>
        <stp>Bid</stp>
        <tr r="D75" s="1"/>
      </tp>
      <tp t="s">
        <v>N.A.</v>
        <stp/>
        <stp>NSE_IBULHSGFIN-EQ</stp>
        <stp>Bid</stp>
        <tr r="D84" s="1"/>
      </tp>
      <tp t="s">
        <v>N.A.</v>
        <stp/>
        <stp>NSE_ULTRACEMCO-EQ</stp>
        <stp>Ask</stp>
        <tr r="E105" s="1"/>
      </tp>
      <tp t="s">
        <v>N.A.</v>
        <stp/>
        <stp>NSE_BANKBARODA-EQ</stp>
        <stp>LTQ</stp>
        <tr r="G3" s="1"/>
      </tp>
      <tp t="s">
        <v>N.A.</v>
        <stp/>
        <stp>NSE_KOTAKBANK-EQ</stp>
        <stp>Volume</stp>
        <tr r="H9" s="1"/>
        <tr r="H90" s="1"/>
      </tp>
      <tp t="s">
        <v>N.A.</v>
        <stp/>
        <stp>NSE_ICICIBANK-EQ</stp>
        <stp>Volume</stp>
        <tr r="H7" s="1"/>
        <tr r="H85" s="1"/>
      </tp>
      <tp t="s">
        <v>N.A.</v>
        <stp/>
        <stp>NSE_COALINDIA-EQ</stp>
        <stp>Volume</stp>
        <tr r="H73" s="1"/>
      </tp>
      <tp t="s">
        <v>N.A.</v>
        <stp/>
        <stp>NSE_TATASTEEL-EQ</stp>
        <stp>LTQ</stp>
        <tr r="G102" s="1"/>
      </tp>
      <tp t="s">
        <v>N.A.</v>
        <stp/>
        <stp>NSE_TATASTEEL-EQ</stp>
        <stp>Volume</stp>
        <tr r="H102" s="1"/>
      </tp>
      <tp t="s">
        <v>N.A.</v>
        <stp/>
        <stp>NSE_BPCL-EQ</stp>
        <stp>Last</stp>
        <tr r="B71" s="1"/>
      </tp>
      <tp t="s">
        <v>N.A.</v>
        <stp/>
        <stp>NSE_TECHM-EQ</stp>
        <stp>OpenInterest</stp>
        <tr r="I104" s="1"/>
      </tp>
      <tp t="s">
        <v>N.A.</v>
        <stp/>
        <stp>NFO_BANKNIFTY18NOVFUT</stp>
        <stp>OpenInterest</stp>
        <tr r="I17" s="1"/>
      </tp>
      <tp t="s">
        <v>N.A.</v>
        <stp/>
        <stp>NSE_AUROPHARMA-EQ</stp>
        <stp>Bid</stp>
        <tr r="D65" s="1"/>
      </tp>
      <tp t="s">
        <v>N.A.</v>
        <stp/>
        <stp>NSE_TATASTEEL-EQ</stp>
        <stp>lastUpdateTime</stp>
        <tr r="M102" s="1"/>
      </tp>
      <tp t="s">
        <v>N.A.</v>
        <stp/>
        <stp>NSE_M&amp;M-EQ</stp>
        <stp>LTQ</stp>
        <tr r="G93" s="1"/>
      </tp>
      <tp t="s">
        <v>N.A.</v>
        <stp/>
        <stp>NSE_ITC-EQ</stp>
        <stp>LTQ</stp>
        <tr r="G89" s="1"/>
      </tp>
      <tp t="s">
        <v>N.A.</v>
        <stp/>
        <stp>NSE_IOC-EQ</stp>
        <stp>LTQ</stp>
        <tr r="G88" s="1"/>
      </tp>
      <tp t="s">
        <v>N.A.</v>
        <stp/>
        <stp>NSE_UPL-EQ</stp>
        <stp>LTQ</stp>
        <tr r="G106" s="1"/>
      </tp>
      <tp t="s">
        <v>N.A.</v>
        <stp/>
        <stp>NFO_BANKNIFTY18OCTFUT</stp>
        <stp>lastTradeTime</stp>
        <tr r="L16" s="1"/>
      </tp>
      <tp t="s">
        <v>N.A.</v>
        <stp/>
        <stp>NSE_TCS-EQ</stp>
        <stp>LTQ</stp>
        <tr r="G103" s="1"/>
      </tp>
      <tp t="s">
        <v>N.A.</v>
        <stp/>
        <stp>NSE_SBIN-EQ</stp>
        <stp>TradingSymbol</stp>
        <tr r="A11" s="1"/>
        <tr r="A99" s="1"/>
      </tp>
      <tp t="s">
        <v>N.A.</v>
        <stp/>
        <stp>NSE_GAIL-EQ</stp>
        <stp>TradingSymbol</stp>
        <tr r="A76" s="1"/>
      </tp>
      <tp t="s">
        <v>N.A.</v>
        <stp/>
        <stp>NSE_COALINDIA-EQ</stp>
        <stp>lastUpdateTime</stp>
        <tr r="M73" s="1"/>
      </tp>
      <tp t="s">
        <v>N.A.</v>
        <stp/>
        <stp>NSE_ICICIBANK-EQ</stp>
        <stp>lastUpdateTime</stp>
        <tr r="M7" s="1"/>
        <tr r="M85" s="1"/>
      </tp>
      <tp t="s">
        <v>N.A.</v>
        <stp/>
        <stp>NSE_PNB-EQ</stp>
        <stp>LTQ</stp>
        <tr r="G10" s="1"/>
      </tp>
      <tp t="s">
        <v>N.A.</v>
        <stp/>
        <stp>NSE_KOTAKBANK-EQ</stp>
        <stp>lastUpdateTime</stp>
        <tr r="M9" s="1"/>
        <tr r="M90" s="1"/>
      </tp>
      <tp t="s">
        <v>N.A.</v>
        <stp/>
        <stp>NSE_WIPRO-EQ</stp>
        <stp>TradingSymbol</stp>
        <tr r="A108" s="1"/>
      </tp>
      <tp t="s">
        <v>N.A.</v>
        <stp/>
        <stp>NSE_SUNPHARMA-EQ</stp>
        <stp>LTQ</stp>
        <tr r="G100" s="1"/>
      </tp>
      <tp t="s">
        <v>N.A.</v>
        <stp/>
        <stp>NSE_VEDL-EQ</stp>
        <stp>Bid</stp>
        <tr r="D107" s="1"/>
      </tp>
      <tp t="s">
        <v>N.A.</v>
        <stp/>
        <stp>NFO_BANKNIFTY18OCTFUT</stp>
        <stp>OpenInterest</stp>
        <tr r="I16" s="1"/>
      </tp>
      <tp t="s">
        <v>N.A.</v>
        <stp/>
        <stp>NSE_YESBANK-EQ</stp>
        <stp>OpenInterest</stp>
        <tr r="I12" s="1"/>
        <tr r="I109" s="1"/>
      </tp>
      <tp t="s">
        <v>N.A.</v>
        <stp/>
        <stp>NSE_SBIN-EQ</stp>
        <stp>lastTradeTime</stp>
        <tr r="L11" s="1"/>
        <tr r="L99" s="1"/>
      </tp>
      <tp t="s">
        <v>N.A.</v>
        <stp/>
        <stp>NSE_GAIL-EQ</stp>
        <stp>lastTradeTime</stp>
        <tr r="L76" s="1"/>
      </tp>
      <tp t="s">
        <v>N.A.</v>
        <stp/>
        <stp>NFO_BANKNIFTY18OCTFUT</stp>
        <stp>TradingSymbol</stp>
        <tr r="A16" s="1"/>
      </tp>
      <tp t="s">
        <v>N.A.</v>
        <stp/>
        <stp>NSE_WIPRO-EQ</stp>
        <stp>lastTradeTime</stp>
        <tr r="L108" s="1"/>
      </tp>
      <tp t="s">
        <v>N.A.</v>
        <stp/>
        <stp>NSE_EICHERMOT-EQ</stp>
        <stp>lastUpdateTime</stp>
        <tr r="M75" s="1"/>
      </tp>
      <tp t="s">
        <v>N.A.</v>
        <stp/>
        <stp>NSE_NTPC-EQ</stp>
        <stp>OpenInterest</stp>
        <tr r="I95" s="1"/>
      </tp>
      <tp t="s">
        <v>N.A.</v>
        <stp/>
        <stp>NSE_ONGC-EQ</stp>
        <stp>Last</stp>
        <tr r="B96" s="1"/>
      </tp>
      <tp t="s">
        <v>N.A.</v>
        <stp/>
        <stp>NSE_INFY-EQ</stp>
        <stp>Last</stp>
        <tr r="B87" s="1"/>
      </tp>
      <tp t="s">
        <v>N.A.</v>
        <stp/>
        <stp>NSE_INFY-EQ</stp>
        <stp>Bid</stp>
        <tr r="D87" s="1"/>
      </tp>
      <tp t="s">
        <v>N.A.</v>
        <stp/>
        <stp>NSE_HDFCBANK-EQ</stp>
        <stp>Volume</stp>
        <tr r="H6" s="1"/>
        <tr r="H79" s="1"/>
      </tp>
      <tp t="s">
        <v>N.A.</v>
        <stp/>
        <stp>NSE_GAIL-EQ</stp>
        <stp>LTQ</stp>
        <tr r="G76" s="1"/>
      </tp>
      <tp t="s">
        <v>N.A.</v>
        <stp/>
        <stp>NSE_ADANIPORTS-EQ</stp>
        <stp>Ask</stp>
        <tr r="E62" s="1"/>
      </tp>
      <tp t="s">
        <v>N.A.</v>
        <stp/>
        <stp>NSE_CIPLA-EQ</stp>
        <stp>TradingSymbol</stp>
        <tr r="A72" s="1"/>
      </tp>
      <tp t="s">
        <v>N.A.</v>
        <stp/>
        <stp>_Nifty Bank</stp>
        <stp>Last</stp>
        <tr r="B14" s="1"/>
      </tp>
      <tp t="s">
        <v>N.A.</v>
        <stp/>
        <stp>NSE_EICHERMOT-EQ</stp>
        <stp>Volume</stp>
        <tr r="H75" s="1"/>
      </tp>
      <tp t="s">
        <v>N.A.</v>
        <stp/>
        <stp>NSE_HDFC-EQ</stp>
        <stp>Bid</stp>
        <tr r="D78" s="1"/>
      </tp>
      <tp t="s">
        <v>N.A.</v>
        <stp/>
        <stp>NSE_HDFCBANK-EQ</stp>
        <stp>lastUpdateTime</stp>
        <tr r="M6" s="1"/>
        <tr r="M79" s="1"/>
      </tp>
      <tp t="s">
        <v>N.A.</v>
        <stp/>
        <stp>NSE_ADANIPORTS-EQ</stp>
        <stp>Bid</stp>
        <tr r="D62" s="1"/>
      </tp>
      <tp t="s">
        <v>N.A.</v>
        <stp/>
        <stp>NSE_DRREDDY-EQ</stp>
        <stp>Last</stp>
        <tr r="B74" s="1"/>
      </tp>
      <tp t="s">
        <v>N.A.</v>
        <stp/>
        <stp>NSE_HINDPETRO-EQ</stp>
        <stp>Volume</stp>
        <tr r="H82" s="1"/>
      </tp>
      <tp t="s">
        <v>N.A.</v>
        <stp/>
        <stp>NSE_BHARTIARTL-EQ</stp>
        <stp>LTQ</stp>
        <tr r="G69" s="1"/>
      </tp>
      <tp t="s">
        <v>N.A.</v>
        <stp/>
        <stp>NSE_TATAMOTORS-EQ</stp>
        <stp>LTQ</stp>
        <tr r="G101" s="1"/>
      </tp>
      <tp t="s">
        <v>N.A.</v>
        <stp/>
        <stp>NSE_LT-EQ</stp>
        <stp>LTQ</stp>
        <tr r="G91" s="1"/>
      </tp>
      <tp t="s">
        <v>N.A.</v>
        <stp/>
        <stp>NSE_HDFC-EQ</stp>
        <stp>Ask</stp>
        <tr r="E78" s="1"/>
      </tp>
      <tp t="s">
        <v>N.A.</v>
        <stp/>
        <stp>NSE_HINDALCO-EQ</stp>
        <stp>lastUpdateTime</stp>
        <tr r="M81" s="1"/>
      </tp>
      <tp t="s">
        <v>N.A.</v>
        <stp/>
        <stp>NSE_TCS-EQ</stp>
        <stp>lastTradeTime</stp>
        <tr r="L103" s="1"/>
      </tp>
      <tp t="s">
        <v>N.A.</v>
        <stp/>
        <stp>NSE_POWERGRID-EQ</stp>
        <stp>LTQ</stp>
        <tr r="G97" s="1"/>
      </tp>
      <tp t="s">
        <v>N.A.</v>
        <stp/>
        <stp>NSE_HINDPETRO-EQ</stp>
        <stp>lastUpdateTime</stp>
        <tr r="M82" s="1"/>
      </tp>
      <tp t="s">
        <v>N.A.</v>
        <stp/>
        <stp>NSE_INFY-EQ</stp>
        <stp>Ask</stp>
        <tr r="E87" s="1"/>
      </tp>
      <tp t="s">
        <v>N.A.</v>
        <stp/>
        <stp>NFO_BANKNIFTY18SEPFUT</stp>
        <stp>OpenInterest</stp>
        <tr r="I15" s="1"/>
      </tp>
      <tp t="s">
        <v>N.A.</v>
        <stp/>
        <stp>NSE_HINDALCO-EQ</stp>
        <stp>Volume</stp>
        <tr r="H81" s="1"/>
      </tp>
      <tp t="s">
        <v>N.A.</v>
        <stp/>
        <stp>NSE_BAJFINANCE-EQ</stp>
        <stp>Ask</stp>
        <tr r="E68" s="1"/>
      </tp>
      <tp t="s">
        <v>N.A.</v>
        <stp/>
        <stp>NSE_ASIANPAINT-EQ</stp>
        <stp>Bid</stp>
        <tr r="D64" s="1"/>
      </tp>
      <tp t="s">
        <v>N.A.</v>
        <stp/>
        <stp>NSE_ICICIBANK-EQ</stp>
        <stp>Bid</stp>
        <tr r="D7" s="1"/>
        <tr r="D85" s="1"/>
      </tp>
      <tp t="s">
        <v>N.A.</v>
        <stp/>
        <stp>NSE_BAJAJ-AUTO-EQ</stp>
        <stp>Ask</stp>
        <tr r="E67" s="1"/>
      </tp>
      <tp t="s">
        <v>N.A.</v>
        <stp/>
        <stp>NSE_COALINDIA-EQ</stp>
        <stp>Bid</stp>
        <tr r="D73" s="1"/>
      </tp>
      <tp t="s">
        <v>N.A.</v>
        <stp/>
        <stp>NSE_FEDERALBNK-EQ</stp>
        <stp>Bid</stp>
        <tr r="D5" s="1"/>
      </tp>
      <tp t="s">
        <v>N.A.</v>
        <stp/>
        <stp>NSE_LUPIN-EQ</stp>
        <stp>TradingSymbol</stp>
        <tr r="A92" s="1"/>
      </tp>
      <tp t="s">
        <v>N.A.</v>
        <stp/>
        <stp>NSE_HEROMOTOCO-EQ</stp>
        <stp>LTQ</stp>
        <tr r="G80" s="1"/>
      </tp>
      <tp t="s">
        <v>N.A.</v>
        <stp/>
        <stp>NSE_TECHM-EQ</stp>
        <stp>Last</stp>
        <tr r="B104" s="1"/>
      </tp>
      <tp t="s">
        <v>N.A.</v>
        <stp/>
        <stp>NSE_BPCL-EQ</stp>
        <stp>OpenInterest</stp>
        <tr r="I71" s="1"/>
      </tp>
      <tp t="s">
        <v>N.A.</v>
        <stp/>
        <stp>NFO_BANKNIFTY18NOVFUT</stp>
        <stp>Last</stp>
        <tr r="B17" s="1"/>
      </tp>
      <tp t="s">
        <v>N.A.</v>
        <stp/>
        <stp>NSE_NTPC-EQ</stp>
        <stp>Ask</stp>
        <tr r="E95" s="1"/>
      </tp>
      <tp t="s">
        <v>N.A.</v>
        <stp/>
        <stp>NSE_RELIANCE-EQ</stp>
        <stp>Volume</stp>
        <tr r="H98" s="1"/>
      </tp>
      <tp t="s">
        <v>N.A.</v>
        <stp/>
        <stp>NSE_INDUSINDBK-EQ</stp>
        <stp>Ask</stp>
        <tr r="E8" s="1"/>
        <tr r="E86" s="1"/>
      </tp>
      <tp t="s">
        <v>N.A.</v>
        <stp/>
        <stp>NSE_HINDUNILVR-EQ</stp>
        <stp>LTQ</stp>
        <tr r="G83" s="1"/>
      </tp>
      <tp t="s">
        <v>N.A.</v>
        <stp/>
        <stp>NSE_TECHM-EQ</stp>
        <stp>TradingSymbol</stp>
        <tr r="A104" s="1"/>
      </tp>
      <tp t="s">
        <v>N.A.</v>
        <stp/>
        <stp>NSE_ONGC-EQ</stp>
        <stp>Ask</stp>
        <tr r="E96" s="1"/>
      </tp>
      <tp t="s">
        <v>N.A.</v>
        <stp/>
        <stp>NFO_BANKNIFTY18OCTFUT</stp>
        <stp>Last</stp>
        <tr r="B16" s="1"/>
      </tp>
      <tp t="s">
        <v>N.A.</v>
        <stp/>
        <stp>NSE_RELIANCE-EQ</stp>
        <stp>lastUpdateTime</stp>
        <tr r="M98" s="1"/>
      </tp>
      <tp t="s">
        <v>N.A.</v>
        <stp/>
        <stp>NSE_BPCL-EQ</stp>
        <stp>LTQ</stp>
        <tr r="G71" s="1"/>
      </tp>
      <tp t="s">
        <v>N.A.</v>
        <stp/>
        <stp>NSE_INDUSINDBK-EQ</stp>
        <stp>Bid</stp>
        <tr r="D8" s="1"/>
        <tr r="D86" s="1"/>
      </tp>
      <tp t="s">
        <v>N.A.</v>
        <stp/>
        <stp>NFO_BANKNIFTY18SEPFUT</stp>
        <stp>TradingSymbol</stp>
        <tr r="A15" s="1"/>
      </tp>
      <tp t="s">
        <v>N.A.</v>
        <stp/>
        <stp>NSE_KOTAKBANK-EQ</stp>
        <stp>LTQ</stp>
        <tr r="G9" s="1"/>
        <tr r="G90" s="1"/>
      </tp>
      <tp t="s">
        <v>N.A.</v>
        <stp/>
        <stp>NSE_NTPC-EQ</stp>
        <stp>TradingSymbol</stp>
        <tr r="A95" s="1"/>
      </tp>
      <tp t="s">
        <v>N.A.</v>
        <stp/>
        <stp>NSE_ONGC-EQ</stp>
        <stp>Bid</stp>
        <tr r="D96" s="1"/>
      </tp>
      <tp t="s">
        <v>N.A.</v>
        <stp/>
        <stp>_Nifty 50</stp>
        <stp>TotalBidQty</stp>
        <tr r="J13" s="1"/>
      </tp>
      <tp t="s">
        <v>N.A.</v>
        <stp/>
        <stp>_Nifty 50</stp>
        <stp>TotalAskQty</stp>
        <tr r="K13" s="1"/>
      </tp>
      <tp t="s">
        <v>N.A.</v>
        <stp/>
        <stp>NSE_COALINDIA-EQ</stp>
        <stp>Ask</stp>
        <tr r="E73" s="1"/>
      </tp>
      <tp t="s">
        <v>N.A.</v>
        <stp/>
        <stp>NSE_FEDERALBNK-EQ</stp>
        <stp>Ask</stp>
        <tr r="E5" s="1"/>
      </tp>
      <tp t="s">
        <v>N.A.</v>
        <stp/>
        <stp>NSE_ASIANPAINT-EQ</stp>
        <stp>Ask</stp>
        <tr r="E64" s="1"/>
      </tp>
      <tp t="s">
        <v>N.A.</v>
        <stp/>
        <stp>NSE_ICICIBANK-EQ</stp>
        <stp>Ask</stp>
        <tr r="E7" s="1"/>
        <tr r="E85" s="1"/>
      </tp>
      <tp t="s">
        <v>N.A.</v>
        <stp/>
        <stp>NSE_BAJAJ-AUTO-EQ</stp>
        <stp>Bid</stp>
        <tr r="D67" s="1"/>
      </tp>
      <tp t="s">
        <v>N.A.</v>
        <stp/>
        <stp>NSE_BAJFINANCE-EQ</stp>
        <stp>Bid</stp>
        <tr r="D68" s="1"/>
      </tp>
      <tp t="s">
        <v>N.A.</v>
        <stp/>
        <stp>NSE_AMBUJACEM-EQ</stp>
        <stp>LTQ</stp>
        <tr r="G63" s="1"/>
      </tp>
      <tp t="s">
        <v>N.A.</v>
        <stp/>
        <stp>NSE_HINDPETRO-EQ</stp>
        <stp>LTQ</stp>
        <tr r="G82" s="1"/>
      </tp>
      <tp t="s">
        <v>N.A.</v>
        <stp/>
        <stp>NSE_NTPC-EQ</stp>
        <stp>Bid</stp>
        <tr r="D95" s="1"/>
      </tp>
      <tp t="s">
        <v>N.A.</v>
        <stp/>
        <stp>NSE_KOTAKBANK-EQ</stp>
        <stp>Bid</stp>
        <tr r="D9" s="1"/>
        <tr r="D90" s="1"/>
      </tp>
      <tp t="s">
        <v>N.A.</v>
        <stp/>
        <stp>NSE_HINDUNILVR-EQ</stp>
        <stp>Ask</stp>
        <tr r="E83" s="1"/>
      </tp>
      <tp t="s">
        <v>N.A.</v>
        <stp/>
        <stp>_Nifty 50</stp>
        <stp>lastTradeTime</stp>
        <tr r="L13" s="1"/>
      </tp>
      <tp t="s">
        <v>N.A.</v>
        <stp/>
        <stp>NSE_INDUSINDBK-EQ</stp>
        <stp>LTQ</stp>
        <tr r="G8" s="1"/>
        <tr r="G86" s="1"/>
      </tp>
      <tp t="s">
        <v>N.A.</v>
        <stp/>
        <stp>NSE_MARUTI-EQ</stp>
        <stp>Last</stp>
        <tr r="B94" s="1"/>
      </tp>
      <tp t="s">
        <v>N.A.</v>
        <stp/>
        <stp>NSE_BPCL-EQ</stp>
        <stp>Ask</stp>
        <tr r="E71" s="1"/>
      </tp>
      <tp t="s">
        <v>N.A.</v>
        <stp/>
        <stp>NSE_ONGC-EQ</stp>
        <stp>LTQ</stp>
        <tr r="G96" s="1"/>
      </tp>
      <tp t="s">
        <v>N.A.</v>
        <stp/>
        <stp>NSE_YESBANK-EQ</stp>
        <stp>Volume</stp>
        <tr r="H12" s="1"/>
        <tr r="H109" s="1"/>
      </tp>
      <tp t="s">
        <v>N.A.</v>
        <stp/>
        <stp>NSE_HEROMOTOCO-EQ</stp>
        <stp>Ask</stp>
        <tr r="E80" s="1"/>
      </tp>
      <tp t="s">
        <v>N.A.</v>
        <stp/>
        <stp>NSE_HINDPETRO-EQ</stp>
        <stp>Bid</stp>
        <tr r="D82" s="1"/>
      </tp>
      <tp t="s">
        <v>N.A.</v>
        <stp/>
        <stp>NSE_AMBUJACEM-EQ</stp>
        <stp>Bid</stp>
        <tr r="D63" s="1"/>
      </tp>
      <tp t="s">
        <v>N.A.</v>
        <stp/>
        <stp>_Nifty Bank</stp>
        <stp>BidSize</stp>
        <tr r="C14" s="1"/>
      </tp>
      <tp t="s">
        <v>N.A.</v>
        <stp/>
        <stp>NSE_BAJFINANCE-EQ</stp>
        <stp>LTQ</stp>
        <tr r="G68" s="1"/>
      </tp>
      <tp t="s">
        <v>N.A.</v>
        <stp/>
        <stp>NSE_BAJAJ-AUTO-EQ</stp>
        <stp>LTQ</stp>
        <tr r="G67" s="1"/>
      </tp>
      <tp t="s">
        <v>N.A.</v>
        <stp/>
        <stp>NSE_CANBK-EQ</stp>
        <stp>Last</stp>
        <tr r="B4" s="1"/>
      </tp>
      <tp t="s">
        <v>N.A.</v>
        <stp/>
        <stp>NSE_YESBANK-EQ</stp>
        <stp>lastUpdateTime</stp>
        <tr r="M12" s="1"/>
        <tr r="M109" s="1"/>
      </tp>
      <tp t="s">
        <v>N.A.</v>
        <stp/>
        <stp>NSE_NTPC-EQ</stp>
        <stp>LTQ</stp>
        <tr r="G95" s="1"/>
      </tp>
      <tp t="s">
        <v>N.A.</v>
        <stp/>
        <stp>NSE_AMBUJACEM-EQ</stp>
        <stp>Ask</stp>
        <tr r="E63" s="1"/>
      </tp>
      <tp t="s">
        <v>N.A.</v>
        <stp/>
        <stp>NSE_BPCL-EQ</stp>
        <stp>lastTradeTime</stp>
        <tr r="L71" s="1"/>
      </tp>
      <tp t="s">
        <v>N.A.</v>
        <stp/>
        <stp>NSE_HEROMOTOCO-EQ</stp>
        <stp>Bid</stp>
        <tr r="D80" s="1"/>
      </tp>
      <tp t="s">
        <v>N.A.</v>
        <stp/>
        <stp>NSE_HINDPETRO-EQ</stp>
        <stp>Ask</stp>
        <tr r="E82" s="1"/>
      </tp>
      <tp t="s">
        <v>N.A.</v>
        <stp/>
        <stp>NSE_FEDERALBNK-EQ</stp>
        <stp>LTQ</stp>
        <tr r="G5" s="1"/>
      </tp>
      <tp t="s">
        <v>N.A.</v>
        <stp/>
        <stp>NSE_COALINDIA-EQ</stp>
        <stp>LTQ</stp>
        <tr r="G73" s="1"/>
      </tp>
      <tp t="s">
        <v>N.A.</v>
        <stp/>
        <stp>NSE_ICICIBANK-EQ</stp>
        <stp>LTQ</stp>
        <tr r="G7" s="1"/>
        <tr r="G85" s="1"/>
      </tp>
      <tp t="s">
        <v>N.A.</v>
        <stp/>
        <stp>NSE_ASIANPAINT-EQ</stp>
        <stp>LTQ</stp>
        <tr r="G64" s="1"/>
      </tp>
      <tp t="s">
        <v>N.A.</v>
        <stp/>
        <stp>_Nifty Bank</stp>
        <stp>AskSize</stp>
        <tr r="F14" s="1"/>
      </tp>
      <tp t="s">
        <v>N.A.</v>
        <stp/>
        <stp>_Nifty 50</stp>
        <stp>OpenInterest</stp>
        <tr r="I13" s="1"/>
      </tp>
      <tp t="s">
        <v>N.A.</v>
        <stp/>
        <stp>NSE_HDFC-EQ</stp>
        <stp>Last</stp>
        <tr r="B78" s="1"/>
      </tp>
      <tp t="s">
        <v>N.A.</v>
        <stp/>
        <stp>NSE_MARUTI-EQ</stp>
        <stp>TradingSymbol</stp>
        <tr r="A94" s="1"/>
      </tp>
      <tp t="s">
        <v>N.A.</v>
        <stp/>
        <stp>NSE_KOTAKBANK-EQ</stp>
        <stp>Ask</stp>
        <tr r="E9" s="1"/>
        <tr r="E90" s="1"/>
      </tp>
      <tp t="s">
        <v>N.A.</v>
        <stp/>
        <stp>NSE_HINDUNILVR-EQ</stp>
        <stp>Bid</stp>
        <tr r="D83" s="1"/>
      </tp>
      <tp t="s">
        <v>N.A.</v>
        <stp/>
        <stp>NSE_ITC-EQ</stp>
        <stp>TradingSymbol</stp>
        <tr r="A89" s="1"/>
      </tp>
      <tp t="s">
        <v>N.A.</v>
        <stp/>
        <stp>NSE_BPCL-EQ</stp>
        <stp>Bid</stp>
        <tr r="D71" s="1"/>
      </tp>
      <tp t="s">
        <v>N.A.</v>
        <stp/>
        <stp>NSE_ZEEL-EQ</stp>
        <stp>Last</stp>
        <tr r="B110" s="1"/>
      </tp>
      <tp t="s">
        <v>N.A.</v>
        <stp/>
        <stp>NSE_VEDL-EQ</stp>
        <stp>Last</stp>
        <tr r="B107" s="1"/>
      </tp>
      <tp t="s">
        <v>N.A.</v>
        <stp/>
        <stp>NSE_LT-EQ</stp>
        <stp>Bid</stp>
        <tr r="D91" s="1"/>
      </tp>
      <tp t="s">
        <v>N.A.</v>
        <stp/>
        <stp>NSE_ZEEL-EQ</stp>
        <stp>lastTradeTime</stp>
        <tr r="L110" s="1"/>
      </tp>
      <tp t="s">
        <v>N.A.</v>
        <stp/>
        <stp>NFO_BANKNIFTY18NOVFUT</stp>
        <stp>TradingSymbol</stp>
        <tr r="A17" s="1"/>
      </tp>
      <tp t="s">
        <v>N.A.</v>
        <stp/>
        <stp>NSE_TATAMOTORS-EQ</stp>
        <stp>Bid</stp>
        <tr r="D101" s="1"/>
      </tp>
      <tp t="s">
        <v>N.A.</v>
        <stp/>
        <stp>NSE_BHARTIARTL-EQ</stp>
        <stp>Bid</stp>
        <tr r="D69" s="1"/>
      </tp>
      <tp t="s">
        <v>N.A.</v>
        <stp/>
        <stp>NSE_ADANIPORTS-EQ</stp>
        <stp>LTQ</stp>
        <tr r="G62" s="1"/>
      </tp>
      <tp t="s">
        <v>N.A.</v>
        <stp/>
        <stp>NSE_SBIN-EQ</stp>
        <stp>Last</stp>
        <tr r="B11" s="1"/>
        <tr r="B99" s="1"/>
      </tp>
      <tp t="s">
        <v>N.A.</v>
        <stp/>
        <stp>NSE_VEDL-EQ</stp>
        <stp>lastTradeTime</stp>
        <tr r="L107" s="1"/>
      </tp>
      <tp t="s">
        <v>N.A.</v>
        <stp/>
        <stp>NSE_POWERGRID-EQ</stp>
        <stp>Bid</stp>
        <tr r="D97" s="1"/>
      </tp>
      <tp t="s">
        <v>N.A.</v>
        <stp/>
        <stp>NSE_WIPRO-EQ</stp>
        <stp>OpenInterest</stp>
        <tr r="I108" s="1"/>
      </tp>
      <tp t="s">
        <v>N.A.</v>
        <stp/>
        <stp>NSE_GAIL-EQ</stp>
        <stp>Ask</stp>
        <tr r="E76" s="1"/>
      </tp>
      <tp t="s">
        <v>N.A.</v>
        <stp/>
        <stp>NSE_LUPIN-EQ</stp>
        <stp>OpenInterest</stp>
        <tr r="I92" s="1"/>
      </tp>
      <tp t="s">
        <v>N.A.</v>
        <stp/>
        <stp>NSE_CIPLA-EQ</stp>
        <stp>OpenInterest</stp>
        <tr r="I72" s="1"/>
      </tp>
      <tp t="s">
        <v>N.A.</v>
        <stp/>
        <stp>NSE_POWERGRID-EQ</stp>
        <stp>Ask</stp>
        <tr r="E97" s="1"/>
      </tp>
      <tp t="s">
        <v>N.A.</v>
        <stp/>
        <stp>NSE_PNB-EQ</stp>
        <stp>lastTradeTime</stp>
        <tr r="L10" s="1"/>
      </tp>
      <tp t="s">
        <v>N.A.</v>
        <stp/>
        <stp>NSE_ONGC-EQ</stp>
        <stp>lastTradeTime</stp>
        <tr r="L96" s="1"/>
      </tp>
      <tp t="s">
        <v>N.A.</v>
        <stp/>
        <stp>NSE_SUNPHARMA-EQ</stp>
        <stp>lastUpdateTime</stp>
        <tr r="M100" s="1"/>
      </tp>
      <tp t="s">
        <v>N.A.</v>
        <stp/>
        <stp>NSE_GAIL-EQ</stp>
        <stp>Bid</stp>
        <tr r="D76" s="1"/>
      </tp>
      <tp t="s">
        <v>N.A.</v>
        <stp/>
        <stp>NSE_INFY-EQ</stp>
        <stp>LTQ</stp>
        <tr r="G87" s="1"/>
      </tp>
      <tp t="s">
        <v>N.A.</v>
        <stp/>
        <stp>NSE_BOSCHLTD-EQ</stp>
        <stp>lastUpdateTime</stp>
        <tr r="M70" s="1"/>
      </tp>
      <tp t="s">
        <v>N.A.</v>
        <stp/>
        <stp>NSE_IOC-EQ</stp>
        <stp>lastTradeTime</stp>
        <tr r="L88" s="1"/>
      </tp>
      <tp t="s">
        <v>N.A.</v>
        <stp/>
        <stp>NSE_BHARTIARTL-EQ</stp>
        <stp>Ask</stp>
        <tr r="E69" s="1"/>
      </tp>
      <tp t="s">
        <v>N.A.</v>
        <stp/>
        <stp>NSE_INFY-EQ</stp>
        <stp>lastTradeTime</stp>
        <tr r="L87" s="1"/>
      </tp>
      <tp t="s">
        <v>N.A.</v>
        <stp/>
        <stp>NSE_TATAMOTORS-EQ</stp>
        <stp>Ask</stp>
        <tr r="E101" s="1"/>
      </tp>
      <tp t="s">
        <v>N.A.</v>
        <stp/>
        <stp>NSE_HCLTECH-EQ</stp>
        <stp>Last</stp>
        <tr r="B77" s="1"/>
      </tp>
      <tp t="s">
        <v>N.A.</v>
        <stp/>
        <stp>NSE_LT-EQ</stp>
        <stp>Ask</stp>
        <tr r="E91" s="1"/>
      </tp>
      <tp t="s">
        <v>N.A.</v>
        <stp/>
        <stp>NSE_HDFC-EQ</stp>
        <stp>lastTradeTime</stp>
        <tr r="L78" s="1"/>
      </tp>
      <tp t="s">
        <v>N.A.</v>
        <stp/>
        <stp>NSE_UPL-EQ</stp>
        <stp>TradingSymbol</stp>
        <tr r="A106" s="1"/>
      </tp>
      <tp t="s">
        <v>N.A.</v>
        <stp/>
        <stp>NSE_CANBK-EQ</stp>
        <stp>TradingSymbol</stp>
        <tr r="A4" s="1"/>
      </tp>
      <tp t="s">
        <v>N.A.</v>
        <stp/>
        <stp>NSE_SUNPHARMA-EQ</stp>
        <stp>Volume</stp>
        <tr r="H100" s="1"/>
      </tp>
      <tp t="s">
        <v>N.A.</v>
        <stp/>
        <stp>NSE_GAIL-EQ</stp>
        <stp>Last</stp>
        <tr r="B76" s="1"/>
      </tp>
      <tp t="s">
        <v>N.A.</v>
        <stp/>
        <stp>NSE_BOSCHLTD-EQ</stp>
        <stp>Volume</stp>
        <tr r="H70" s="1"/>
      </tp>
      <tp t="s">
        <v>N.A.</v>
        <stp/>
        <stp>NSE_HDFC-EQ</stp>
        <stp>LTQ</stp>
        <tr r="G78" s="1"/>
      </tp>
      <tp t="s">
        <v>N.A.</v>
        <stp/>
        <stp>NFO_BANKNIFTY18SEP25800CE</stp>
        <stp>lastTradeTime</stp>
        <tr r="L58" s="1"/>
      </tp>
      <tp t="s">
        <v>N.A.</v>
        <stp/>
        <stp>NFO_BANKNIFTY18SEP24800CE</stp>
        <stp>lastTradeTime</stp>
        <tr r="L40" s="1"/>
      </tp>
      <tp t="s">
        <v>N.A.</v>
        <stp/>
        <stp>NFO_BANKNIFTY18SEP24800PE</stp>
        <stp>lastTradeTime</stp>
        <tr r="L41" s="1"/>
      </tp>
      <tp t="s">
        <v>N.A.</v>
        <stp/>
        <stp>NSE_RELIANCE-EQ</stp>
        <stp>AskSize</stp>
        <tr r="F98" s="1"/>
      </tp>
      <tp t="s">
        <v>N.A.</v>
        <stp/>
        <stp>NFO_BANKNIFTY18SEP24900CE</stp>
        <stp>lastTradeTime</stp>
        <tr r="L42" s="1"/>
      </tp>
      <tp t="s">
        <v>N.A.</v>
        <stp/>
        <stp>NFO_BANKNIFTY18SEP24900PE</stp>
        <stp>lastTradeTime</stp>
        <tr r="L43" s="1"/>
      </tp>
      <tp t="s">
        <v>N.A.</v>
        <stp/>
        <stp>NSE_SBIN-EQ</stp>
        <stp>TotalBidQty</stp>
        <tr r="J11" s="1"/>
        <tr r="J99" s="1"/>
      </tp>
      <tp t="s">
        <v>N.A.</v>
        <stp/>
        <stp>NSE_SBIN-EQ</stp>
        <stp>TotalAskQty</stp>
        <tr r="K11" s="1"/>
        <tr r="K99" s="1"/>
      </tp>
      <tp t="s">
        <v>N.A.</v>
        <stp/>
        <stp>_India VIX</stp>
        <stp>lastTradeTime</stp>
        <tr r="L61" s="1"/>
      </tp>
      <tp t="s">
        <v>N.A.</v>
        <stp/>
        <stp>NFO_BANKNIFTY18SEP24700PE</stp>
        <stp>TotalBidQty</stp>
        <tr r="J39" s="1"/>
      </tp>
      <tp t="s">
        <v>N.A.</v>
        <stp/>
        <stp>NFO_BANKNIFTY18SEP24600PE</stp>
        <stp>TotalBidQty</stp>
        <tr r="J37" s="1"/>
      </tp>
      <tp t="s">
        <v>N.A.</v>
        <stp/>
        <stp>NFO_BANKNIFTY18SEP24900PE</stp>
        <stp>TotalBidQty</stp>
        <tr r="J43" s="1"/>
      </tp>
      <tp t="s">
        <v>N.A.</v>
        <stp/>
        <stp>NFO_BANKNIFTY18SEP24800PE</stp>
        <stp>TotalBidQty</stp>
        <tr r="J41" s="1"/>
      </tp>
      <tp t="s">
        <v>N.A.</v>
        <stp/>
        <stp>NFO_BANKNIFTY18SEP25700PE</stp>
        <stp>TotalBidQty</stp>
        <tr r="J59" s="1"/>
      </tp>
      <tp t="s">
        <v>N.A.</v>
        <stp/>
        <stp>NFO_BANKNIFTY18SEP25600PE</stp>
        <stp>TotalBidQty</stp>
        <tr r="J56" s="1"/>
      </tp>
      <tp t="s">
        <v>N.A.</v>
        <stp/>
        <stp>NFO_BANKNIFTY18SEP25500PE</stp>
        <stp>TotalBidQty</stp>
        <tr r="J55" s="1"/>
      </tp>
      <tp t="s">
        <v>N.A.</v>
        <stp/>
        <stp>NFO_BANKNIFTY18SEP25400PE</stp>
        <stp>TotalBidQty</stp>
        <tr r="J53" s="1"/>
      </tp>
      <tp t="s">
        <v>N.A.</v>
        <stp/>
        <stp>NFO_BANKNIFTY18SEP25300PE</stp>
        <stp>TotalBidQty</stp>
        <tr r="J51" s="1"/>
      </tp>
      <tp t="s">
        <v>N.A.</v>
        <stp/>
        <stp>NFO_BANKNIFTY18SEP25200PE</stp>
        <stp>TotalBidQty</stp>
        <tr r="J49" s="1"/>
      </tp>
      <tp t="s">
        <v>N.A.</v>
        <stp/>
        <stp>NFO_BANKNIFTY18SEP25100PE</stp>
        <stp>TotalBidQty</stp>
        <tr r="J47" s="1"/>
      </tp>
      <tp t="s">
        <v>N.A.</v>
        <stp/>
        <stp>NFO_BANKNIFTY18SEP25000PE</stp>
        <stp>TotalBidQty</stp>
        <tr r="J45" s="1"/>
      </tp>
      <tp t="s">
        <v>N.A.</v>
        <stp/>
        <stp>NFO_BANKNIFTY18SEP25500PE</stp>
        <stp>TotalAskQty</stp>
        <tr r="K55" s="1"/>
      </tp>
      <tp t="s">
        <v>N.A.</v>
        <stp/>
        <stp>NFO_BANKNIFTY18SEP25400PE</stp>
        <stp>TotalAskQty</stp>
        <tr r="K53" s="1"/>
      </tp>
      <tp t="s">
        <v>N.A.</v>
        <stp/>
        <stp>NFO_BANKNIFTY18SEP25700PE</stp>
        <stp>TotalAskQty</stp>
        <tr r="K59" s="1"/>
      </tp>
      <tp t="s">
        <v>N.A.</v>
        <stp/>
        <stp>NFO_BANKNIFTY18SEP25600PE</stp>
        <stp>TotalAskQty</stp>
        <tr r="K56" s="1"/>
      </tp>
      <tp t="s">
        <v>N.A.</v>
        <stp/>
        <stp>NFO_BANKNIFTY18SEP25100PE</stp>
        <stp>TotalAskQty</stp>
        <tr r="K47" s="1"/>
      </tp>
      <tp t="s">
        <v>N.A.</v>
        <stp/>
        <stp>NFO_BANKNIFTY18SEP25000PE</stp>
        <stp>TotalAskQty</stp>
        <tr r="K45" s="1"/>
      </tp>
      <tp t="s">
        <v>N.A.</v>
        <stp/>
        <stp>NFO_BANKNIFTY18SEP25300PE</stp>
        <stp>TotalAskQty</stp>
        <tr r="K51" s="1"/>
      </tp>
      <tp t="s">
        <v>N.A.</v>
        <stp/>
        <stp>NFO_BANKNIFTY18SEP25200PE</stp>
        <stp>TotalAskQty</stp>
        <tr r="K49" s="1"/>
      </tp>
      <tp t="s">
        <v>N.A.</v>
        <stp/>
        <stp>NFO_BANKNIFTY18SEP24900PE</stp>
        <stp>TotalAskQty</stp>
        <tr r="K43" s="1"/>
      </tp>
      <tp t="s">
        <v>N.A.</v>
        <stp/>
        <stp>NFO_BANKNIFTY18SEP24800PE</stp>
        <stp>TotalAskQty</stp>
        <tr r="K41" s="1"/>
      </tp>
      <tp t="s">
        <v>N.A.</v>
        <stp/>
        <stp>NFO_BANKNIFTY18SEP24700PE</stp>
        <stp>TotalAskQty</stp>
        <tr r="K39" s="1"/>
      </tp>
      <tp t="s">
        <v>N.A.</v>
        <stp/>
        <stp>NFO_BANKNIFTY18SEP24600PE</stp>
        <stp>TotalAskQty</stp>
        <tr r="K37" s="1"/>
      </tp>
      <tp t="s">
        <v>N.A.</v>
        <stp/>
        <stp>NFO_BANKNIFTY18SEP24900CE</stp>
        <stp>TotalAskQty</stp>
        <tr r="K42" s="1"/>
      </tp>
      <tp t="s">
        <v>N.A.</v>
        <stp/>
        <stp>NFO_BANKNIFTY18SEP24800CE</stp>
        <stp>TotalAskQty</stp>
        <tr r="K40" s="1"/>
      </tp>
      <tp t="s">
        <v>N.A.</v>
        <stp/>
        <stp>NFO_BANKNIFTY18SEP24700CE</stp>
        <stp>TotalAskQty</stp>
        <tr r="K38" s="1"/>
      </tp>
      <tp t="s">
        <v>N.A.</v>
        <stp/>
        <stp>NFO_BANKNIFTY18SEP24600CE</stp>
        <stp>TotalAskQty</stp>
        <tr r="K36" s="1"/>
      </tp>
      <tp t="s">
        <v>N.A.</v>
        <stp/>
        <stp>NFO_BANKNIFTY18SEP25800CE</stp>
        <stp>TotalAskQty</stp>
        <tr r="K58" s="1"/>
      </tp>
      <tp t="s">
        <v>N.A.</v>
        <stp/>
        <stp>NFO_BANKNIFTY18SEP25500CE</stp>
        <stp>TotalAskQty</stp>
        <tr r="K54" s="1"/>
      </tp>
      <tp t="s">
        <v>N.A.</v>
        <stp/>
        <stp>NFO_BANKNIFTY18SEP25400CE</stp>
        <stp>TotalAskQty</stp>
        <tr r="K52" s="1"/>
      </tp>
      <tp t="s">
        <v>N.A.</v>
        <stp/>
        <stp>NFO_BANKNIFTY18SEP25700CE</stp>
        <stp>TotalAskQty</stp>
        <tr r="K57" s="1"/>
      </tp>
      <tp t="s">
        <v>N.A.</v>
        <stp/>
        <stp>NFO_BANKNIFTY18SEP25600CE</stp>
        <stp>TotalAskQty</stp>
        <tr r="K60" s="1"/>
      </tp>
      <tp t="s">
        <v>N.A.</v>
        <stp/>
        <stp>NFO_BANKNIFTY18SEP25100CE</stp>
        <stp>TotalAskQty</stp>
        <tr r="K46" s="1"/>
      </tp>
      <tp t="s">
        <v>N.A.</v>
        <stp/>
        <stp>NFO_BANKNIFTY18SEP25000CE</stp>
        <stp>TotalAskQty</stp>
        <tr r="K44" s="1"/>
      </tp>
      <tp t="s">
        <v>N.A.</v>
        <stp/>
        <stp>NFO_BANKNIFTY18SEP25300CE</stp>
        <stp>TotalAskQty</stp>
        <tr r="K50" s="1"/>
      </tp>
      <tp t="s">
        <v>N.A.</v>
        <stp/>
        <stp>NFO_BANKNIFTY18SEP25200CE</stp>
        <stp>TotalAskQty</stp>
        <tr r="K48" s="1"/>
      </tp>
      <tp t="s">
        <v>N.A.</v>
        <stp/>
        <stp>NFO_BANKNIFTY18SEP25700CE</stp>
        <stp>TotalBidQty</stp>
        <tr r="J57" s="1"/>
      </tp>
      <tp t="s">
        <v>N.A.</v>
        <stp/>
        <stp>NFO_BANKNIFTY18SEP25600CE</stp>
        <stp>TotalBidQty</stp>
        <tr r="J60" s="1"/>
      </tp>
      <tp t="s">
        <v>N.A.</v>
        <stp/>
        <stp>NFO_BANKNIFTY18SEP25500CE</stp>
        <stp>TotalBidQty</stp>
        <tr r="J54" s="1"/>
      </tp>
      <tp t="s">
        <v>N.A.</v>
        <stp/>
        <stp>NFO_BANKNIFTY18SEP25400CE</stp>
        <stp>TotalBidQty</stp>
        <tr r="J52" s="1"/>
      </tp>
      <tp t="s">
        <v>N.A.</v>
        <stp/>
        <stp>NFO_BANKNIFTY18SEP25300CE</stp>
        <stp>TotalBidQty</stp>
        <tr r="J50" s="1"/>
      </tp>
      <tp t="s">
        <v>N.A.</v>
        <stp/>
        <stp>NFO_BANKNIFTY18SEP25200CE</stp>
        <stp>TotalBidQty</stp>
        <tr r="J48" s="1"/>
      </tp>
      <tp t="s">
        <v>N.A.</v>
        <stp/>
        <stp>NFO_BANKNIFTY18SEP25100CE</stp>
        <stp>TotalBidQty</stp>
        <tr r="J46" s="1"/>
      </tp>
      <tp t="s">
        <v>N.A.</v>
        <stp/>
        <stp>NFO_BANKNIFTY18SEP25000CE</stp>
        <stp>TotalBidQty</stp>
        <tr r="J44" s="1"/>
      </tp>
      <tp t="s">
        <v>N.A.</v>
        <stp/>
        <stp>NFO_BANKNIFTY18SEP25800CE</stp>
        <stp>TotalBidQty</stp>
        <tr r="J58" s="1"/>
      </tp>
      <tp t="s">
        <v>N.A.</v>
        <stp/>
        <stp>NFO_BANKNIFTY18SEP24700CE</stp>
        <stp>TotalBidQty</stp>
        <tr r="J38" s="1"/>
      </tp>
      <tp t="s">
        <v>N.A.</v>
        <stp/>
        <stp>NFO_BANKNIFTY18SEP24600CE</stp>
        <stp>TotalBidQty</stp>
        <tr r="J36" s="1"/>
      </tp>
      <tp t="s">
        <v>N.A.</v>
        <stp/>
        <stp>NFO_BANKNIFTY18SEP24900CE</stp>
        <stp>TotalBidQty</stp>
        <tr r="J42" s="1"/>
      </tp>
      <tp t="s">
        <v>N.A.</v>
        <stp/>
        <stp>NFO_BANKNIFTY18SEP24800CE</stp>
        <stp>TotalBidQty</stp>
        <tr r="J40" s="1"/>
      </tp>
      <tp t="s">
        <v>N.A.</v>
        <stp/>
        <stp>NSE_RELIANCE-EQ</stp>
        <stp>BidSize</stp>
        <tr r="C98" s="1"/>
      </tp>
      <tp t="s">
        <v>N.A.</v>
        <stp/>
        <stp>NFO_BANKNIFTY18NOVFUT</stp>
        <stp>BidSize</stp>
        <tr r="C17" s="1"/>
      </tp>
      <tp t="s">
        <v>N.A.</v>
        <stp/>
        <stp>NFO_BANKNIFTY18OCTFUT</stp>
        <stp>BidSize</stp>
        <tr r="C16" s="1"/>
      </tp>
      <tp t="s">
        <v>N.A.</v>
        <stp/>
        <stp>NSE_MARUTI-EQ</stp>
        <stp>AskSize</stp>
        <tr r="F94" s="1"/>
      </tp>
      <tp t="s">
        <v>N.A.</v>
        <stp/>
        <stp>NSE_AUROPHARMA-EQ</stp>
        <stp>TotalBidQty</stp>
        <tr r="J65" s="1"/>
      </tp>
      <tp t="s">
        <v>N.A.</v>
        <stp/>
        <stp>NSE_AUROPHARMA-EQ</stp>
        <stp>TotalAskQty</stp>
        <tr r="K65" s="1"/>
      </tp>
      <tp t="s">
        <v>N.A.</v>
        <stp/>
        <stp>NFO_BANKNIFTY18SEPFUT</stp>
        <stp>BidSize</stp>
        <tr r="C15" s="1"/>
      </tp>
      <tp t="s">
        <v>N.A.</v>
        <stp/>
        <stp>NSE_VEDL-EQ</stp>
        <stp>TotalAskQty</stp>
        <tr r="K107" s="1"/>
      </tp>
      <tp t="s">
        <v>N.A.</v>
        <stp/>
        <stp>NSE_VEDL-EQ</stp>
        <stp>TotalBidQty</stp>
        <tr r="J107" s="1"/>
      </tp>
      <tp t="s">
        <v>N.A.</v>
        <stp/>
        <stp>NSE_IBULHSGFIN-EQ</stp>
        <stp>TotalAskQty</stp>
        <tr r="K84" s="1"/>
      </tp>
      <tp t="s">
        <v>N.A.</v>
        <stp/>
        <stp>NSE_EICHERMOT-EQ</stp>
        <stp>TotalBidQty</stp>
        <tr r="J75" s="1"/>
      </tp>
      <tp t="s">
        <v>N.A.</v>
        <stp/>
        <stp>NSE_EICHERMOT-EQ</stp>
        <stp>TotalAskQty</stp>
        <tr r="K75" s="1"/>
      </tp>
      <tp t="s">
        <v>N.A.</v>
        <stp/>
        <stp>NSE_IBULHSGFIN-EQ</stp>
        <stp>TotalBidQty</stp>
        <tr r="J84" s="1"/>
      </tp>
      <tp t="s">
        <v>N.A.</v>
        <stp/>
        <stp>NSE_ULTRACEMCO-EQ</stp>
        <stp>TotalAskQty</stp>
        <tr r="K105" s="1"/>
      </tp>
      <tp t="s">
        <v>N.A.</v>
        <stp/>
        <stp>NSE_ULTRACEMCO-EQ</stp>
        <stp>TotalBidQty</stp>
        <tr r="J105" s="1"/>
      </tp>
      <tp t="s">
        <v>N.A.</v>
        <stp/>
        <stp>NFO_BANKNIFTY18SEP25000CE</stp>
        <stp>Last</stp>
        <tr r="B44" s="1"/>
      </tp>
      <tp t="s">
        <v>N.A.</v>
        <stp/>
        <stp>NFO_BANKNIFTY18SEP25100CE</stp>
        <stp>Last</stp>
        <tr r="B46" s="1"/>
      </tp>
      <tp t="s">
        <v>N.A.</v>
        <stp/>
        <stp>NFO_BANKNIFTY18SEP25200CE</stp>
        <stp>Last</stp>
        <tr r="B48" s="1"/>
      </tp>
      <tp t="s">
        <v>N.A.</v>
        <stp/>
        <stp>NFO_BANKNIFTY18SEP25300CE</stp>
        <stp>Last</stp>
        <tr r="B50" s="1"/>
      </tp>
      <tp t="s">
        <v>N.A.</v>
        <stp/>
        <stp>NFO_BANKNIFTY18SEP25400CE</stp>
        <stp>Last</stp>
        <tr r="B52" s="1"/>
      </tp>
      <tp t="s">
        <v>N.A.</v>
        <stp/>
        <stp>NFO_BANKNIFTY18SEP25500CE</stp>
        <stp>Last</stp>
        <tr r="B54" s="1"/>
      </tp>
      <tp t="s">
        <v>N.A.</v>
        <stp/>
        <stp>NFO_BANKNIFTY18SEP25600CE</stp>
        <stp>Last</stp>
        <tr r="B60" s="1"/>
      </tp>
      <tp t="s">
        <v>N.A.</v>
        <stp/>
        <stp>NFO_BANKNIFTY18SEP25700CE</stp>
        <stp>Last</stp>
        <tr r="B57" s="1"/>
      </tp>
      <tp t="s">
        <v>N.A.</v>
        <stp/>
        <stp>NFO_BANKNIFTY18SEP25800CE</stp>
        <stp>Last</stp>
        <tr r="B58" s="1"/>
      </tp>
      <tp t="s">
        <v>N.A.</v>
        <stp/>
        <stp>NFO_BANKNIFTY18SEPFUT</stp>
        <stp>AskSize</stp>
        <tr r="F15" s="1"/>
      </tp>
      <tp t="s">
        <v>N.A.</v>
        <stp/>
        <stp>NSE_MARUTI-EQ</stp>
        <stp>BidSize</stp>
        <tr r="C94" s="1"/>
      </tp>
      <tp t="s">
        <v>N.A.</v>
        <stp/>
        <stp>NFO_BANKNIFTY18NOVFUT</stp>
        <stp>AskSize</stp>
        <tr r="F17" s="1"/>
      </tp>
      <tp t="s">
        <v>N.A.</v>
        <stp/>
        <stp>NFO_BANKNIFTY18OCTFUT</stp>
        <stp>AskSize</stp>
        <tr r="F16" s="1"/>
      </tp>
      <tp t="s">
        <v>N.A.</v>
        <stp/>
        <stp>NFO_BANKNIFTY18SEP24600CE</stp>
        <stp>Last</stp>
        <tr r="B36" s="1"/>
      </tp>
      <tp t="s">
        <v>N.A.</v>
        <stp/>
        <stp>NFO_BANKNIFTY18SEP24700CE</stp>
        <stp>Last</stp>
        <tr r="B38" s="1"/>
      </tp>
      <tp t="s">
        <v>N.A.</v>
        <stp/>
        <stp>NFO_BANKNIFTY18SEP24800CE</stp>
        <stp>Last</stp>
        <tr r="B40" s="1"/>
      </tp>
      <tp t="s">
        <v>N.A.</v>
        <stp/>
        <stp>NFO_BANKNIFTY18SEP24900CE</stp>
        <stp>Last</stp>
        <tr r="B42" s="1"/>
      </tp>
      <tp t="s">
        <v>N.A.</v>
        <stp/>
        <stp>NFO_BANKNIFTY18SEP25000CE</stp>
        <stp>lastTradeTime</stp>
        <tr r="L44" s="1"/>
      </tp>
      <tp t="s">
        <v>N.A.</v>
        <stp/>
        <stp>NFO_BANKNIFTY18SEP25000PE</stp>
        <stp>lastTradeTime</stp>
        <tr r="L45" s="1"/>
      </tp>
      <tp t="s">
        <v>N.A.</v>
        <stp/>
        <stp>_India VIX</stp>
        <stp>BidSize</stp>
        <tr r="C61" s="1"/>
      </tp>
      <tp t="s">
        <v>N.A.</v>
        <stp/>
        <stp>NSE_ZEEL-EQ</stp>
        <stp>TotalAskQty</stp>
        <tr r="K110" s="1"/>
      </tp>
      <tp t="s">
        <v>N.A.</v>
        <stp/>
        <stp>NSE_ZEEL-EQ</stp>
        <stp>TotalBidQty</stp>
        <tr r="J110" s="1"/>
      </tp>
      <tp t="s">
        <v>N.A.</v>
        <stp/>
        <stp>NFO_BANKNIFTY18SEP25100CE</stp>
        <stp>lastTradeTime</stp>
        <tr r="L46" s="1"/>
      </tp>
      <tp t="s">
        <v>N.A.</v>
        <stp/>
        <stp>NFO_BANKNIFTY18SEP25100PE</stp>
        <stp>lastTradeTime</stp>
        <tr r="L47" s="1"/>
      </tp>
      <tp t="s">
        <v>N.A.</v>
        <stp/>
        <stp>NSE_DRREDDY-EQ</stp>
        <stp>BidSize</stp>
        <tr r="C74" s="1"/>
      </tp>
      <tp t="s">
        <v>N.A.</v>
        <stp/>
        <stp>NSE_LUPIN-EQ</stp>
        <stp>BidSize</stp>
        <tr r="C92" s="1"/>
      </tp>
      <tp t="s">
        <v>N.A.</v>
        <stp/>
        <stp>NFO_BANKNIFTY18SEP25200CE</stp>
        <stp>lastTradeTime</stp>
        <tr r="L48" s="1"/>
      </tp>
      <tp t="s">
        <v>N.A.</v>
        <stp/>
        <stp>NFO_BANKNIFTY18SEP25200PE</stp>
        <stp>lastTradeTime</stp>
        <tr r="L49" s="1"/>
      </tp>
      <tp t="s">
        <v>N.A.</v>
        <stp/>
        <stp>NSE_ITC-EQ</stp>
        <stp>TotalAskQty</stp>
        <tr r="K89" s="1"/>
      </tp>
      <tp t="s">
        <v>N.A.</v>
        <stp/>
        <stp>NSE_IOC-EQ</stp>
        <stp>TotalAskQty</stp>
        <tr r="K88" s="1"/>
      </tp>
      <tp t="s">
        <v>N.A.</v>
        <stp/>
        <stp>NSE_IOC-EQ</stp>
        <stp>TotalBidQty</stp>
        <tr r="J88" s="1"/>
      </tp>
      <tp t="s">
        <v>N.A.</v>
        <stp/>
        <stp>NSE_ITC-EQ</stp>
        <stp>TotalBidQty</stp>
        <tr r="J89" s="1"/>
      </tp>
      <tp t="s">
        <v>N.A.</v>
        <stp/>
        <stp>NSE_M&amp;M-EQ</stp>
        <stp>TotalAskQty</stp>
        <tr r="K93" s="1"/>
      </tp>
      <tp t="s">
        <v>N.A.</v>
        <stp/>
        <stp>NSE_M&amp;M-EQ</stp>
        <stp>TotalBidQty</stp>
        <tr r="J93" s="1"/>
      </tp>
      <tp t="s">
        <v>N.A.</v>
        <stp/>
        <stp>NSE_BAJAJ-AUTO-EQ</stp>
        <stp>Volume</stp>
        <tr r="H67" s="1"/>
      </tp>
      <tp t="s">
        <v>N.A.</v>
        <stp/>
        <stp>NSE_LUPIN-EQ</stp>
        <stp>AskSize</stp>
        <tr r="F92" s="1"/>
      </tp>
      <tp t="s">
        <v>N.A.</v>
        <stp/>
        <stp>NSE_SUNPHARMA-EQ</stp>
        <stp>TotalAskQty</stp>
        <tr r="K100" s="1"/>
      </tp>
      <tp t="s">
        <v>N.A.</v>
        <stp/>
        <stp>NSE_SUNPHARMA-EQ</stp>
        <stp>TotalBidQty</stp>
        <tr r="J100" s="1"/>
      </tp>
      <tp t="s">
        <v>N.A.</v>
        <stp/>
        <stp>NSE_PNB-EQ</stp>
        <stp>TotalAskQty</stp>
        <tr r="K10" s="1"/>
      </tp>
      <tp t="s">
        <v>N.A.</v>
        <stp/>
        <stp>NSE_PNB-EQ</stp>
        <stp>TotalBidQty</stp>
        <tr r="J10" s="1"/>
      </tp>
      <tp t="s">
        <v>N.A.</v>
        <stp/>
        <stp>NSE_DRREDDY-EQ</stp>
        <stp>AskSize</stp>
        <tr r="F74" s="1"/>
      </tp>
      <tp t="s">
        <v>N.A.</v>
        <stp/>
        <stp>NSE_UPL-EQ</stp>
        <stp>TotalAskQty</stp>
        <tr r="K106" s="1"/>
      </tp>
      <tp t="s">
        <v>N.A.</v>
        <stp/>
        <stp>NSE_TCS-EQ</stp>
        <stp>TotalAskQty</stp>
        <tr r="K103" s="1"/>
      </tp>
      <tp t="s">
        <v>N.A.</v>
        <stp/>
        <stp>NSE_TCS-EQ</stp>
        <stp>TotalBidQty</stp>
        <tr r="J103" s="1"/>
      </tp>
      <tp t="s">
        <v>N.A.</v>
        <stp/>
        <stp>NSE_UPL-EQ</stp>
        <stp>TotalBidQty</stp>
        <tr r="J106" s="1"/>
      </tp>
      <tp t="s">
        <v>N.A.</v>
        <stp/>
        <stp>NFO_BANKNIFTY18SEP25300CE</stp>
        <stp>lastTradeTime</stp>
        <tr r="L50" s="1"/>
      </tp>
      <tp t="s">
        <v>N.A.</v>
        <stp/>
        <stp>NFO_BANKNIFTY18SEP25300PE</stp>
        <stp>lastTradeTime</stp>
        <tr r="L51" s="1"/>
      </tp>
      <tp t="s">
        <v>N.A.</v>
        <stp/>
        <stp>NSE_BANKBARODA-EQ</stp>
        <stp>TotalBidQty</stp>
        <tr r="J3" s="1"/>
      </tp>
      <tp t="s">
        <v>N.A.</v>
        <stp/>
        <stp>NSE_BANKBARODA-EQ</stp>
        <stp>TotalAskQty</stp>
        <tr r="K3" s="1"/>
      </tp>
      <tp t="s">
        <v>N.A.</v>
        <stp/>
        <stp>NSE_BAJAJ-AUTO-EQ</stp>
        <stp>lastUpdateTime</stp>
        <tr r="M67" s="1"/>
      </tp>
      <tp t="s">
        <v>N.A.</v>
        <stp/>
        <stp>NSE_TATASTEEL-EQ</stp>
        <stp>TotalAskQty</stp>
        <tr r="K102" s="1"/>
      </tp>
      <tp t="s">
        <v>N.A.</v>
        <stp/>
        <stp>NSE_TATASTEEL-EQ</stp>
        <stp>TotalBidQty</stp>
        <tr r="J102" s="1"/>
      </tp>
      <tp t="s">
        <v>N.A.</v>
        <stp/>
        <stp>_India VIX</stp>
        <stp>AskSize</stp>
        <tr r="F61" s="1"/>
      </tp>
      <tp t="s">
        <v>N.A.</v>
        <stp/>
        <stp>NFO_BANKNIFTY18SEP25400CE</stp>
        <stp>lastTradeTime</stp>
        <tr r="L52" s="1"/>
      </tp>
      <tp t="s">
        <v>N.A.</v>
        <stp/>
        <stp>NFO_BANKNIFTY18SEP25400PE</stp>
        <stp>lastTradeTime</stp>
        <tr r="L53" s="1"/>
      </tp>
      <tp t="s">
        <v>N.A.</v>
        <stp/>
        <stp>NFO_BANKNIFTY18SEP25500CE</stp>
        <stp>lastTradeTime</stp>
        <tr r="L54" s="1"/>
      </tp>
      <tp t="s">
        <v>N.A.</v>
        <stp/>
        <stp>NFO_BANKNIFTY18SEP25500PE</stp>
        <stp>lastTradeTime</stp>
        <tr r="L55" s="1"/>
      </tp>
      <tp t="s">
        <v>N.A.</v>
        <stp/>
        <stp>NSE_YESBANK-EQ</stp>
        <stp>AskSize</stp>
        <tr r="F12" s="1"/>
        <tr r="F109" s="1"/>
      </tp>
      <tp t="s">
        <v>N.A.</v>
        <stp/>
        <stp>NFO_NIFTY18SEP11000PE</stp>
        <stp>BidSize</stp>
        <tr r="C23" s="1"/>
      </tp>
      <tp t="s">
        <v>N.A.</v>
        <stp/>
        <stp>NFO_NIFTY18SEP11050PE</stp>
        <stp>BidSize</stp>
        <tr r="C25" s="1"/>
      </tp>
      <tp t="s">
        <v>N.A.</v>
        <stp/>
        <stp>NFO_NIFTY18SEP11100PE</stp>
        <stp>BidSize</stp>
        <tr r="C27" s="1"/>
      </tp>
      <tp t="s">
        <v>N.A.</v>
        <stp/>
        <stp>NFO_NIFTY18SEP11150PE</stp>
        <stp>BidSize</stp>
        <tr r="C34" s="1"/>
      </tp>
      <tp t="s">
        <v>N.A.</v>
        <stp/>
        <stp>NFO_NIFTY18SEP11200PE</stp>
        <stp>BidSize</stp>
        <tr r="C29" s="1"/>
      </tp>
      <tp t="s">
        <v>N.A.</v>
        <stp/>
        <stp>NFO_NIFTY18SEP11250PE</stp>
        <stp>BidSize</stp>
        <tr r="C31" s="1"/>
      </tp>
      <tp t="s">
        <v>N.A.</v>
        <stp/>
        <stp>NFO_NIFTY18SEP11300PE</stp>
        <stp>BidSize</stp>
        <tr r="C33" s="1"/>
      </tp>
      <tp t="s">
        <v>N.A.</v>
        <stp/>
        <stp>NFO_NIFTY18SEP10900PE</stp>
        <stp>BidSize</stp>
        <tr r="C19" s="1"/>
      </tp>
      <tp t="s">
        <v>N.A.</v>
        <stp/>
        <stp>NFO_NIFTY18SEP10950PE</stp>
        <stp>BidSize</stp>
        <tr r="C21" s="1"/>
      </tp>
      <tp t="s">
        <v>N.A.</v>
        <stp/>
        <stp>NFO_NIFTY18SEP10900CE</stp>
        <stp>BidSize</stp>
        <tr r="C18" s="1"/>
      </tp>
      <tp t="s">
        <v>N.A.</v>
        <stp/>
        <stp>NFO_NIFTY18SEP10950CE</stp>
        <stp>BidSize</stp>
        <tr r="C20" s="1"/>
      </tp>
      <tp t="s">
        <v>N.A.</v>
        <stp/>
        <stp>NFO_NIFTY18SEP11000CE</stp>
        <stp>BidSize</stp>
        <tr r="C22" s="1"/>
      </tp>
      <tp t="s">
        <v>N.A.</v>
        <stp/>
        <stp>NFO_NIFTY18SEP11050CE</stp>
        <stp>BidSize</stp>
        <tr r="C24" s="1"/>
      </tp>
      <tp t="s">
        <v>N.A.</v>
        <stp/>
        <stp>NFO_NIFTY18SEP11100CE</stp>
        <stp>BidSize</stp>
        <tr r="C26" s="1"/>
      </tp>
      <tp t="s">
        <v>N.A.</v>
        <stp/>
        <stp>NFO_NIFTY18SEP11150CE</stp>
        <stp>BidSize</stp>
        <tr r="C35" s="1"/>
      </tp>
      <tp t="s">
        <v>N.A.</v>
        <stp/>
        <stp>NFO_NIFTY18SEP11200CE</stp>
        <stp>BidSize</stp>
        <tr r="C28" s="1"/>
      </tp>
      <tp t="s">
        <v>N.A.</v>
        <stp/>
        <stp>NFO_NIFTY18SEP11250CE</stp>
        <stp>BidSize</stp>
        <tr r="C30" s="1"/>
      </tp>
      <tp t="s">
        <v>N.A.</v>
        <stp/>
        <stp>NFO_NIFTY18SEP11300CE</stp>
        <stp>BidSize</stp>
        <tr r="C32" s="1"/>
      </tp>
      <tp t="s">
        <v>N.A.</v>
        <stp/>
        <stp>NFO_BANKNIFTY18SEP25600CE</stp>
        <stp>lastTradeTime</stp>
        <tr r="L60" s="1"/>
      </tp>
      <tp t="s">
        <v>N.A.</v>
        <stp/>
        <stp>NFO_BANKNIFTY18SEP24600CE</stp>
        <stp>lastTradeTime</stp>
        <tr r="L36" s="1"/>
      </tp>
      <tp t="s">
        <v>N.A.</v>
        <stp/>
        <stp>NFO_BANKNIFTY18SEP24600PE</stp>
        <stp>lastTradeTime</stp>
        <tr r="L37" s="1"/>
      </tp>
      <tp t="s">
        <v>N.A.</v>
        <stp/>
        <stp>NFO_BANKNIFTY18SEP25600PE</stp>
        <stp>lastTradeTime</stp>
        <tr r="L56" s="1"/>
      </tp>
      <tp t="s">
        <v>N.A.</v>
        <stp/>
        <stp>NSE_YESBANK-EQ</stp>
        <stp>BidSize</stp>
        <tr r="C12" s="1"/>
        <tr r="C109" s="1"/>
      </tp>
      <tp t="s">
        <v>N.A.</v>
        <stp/>
        <stp>NFO_NIFTY18SEP10900CE</stp>
        <stp>AskSize</stp>
        <tr r="F18" s="1"/>
      </tp>
      <tp t="s">
        <v>N.A.</v>
        <stp/>
        <stp>NFO_NIFTY18SEP10950CE</stp>
        <stp>AskSize</stp>
        <tr r="F20" s="1"/>
      </tp>
      <tp t="s">
        <v>N.A.</v>
        <stp/>
        <stp>NFO_NIFTY18SEP11300CE</stp>
        <stp>AskSize</stp>
        <tr r="F32" s="1"/>
      </tp>
      <tp t="s">
        <v>N.A.</v>
        <stp/>
        <stp>NFO_NIFTY18SEP11200CE</stp>
        <stp>AskSize</stp>
        <tr r="F28" s="1"/>
      </tp>
      <tp t="s">
        <v>N.A.</v>
        <stp/>
        <stp>NFO_NIFTY18SEP11250CE</stp>
        <stp>AskSize</stp>
        <tr r="F30" s="1"/>
      </tp>
      <tp t="s">
        <v>N.A.</v>
        <stp/>
        <stp>NFO_NIFTY18SEP11100CE</stp>
        <stp>AskSize</stp>
        <tr r="F26" s="1"/>
      </tp>
      <tp t="s">
        <v>N.A.</v>
        <stp/>
        <stp>NFO_NIFTY18SEP11150CE</stp>
        <stp>AskSize</stp>
        <tr r="F35" s="1"/>
      </tp>
      <tp t="s">
        <v>N.A.</v>
        <stp/>
        <stp>NFO_NIFTY18SEP11000CE</stp>
        <stp>AskSize</stp>
        <tr r="F22" s="1"/>
      </tp>
      <tp t="s">
        <v>N.A.</v>
        <stp/>
        <stp>NFO_NIFTY18SEP11050CE</stp>
        <stp>AskSize</stp>
        <tr r="F24" s="1"/>
      </tp>
      <tp t="s">
        <v>N.A.</v>
        <stp/>
        <stp>NFO_NIFTY18SEP11300PE</stp>
        <stp>AskSize</stp>
        <tr r="F33" s="1"/>
      </tp>
      <tp t="s">
        <v>N.A.</v>
        <stp/>
        <stp>NFO_NIFTY18SEP11200PE</stp>
        <stp>AskSize</stp>
        <tr r="F29" s="1"/>
      </tp>
      <tp t="s">
        <v>N.A.</v>
        <stp/>
        <stp>NFO_NIFTY18SEP11250PE</stp>
        <stp>AskSize</stp>
        <tr r="F31" s="1"/>
      </tp>
      <tp t="s">
        <v>N.A.</v>
        <stp/>
        <stp>NFO_NIFTY18SEP11100PE</stp>
        <stp>AskSize</stp>
        <tr r="F27" s="1"/>
      </tp>
      <tp t="s">
        <v>N.A.</v>
        <stp/>
        <stp>NFO_NIFTY18SEP11150PE</stp>
        <stp>AskSize</stp>
        <tr r="F34" s="1"/>
      </tp>
      <tp t="s">
        <v>N.A.</v>
        <stp/>
        <stp>NFO_NIFTY18SEP11000PE</stp>
        <stp>AskSize</stp>
        <tr r="F23" s="1"/>
      </tp>
      <tp t="s">
        <v>N.A.</v>
        <stp/>
        <stp>NFO_NIFTY18SEP11050PE</stp>
        <stp>AskSize</stp>
        <tr r="F25" s="1"/>
      </tp>
      <tp t="s">
        <v>N.A.</v>
        <stp/>
        <stp>NFO_NIFTY18SEP10900PE</stp>
        <stp>AskSize</stp>
        <tr r="F19" s="1"/>
      </tp>
      <tp t="s">
        <v>N.A.</v>
        <stp/>
        <stp>NFO_NIFTY18SEP10950PE</stp>
        <stp>AskSize</stp>
        <tr r="F21" s="1"/>
      </tp>
      <tp t="s">
        <v>N.A.</v>
        <stp/>
        <stp>NFO_BANKNIFTY18SEP24700PE</stp>
        <stp>OpenInterest</stp>
        <tr r="I39" s="1"/>
      </tp>
      <tp t="s">
        <v>N.A.</v>
        <stp/>
        <stp>NFO_BANKNIFTY18SEP24600PE</stp>
        <stp>OpenInterest</stp>
        <tr r="I37" s="1"/>
      </tp>
      <tp t="s">
        <v>N.A.</v>
        <stp/>
        <stp>NFO_BANKNIFTY18SEP24900PE</stp>
        <stp>OpenInterest</stp>
        <tr r="I43" s="1"/>
      </tp>
      <tp t="s">
        <v>N.A.</v>
        <stp/>
        <stp>NFO_BANKNIFTY18SEP24800PE</stp>
        <stp>OpenInterest</stp>
        <tr r="I41" s="1"/>
      </tp>
      <tp t="s">
        <v>N.A.</v>
        <stp/>
        <stp>NFO_BANKNIFTY18SEP25700CE</stp>
        <stp>lastTradeTime</stp>
        <tr r="L57" s="1"/>
      </tp>
      <tp t="s">
        <v>N.A.</v>
        <stp/>
        <stp>NFO_BANKNIFTY18SEP24700CE</stp>
        <stp>lastTradeTime</stp>
        <tr r="L38" s="1"/>
      </tp>
      <tp t="s">
        <v>N.A.</v>
        <stp/>
        <stp>NFO_BANKNIFTY18SEP24700PE</stp>
        <stp>lastTradeTime</stp>
        <tr r="L39" s="1"/>
      </tp>
      <tp t="s">
        <v>N.A.</v>
        <stp/>
        <stp>NFO_BANKNIFTY18SEP25700PE</stp>
        <stp>lastTradeTime</stp>
        <tr r="L59" s="1"/>
      </tp>
      <tp t="s">
        <v>N.A.</v>
        <stp/>
        <stp>NFO_BANKNIFTY18SEP25100PE</stp>
        <stp>OpenInterest</stp>
        <tr r="I47" s="1"/>
      </tp>
      <tp t="s">
        <v>N.A.</v>
        <stp/>
        <stp>NFO_BANKNIFTY18SEP25000PE</stp>
        <stp>OpenInterest</stp>
        <tr r="I45" s="1"/>
      </tp>
      <tp t="s">
        <v>N.A.</v>
        <stp/>
        <stp>NFO_BANKNIFTY18SEP25300PE</stp>
        <stp>OpenInterest</stp>
        <tr r="I51" s="1"/>
      </tp>
      <tp t="s">
        <v>N.A.</v>
        <stp/>
        <stp>NFO_BANKNIFTY18SEP25200PE</stp>
        <stp>OpenInterest</stp>
        <tr r="I49" s="1"/>
      </tp>
      <tp t="s">
        <v>N.A.</v>
        <stp/>
        <stp>NFO_BANKNIFTY18SEP25500PE</stp>
        <stp>OpenInterest</stp>
        <tr r="I55" s="1"/>
      </tp>
      <tp t="s">
        <v>N.A.</v>
        <stp/>
        <stp>NFO_BANKNIFTY18SEP25400PE</stp>
        <stp>OpenInterest</stp>
        <tr r="I53" s="1"/>
      </tp>
      <tp t="s">
        <v>N.A.</v>
        <stp/>
        <stp>NFO_BANKNIFTY18SEP25700PE</stp>
        <stp>OpenInterest</stp>
        <tr r="I59" s="1"/>
      </tp>
      <tp t="s">
        <v>N.A.</v>
        <stp/>
        <stp>NFO_BANKNIFTY18SEP25600PE</stp>
        <stp>OpenInterest</stp>
        <tr r="I56" s="1"/>
      </tp>
      <tp t="s">
        <v>N.A.</v>
        <stp/>
        <stp>NSE_HINDUNILVR-EQ</stp>
        <stp>TotalBidQty</stp>
        <tr r="J83" s="1"/>
      </tp>
      <tp t="s">
        <v>N.A.</v>
        <stp/>
        <stp>NSE_HINDUNILVR-EQ</stp>
        <stp>TotalAskQty</stp>
        <tr r="K83" s="1"/>
      </tp>
      <tp t="s">
        <v>N.A.</v>
        <stp/>
        <stp>NFO_BANKNIFTY18SEP24700PE</stp>
        <stp>TradingSymbol</stp>
        <tr r="A39" s="1"/>
      </tp>
      <tp t="s">
        <v>N.A.</v>
        <stp/>
        <stp>NFO_BANKNIFTY18SEP25700PE</stp>
        <stp>TradingSymbol</stp>
        <tr r="A59" s="1"/>
      </tp>
      <tp t="s">
        <v>N.A.</v>
        <stp/>
        <stp>NFO_BANKNIFTY18SEP25700CE</stp>
        <stp>TradingSymbol</stp>
        <tr r="A57" s="1"/>
      </tp>
      <tp t="s">
        <v>N.A.</v>
        <stp/>
        <stp>NFO_BANKNIFTY18SEP24700CE</stp>
        <stp>TradingSymbol</stp>
        <tr r="A38" s="1"/>
      </tp>
      <tp t="s">
        <v>N.A.</v>
        <stp/>
        <stp>NSE_AXISBANK-EQ</stp>
        <stp>AskSize</stp>
        <tr r="F2" s="1"/>
        <tr r="F66" s="1"/>
      </tp>
      <tp t="s">
        <v>N.A.</v>
        <stp/>
        <stp>NSE_BPCL-EQ</stp>
        <stp>TotalAskQty</stp>
        <tr r="K71" s="1"/>
      </tp>
      <tp t="s">
        <v>N.A.</v>
        <stp/>
        <stp>NSE_BPCL-EQ</stp>
        <stp>TotalBidQty</stp>
        <tr r="J71" s="1"/>
      </tp>
      <tp t="s">
        <v>N.A.</v>
        <stp/>
        <stp>NFO_BANKNIFTY18SEP24600PE</stp>
        <stp>TradingSymbol</stp>
        <tr r="A37" s="1"/>
      </tp>
      <tp t="s">
        <v>N.A.</v>
        <stp/>
        <stp>NFO_BANKNIFTY18SEP25600PE</stp>
        <stp>TradingSymbol</stp>
        <tr r="A56" s="1"/>
      </tp>
      <tp t="s">
        <v>N.A.</v>
        <stp/>
        <stp>NFO_BANKNIFTY18SEP25600CE</stp>
        <stp>TradingSymbol</stp>
        <tr r="A60" s="1"/>
      </tp>
      <tp t="s">
        <v>N.A.</v>
        <stp/>
        <stp>NFO_BANKNIFTY18SEP24600CE</stp>
        <stp>TradingSymbol</stp>
        <tr r="A36" s="1"/>
      </tp>
      <tp t="s">
        <v>N.A.</v>
        <stp/>
        <stp>NSE_HEROMOTOCO-EQ</stp>
        <stp>TotalBidQty</stp>
        <tr r="J80" s="1"/>
      </tp>
      <tp t="s">
        <v>N.A.</v>
        <stp/>
        <stp>NSE_HEROMOTOCO-EQ</stp>
        <stp>TotalAskQty</stp>
        <tr r="K80" s="1"/>
      </tp>
      <tp t="s">
        <v>N.A.</v>
        <stp/>
        <stp>NFO_BANKNIFTY18SEP25500PE</stp>
        <stp>TradingSymbol</stp>
        <tr r="A55" s="1"/>
      </tp>
      <tp t="s">
        <v>N.A.</v>
        <stp/>
        <stp>NFO_BANKNIFTY18SEP25500CE</stp>
        <stp>TradingSymbol</stp>
        <tr r="A54" s="1"/>
      </tp>
      <tp t="s">
        <v>N.A.</v>
        <stp/>
        <stp>NSE_AMBUJACEM-EQ</stp>
        <stp>TotalAskQty</stp>
        <tr r="K63" s="1"/>
      </tp>
      <tp t="s">
        <v>N.A.</v>
        <stp/>
        <stp>NSE_AMBUJACEM-EQ</stp>
        <stp>TotalBidQty</stp>
        <tr r="J63" s="1"/>
      </tp>
      <tp t="s">
        <v>N.A.</v>
        <stp/>
        <stp>NSE_HINDPETRO-EQ</stp>
        <stp>TotalBidQty</stp>
        <tr r="J82" s="1"/>
      </tp>
      <tp t="s">
        <v>N.A.</v>
        <stp/>
        <stp>NSE_HINDPETRO-EQ</stp>
        <stp>TotalAskQty</stp>
        <tr r="K82" s="1"/>
      </tp>
      <tp t="s">
        <v>N.A.</v>
        <stp/>
        <stp>NFO_BANKNIFTY18SEP25400PE</stp>
        <stp>TradingSymbol</stp>
        <tr r="A53" s="1"/>
      </tp>
      <tp t="s">
        <v>N.A.</v>
        <stp/>
        <stp>NFO_BANKNIFTY18SEP25400CE</stp>
        <stp>TradingSymbol</stp>
        <tr r="A52" s="1"/>
      </tp>
      <tp t="s">
        <v>N.A.</v>
        <stp/>
        <stp>NSE_KOTAKBANK-EQ</stp>
        <stp>TotalAskQty</stp>
        <tr r="K9" s="1"/>
        <tr r="K90" s="1"/>
      </tp>
      <tp t="s">
        <v>N.A.</v>
        <stp/>
        <stp>NSE_KOTAKBANK-EQ</stp>
        <stp>TotalBidQty</stp>
        <tr r="J9" s="1"/>
        <tr r="J90" s="1"/>
      </tp>
      <tp t="s">
        <v>N.A.</v>
        <stp/>
        <stp>NSE_AXISBANK-EQ</stp>
        <stp>BidSize</stp>
        <tr r="C2" s="1"/>
        <tr r="C66" s="1"/>
      </tp>
      <tp t="s">
        <v>N.A.</v>
        <stp/>
        <stp>_Nifty 50</stp>
        <stp>LTQ</stp>
        <tr r="G13" s="1"/>
      </tp>
      <tp t="s">
        <v>N.A.</v>
        <stp/>
        <stp>NFO_BANKNIFTY18SEP25300PE</stp>
        <stp>TradingSymbol</stp>
        <tr r="A51" s="1"/>
      </tp>
      <tp t="s">
        <v>N.A.</v>
        <stp/>
        <stp>NFO_BANKNIFTY18SEP25300CE</stp>
        <stp>TradingSymbol</stp>
        <tr r="A50" s="1"/>
      </tp>
      <tp t="s">
        <v>N.A.</v>
        <stp/>
        <stp>NFO_BANKNIFTY18SEP24600PE</stp>
        <stp>Last</stp>
        <tr r="B37" s="1"/>
      </tp>
      <tp t="s">
        <v>N.A.</v>
        <stp/>
        <stp>NFO_BANKNIFTY18SEP24700PE</stp>
        <stp>Last</stp>
        <tr r="B39" s="1"/>
      </tp>
      <tp t="s">
        <v>N.A.</v>
        <stp/>
        <stp>NFO_BANKNIFTY18SEP24800PE</stp>
        <stp>Last</stp>
        <tr r="B41" s="1"/>
      </tp>
      <tp t="s">
        <v>N.A.</v>
        <stp/>
        <stp>NFO_BANKNIFTY18SEP24900PE</stp>
        <stp>Last</stp>
        <tr r="B43" s="1"/>
      </tp>
      <tp t="s">
        <v>N.A.</v>
        <stp/>
        <stp>NFO_BANKNIFTY18SEP25200PE</stp>
        <stp>TradingSymbol</stp>
        <tr r="A49" s="1"/>
      </tp>
      <tp t="s">
        <v>N.A.</v>
        <stp/>
        <stp>NFO_BANKNIFTY18SEP25200CE</stp>
        <stp>TradingSymbol</stp>
        <tr r="A48" s="1"/>
      </tp>
      <tp t="s">
        <v>N.A.</v>
        <stp/>
        <stp>NSE_WIPRO-EQ</stp>
        <stp>BidSize</stp>
        <tr r="C108" s="1"/>
      </tp>
      <tp t="s">
        <v>N.A.</v>
        <stp/>
        <stp>NSE_CIPLA-EQ</stp>
        <stp>BidSize</stp>
        <tr r="C72" s="1"/>
      </tp>
      <tp t="s">
        <v>N.A.</v>
        <stp/>
        <stp>NFO_BANKNIFTY18SEP25000PE</stp>
        <stp>Last</stp>
        <tr r="B45" s="1"/>
      </tp>
      <tp t="s">
        <v>N.A.</v>
        <stp/>
        <stp>NFO_BANKNIFTY18SEP25100PE</stp>
        <stp>Last</stp>
        <tr r="B47" s="1"/>
      </tp>
      <tp t="s">
        <v>N.A.</v>
        <stp/>
        <stp>NFO_BANKNIFTY18SEP25200PE</stp>
        <stp>Last</stp>
        <tr r="B49" s="1"/>
      </tp>
      <tp t="s">
        <v>N.A.</v>
        <stp/>
        <stp>NFO_BANKNIFTY18SEP25300PE</stp>
        <stp>Last</stp>
        <tr r="B51" s="1"/>
      </tp>
      <tp t="s">
        <v>N.A.</v>
        <stp/>
        <stp>NFO_BANKNIFTY18SEP25400PE</stp>
        <stp>Last</stp>
        <tr r="B53" s="1"/>
      </tp>
      <tp t="s">
        <v>N.A.</v>
        <stp/>
        <stp>NSE_GAIL-EQ</stp>
        <stp>TotalAskQty</stp>
        <tr r="K76" s="1"/>
      </tp>
      <tp t="s">
        <v>N.A.</v>
        <stp/>
        <stp>NFO_BANKNIFTY18SEP25500PE</stp>
        <stp>Last</stp>
        <tr r="B55" s="1"/>
      </tp>
      <tp t="s">
        <v>N.A.</v>
        <stp/>
        <stp>NFO_BANKNIFTY18SEP25600PE</stp>
        <stp>Last</stp>
        <tr r="B56" s="1"/>
      </tp>
      <tp t="s">
        <v>N.A.</v>
        <stp/>
        <stp>NFO_BANKNIFTY18SEP25700PE</stp>
        <stp>Last</stp>
        <tr r="B59" s="1"/>
      </tp>
      <tp t="s">
        <v>N.A.</v>
        <stp/>
        <stp>NSE_GAIL-EQ</stp>
        <stp>TotalBidQty</stp>
        <tr r="J76" s="1"/>
      </tp>
      <tp t="s">
        <v>N.A.</v>
        <stp/>
        <stp>NFO_BANKNIFTY18SEP25100PE</stp>
        <stp>TradingSymbol</stp>
        <tr r="A47" s="1"/>
      </tp>
      <tp t="s">
        <v>N.A.</v>
        <stp/>
        <stp>NFO_BANKNIFTY18SEP25100CE</stp>
        <stp>TradingSymbol</stp>
        <tr r="A46" s="1"/>
      </tp>
      <tp t="s">
        <v>N.A.</v>
        <stp/>
        <stp>NSE_POWERGRID-EQ</stp>
        <stp>TotalAskQty</stp>
        <tr r="K97" s="1"/>
      </tp>
      <tp t="s">
        <v>N.A.</v>
        <stp/>
        <stp>NSE_POWERGRID-EQ</stp>
        <stp>TotalBidQty</stp>
        <tr r="J97" s="1"/>
      </tp>
      <tp t="s">
        <v>N.A.</v>
        <stp/>
        <stp>NSE_WIPRO-EQ</stp>
        <stp>AskSize</stp>
        <tr r="F108" s="1"/>
      </tp>
      <tp t="s">
        <v>N.A.</v>
        <stp/>
        <stp>NSE_CIPLA-EQ</stp>
        <stp>AskSize</stp>
        <tr r="F72" s="1"/>
      </tp>
      <tp t="s">
        <v>N.A.</v>
        <stp/>
        <stp>NFO_BANKNIFTY18SEP25000PE</stp>
        <stp>TradingSymbol</stp>
        <tr r="A45" s="1"/>
      </tp>
      <tp t="s">
        <v>N.A.</v>
        <stp/>
        <stp>NFO_BANKNIFTY18SEP25000CE</stp>
        <stp>TradingSymbol</stp>
        <tr r="A44" s="1"/>
      </tp>
      <tp t="s">
        <v>N.A.</v>
        <stp/>
        <stp>NSE_TATAMOTORS-EQ</stp>
        <stp>TotalAskQty</stp>
        <tr r="K101" s="1"/>
      </tp>
      <tp t="s">
        <v>N.A.</v>
        <stp/>
        <stp>NSE_TATAMOTORS-EQ</stp>
        <stp>TotalBidQty</stp>
        <tr r="J101" s="1"/>
      </tp>
      <tp t="s">
        <v>N.A.</v>
        <stp/>
        <stp>NSE_BHARTIARTL-EQ</stp>
        <stp>TotalBidQty</stp>
        <tr r="J69" s="1"/>
      </tp>
      <tp t="s">
        <v>N.A.</v>
        <stp/>
        <stp>NSE_BHARTIARTL-EQ</stp>
        <stp>TotalAskQty</stp>
        <tr r="K69" s="1"/>
      </tp>
      <tp t="s">
        <v>N.A.</v>
        <stp/>
        <stp>NSE_LT-EQ</stp>
        <stp>TotalBidQty</stp>
        <tr r="J91" s="1"/>
      </tp>
      <tp t="s">
        <v>N.A.</v>
        <stp/>
        <stp>NSE_LT-EQ</stp>
        <stp>TotalAskQty</stp>
        <tr r="K91" s="1"/>
      </tp>
      <tp t="s">
        <v>N.A.</v>
        <stp/>
        <stp>NSE_HCLTECH-EQ</stp>
        <stp>BidSize</stp>
        <tr r="C77" s="1"/>
      </tp>
      <tp t="s">
        <v>N.A.</v>
        <stp/>
        <stp>NSE_TECHM-EQ</stp>
        <stp>BidSize</stp>
        <tr r="C104" s="1"/>
      </tp>
      <tp t="s">
        <v>N.A.</v>
        <stp/>
        <stp>NSE_ADANIPORTS-EQ</stp>
        <stp>TotalBidQty</stp>
        <tr r="J62" s="1"/>
      </tp>
      <tp t="s">
        <v>N.A.</v>
        <stp/>
        <stp>NSE_ADANIPORTS-EQ</stp>
        <stp>TotalAskQty</stp>
        <tr r="K62" s="1"/>
      </tp>
      <tp t="s">
        <v>N.A.</v>
        <stp/>
        <stp>NSE_HINDALCO-EQ</stp>
        <stp>BidSize</stp>
        <tr r="C81" s="1"/>
      </tp>
      <tp t="s">
        <v>N.A.</v>
        <stp/>
        <stp>NSE_HDFCBANK-EQ</stp>
        <stp>AskSize</stp>
        <tr r="F6" s="1"/>
        <tr r="F79" s="1"/>
      </tp>
      <tp t="s">
        <v>N.A.</v>
        <stp/>
        <stp>NSE_BOSCHLTD-EQ</stp>
        <stp>AskSize</stp>
        <tr r="F70" s="1"/>
      </tp>
      <tp t="s">
        <v>N.A.</v>
        <stp/>
        <stp>NSE_TECHM-EQ</stp>
        <stp>AskSize</stp>
        <tr r="F104" s="1"/>
      </tp>
      <tp t="s">
        <v>N.A.</v>
        <stp/>
        <stp>NSE_HDFC-EQ</stp>
        <stp>TotalAskQty</stp>
        <tr r="K78" s="1"/>
      </tp>
      <tp t="s">
        <v>N.A.</v>
        <stp/>
        <stp>NSE_HDFC-EQ</stp>
        <stp>TotalBidQty</stp>
        <tr r="J78" s="1"/>
      </tp>
      <tp t="s">
        <v>N.A.</v>
        <stp/>
        <stp>NSE_HDFCBANK-EQ</stp>
        <stp>BidSize</stp>
        <tr r="C6" s="1"/>
        <tr r="C79" s="1"/>
      </tp>
      <tp t="s">
        <v>N.A.</v>
        <stp/>
        <stp>NSE_BOSCHLTD-EQ</stp>
        <stp>BidSize</stp>
        <tr r="C70" s="1"/>
      </tp>
      <tp t="s">
        <v>N.A.</v>
        <stp/>
        <stp>NSE_HINDALCO-EQ</stp>
        <stp>AskSize</stp>
        <tr r="F81" s="1"/>
      </tp>
      <tp t="s">
        <v>N.A.</v>
        <stp/>
        <stp>NSE_HCLTECH-EQ</stp>
        <stp>AskSize</stp>
        <tr r="F77" s="1"/>
      </tp>
      <tp t="s">
        <v>N.A.</v>
        <stp/>
        <stp>NSE_INFY-EQ</stp>
        <stp>TotalBidQty</stp>
        <tr r="J87" s="1"/>
      </tp>
      <tp t="s">
        <v>N.A.</v>
        <stp/>
        <stp>NSE_INFY-EQ</stp>
        <stp>TotalAskQty</stp>
        <tr r="K87" s="1"/>
      </tp>
      <tp t="s">
        <v>N.A.</v>
        <stp/>
        <stp>NSE_BAJFINANCE-EQ</stp>
        <stp>TotalBidQty</stp>
        <tr r="J68" s="1"/>
      </tp>
      <tp t="s">
        <v>N.A.</v>
        <stp/>
        <stp>NSE_BAJFINANCE-EQ</stp>
        <stp>TotalAskQty</stp>
        <tr r="K68" s="1"/>
      </tp>
      <tp t="s">
        <v>N.A.</v>
        <stp/>
        <stp>NSE_BAJAJ-AUTO-EQ</stp>
        <stp>TotalBidQty</stp>
        <tr r="J67" s="1"/>
      </tp>
      <tp t="s">
        <v>N.A.</v>
        <stp/>
        <stp>NSE_BAJAJ-AUTO-EQ</stp>
        <stp>TotalAskQty</stp>
        <tr r="K67" s="1"/>
      </tp>
      <tp t="s">
        <v>N.A.</v>
        <stp/>
        <stp>NFO_BANKNIFTY18SEP25100CE</stp>
        <stp>OpenInterest</stp>
        <tr r="I46" s="1"/>
      </tp>
      <tp t="s">
        <v>N.A.</v>
        <stp/>
        <stp>NFO_BANKNIFTY18SEP25000CE</stp>
        <stp>OpenInterest</stp>
        <tr r="I44" s="1"/>
      </tp>
      <tp t="s">
        <v>N.A.</v>
        <stp/>
        <stp>NSE_NTPC-EQ</stp>
        <stp>TotalAskQty</stp>
        <tr r="K95" s="1"/>
      </tp>
      <tp t="s">
        <v>N.A.</v>
        <stp/>
        <stp>NFO_BANKNIFTY18SEP25300CE</stp>
        <stp>OpenInterest</stp>
        <tr r="I50" s="1"/>
      </tp>
      <tp t="s">
        <v>N.A.</v>
        <stp/>
        <stp>NSE_NTPC-EQ</stp>
        <stp>TotalBidQty</stp>
        <tr r="J95" s="1"/>
      </tp>
      <tp t="s">
        <v>N.A.</v>
        <stp/>
        <stp>NFO_BANKNIFTY18SEP25200CE</stp>
        <stp>OpenInterest</stp>
        <tr r="I48" s="1"/>
      </tp>
      <tp t="s">
        <v>N.A.</v>
        <stp/>
        <stp>NFO_BANKNIFTY18SEP25500CE</stp>
        <stp>OpenInterest</stp>
        <tr r="I54" s="1"/>
      </tp>
      <tp t="s">
        <v>N.A.</v>
        <stp/>
        <stp>NFO_BANKNIFTY18SEP25400CE</stp>
        <stp>OpenInterest</stp>
        <tr r="I52" s="1"/>
      </tp>
      <tp t="s">
        <v>N.A.</v>
        <stp/>
        <stp>NFO_BANKNIFTY18SEP25700CE</stp>
        <stp>OpenInterest</stp>
        <tr r="I57" s="1"/>
      </tp>
      <tp t="s">
        <v>N.A.</v>
        <stp/>
        <stp>NFO_BANKNIFTY18SEP25600CE</stp>
        <stp>OpenInterest</stp>
        <tr r="I60" s="1"/>
      </tp>
      <tp t="s">
        <v>N.A.</v>
        <stp/>
        <stp>NFO_BANKNIFTY18SEP25800CE</stp>
        <stp>OpenInterest</stp>
        <tr r="I58" s="1"/>
      </tp>
      <tp t="s">
        <v>N.A.</v>
        <stp/>
        <stp>NSE_CANBK-EQ</stp>
        <stp>BidSize</stp>
        <tr r="C4" s="1"/>
      </tp>
      <tp t="s">
        <v>N.A.</v>
        <stp/>
        <stp>NSE_INDUSINDBK-EQ</stp>
        <stp>TotalBidQty</stp>
        <tr r="J8" s="1"/>
        <tr r="J86" s="1"/>
      </tp>
      <tp t="s">
        <v>N.A.</v>
        <stp/>
        <stp>NSE_INDUSINDBK-EQ</stp>
        <stp>TotalAskQty</stp>
        <tr r="K8" s="1"/>
        <tr r="K86" s="1"/>
      </tp>
      <tp t="s">
        <v>N.A.</v>
        <stp/>
        <stp>_Nifty 50</stp>
        <stp>Bid</stp>
        <tr r="D13" s="1"/>
      </tp>
      <tp t="s">
        <v>N.A.</v>
        <stp/>
        <stp>NSE_ONGC-EQ</stp>
        <stp>TotalBidQty</stp>
        <tr r="J96" s="1"/>
      </tp>
      <tp t="s">
        <v>N.A.</v>
        <stp/>
        <stp>NSE_ONGC-EQ</stp>
        <stp>TotalAskQty</stp>
        <tr r="K96" s="1"/>
      </tp>
      <tp t="s">
        <v>N.A.</v>
        <stp/>
        <stp>_India VIX</stp>
        <stp>TradingSymbol</stp>
        <tr r="A61" s="1"/>
      </tp>
      <tp t="s">
        <v>N.A.</v>
        <stp/>
        <stp>NFO_BANKNIFTY18SEP24700CE</stp>
        <stp>OpenInterest</stp>
        <tr r="I38" s="1"/>
      </tp>
      <tp t="s">
        <v>N.A.</v>
        <stp/>
        <stp>NFO_BANKNIFTY18SEP24600CE</stp>
        <stp>OpenInterest</stp>
        <tr r="I36" s="1"/>
      </tp>
      <tp t="s">
        <v>N.A.</v>
        <stp/>
        <stp>NFO_BANKNIFTY18SEP24900CE</stp>
        <stp>OpenInterest</stp>
        <tr r="I42" s="1"/>
      </tp>
      <tp t="s">
        <v>N.A.</v>
        <stp/>
        <stp>NFO_BANKNIFTY18SEP24800CE</stp>
        <stp>OpenInterest</stp>
        <tr r="I40" s="1"/>
      </tp>
      <tp t="s">
        <v>N.A.</v>
        <stp/>
        <stp>NFO_BANKNIFTY18SEP24900PE</stp>
        <stp>TradingSymbol</stp>
        <tr r="A43" s="1"/>
      </tp>
      <tp t="s">
        <v>N.A.</v>
        <stp/>
        <stp>NFO_BANKNIFTY18SEP24900CE</stp>
        <stp>TradingSymbol</stp>
        <tr r="A42" s="1"/>
      </tp>
      <tp t="s">
        <v>N.A.</v>
        <stp/>
        <stp>NSE_CANBK-EQ</stp>
        <stp>AskSize</stp>
        <tr r="F4" s="1"/>
      </tp>
      <tp t="s">
        <v>N.A.</v>
        <stp/>
        <stp>_Nifty 50</stp>
        <stp>Ask</stp>
        <tr r="E13" s="1"/>
      </tp>
      <tp t="s">
        <v>N.A.</v>
        <stp/>
        <stp>NSE_ASIANPAINT-EQ</stp>
        <stp>TotalBidQty</stp>
        <tr r="J64" s="1"/>
      </tp>
      <tp t="s">
        <v>N.A.</v>
        <stp/>
        <stp>NSE_ASIANPAINT-EQ</stp>
        <stp>TotalAskQty</stp>
        <tr r="K64" s="1"/>
      </tp>
      <tp t="s">
        <v>N.A.</v>
        <stp/>
        <stp>NFO_BANKNIFTY18SEP24800PE</stp>
        <stp>TradingSymbol</stp>
        <tr r="A41" s="1"/>
      </tp>
      <tp t="s">
        <v>N.A.</v>
        <stp/>
        <stp>NFO_BANKNIFTY18SEP25800CE</stp>
        <stp>TradingSymbol</stp>
        <tr r="A58" s="1"/>
      </tp>
      <tp t="s">
        <v>N.A.</v>
        <stp/>
        <stp>NFO_BANKNIFTY18SEP24800CE</stp>
        <stp>TradingSymbol</stp>
        <tr r="A40" s="1"/>
      </tp>
      <tp t="s">
        <v>N.A.</v>
        <stp/>
        <stp>NSE_ICICIBANK-EQ</stp>
        <stp>TotalAskQty</stp>
        <tr r="K7" s="1"/>
        <tr r="K85" s="1"/>
      </tp>
      <tp t="s">
        <v>N.A.</v>
        <stp/>
        <stp>NSE_ICICIBANK-EQ</stp>
        <stp>TotalBidQty</stp>
        <tr r="J7" s="1"/>
        <tr r="J85" s="1"/>
      </tp>
      <tp t="s">
        <v>N.A.</v>
        <stp/>
        <stp>NSE_COALINDIA-EQ</stp>
        <stp>TotalAskQty</stp>
        <tr r="K73" s="1"/>
      </tp>
      <tp t="s">
        <v>N.A.</v>
        <stp/>
        <stp>NSE_COALINDIA-EQ</stp>
        <stp>TotalBidQty</stp>
        <tr r="J73" s="1"/>
      </tp>
      <tp t="s">
        <v>N.A.</v>
        <stp/>
        <stp>NSE_FEDERALBNK-EQ</stp>
        <stp>TotalAskQty</stp>
        <tr r="K5" s="1"/>
      </tp>
      <tp t="s">
        <v>N.A.</v>
        <stp/>
        <stp>NSE_FEDERALBNK-EQ</stp>
        <stp>TotalBidQty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topLeftCell="A76" workbookViewId="0">
      <selection activeCell="H116" sqref="H116"/>
    </sheetView>
  </sheetViews>
  <sheetFormatPr defaultColWidth="9.140625" defaultRowHeight="15" x14ac:dyDescent="0.25"/>
  <cols>
    <col min="1" max="1" width="9.140625" style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20" style="1" bestFit="1" customWidth="1"/>
    <col min="9" max="9" width="13.42578125" style="1" bestFit="1" customWidth="1"/>
    <col min="10" max="11" width="12" style="1" bestFit="1" customWidth="1"/>
    <col min="12" max="12" width="3.85546875" style="1" bestFit="1" customWidth="1"/>
    <col min="13" max="13" width="4.140625" style="1" bestFit="1" customWidth="1"/>
    <col min="14" max="16384" width="9.140625" style="1"/>
  </cols>
  <sheetData>
    <row r="1" spans="1:13" ht="14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5" x14ac:dyDescent="0.35">
      <c r="A2" s="1" t="str">
        <f>RTD("pi.rtdserver", ,"NSE_AXISBANK-EQ", "TradingSymbol")</f>
        <v>N.A.</v>
      </c>
      <c r="B2" s="1" t="str">
        <f>RTD("pi.rtdserver", ,"NSE_AXISBANK-EQ", "Last")</f>
        <v>N.A.</v>
      </c>
      <c r="C2" s="1" t="str">
        <f>RTD("pi.rtdserver", ,"NSE_AXISBANK-EQ", "BidSize")</f>
        <v>N.A.</v>
      </c>
      <c r="D2" s="1" t="str">
        <f>RTD("pi.rtdserver", ,"NSE_AXISBANK-EQ", "Bid")</f>
        <v>N.A.</v>
      </c>
      <c r="E2" s="1" t="str">
        <f>RTD("pi.rtdserver", ,"NSE_AXISBANK-EQ", "Ask")</f>
        <v>N.A.</v>
      </c>
      <c r="F2" s="1" t="str">
        <f>RTD("pi.rtdserver", ,"NSE_AXISBANK-EQ", "AskSize")</f>
        <v>N.A.</v>
      </c>
      <c r="G2" s="1" t="str">
        <f>RTD("pi.rtdserver", ,"NSE_AXISBANK-EQ", "LTQ")</f>
        <v>N.A.</v>
      </c>
      <c r="H2" s="1" t="str">
        <f>RTD("pi.rtdserver", ,"NSE_AXISBANK-EQ", "Volume")</f>
        <v>N.A.</v>
      </c>
      <c r="I2" s="1" t="str">
        <f>RTD("pi.rtdserver", ,"NSE_AXISBANK-EQ", "OpenInterest")</f>
        <v>N.A.</v>
      </c>
      <c r="J2" s="1" t="str">
        <f>RTD("pi.rtdserver", ,"NSE_AXISBANK-EQ", "TotalBidQty")</f>
        <v>N.A.</v>
      </c>
      <c r="K2" s="1" t="str">
        <f>RTD("pi.rtdserver", ,"NSE_AXISBANK-EQ", "TotalAskQty")</f>
        <v>N.A.</v>
      </c>
      <c r="L2" s="1" t="str">
        <f>RTD("pi.rtdserver", ,"NSE_AXISBANK-EQ", "lastTradeTime")</f>
        <v>N.A.</v>
      </c>
      <c r="M2" s="1" t="str">
        <f>RTD("pi.rtdserver", ,"NSE_AXISBANK-EQ", "lastUpdateTime")</f>
        <v>N.A.</v>
      </c>
    </row>
    <row r="3" spans="1:13" ht="14.45" x14ac:dyDescent="0.35">
      <c r="A3" s="1" t="str">
        <f>RTD("pi.rtdserver", ,"NSE_BANKBARODA-EQ", "TradingSymbol")</f>
        <v>N.A.</v>
      </c>
      <c r="B3" s="1" t="str">
        <f>RTD("pi.rtdserver", ,"NSE_BANKBARODA-EQ", "Last")</f>
        <v>N.A.</v>
      </c>
      <c r="C3" s="1" t="str">
        <f>RTD("pi.rtdserver", ,"NSE_BANKBARODA-EQ", "BidSize")</f>
        <v>N.A.</v>
      </c>
      <c r="D3" s="1" t="str">
        <f>RTD("pi.rtdserver", ,"NSE_BANKBARODA-EQ", "Bid")</f>
        <v>N.A.</v>
      </c>
      <c r="E3" s="1" t="str">
        <f>RTD("pi.rtdserver", ,"NSE_BANKBARODA-EQ", "Ask")</f>
        <v>N.A.</v>
      </c>
      <c r="F3" s="1" t="str">
        <f>RTD("pi.rtdserver", ,"NSE_BANKBARODA-EQ", "AskSize")</f>
        <v>N.A.</v>
      </c>
      <c r="G3" s="1" t="str">
        <f>RTD("pi.rtdserver", ,"NSE_BANKBARODA-EQ", "LTQ")</f>
        <v>N.A.</v>
      </c>
      <c r="H3" s="1" t="str">
        <f>RTD("pi.rtdserver", ,"NSE_BANKBARODA-EQ", "Volume")</f>
        <v>N.A.</v>
      </c>
      <c r="I3" s="1" t="str">
        <f>RTD("pi.rtdserver", ,"NSE_BANKBARODA-EQ", "OpenInterest")</f>
        <v>N.A.</v>
      </c>
      <c r="J3" s="1" t="str">
        <f>RTD("pi.rtdserver", ,"NSE_BANKBARODA-EQ", "TotalBidQty")</f>
        <v>N.A.</v>
      </c>
      <c r="K3" s="1" t="str">
        <f>RTD("pi.rtdserver", ,"NSE_BANKBARODA-EQ", "TotalAskQty")</f>
        <v>N.A.</v>
      </c>
      <c r="L3" s="1" t="str">
        <f>RTD("pi.rtdserver", ,"NSE_BANKBARODA-EQ", "lastTradeTime")</f>
        <v>N.A.</v>
      </c>
      <c r="M3" s="1" t="str">
        <f>RTD("pi.rtdserver", ,"NSE_BANKBARODA-EQ", "lastUpdateTime")</f>
        <v>N.A.</v>
      </c>
    </row>
    <row r="4" spans="1:13" ht="14.45" x14ac:dyDescent="0.35">
      <c r="A4" s="1" t="str">
        <f>RTD("pi.rtdserver", ,"NSE_CANBK-EQ", "TradingSymbol")</f>
        <v>N.A.</v>
      </c>
      <c r="B4" s="1" t="str">
        <f>RTD("pi.rtdserver", ,"NSE_CANBK-EQ", "Last")</f>
        <v>N.A.</v>
      </c>
      <c r="C4" s="1" t="str">
        <f>RTD("pi.rtdserver", ,"NSE_CANBK-EQ", "BidSize")</f>
        <v>N.A.</v>
      </c>
      <c r="D4" s="1" t="str">
        <f>RTD("pi.rtdserver", ,"NSE_CANBK-EQ", "Bid")</f>
        <v>N.A.</v>
      </c>
      <c r="E4" s="1" t="str">
        <f>RTD("pi.rtdserver", ,"NSE_CANBK-EQ", "Ask")</f>
        <v>N.A.</v>
      </c>
      <c r="F4" s="1" t="str">
        <f>RTD("pi.rtdserver", ,"NSE_CANBK-EQ", "AskSize")</f>
        <v>N.A.</v>
      </c>
      <c r="G4" s="1" t="str">
        <f>RTD("pi.rtdserver", ,"NSE_CANBK-EQ", "LTQ")</f>
        <v>N.A.</v>
      </c>
      <c r="H4" s="1" t="str">
        <f>RTD("pi.rtdserver", ,"NSE_CANBK-EQ", "Volume")</f>
        <v>N.A.</v>
      </c>
      <c r="I4" s="1" t="str">
        <f>RTD("pi.rtdserver", ,"NSE_CANBK-EQ", "OpenInterest")</f>
        <v>N.A.</v>
      </c>
      <c r="J4" s="1" t="str">
        <f>RTD("pi.rtdserver", ,"NSE_CANBK-EQ", "TotalBidQty")</f>
        <v>N.A.</v>
      </c>
      <c r="K4" s="1" t="str">
        <f>RTD("pi.rtdserver", ,"NSE_CANBK-EQ", "TotalAskQty")</f>
        <v>N.A.</v>
      </c>
      <c r="L4" s="1" t="str">
        <f>RTD("pi.rtdserver", ,"NSE_CANBK-EQ", "lastTradeTime")</f>
        <v>N.A.</v>
      </c>
      <c r="M4" s="1" t="str">
        <f>RTD("pi.rtdserver", ,"NSE_CANBK-EQ", "lastUpdateTime")</f>
        <v>N.A.</v>
      </c>
    </row>
    <row r="5" spans="1:13" ht="14.45" x14ac:dyDescent="0.35">
      <c r="A5" s="1" t="str">
        <f>RTD("pi.rtdserver", ,"NSE_FEDERALBNK-EQ", "TradingSymbol")</f>
        <v>N.A.</v>
      </c>
      <c r="B5" s="1" t="str">
        <f>RTD("pi.rtdserver", ,"NSE_FEDERALBNK-EQ", "Last")</f>
        <v>N.A.</v>
      </c>
      <c r="C5" s="1" t="str">
        <f>RTD("pi.rtdserver", ,"NSE_FEDERALBNK-EQ", "BidSize")</f>
        <v>N.A.</v>
      </c>
      <c r="D5" s="1" t="str">
        <f>RTD("pi.rtdserver", ,"NSE_FEDERALBNK-EQ", "Bid")</f>
        <v>N.A.</v>
      </c>
      <c r="E5" s="1" t="str">
        <f>RTD("pi.rtdserver", ,"NSE_FEDERALBNK-EQ", "Ask")</f>
        <v>N.A.</v>
      </c>
      <c r="F5" s="1" t="str">
        <f>RTD("pi.rtdserver", ,"NSE_FEDERALBNK-EQ", "AskSize")</f>
        <v>N.A.</v>
      </c>
      <c r="G5" s="1" t="str">
        <f>RTD("pi.rtdserver", ,"NSE_FEDERALBNK-EQ", "LTQ")</f>
        <v>N.A.</v>
      </c>
      <c r="H5" s="1" t="str">
        <f>RTD("pi.rtdserver", ,"NSE_FEDERALBNK-EQ", "Volume")</f>
        <v>N.A.</v>
      </c>
      <c r="I5" s="1" t="str">
        <f>RTD("pi.rtdserver", ,"NSE_FEDERALBNK-EQ", "OpenInterest")</f>
        <v>N.A.</v>
      </c>
      <c r="J5" s="1" t="str">
        <f>RTD("pi.rtdserver", ,"NSE_FEDERALBNK-EQ", "TotalBidQty")</f>
        <v>N.A.</v>
      </c>
      <c r="K5" s="1" t="str">
        <f>RTD("pi.rtdserver", ,"NSE_FEDERALBNK-EQ", "TotalAskQty")</f>
        <v>N.A.</v>
      </c>
      <c r="L5" s="1" t="str">
        <f>RTD("pi.rtdserver", ,"NSE_FEDERALBNK-EQ", "lastTradeTime")</f>
        <v>N.A.</v>
      </c>
      <c r="M5" s="1" t="str">
        <f>RTD("pi.rtdserver", ,"NSE_FEDERALBNK-EQ", "lastUpdateTime")</f>
        <v>N.A.</v>
      </c>
    </row>
    <row r="6" spans="1:13" ht="14.45" x14ac:dyDescent="0.35">
      <c r="A6" s="1" t="str">
        <f>RTD("pi.rtdserver", ,"NSE_HDFCBANK-EQ", "TradingSymbol")</f>
        <v>N.A.</v>
      </c>
      <c r="B6" s="1" t="str">
        <f>RTD("pi.rtdserver", ,"NSE_HDFCBANK-EQ", "Last")</f>
        <v>N.A.</v>
      </c>
      <c r="C6" s="1" t="str">
        <f>RTD("pi.rtdserver", ,"NSE_HDFCBANK-EQ", "BidSize")</f>
        <v>N.A.</v>
      </c>
      <c r="D6" s="1" t="str">
        <f>RTD("pi.rtdserver", ,"NSE_HDFCBANK-EQ", "Bid")</f>
        <v>N.A.</v>
      </c>
      <c r="E6" s="1" t="str">
        <f>RTD("pi.rtdserver", ,"NSE_HDFCBANK-EQ", "Ask")</f>
        <v>N.A.</v>
      </c>
      <c r="F6" s="1" t="str">
        <f>RTD("pi.rtdserver", ,"NSE_HDFCBANK-EQ", "AskSize")</f>
        <v>N.A.</v>
      </c>
      <c r="G6" s="1" t="str">
        <f>RTD("pi.rtdserver", ,"NSE_HDFCBANK-EQ", "LTQ")</f>
        <v>N.A.</v>
      </c>
      <c r="H6" s="1" t="str">
        <f>RTD("pi.rtdserver", ,"NSE_HDFCBANK-EQ", "Volume")</f>
        <v>N.A.</v>
      </c>
      <c r="I6" s="1" t="str">
        <f>RTD("pi.rtdserver", ,"NSE_HDFCBANK-EQ", "OpenInterest")</f>
        <v>N.A.</v>
      </c>
      <c r="J6" s="1" t="str">
        <f>RTD("pi.rtdserver", ,"NSE_HDFCBANK-EQ", "TotalBidQty")</f>
        <v>N.A.</v>
      </c>
      <c r="K6" s="1" t="str">
        <f>RTD("pi.rtdserver", ,"NSE_HDFCBANK-EQ", "TotalAskQty")</f>
        <v>N.A.</v>
      </c>
      <c r="L6" s="1" t="str">
        <f>RTD("pi.rtdserver", ,"NSE_HDFCBANK-EQ", "lastTradeTime")</f>
        <v>N.A.</v>
      </c>
      <c r="M6" s="1" t="str">
        <f>RTD("pi.rtdserver", ,"NSE_HDFCBANK-EQ", "lastUpdateTime")</f>
        <v>N.A.</v>
      </c>
    </row>
    <row r="7" spans="1:13" ht="14.45" x14ac:dyDescent="0.35">
      <c r="A7" s="1" t="str">
        <f>RTD("pi.rtdserver", ,"NSE_ICICIBANK-EQ", "TradingSymbol")</f>
        <v>N.A.</v>
      </c>
      <c r="B7" s="1" t="str">
        <f>RTD("pi.rtdserver", ,"NSE_ICICIBANK-EQ", "Last")</f>
        <v>N.A.</v>
      </c>
      <c r="C7" s="1" t="str">
        <f>RTD("pi.rtdserver", ,"NSE_ICICIBANK-EQ", "BidSize")</f>
        <v>N.A.</v>
      </c>
      <c r="D7" s="1" t="str">
        <f>RTD("pi.rtdserver", ,"NSE_ICICIBANK-EQ", "Bid")</f>
        <v>N.A.</v>
      </c>
      <c r="E7" s="1" t="str">
        <f>RTD("pi.rtdserver", ,"NSE_ICICIBANK-EQ", "Ask")</f>
        <v>N.A.</v>
      </c>
      <c r="F7" s="1" t="str">
        <f>RTD("pi.rtdserver", ,"NSE_ICICIBANK-EQ", "AskSize")</f>
        <v>N.A.</v>
      </c>
      <c r="G7" s="1" t="str">
        <f>RTD("pi.rtdserver", ,"NSE_ICICIBANK-EQ", "LTQ")</f>
        <v>N.A.</v>
      </c>
      <c r="H7" s="1" t="str">
        <f>RTD("pi.rtdserver", ,"NSE_ICICIBANK-EQ", "Volume")</f>
        <v>N.A.</v>
      </c>
      <c r="I7" s="1" t="str">
        <f>RTD("pi.rtdserver", ,"NSE_ICICIBANK-EQ", "OpenInterest")</f>
        <v>N.A.</v>
      </c>
      <c r="J7" s="1" t="str">
        <f>RTD("pi.rtdserver", ,"NSE_ICICIBANK-EQ", "TotalBidQty")</f>
        <v>N.A.</v>
      </c>
      <c r="K7" s="1" t="str">
        <f>RTD("pi.rtdserver", ,"NSE_ICICIBANK-EQ", "TotalAskQty")</f>
        <v>N.A.</v>
      </c>
      <c r="L7" s="1" t="str">
        <f>RTD("pi.rtdserver", ,"NSE_ICICIBANK-EQ", "lastTradeTime")</f>
        <v>N.A.</v>
      </c>
      <c r="M7" s="1" t="str">
        <f>RTD("pi.rtdserver", ,"NSE_ICICIBANK-EQ", "lastUpdateTime")</f>
        <v>N.A.</v>
      </c>
    </row>
    <row r="8" spans="1:13" ht="14.45" x14ac:dyDescent="0.35">
      <c r="A8" s="1" t="str">
        <f>RTD("pi.rtdserver", ,"NSE_INDUSINDBK-EQ", "TradingSymbol")</f>
        <v>N.A.</v>
      </c>
      <c r="B8" s="1" t="str">
        <f>RTD("pi.rtdserver", ,"NSE_INDUSINDBK-EQ", "Last")</f>
        <v>N.A.</v>
      </c>
      <c r="C8" s="1" t="str">
        <f>RTD("pi.rtdserver", ,"NSE_INDUSINDBK-EQ", "BidSize")</f>
        <v>N.A.</v>
      </c>
      <c r="D8" s="1" t="str">
        <f>RTD("pi.rtdserver", ,"NSE_INDUSINDBK-EQ", "Bid")</f>
        <v>N.A.</v>
      </c>
      <c r="E8" s="1" t="str">
        <f>RTD("pi.rtdserver", ,"NSE_INDUSINDBK-EQ", "Ask")</f>
        <v>N.A.</v>
      </c>
      <c r="F8" s="1" t="str">
        <f>RTD("pi.rtdserver", ,"NSE_INDUSINDBK-EQ", "AskSize")</f>
        <v>N.A.</v>
      </c>
      <c r="G8" s="1" t="str">
        <f>RTD("pi.rtdserver", ,"NSE_INDUSINDBK-EQ", "LTQ")</f>
        <v>N.A.</v>
      </c>
      <c r="H8" s="1" t="str">
        <f>RTD("pi.rtdserver", ,"NSE_INDUSINDBK-EQ", "Volume")</f>
        <v>N.A.</v>
      </c>
      <c r="I8" s="1" t="str">
        <f>RTD("pi.rtdserver", ,"NSE_INDUSINDBK-EQ", "OpenInterest")</f>
        <v>N.A.</v>
      </c>
      <c r="J8" s="1" t="str">
        <f>RTD("pi.rtdserver", ,"NSE_INDUSINDBK-EQ", "TotalBidQty")</f>
        <v>N.A.</v>
      </c>
      <c r="K8" s="1" t="str">
        <f>RTD("pi.rtdserver", ,"NSE_INDUSINDBK-EQ", "TotalAskQty")</f>
        <v>N.A.</v>
      </c>
      <c r="L8" s="1" t="str">
        <f>RTD("pi.rtdserver", ,"NSE_INDUSINDBK-EQ", "lastTradeTime")</f>
        <v>N.A.</v>
      </c>
      <c r="M8" s="1" t="str">
        <f>RTD("pi.rtdserver", ,"NSE_INDUSINDBK-EQ", "lastUpdateTime")</f>
        <v>N.A.</v>
      </c>
    </row>
    <row r="9" spans="1:13" ht="14.45" x14ac:dyDescent="0.35">
      <c r="A9" s="1" t="str">
        <f>RTD("pi.rtdserver", ,"NSE_KOTAKBANK-EQ", "TradingSymbol")</f>
        <v>N.A.</v>
      </c>
      <c r="B9" s="1" t="str">
        <f>RTD("pi.rtdserver", ,"NSE_KOTAKBANK-EQ", "Last")</f>
        <v>N.A.</v>
      </c>
      <c r="C9" s="1" t="str">
        <f>RTD("pi.rtdserver", ,"NSE_KOTAKBANK-EQ", "BidSize")</f>
        <v>N.A.</v>
      </c>
      <c r="D9" s="1" t="str">
        <f>RTD("pi.rtdserver", ,"NSE_KOTAKBANK-EQ", "Bid")</f>
        <v>N.A.</v>
      </c>
      <c r="E9" s="1" t="str">
        <f>RTD("pi.rtdserver", ,"NSE_KOTAKBANK-EQ", "Ask")</f>
        <v>N.A.</v>
      </c>
      <c r="F9" s="1" t="str">
        <f>RTD("pi.rtdserver", ,"NSE_KOTAKBANK-EQ", "AskSize")</f>
        <v>N.A.</v>
      </c>
      <c r="G9" s="1" t="str">
        <f>RTD("pi.rtdserver", ,"NSE_KOTAKBANK-EQ", "LTQ")</f>
        <v>N.A.</v>
      </c>
      <c r="H9" s="1" t="str">
        <f>RTD("pi.rtdserver", ,"NSE_KOTAKBANK-EQ", "Volume")</f>
        <v>N.A.</v>
      </c>
      <c r="I9" s="1" t="str">
        <f>RTD("pi.rtdserver", ,"NSE_KOTAKBANK-EQ", "OpenInterest")</f>
        <v>N.A.</v>
      </c>
      <c r="J9" s="1" t="str">
        <f>RTD("pi.rtdserver", ,"NSE_KOTAKBANK-EQ", "TotalBidQty")</f>
        <v>N.A.</v>
      </c>
      <c r="K9" s="1" t="str">
        <f>RTD("pi.rtdserver", ,"NSE_KOTAKBANK-EQ", "TotalAskQty")</f>
        <v>N.A.</v>
      </c>
      <c r="L9" s="1" t="str">
        <f>RTD("pi.rtdserver", ,"NSE_KOTAKBANK-EQ", "lastTradeTime")</f>
        <v>N.A.</v>
      </c>
      <c r="M9" s="1" t="str">
        <f>RTD("pi.rtdserver", ,"NSE_KOTAKBANK-EQ", "lastUpdateTime")</f>
        <v>N.A.</v>
      </c>
    </row>
    <row r="10" spans="1:13" ht="14.45" x14ac:dyDescent="0.35">
      <c r="A10" s="1" t="str">
        <f>RTD("pi.rtdserver", ,"NSE_PNB-EQ", "TradingSymbol")</f>
        <v>N.A.</v>
      </c>
      <c r="B10" s="1" t="str">
        <f>RTD("pi.rtdserver", ,"NSE_PNB-EQ", "Last")</f>
        <v>N.A.</v>
      </c>
      <c r="C10" s="1" t="str">
        <f>RTD("pi.rtdserver", ,"NSE_PNB-EQ", "BidSize")</f>
        <v>N.A.</v>
      </c>
      <c r="D10" s="1" t="str">
        <f>RTD("pi.rtdserver", ,"NSE_PNB-EQ", "Bid")</f>
        <v>N.A.</v>
      </c>
      <c r="E10" s="1" t="str">
        <f>RTD("pi.rtdserver", ,"NSE_PNB-EQ", "Ask")</f>
        <v>N.A.</v>
      </c>
      <c r="F10" s="1" t="str">
        <f>RTD("pi.rtdserver", ,"NSE_PNB-EQ", "AskSize")</f>
        <v>N.A.</v>
      </c>
      <c r="G10" s="1" t="str">
        <f>RTD("pi.rtdserver", ,"NSE_PNB-EQ", "LTQ")</f>
        <v>N.A.</v>
      </c>
      <c r="H10" s="1" t="str">
        <f>RTD("pi.rtdserver", ,"NSE_PNB-EQ", "Volume")</f>
        <v>N.A.</v>
      </c>
      <c r="I10" s="1" t="str">
        <f>RTD("pi.rtdserver", ,"NSE_PNB-EQ", "OpenInterest")</f>
        <v>N.A.</v>
      </c>
      <c r="J10" s="1" t="str">
        <f>RTD("pi.rtdserver", ,"NSE_PNB-EQ", "TotalBidQty")</f>
        <v>N.A.</v>
      </c>
      <c r="K10" s="1" t="str">
        <f>RTD("pi.rtdserver", ,"NSE_PNB-EQ", "TotalAskQty")</f>
        <v>N.A.</v>
      </c>
      <c r="L10" s="1" t="str">
        <f>RTD("pi.rtdserver", ,"NSE_PNB-EQ", "lastTradeTime")</f>
        <v>N.A.</v>
      </c>
      <c r="M10" s="1" t="str">
        <f>RTD("pi.rtdserver", ,"NSE_PNB-EQ", "lastUpdateTime")</f>
        <v>N.A.</v>
      </c>
    </row>
    <row r="11" spans="1:13" ht="14.45" x14ac:dyDescent="0.35">
      <c r="A11" s="1" t="str">
        <f>RTD("pi.rtdserver", ,"NSE_SBIN-EQ", "TradingSymbol")</f>
        <v>N.A.</v>
      </c>
      <c r="B11" s="1" t="str">
        <f>RTD("pi.rtdserver", ,"NSE_SBIN-EQ", "Last")</f>
        <v>N.A.</v>
      </c>
      <c r="C11" s="1" t="str">
        <f>RTD("pi.rtdserver", ,"NSE_SBIN-EQ", "BidSize")</f>
        <v>N.A.</v>
      </c>
      <c r="D11" s="1" t="str">
        <f>RTD("pi.rtdserver", ,"NSE_SBIN-EQ", "Bid")</f>
        <v>N.A.</v>
      </c>
      <c r="E11" s="1" t="str">
        <f>RTD("pi.rtdserver", ,"NSE_SBIN-EQ", "Ask")</f>
        <v>N.A.</v>
      </c>
      <c r="F11" s="1" t="str">
        <f>RTD("pi.rtdserver", ,"NSE_SBIN-EQ", "AskSize")</f>
        <v>N.A.</v>
      </c>
      <c r="G11" s="1" t="str">
        <f>RTD("pi.rtdserver", ,"NSE_SBIN-EQ", "LTQ")</f>
        <v>N.A.</v>
      </c>
      <c r="H11" s="1" t="str">
        <f>RTD("pi.rtdserver", ,"NSE_SBIN-EQ", "Volume")</f>
        <v>N.A.</v>
      </c>
      <c r="I11" s="1" t="str">
        <f>RTD("pi.rtdserver", ,"NSE_SBIN-EQ", "OpenInterest")</f>
        <v>N.A.</v>
      </c>
      <c r="J11" s="1" t="str">
        <f>RTD("pi.rtdserver", ,"NSE_SBIN-EQ", "TotalBidQty")</f>
        <v>N.A.</v>
      </c>
      <c r="K11" s="1" t="str">
        <f>RTD("pi.rtdserver", ,"NSE_SBIN-EQ", "TotalAskQty")</f>
        <v>N.A.</v>
      </c>
      <c r="L11" s="1" t="str">
        <f>RTD("pi.rtdserver", ,"NSE_SBIN-EQ", "lastTradeTime")</f>
        <v>N.A.</v>
      </c>
      <c r="M11" s="1" t="str">
        <f>RTD("pi.rtdserver", ,"NSE_SBIN-EQ", "lastUpdateTime")</f>
        <v>N.A.</v>
      </c>
    </row>
    <row r="12" spans="1:13" ht="14.45" x14ac:dyDescent="0.35">
      <c r="A12" s="1" t="str">
        <f>RTD("pi.rtdserver", ,"NSE_YESBANK-EQ", "TradingSymbol")</f>
        <v>N.A.</v>
      </c>
      <c r="B12" s="1" t="str">
        <f>RTD("pi.rtdserver", ,"NSE_YESBANK-EQ", "Last")</f>
        <v>N.A.</v>
      </c>
      <c r="C12" s="1" t="str">
        <f>RTD("pi.rtdserver", ,"NSE_YESBANK-EQ", "BidSize")</f>
        <v>N.A.</v>
      </c>
      <c r="D12" s="1" t="str">
        <f>RTD("pi.rtdserver", ,"NSE_YESBANK-EQ", "Bid")</f>
        <v>N.A.</v>
      </c>
      <c r="E12" s="1" t="str">
        <f>RTD("pi.rtdserver", ,"NSE_YESBANK-EQ", "Ask")</f>
        <v>N.A.</v>
      </c>
      <c r="F12" s="1" t="str">
        <f>RTD("pi.rtdserver", ,"NSE_YESBANK-EQ", "AskSize")</f>
        <v>N.A.</v>
      </c>
      <c r="G12" s="1" t="str">
        <f>RTD("pi.rtdserver", ,"NSE_YESBANK-EQ", "LTQ")</f>
        <v>N.A.</v>
      </c>
      <c r="H12" s="1" t="str">
        <f>RTD("pi.rtdserver", ,"NSE_YESBANK-EQ", "Volume")</f>
        <v>N.A.</v>
      </c>
      <c r="I12" s="1" t="str">
        <f>RTD("pi.rtdserver", ,"NSE_YESBANK-EQ", "OpenInterest")</f>
        <v>N.A.</v>
      </c>
      <c r="J12" s="1" t="str">
        <f>RTD("pi.rtdserver", ,"NSE_YESBANK-EQ", "TotalBidQty")</f>
        <v>N.A.</v>
      </c>
      <c r="K12" s="1" t="str">
        <f>RTD("pi.rtdserver", ,"NSE_YESBANK-EQ", "TotalAskQty")</f>
        <v>N.A.</v>
      </c>
      <c r="L12" s="1" t="str">
        <f>RTD("pi.rtdserver", ,"NSE_YESBANK-EQ", "lastTradeTime")</f>
        <v>N.A.</v>
      </c>
      <c r="M12" s="1" t="str">
        <f>RTD("pi.rtdserver", ,"NSE_YESBANK-EQ", "lastUpdateTime")</f>
        <v>N.A.</v>
      </c>
    </row>
    <row r="13" spans="1:13" x14ac:dyDescent="0.25">
      <c r="A13" s="1" t="str">
        <f>RTD("pi.rtdserver", ,"_Nifty 50", "TradingSymbol")</f>
        <v>N.A.</v>
      </c>
      <c r="B13" s="1" t="str">
        <f>RTD("pi.rtdserver", ,"_Nifty 50", "Last")</f>
        <v>N.A.</v>
      </c>
      <c r="C13" s="1" t="str">
        <f>RTD("pi.rtdserver", ,"_Nifty 50", "BidSize")</f>
        <v>N.A.</v>
      </c>
      <c r="D13" s="1" t="str">
        <f>RTD("pi.rtdserver", ,"_Nifty 50", "Bid")</f>
        <v>N.A.</v>
      </c>
      <c r="E13" s="1" t="str">
        <f>RTD("pi.rtdserver", ,"_Nifty 50", "Ask")</f>
        <v>N.A.</v>
      </c>
      <c r="F13" s="1" t="str">
        <f>RTD("pi.rtdserver", ,"_Nifty 50", "AskSize")</f>
        <v>N.A.</v>
      </c>
      <c r="G13" s="1" t="str">
        <f>RTD("pi.rtdserver", ,"_Nifty 50", "LTQ")</f>
        <v>N.A.</v>
      </c>
      <c r="H13" s="1" t="str">
        <f>RTD("pi.rtdserver", ,"_Nifty 50", "Volume")</f>
        <v>N.A.</v>
      </c>
      <c r="I13" s="1" t="str">
        <f>RTD("pi.rtdserver", ,"_Nifty 50", "OpenInterest")</f>
        <v>N.A.</v>
      </c>
      <c r="J13" s="1" t="str">
        <f>RTD("pi.rtdserver", ,"_Nifty 50", "TotalBidQty")</f>
        <v>N.A.</v>
      </c>
      <c r="K13" s="1" t="str">
        <f>RTD("pi.rtdserver", ,"_Nifty 50", "TotalAskQty")</f>
        <v>N.A.</v>
      </c>
      <c r="L13" s="1" t="str">
        <f>RTD("pi.rtdserver", ,"_Nifty 50", "lastTradeTime")</f>
        <v>N.A.</v>
      </c>
      <c r="M13" s="1" t="str">
        <f>RTD("pi.rtdserver", ,"_Nifty 50", "lastUpdateTime")</f>
        <v>N.A.</v>
      </c>
    </row>
    <row r="14" spans="1:13" x14ac:dyDescent="0.25">
      <c r="A14" s="1" t="str">
        <f>RTD("pi.rtdserver", ,"_Nifty Bank", "TradingSymbol")</f>
        <v>N.A.</v>
      </c>
      <c r="B14" s="1" t="str">
        <f>RTD("pi.rtdserver", ,"_Nifty Bank", "Last")</f>
        <v>N.A.</v>
      </c>
      <c r="C14" s="1" t="str">
        <f>RTD("pi.rtdserver", ,"_Nifty Bank", "BidSize")</f>
        <v>N.A.</v>
      </c>
      <c r="D14" s="1" t="str">
        <f>RTD("pi.rtdserver", ,"_Nifty Bank", "Bid")</f>
        <v>N.A.</v>
      </c>
      <c r="E14" s="1" t="str">
        <f>RTD("pi.rtdserver", ,"_Nifty Bank", "Ask")</f>
        <v>N.A.</v>
      </c>
      <c r="F14" s="1" t="str">
        <f>RTD("pi.rtdserver", ,"_Nifty Bank", "AskSize")</f>
        <v>N.A.</v>
      </c>
      <c r="G14" s="1" t="str">
        <f>RTD("pi.rtdserver", ,"_Nifty Bank", "LTQ")</f>
        <v>N.A.</v>
      </c>
      <c r="H14" s="1" t="str">
        <f>RTD("pi.rtdserver", ,"_Nifty Bank", "Volume")</f>
        <v>N.A.</v>
      </c>
      <c r="I14" s="1" t="str">
        <f>RTD("pi.rtdserver", ,"_Nifty Bank", "OpenInterest")</f>
        <v>N.A.</v>
      </c>
      <c r="J14" s="1" t="str">
        <f>RTD("pi.rtdserver", ,"_Nifty Bank", "TotalBidQty")</f>
        <v>N.A.</v>
      </c>
      <c r="K14" s="1" t="str">
        <f>RTD("pi.rtdserver", ,"_Nifty Bank", "TotalAskQty")</f>
        <v>N.A.</v>
      </c>
      <c r="L14" s="1" t="str">
        <f>RTD("pi.rtdserver", ,"_Nifty Bank", "lastTradeTime")</f>
        <v>N.A.</v>
      </c>
      <c r="M14" s="1" t="str">
        <f>RTD("pi.rtdserver", ,"_Nifty Bank", "lastUpdateTime")</f>
        <v>N.A.</v>
      </c>
    </row>
    <row r="15" spans="1:13" x14ac:dyDescent="0.25">
      <c r="A15" s="1" t="str">
        <f>RTD("pi.rtdserver", ,"NFO_BANKNIFTY18SEPFUT", "TradingSymbol")</f>
        <v>N.A.</v>
      </c>
      <c r="B15" s="1" t="str">
        <f>RTD("pi.rtdserver", ,"NFO_BANKNIFTY18SEPFUT", "Last")</f>
        <v>N.A.</v>
      </c>
      <c r="C15" s="1" t="str">
        <f>RTD("pi.rtdserver", ,"NFO_BANKNIFTY18SEPFUT", "BidSize")</f>
        <v>N.A.</v>
      </c>
      <c r="D15" s="1" t="str">
        <f>RTD("pi.rtdserver", ,"NFO_BANKNIFTY18SEPFUT", "Bid")</f>
        <v>N.A.</v>
      </c>
      <c r="E15" s="1" t="str">
        <f>RTD("pi.rtdserver", ,"NFO_BANKNIFTY18SEPFUT", "Ask")</f>
        <v>N.A.</v>
      </c>
      <c r="F15" s="1" t="str">
        <f>RTD("pi.rtdserver", ,"NFO_BANKNIFTY18SEPFUT", "AskSize")</f>
        <v>N.A.</v>
      </c>
      <c r="G15" s="1" t="str">
        <f>RTD("pi.rtdserver", ,"NFO_BANKNIFTY18SEPFUT", "LTQ")</f>
        <v>N.A.</v>
      </c>
      <c r="H15" s="1" t="str">
        <f>RTD("pi.rtdserver", ,"NFO_BANKNIFTY18SEPFUT", "Volume")</f>
        <v>N.A.</v>
      </c>
      <c r="I15" s="1" t="str">
        <f>RTD("pi.rtdserver", ,"NFO_BANKNIFTY18SEPFUT", "OpenInterest")</f>
        <v>N.A.</v>
      </c>
      <c r="J15" s="1" t="str">
        <f>RTD("pi.rtdserver", ,"NFO_BANKNIFTY18SEPFUT", "TotalBidQty")</f>
        <v>N.A.</v>
      </c>
      <c r="K15" s="1" t="str">
        <f>RTD("pi.rtdserver", ,"NFO_BANKNIFTY18SEPFUT", "TotalAskQty")</f>
        <v>N.A.</v>
      </c>
      <c r="L15" s="1" t="str">
        <f>RTD("pi.rtdserver", ,"NFO_BANKNIFTY18SEPFUT", "lastTradeTime")</f>
        <v>N.A.</v>
      </c>
      <c r="M15" s="1" t="str">
        <f>RTD("pi.rtdserver", ,"NFO_BANKNIFTY18SEPFUT", "lastUpdateTime")</f>
        <v>N.A.</v>
      </c>
    </row>
    <row r="16" spans="1:13" x14ac:dyDescent="0.25">
      <c r="A16" s="1" t="str">
        <f>RTD("pi.rtdserver", ,"NFO_BANKNIFTY18OCTFUT", "TradingSymbol")</f>
        <v>N.A.</v>
      </c>
      <c r="B16" s="1" t="str">
        <f>RTD("pi.rtdserver", ,"NFO_BANKNIFTY18OCTFUT", "Last")</f>
        <v>N.A.</v>
      </c>
      <c r="C16" s="1" t="str">
        <f>RTD("pi.rtdserver", ,"NFO_BANKNIFTY18OCTFUT", "BidSize")</f>
        <v>N.A.</v>
      </c>
      <c r="D16" s="1" t="str">
        <f>RTD("pi.rtdserver", ,"NFO_BANKNIFTY18OCTFUT", "Bid")</f>
        <v>N.A.</v>
      </c>
      <c r="E16" s="1" t="str">
        <f>RTD("pi.rtdserver", ,"NFO_BANKNIFTY18OCTFUT", "Ask")</f>
        <v>N.A.</v>
      </c>
      <c r="F16" s="1" t="str">
        <f>RTD("pi.rtdserver", ,"NFO_BANKNIFTY18OCTFUT", "AskSize")</f>
        <v>N.A.</v>
      </c>
      <c r="G16" s="1" t="str">
        <f>RTD("pi.rtdserver", ,"NFO_BANKNIFTY18OCTFUT", "LTQ")</f>
        <v>N.A.</v>
      </c>
      <c r="H16" s="1" t="str">
        <f>RTD("pi.rtdserver", ,"NFO_BANKNIFTY18OCTFUT", "Volume")</f>
        <v>N.A.</v>
      </c>
      <c r="I16" s="1" t="str">
        <f>RTD("pi.rtdserver", ,"NFO_BANKNIFTY18OCTFUT", "OpenInterest")</f>
        <v>N.A.</v>
      </c>
      <c r="J16" s="1" t="str">
        <f>RTD("pi.rtdserver", ,"NFO_BANKNIFTY18OCTFUT", "TotalBidQty")</f>
        <v>N.A.</v>
      </c>
      <c r="K16" s="1" t="str">
        <f>RTD("pi.rtdserver", ,"NFO_BANKNIFTY18OCTFUT", "TotalAskQty")</f>
        <v>N.A.</v>
      </c>
      <c r="L16" s="1" t="str">
        <f>RTD("pi.rtdserver", ,"NFO_BANKNIFTY18OCTFUT", "lastTradeTime")</f>
        <v>N.A.</v>
      </c>
      <c r="M16" s="1" t="str">
        <f>RTD("pi.rtdserver", ,"NFO_BANKNIFTY18OCTFUT", "lastUpdateTime")</f>
        <v>N.A.</v>
      </c>
    </row>
    <row r="17" spans="1:13" x14ac:dyDescent="0.25">
      <c r="A17" s="1" t="str">
        <f>RTD("pi.rtdserver", ,"NFO_BANKNIFTY18NOVFUT", "TradingSymbol")</f>
        <v>N.A.</v>
      </c>
      <c r="B17" s="1" t="str">
        <f>RTD("pi.rtdserver", ,"NFO_BANKNIFTY18NOVFUT", "Last")</f>
        <v>N.A.</v>
      </c>
      <c r="C17" s="1" t="str">
        <f>RTD("pi.rtdserver", ,"NFO_BANKNIFTY18NOVFUT", "BidSize")</f>
        <v>N.A.</v>
      </c>
      <c r="D17" s="1" t="str">
        <f>RTD("pi.rtdserver", ,"NFO_BANKNIFTY18NOVFUT", "Bid")</f>
        <v>N.A.</v>
      </c>
      <c r="E17" s="1" t="str">
        <f>RTD("pi.rtdserver", ,"NFO_BANKNIFTY18NOVFUT", "Ask")</f>
        <v>N.A.</v>
      </c>
      <c r="F17" s="1" t="str">
        <f>RTD("pi.rtdserver", ,"NFO_BANKNIFTY18NOVFUT", "AskSize")</f>
        <v>N.A.</v>
      </c>
      <c r="G17" s="1" t="str">
        <f>RTD("pi.rtdserver", ,"NFO_BANKNIFTY18NOVFUT", "LTQ")</f>
        <v>N.A.</v>
      </c>
      <c r="H17" s="1" t="str">
        <f>RTD("pi.rtdserver", ,"NFO_BANKNIFTY18NOVFUT", "Volume")</f>
        <v>N.A.</v>
      </c>
      <c r="I17" s="1" t="str">
        <f>RTD("pi.rtdserver", ,"NFO_BANKNIFTY18NOVFUT", "OpenInterest")</f>
        <v>N.A.</v>
      </c>
      <c r="J17" s="1" t="str">
        <f>RTD("pi.rtdserver", ,"NFO_BANKNIFTY18NOVFUT", "TotalBidQty")</f>
        <v>N.A.</v>
      </c>
      <c r="K17" s="1" t="str">
        <f>RTD("pi.rtdserver", ,"NFO_BANKNIFTY18NOVFUT", "TotalAskQty")</f>
        <v>N.A.</v>
      </c>
      <c r="L17" s="1" t="str">
        <f>RTD("pi.rtdserver", ,"NFO_BANKNIFTY18NOVFUT", "lastTradeTime")</f>
        <v>N.A.</v>
      </c>
      <c r="M17" s="1" t="str">
        <f>RTD("pi.rtdserver", ,"NFO_BANKNIFTY18NOVFUT", "lastUpdateTime")</f>
        <v>N.A.</v>
      </c>
    </row>
    <row r="18" spans="1:13" x14ac:dyDescent="0.25">
      <c r="A18" s="1" t="str">
        <f>RTD("pi.rtdserver", ,"NFO_NIFTY18SEP10900CE", "TradingSymbol")</f>
        <v>N.A.</v>
      </c>
      <c r="B18" s="1" t="str">
        <f>RTD("pi.rtdserver", ,"NFO_NIFTY18SEP10900CE", "Last")</f>
        <v>N.A.</v>
      </c>
      <c r="C18" s="1" t="str">
        <f>RTD("pi.rtdserver", ,"NFO_NIFTY18SEP10900CE", "BidSize")</f>
        <v>N.A.</v>
      </c>
      <c r="D18" s="1" t="str">
        <f>RTD("pi.rtdserver", ,"NFO_NIFTY18SEP10900CE", "Bid")</f>
        <v>N.A.</v>
      </c>
      <c r="E18" s="1" t="str">
        <f>RTD("pi.rtdserver", ,"NFO_NIFTY18SEP10900CE", "Ask")</f>
        <v>N.A.</v>
      </c>
      <c r="F18" s="1" t="str">
        <f>RTD("pi.rtdserver", ,"NFO_NIFTY18SEP10900CE", "AskSize")</f>
        <v>N.A.</v>
      </c>
      <c r="G18" s="1" t="str">
        <f>RTD("pi.rtdserver", ,"NFO_NIFTY18SEP10900CE", "LTQ")</f>
        <v>N.A.</v>
      </c>
      <c r="H18" s="1" t="str">
        <f>RTD("pi.rtdserver", ,"NFO_NIFTY18SEP10900CE", "Volume")</f>
        <v>N.A.</v>
      </c>
      <c r="I18" s="1" t="str">
        <f>RTD("pi.rtdserver", ,"NFO_NIFTY18SEP10900CE", "OpenInterest")</f>
        <v>N.A.</v>
      </c>
      <c r="J18" s="1" t="str">
        <f>RTD("pi.rtdserver", ,"NFO_NIFTY18SEP10900CE", "TotalBidQty")</f>
        <v>N.A.</v>
      </c>
      <c r="K18" s="1" t="str">
        <f>RTD("pi.rtdserver", ,"NFO_NIFTY18SEP10900CE", "TotalAskQty")</f>
        <v>N.A.</v>
      </c>
      <c r="L18" s="1" t="str">
        <f>RTD("pi.rtdserver", ,"NFO_NIFTY18SEP10900CE", "lastTradeTime")</f>
        <v>N.A.</v>
      </c>
      <c r="M18" s="1" t="str">
        <f>RTD("pi.rtdserver", ,"NFO_NIFTY18SEP10900CE", "lastUpdateTime")</f>
        <v>N.A.</v>
      </c>
    </row>
    <row r="19" spans="1:13" x14ac:dyDescent="0.25">
      <c r="A19" s="1" t="str">
        <f>RTD("pi.rtdserver", ,"NFO_NIFTY18SEP10900PE", "TradingSymbol")</f>
        <v>N.A.</v>
      </c>
      <c r="B19" s="1" t="str">
        <f>RTD("pi.rtdserver", ,"NFO_NIFTY18SEP10900PE", "Last")</f>
        <v>N.A.</v>
      </c>
      <c r="C19" s="1" t="str">
        <f>RTD("pi.rtdserver", ,"NFO_NIFTY18SEP10900PE", "BidSize")</f>
        <v>N.A.</v>
      </c>
      <c r="D19" s="1" t="str">
        <f>RTD("pi.rtdserver", ,"NFO_NIFTY18SEP10900PE", "Bid")</f>
        <v>N.A.</v>
      </c>
      <c r="E19" s="1" t="str">
        <f>RTD("pi.rtdserver", ,"NFO_NIFTY18SEP10900PE", "Ask")</f>
        <v>N.A.</v>
      </c>
      <c r="F19" s="1" t="str">
        <f>RTD("pi.rtdserver", ,"NFO_NIFTY18SEP10900PE", "AskSize")</f>
        <v>N.A.</v>
      </c>
      <c r="G19" s="1" t="str">
        <f>RTD("pi.rtdserver", ,"NFO_NIFTY18SEP10900PE", "LTQ")</f>
        <v>N.A.</v>
      </c>
      <c r="H19" s="1" t="str">
        <f>RTD("pi.rtdserver", ,"NFO_NIFTY18SEP10900PE", "Volume")</f>
        <v>N.A.</v>
      </c>
      <c r="I19" s="1" t="str">
        <f>RTD("pi.rtdserver", ,"NFO_NIFTY18SEP10900PE", "OpenInterest")</f>
        <v>N.A.</v>
      </c>
      <c r="J19" s="1" t="str">
        <f>RTD("pi.rtdserver", ,"NFO_NIFTY18SEP10900PE", "TotalBidQty")</f>
        <v>N.A.</v>
      </c>
      <c r="K19" s="1" t="str">
        <f>RTD("pi.rtdserver", ,"NFO_NIFTY18SEP10900PE", "TotalAskQty")</f>
        <v>N.A.</v>
      </c>
      <c r="L19" s="1" t="str">
        <f>RTD("pi.rtdserver", ,"NFO_NIFTY18SEP10900PE", "lastTradeTime")</f>
        <v>N.A.</v>
      </c>
      <c r="M19" s="1" t="str">
        <f>RTD("pi.rtdserver", ,"NFO_NIFTY18SEP10900PE", "lastUpdateTime")</f>
        <v>N.A.</v>
      </c>
    </row>
    <row r="20" spans="1:13" x14ac:dyDescent="0.25">
      <c r="A20" s="1" t="str">
        <f>RTD("pi.rtdserver", ,"NFO_NIFTY18SEP10950CE", "TradingSymbol")</f>
        <v>N.A.</v>
      </c>
      <c r="B20" s="1" t="str">
        <f>RTD("pi.rtdserver", ,"NFO_NIFTY18SEP10950CE", "Last")</f>
        <v>N.A.</v>
      </c>
      <c r="C20" s="1" t="str">
        <f>RTD("pi.rtdserver", ,"NFO_NIFTY18SEP10950CE", "BidSize")</f>
        <v>N.A.</v>
      </c>
      <c r="D20" s="1" t="str">
        <f>RTD("pi.rtdserver", ,"NFO_NIFTY18SEP10950CE", "Bid")</f>
        <v>N.A.</v>
      </c>
      <c r="E20" s="1" t="str">
        <f>RTD("pi.rtdserver", ,"NFO_NIFTY18SEP10950CE", "Ask")</f>
        <v>N.A.</v>
      </c>
      <c r="F20" s="1" t="str">
        <f>RTD("pi.rtdserver", ,"NFO_NIFTY18SEP10950CE", "AskSize")</f>
        <v>N.A.</v>
      </c>
      <c r="G20" s="1" t="str">
        <f>RTD("pi.rtdserver", ,"NFO_NIFTY18SEP10950CE", "LTQ")</f>
        <v>N.A.</v>
      </c>
      <c r="H20" s="1" t="str">
        <f>RTD("pi.rtdserver", ,"NFO_NIFTY18SEP10950CE", "Volume")</f>
        <v>N.A.</v>
      </c>
      <c r="I20" s="1" t="str">
        <f>RTD("pi.rtdserver", ,"NFO_NIFTY18SEP10950CE", "OpenInterest")</f>
        <v>N.A.</v>
      </c>
      <c r="J20" s="1" t="str">
        <f>RTD("pi.rtdserver", ,"NFO_NIFTY18SEP10950CE", "TotalBidQty")</f>
        <v>N.A.</v>
      </c>
      <c r="K20" s="1" t="str">
        <f>RTD("pi.rtdserver", ,"NFO_NIFTY18SEP10950CE", "TotalAskQty")</f>
        <v>N.A.</v>
      </c>
      <c r="L20" s="1" t="str">
        <f>RTD("pi.rtdserver", ,"NFO_NIFTY18SEP10950CE", "lastTradeTime")</f>
        <v>N.A.</v>
      </c>
      <c r="M20" s="1" t="str">
        <f>RTD("pi.rtdserver", ,"NFO_NIFTY18SEP10950CE", "lastUpdateTime")</f>
        <v>N.A.</v>
      </c>
    </row>
    <row r="21" spans="1:13" x14ac:dyDescent="0.25">
      <c r="A21" s="1" t="str">
        <f>RTD("pi.rtdserver", ,"NFO_NIFTY18SEP10950PE", "TradingSymbol")</f>
        <v>N.A.</v>
      </c>
      <c r="B21" s="1" t="str">
        <f>RTD("pi.rtdserver", ,"NFO_NIFTY18SEP10950PE", "Last")</f>
        <v>N.A.</v>
      </c>
      <c r="C21" s="1" t="str">
        <f>RTD("pi.rtdserver", ,"NFO_NIFTY18SEP10950PE", "BidSize")</f>
        <v>N.A.</v>
      </c>
      <c r="D21" s="1" t="str">
        <f>RTD("pi.rtdserver", ,"NFO_NIFTY18SEP10950PE", "Bid")</f>
        <v>N.A.</v>
      </c>
      <c r="E21" s="1" t="str">
        <f>RTD("pi.rtdserver", ,"NFO_NIFTY18SEP10950PE", "Ask")</f>
        <v>N.A.</v>
      </c>
      <c r="F21" s="1" t="str">
        <f>RTD("pi.rtdserver", ,"NFO_NIFTY18SEP10950PE", "AskSize")</f>
        <v>N.A.</v>
      </c>
      <c r="G21" s="1" t="str">
        <f>RTD("pi.rtdserver", ,"NFO_NIFTY18SEP10950PE", "LTQ")</f>
        <v>N.A.</v>
      </c>
      <c r="H21" s="1" t="str">
        <f>RTD("pi.rtdserver", ,"NFO_NIFTY18SEP10950PE", "Volume")</f>
        <v>N.A.</v>
      </c>
      <c r="I21" s="1" t="str">
        <f>RTD("pi.rtdserver", ,"NFO_NIFTY18SEP10950PE", "OpenInterest")</f>
        <v>N.A.</v>
      </c>
      <c r="J21" s="1" t="str">
        <f>RTD("pi.rtdserver", ,"NFO_NIFTY18SEP10950PE", "TotalBidQty")</f>
        <v>N.A.</v>
      </c>
      <c r="K21" s="1" t="str">
        <f>RTD("pi.rtdserver", ,"NFO_NIFTY18SEP10950PE", "TotalAskQty")</f>
        <v>N.A.</v>
      </c>
      <c r="L21" s="1" t="str">
        <f>RTD("pi.rtdserver", ,"NFO_NIFTY18SEP10950PE", "lastTradeTime")</f>
        <v>N.A.</v>
      </c>
      <c r="M21" s="1" t="str">
        <f>RTD("pi.rtdserver", ,"NFO_NIFTY18SEP10950PE", "lastUpdateTime")</f>
        <v>N.A.</v>
      </c>
    </row>
    <row r="22" spans="1:13" x14ac:dyDescent="0.25">
      <c r="A22" s="1" t="str">
        <f>RTD("pi.rtdserver", ,"NFO_NIFTY18SEP11000CE", "TradingSymbol")</f>
        <v>N.A.</v>
      </c>
      <c r="B22" s="1" t="str">
        <f>RTD("pi.rtdserver", ,"NFO_NIFTY18SEP11000CE", "Last")</f>
        <v>N.A.</v>
      </c>
      <c r="C22" s="1" t="str">
        <f>RTD("pi.rtdserver", ,"NFO_NIFTY18SEP11000CE", "BidSize")</f>
        <v>N.A.</v>
      </c>
      <c r="D22" s="1" t="str">
        <f>RTD("pi.rtdserver", ,"NFO_NIFTY18SEP11000CE", "Bid")</f>
        <v>N.A.</v>
      </c>
      <c r="E22" s="1" t="str">
        <f>RTD("pi.rtdserver", ,"NFO_NIFTY18SEP11000CE", "Ask")</f>
        <v>N.A.</v>
      </c>
      <c r="F22" s="1" t="str">
        <f>RTD("pi.rtdserver", ,"NFO_NIFTY18SEP11000CE", "AskSize")</f>
        <v>N.A.</v>
      </c>
      <c r="G22" s="1" t="str">
        <f>RTD("pi.rtdserver", ,"NFO_NIFTY18SEP11000CE", "LTQ")</f>
        <v>N.A.</v>
      </c>
      <c r="H22" s="1" t="str">
        <f>RTD("pi.rtdserver", ,"NFO_NIFTY18SEP11000CE", "Volume")</f>
        <v>N.A.</v>
      </c>
      <c r="I22" s="1" t="str">
        <f>RTD("pi.rtdserver", ,"NFO_NIFTY18SEP11000CE", "OpenInterest")</f>
        <v>N.A.</v>
      </c>
      <c r="J22" s="1" t="str">
        <f>RTD("pi.rtdserver", ,"NFO_NIFTY18SEP11000CE", "TotalBidQty")</f>
        <v>N.A.</v>
      </c>
      <c r="K22" s="1" t="str">
        <f>RTD("pi.rtdserver", ,"NFO_NIFTY18SEP11000CE", "TotalAskQty")</f>
        <v>N.A.</v>
      </c>
      <c r="L22" s="1" t="str">
        <f>RTD("pi.rtdserver", ,"NFO_NIFTY18SEP11000CE", "lastTradeTime")</f>
        <v>N.A.</v>
      </c>
      <c r="M22" s="1" t="str">
        <f>RTD("pi.rtdserver", ,"NFO_NIFTY18SEP11000CE", "lastUpdateTime")</f>
        <v>N.A.</v>
      </c>
    </row>
    <row r="23" spans="1:13" x14ac:dyDescent="0.25">
      <c r="A23" s="1" t="str">
        <f>RTD("pi.rtdserver", ,"NFO_NIFTY18SEP11000PE", "TradingSymbol")</f>
        <v>N.A.</v>
      </c>
      <c r="B23" s="1" t="str">
        <f>RTD("pi.rtdserver", ,"NFO_NIFTY18SEP11000PE", "Last")</f>
        <v>N.A.</v>
      </c>
      <c r="C23" s="1" t="str">
        <f>RTD("pi.rtdserver", ,"NFO_NIFTY18SEP11000PE", "BidSize")</f>
        <v>N.A.</v>
      </c>
      <c r="D23" s="1" t="str">
        <f>RTD("pi.rtdserver", ,"NFO_NIFTY18SEP11000PE", "Bid")</f>
        <v>N.A.</v>
      </c>
      <c r="E23" s="1" t="str">
        <f>RTD("pi.rtdserver", ,"NFO_NIFTY18SEP11000PE", "Ask")</f>
        <v>N.A.</v>
      </c>
      <c r="F23" s="1" t="str">
        <f>RTD("pi.rtdserver", ,"NFO_NIFTY18SEP11000PE", "AskSize")</f>
        <v>N.A.</v>
      </c>
      <c r="G23" s="1" t="str">
        <f>RTD("pi.rtdserver", ,"NFO_NIFTY18SEP11000PE", "LTQ")</f>
        <v>N.A.</v>
      </c>
      <c r="H23" s="1" t="str">
        <f>RTD("pi.rtdserver", ,"NFO_NIFTY18SEP11000PE", "Volume")</f>
        <v>N.A.</v>
      </c>
      <c r="I23" s="1" t="str">
        <f>RTD("pi.rtdserver", ,"NFO_NIFTY18SEP11000PE", "OpenInterest")</f>
        <v>N.A.</v>
      </c>
      <c r="J23" s="1" t="str">
        <f>RTD("pi.rtdserver", ,"NFO_NIFTY18SEP11000PE", "TotalBidQty")</f>
        <v>N.A.</v>
      </c>
      <c r="K23" s="1" t="str">
        <f>RTD("pi.rtdserver", ,"NFO_NIFTY18SEP11000PE", "TotalAskQty")</f>
        <v>N.A.</v>
      </c>
      <c r="L23" s="1" t="str">
        <f>RTD("pi.rtdserver", ,"NFO_NIFTY18SEP11000PE", "lastTradeTime")</f>
        <v>N.A.</v>
      </c>
      <c r="M23" s="1" t="str">
        <f>RTD("pi.rtdserver", ,"NFO_NIFTY18SEP11000PE", "lastUpdateTime")</f>
        <v>N.A.</v>
      </c>
    </row>
    <row r="24" spans="1:13" x14ac:dyDescent="0.25">
      <c r="A24" s="1" t="str">
        <f>RTD("pi.rtdserver", ,"NFO_NIFTY18SEP11050CE", "TradingSymbol")</f>
        <v>N.A.</v>
      </c>
      <c r="B24" s="1" t="str">
        <f>RTD("pi.rtdserver", ,"NFO_NIFTY18SEP11050CE", "Last")</f>
        <v>N.A.</v>
      </c>
      <c r="C24" s="1" t="str">
        <f>RTD("pi.rtdserver", ,"NFO_NIFTY18SEP11050CE", "BidSize")</f>
        <v>N.A.</v>
      </c>
      <c r="D24" s="1" t="str">
        <f>RTD("pi.rtdserver", ,"NFO_NIFTY18SEP11050CE", "Bid")</f>
        <v>N.A.</v>
      </c>
      <c r="E24" s="1" t="str">
        <f>RTD("pi.rtdserver", ,"NFO_NIFTY18SEP11050CE", "Ask")</f>
        <v>N.A.</v>
      </c>
      <c r="F24" s="1" t="str">
        <f>RTD("pi.rtdserver", ,"NFO_NIFTY18SEP11050CE", "AskSize")</f>
        <v>N.A.</v>
      </c>
      <c r="G24" s="1" t="str">
        <f>RTD("pi.rtdserver", ,"NFO_NIFTY18SEP11050CE", "LTQ")</f>
        <v>N.A.</v>
      </c>
      <c r="H24" s="1" t="str">
        <f>RTD("pi.rtdserver", ,"NFO_NIFTY18SEP11050CE", "Volume")</f>
        <v>N.A.</v>
      </c>
      <c r="I24" s="1" t="str">
        <f>RTD("pi.rtdserver", ,"NFO_NIFTY18SEP11050CE", "OpenInterest")</f>
        <v>N.A.</v>
      </c>
      <c r="J24" s="1" t="str">
        <f>RTD("pi.rtdserver", ,"NFO_NIFTY18SEP11050CE", "TotalBidQty")</f>
        <v>N.A.</v>
      </c>
      <c r="K24" s="1" t="str">
        <f>RTD("pi.rtdserver", ,"NFO_NIFTY18SEP11050CE", "TotalAskQty")</f>
        <v>N.A.</v>
      </c>
      <c r="L24" s="1" t="str">
        <f>RTD("pi.rtdserver", ,"NFO_NIFTY18SEP11050CE", "lastTradeTime")</f>
        <v>N.A.</v>
      </c>
      <c r="M24" s="1" t="str">
        <f>RTD("pi.rtdserver", ,"NFO_NIFTY18SEP11050CE", "lastUpdateTime")</f>
        <v>N.A.</v>
      </c>
    </row>
    <row r="25" spans="1:13" x14ac:dyDescent="0.25">
      <c r="A25" s="1" t="str">
        <f>RTD("pi.rtdserver", ,"NFO_NIFTY18SEP11050PE", "TradingSymbol")</f>
        <v>N.A.</v>
      </c>
      <c r="B25" s="1" t="str">
        <f>RTD("pi.rtdserver", ,"NFO_NIFTY18SEP11050PE", "Last")</f>
        <v>N.A.</v>
      </c>
      <c r="C25" s="1" t="str">
        <f>RTD("pi.rtdserver", ,"NFO_NIFTY18SEP11050PE", "BidSize")</f>
        <v>N.A.</v>
      </c>
      <c r="D25" s="1" t="str">
        <f>RTD("pi.rtdserver", ,"NFO_NIFTY18SEP11050PE", "Bid")</f>
        <v>N.A.</v>
      </c>
      <c r="E25" s="1" t="str">
        <f>RTD("pi.rtdserver", ,"NFO_NIFTY18SEP11050PE", "Ask")</f>
        <v>N.A.</v>
      </c>
      <c r="F25" s="1" t="str">
        <f>RTD("pi.rtdserver", ,"NFO_NIFTY18SEP11050PE", "AskSize")</f>
        <v>N.A.</v>
      </c>
      <c r="G25" s="1" t="str">
        <f>RTD("pi.rtdserver", ,"NFO_NIFTY18SEP11050PE", "LTQ")</f>
        <v>N.A.</v>
      </c>
      <c r="H25" s="1" t="str">
        <f>RTD("pi.rtdserver", ,"NFO_NIFTY18SEP11050PE", "Volume")</f>
        <v>N.A.</v>
      </c>
      <c r="I25" s="1" t="str">
        <f>RTD("pi.rtdserver", ,"NFO_NIFTY18SEP11050PE", "OpenInterest")</f>
        <v>N.A.</v>
      </c>
      <c r="J25" s="1" t="str">
        <f>RTD("pi.rtdserver", ,"NFO_NIFTY18SEP11050PE", "TotalBidQty")</f>
        <v>N.A.</v>
      </c>
      <c r="K25" s="1" t="str">
        <f>RTD("pi.rtdserver", ,"NFO_NIFTY18SEP11050PE", "TotalAskQty")</f>
        <v>N.A.</v>
      </c>
      <c r="L25" s="1" t="str">
        <f>RTD("pi.rtdserver", ,"NFO_NIFTY18SEP11050PE", "lastTradeTime")</f>
        <v>N.A.</v>
      </c>
      <c r="M25" s="1" t="str">
        <f>RTD("pi.rtdserver", ,"NFO_NIFTY18SEP11050PE", "lastUpdateTime")</f>
        <v>N.A.</v>
      </c>
    </row>
    <row r="26" spans="1:13" x14ac:dyDescent="0.25">
      <c r="A26" s="1" t="str">
        <f>RTD("pi.rtdserver", ,"NFO_NIFTY18SEP11100CE", "TradingSymbol")</f>
        <v>N.A.</v>
      </c>
      <c r="B26" s="1" t="str">
        <f>RTD("pi.rtdserver", ,"NFO_NIFTY18SEP11100CE", "Last")</f>
        <v>N.A.</v>
      </c>
      <c r="C26" s="1" t="str">
        <f>RTD("pi.rtdserver", ,"NFO_NIFTY18SEP11100CE", "BidSize")</f>
        <v>N.A.</v>
      </c>
      <c r="D26" s="1" t="str">
        <f>RTD("pi.rtdserver", ,"NFO_NIFTY18SEP11100CE", "Bid")</f>
        <v>N.A.</v>
      </c>
      <c r="E26" s="1" t="str">
        <f>RTD("pi.rtdserver", ,"NFO_NIFTY18SEP11100CE", "Ask")</f>
        <v>N.A.</v>
      </c>
      <c r="F26" s="1" t="str">
        <f>RTD("pi.rtdserver", ,"NFO_NIFTY18SEP11100CE", "AskSize")</f>
        <v>N.A.</v>
      </c>
      <c r="G26" s="1" t="str">
        <f>RTD("pi.rtdserver", ,"NFO_NIFTY18SEP11100CE", "LTQ")</f>
        <v>N.A.</v>
      </c>
      <c r="H26" s="1" t="str">
        <f>RTD("pi.rtdserver", ,"NFO_NIFTY18SEP11100CE", "Volume")</f>
        <v>N.A.</v>
      </c>
      <c r="I26" s="1" t="str">
        <f>RTD("pi.rtdserver", ,"NFO_NIFTY18SEP11100CE", "OpenInterest")</f>
        <v>N.A.</v>
      </c>
      <c r="J26" s="1" t="str">
        <f>RTD("pi.rtdserver", ,"NFO_NIFTY18SEP11100CE", "TotalBidQty")</f>
        <v>N.A.</v>
      </c>
      <c r="K26" s="1" t="str">
        <f>RTD("pi.rtdserver", ,"NFO_NIFTY18SEP11100CE", "TotalAskQty")</f>
        <v>N.A.</v>
      </c>
      <c r="L26" s="1" t="str">
        <f>RTD("pi.rtdserver", ,"NFO_NIFTY18SEP11100CE", "lastTradeTime")</f>
        <v>N.A.</v>
      </c>
      <c r="M26" s="1" t="str">
        <f>RTD("pi.rtdserver", ,"NFO_NIFTY18SEP11100CE", "lastUpdateTime")</f>
        <v>N.A.</v>
      </c>
    </row>
    <row r="27" spans="1:13" x14ac:dyDescent="0.25">
      <c r="A27" s="1" t="str">
        <f>RTD("pi.rtdserver", ,"NFO_NIFTY18SEP11100PE", "TradingSymbol")</f>
        <v>N.A.</v>
      </c>
      <c r="B27" s="1" t="str">
        <f>RTD("pi.rtdserver", ,"NFO_NIFTY18SEP11100PE", "Last")</f>
        <v>N.A.</v>
      </c>
      <c r="C27" s="1" t="str">
        <f>RTD("pi.rtdserver", ,"NFO_NIFTY18SEP11100PE", "BidSize")</f>
        <v>N.A.</v>
      </c>
      <c r="D27" s="1" t="str">
        <f>RTD("pi.rtdserver", ,"NFO_NIFTY18SEP11100PE", "Bid")</f>
        <v>N.A.</v>
      </c>
      <c r="E27" s="1" t="str">
        <f>RTD("pi.rtdserver", ,"NFO_NIFTY18SEP11100PE", "Ask")</f>
        <v>N.A.</v>
      </c>
      <c r="F27" s="1" t="str">
        <f>RTD("pi.rtdserver", ,"NFO_NIFTY18SEP11100PE", "AskSize")</f>
        <v>N.A.</v>
      </c>
      <c r="G27" s="1" t="str">
        <f>RTD("pi.rtdserver", ,"NFO_NIFTY18SEP11100PE", "LTQ")</f>
        <v>N.A.</v>
      </c>
      <c r="H27" s="1" t="str">
        <f>RTD("pi.rtdserver", ,"NFO_NIFTY18SEP11100PE", "Volume")</f>
        <v>N.A.</v>
      </c>
      <c r="I27" s="1" t="str">
        <f>RTD("pi.rtdserver", ,"NFO_NIFTY18SEP11100PE", "OpenInterest")</f>
        <v>N.A.</v>
      </c>
      <c r="J27" s="1" t="str">
        <f>RTD("pi.rtdserver", ,"NFO_NIFTY18SEP11100PE", "TotalBidQty")</f>
        <v>N.A.</v>
      </c>
      <c r="K27" s="1" t="str">
        <f>RTD("pi.rtdserver", ,"NFO_NIFTY18SEP11100PE", "TotalAskQty")</f>
        <v>N.A.</v>
      </c>
      <c r="L27" s="1" t="str">
        <f>RTD("pi.rtdserver", ,"NFO_NIFTY18SEP11100PE", "lastTradeTime")</f>
        <v>N.A.</v>
      </c>
      <c r="M27" s="1" t="str">
        <f>RTD("pi.rtdserver", ,"NFO_NIFTY18SEP11100PE", "lastUpdateTime")</f>
        <v>N.A.</v>
      </c>
    </row>
    <row r="28" spans="1:13" x14ac:dyDescent="0.25">
      <c r="A28" s="1" t="str">
        <f>RTD("pi.rtdserver", ,"NFO_NIFTY18SEP11200CE", "TradingSymbol")</f>
        <v>N.A.</v>
      </c>
      <c r="B28" s="1" t="str">
        <f>RTD("pi.rtdserver", ,"NFO_NIFTY18SEP11200CE", "Last")</f>
        <v>N.A.</v>
      </c>
      <c r="C28" s="1" t="str">
        <f>RTD("pi.rtdserver", ,"NFO_NIFTY18SEP11200CE", "BidSize")</f>
        <v>N.A.</v>
      </c>
      <c r="D28" s="1" t="str">
        <f>RTD("pi.rtdserver", ,"NFO_NIFTY18SEP11200CE", "Bid")</f>
        <v>N.A.</v>
      </c>
      <c r="E28" s="1" t="str">
        <f>RTD("pi.rtdserver", ,"NFO_NIFTY18SEP11200CE", "Ask")</f>
        <v>N.A.</v>
      </c>
      <c r="F28" s="1" t="str">
        <f>RTD("pi.rtdserver", ,"NFO_NIFTY18SEP11200CE", "AskSize")</f>
        <v>N.A.</v>
      </c>
      <c r="G28" s="1" t="str">
        <f>RTD("pi.rtdserver", ,"NFO_NIFTY18SEP11200CE", "LTQ")</f>
        <v>N.A.</v>
      </c>
      <c r="H28" s="1" t="str">
        <f>RTD("pi.rtdserver", ,"NFO_NIFTY18SEP11200CE", "Volume")</f>
        <v>N.A.</v>
      </c>
      <c r="I28" s="1" t="str">
        <f>RTD("pi.rtdserver", ,"NFO_NIFTY18SEP11200CE", "OpenInterest")</f>
        <v>N.A.</v>
      </c>
      <c r="J28" s="1" t="str">
        <f>RTD("pi.rtdserver", ,"NFO_NIFTY18SEP11200CE", "TotalBidQty")</f>
        <v>N.A.</v>
      </c>
      <c r="K28" s="1" t="str">
        <f>RTD("pi.rtdserver", ,"NFO_NIFTY18SEP11200CE", "TotalAskQty")</f>
        <v>N.A.</v>
      </c>
      <c r="L28" s="1" t="str">
        <f>RTD("pi.rtdserver", ,"NFO_NIFTY18SEP11200CE", "lastTradeTime")</f>
        <v>N.A.</v>
      </c>
      <c r="M28" s="1" t="str">
        <f>RTD("pi.rtdserver", ,"NFO_NIFTY18SEP11200CE", "lastUpdateTime")</f>
        <v>N.A.</v>
      </c>
    </row>
    <row r="29" spans="1:13" x14ac:dyDescent="0.25">
      <c r="A29" s="1" t="str">
        <f>RTD("pi.rtdserver", ,"NFO_NIFTY18SEP11200PE", "TradingSymbol")</f>
        <v>N.A.</v>
      </c>
      <c r="B29" s="1" t="str">
        <f>RTD("pi.rtdserver", ,"NFO_NIFTY18SEP11200PE", "Last")</f>
        <v>N.A.</v>
      </c>
      <c r="C29" s="1" t="str">
        <f>RTD("pi.rtdserver", ,"NFO_NIFTY18SEP11200PE", "BidSize")</f>
        <v>N.A.</v>
      </c>
      <c r="D29" s="1" t="str">
        <f>RTD("pi.rtdserver", ,"NFO_NIFTY18SEP11200PE", "Bid")</f>
        <v>N.A.</v>
      </c>
      <c r="E29" s="1" t="str">
        <f>RTD("pi.rtdserver", ,"NFO_NIFTY18SEP11200PE", "Ask")</f>
        <v>N.A.</v>
      </c>
      <c r="F29" s="1" t="str">
        <f>RTD("pi.rtdserver", ,"NFO_NIFTY18SEP11200PE", "AskSize")</f>
        <v>N.A.</v>
      </c>
      <c r="G29" s="1" t="str">
        <f>RTD("pi.rtdserver", ,"NFO_NIFTY18SEP11200PE", "LTQ")</f>
        <v>N.A.</v>
      </c>
      <c r="H29" s="1" t="str">
        <f>RTD("pi.rtdserver", ,"NFO_NIFTY18SEP11200PE", "Volume")</f>
        <v>N.A.</v>
      </c>
      <c r="I29" s="1" t="str">
        <f>RTD("pi.rtdserver", ,"NFO_NIFTY18SEP11200PE", "OpenInterest")</f>
        <v>N.A.</v>
      </c>
      <c r="J29" s="1" t="str">
        <f>RTD("pi.rtdserver", ,"NFO_NIFTY18SEP11200PE", "TotalBidQty")</f>
        <v>N.A.</v>
      </c>
      <c r="K29" s="1" t="str">
        <f>RTD("pi.rtdserver", ,"NFO_NIFTY18SEP11200PE", "TotalAskQty")</f>
        <v>N.A.</v>
      </c>
      <c r="L29" s="1" t="str">
        <f>RTD("pi.rtdserver", ,"NFO_NIFTY18SEP11200PE", "lastTradeTime")</f>
        <v>N.A.</v>
      </c>
      <c r="M29" s="1" t="str">
        <f>RTD("pi.rtdserver", ,"NFO_NIFTY18SEP11200PE", "lastUpdateTime")</f>
        <v>N.A.</v>
      </c>
    </row>
    <row r="30" spans="1:13" x14ac:dyDescent="0.25">
      <c r="A30" s="1" t="str">
        <f>RTD("pi.rtdserver", ,"NFO_NIFTY18SEP11250CE", "TradingSymbol")</f>
        <v>N.A.</v>
      </c>
      <c r="B30" s="1" t="str">
        <f>RTD("pi.rtdserver", ,"NFO_NIFTY18SEP11250CE", "Last")</f>
        <v>N.A.</v>
      </c>
      <c r="C30" s="1" t="str">
        <f>RTD("pi.rtdserver", ,"NFO_NIFTY18SEP11250CE", "BidSize")</f>
        <v>N.A.</v>
      </c>
      <c r="D30" s="1" t="str">
        <f>RTD("pi.rtdserver", ,"NFO_NIFTY18SEP11250CE", "Bid")</f>
        <v>N.A.</v>
      </c>
      <c r="E30" s="1" t="str">
        <f>RTD("pi.rtdserver", ,"NFO_NIFTY18SEP11250CE", "Ask")</f>
        <v>N.A.</v>
      </c>
      <c r="F30" s="1" t="str">
        <f>RTD("pi.rtdserver", ,"NFO_NIFTY18SEP11250CE", "AskSize")</f>
        <v>N.A.</v>
      </c>
      <c r="G30" s="1" t="str">
        <f>RTD("pi.rtdserver", ,"NFO_NIFTY18SEP11250CE", "LTQ")</f>
        <v>N.A.</v>
      </c>
      <c r="H30" s="1" t="str">
        <f>RTD("pi.rtdserver", ,"NFO_NIFTY18SEP11250CE", "Volume")</f>
        <v>N.A.</v>
      </c>
      <c r="I30" s="1" t="str">
        <f>RTD("pi.rtdserver", ,"NFO_NIFTY18SEP11250CE", "OpenInterest")</f>
        <v>N.A.</v>
      </c>
      <c r="J30" s="1" t="str">
        <f>RTD("pi.rtdserver", ,"NFO_NIFTY18SEP11250CE", "TotalBidQty")</f>
        <v>N.A.</v>
      </c>
      <c r="K30" s="1" t="str">
        <f>RTD("pi.rtdserver", ,"NFO_NIFTY18SEP11250CE", "TotalAskQty")</f>
        <v>N.A.</v>
      </c>
      <c r="L30" s="1" t="str">
        <f>RTD("pi.rtdserver", ,"NFO_NIFTY18SEP11250CE", "lastTradeTime")</f>
        <v>N.A.</v>
      </c>
      <c r="M30" s="1" t="str">
        <f>RTD("pi.rtdserver", ,"NFO_NIFTY18SEP11250CE", "lastUpdateTime")</f>
        <v>N.A.</v>
      </c>
    </row>
    <row r="31" spans="1:13" x14ac:dyDescent="0.25">
      <c r="A31" s="1" t="str">
        <f>RTD("pi.rtdserver", ,"NFO_NIFTY18SEP11250PE", "TradingSymbol")</f>
        <v>N.A.</v>
      </c>
      <c r="B31" s="1" t="str">
        <f>RTD("pi.rtdserver", ,"NFO_NIFTY18SEP11250PE", "Last")</f>
        <v>N.A.</v>
      </c>
      <c r="C31" s="1" t="str">
        <f>RTD("pi.rtdserver", ,"NFO_NIFTY18SEP11250PE", "BidSize")</f>
        <v>N.A.</v>
      </c>
      <c r="D31" s="1" t="str">
        <f>RTD("pi.rtdserver", ,"NFO_NIFTY18SEP11250PE", "Bid")</f>
        <v>N.A.</v>
      </c>
      <c r="E31" s="1" t="str">
        <f>RTD("pi.rtdserver", ,"NFO_NIFTY18SEP11250PE", "Ask")</f>
        <v>N.A.</v>
      </c>
      <c r="F31" s="1" t="str">
        <f>RTD("pi.rtdserver", ,"NFO_NIFTY18SEP11250PE", "AskSize")</f>
        <v>N.A.</v>
      </c>
      <c r="G31" s="1" t="str">
        <f>RTD("pi.rtdserver", ,"NFO_NIFTY18SEP11250PE", "LTQ")</f>
        <v>N.A.</v>
      </c>
      <c r="H31" s="1" t="str">
        <f>RTD("pi.rtdserver", ,"NFO_NIFTY18SEP11250PE", "Volume")</f>
        <v>N.A.</v>
      </c>
      <c r="I31" s="1" t="str">
        <f>RTD("pi.rtdserver", ,"NFO_NIFTY18SEP11250PE", "OpenInterest")</f>
        <v>N.A.</v>
      </c>
      <c r="J31" s="1" t="str">
        <f>RTD("pi.rtdserver", ,"NFO_NIFTY18SEP11250PE", "TotalBidQty")</f>
        <v>N.A.</v>
      </c>
      <c r="K31" s="1" t="str">
        <f>RTD("pi.rtdserver", ,"NFO_NIFTY18SEP11250PE", "TotalAskQty")</f>
        <v>N.A.</v>
      </c>
      <c r="L31" s="1" t="str">
        <f>RTD("pi.rtdserver", ,"NFO_NIFTY18SEP11250PE", "lastTradeTime")</f>
        <v>N.A.</v>
      </c>
      <c r="M31" s="1" t="str">
        <f>RTD("pi.rtdserver", ,"NFO_NIFTY18SEP11250PE", "lastUpdateTime")</f>
        <v>N.A.</v>
      </c>
    </row>
    <row r="32" spans="1:13" x14ac:dyDescent="0.25">
      <c r="A32" s="1" t="str">
        <f>RTD("pi.rtdserver", ,"NFO_NIFTY18SEP11300CE", "TradingSymbol")</f>
        <v>N.A.</v>
      </c>
      <c r="B32" s="1" t="str">
        <f>RTD("pi.rtdserver", ,"NFO_NIFTY18SEP11300CE", "Last")</f>
        <v>N.A.</v>
      </c>
      <c r="C32" s="1" t="str">
        <f>RTD("pi.rtdserver", ,"NFO_NIFTY18SEP11300CE", "BidSize")</f>
        <v>N.A.</v>
      </c>
      <c r="D32" s="1" t="str">
        <f>RTD("pi.rtdserver", ,"NFO_NIFTY18SEP11300CE", "Bid")</f>
        <v>N.A.</v>
      </c>
      <c r="E32" s="1" t="str">
        <f>RTD("pi.rtdserver", ,"NFO_NIFTY18SEP11300CE", "Ask")</f>
        <v>N.A.</v>
      </c>
      <c r="F32" s="1" t="str">
        <f>RTD("pi.rtdserver", ,"NFO_NIFTY18SEP11300CE", "AskSize")</f>
        <v>N.A.</v>
      </c>
      <c r="G32" s="1" t="str">
        <f>RTD("pi.rtdserver", ,"NFO_NIFTY18SEP11300CE", "LTQ")</f>
        <v>N.A.</v>
      </c>
      <c r="H32" s="1" t="str">
        <f>RTD("pi.rtdserver", ,"NFO_NIFTY18SEP11300CE", "Volume")</f>
        <v>N.A.</v>
      </c>
      <c r="I32" s="1" t="str">
        <f>RTD("pi.rtdserver", ,"NFO_NIFTY18SEP11300CE", "OpenInterest")</f>
        <v>N.A.</v>
      </c>
      <c r="J32" s="1" t="str">
        <f>RTD("pi.rtdserver", ,"NFO_NIFTY18SEP11300CE", "TotalBidQty")</f>
        <v>N.A.</v>
      </c>
      <c r="K32" s="1" t="str">
        <f>RTD("pi.rtdserver", ,"NFO_NIFTY18SEP11300CE", "TotalAskQty")</f>
        <v>N.A.</v>
      </c>
      <c r="L32" s="1" t="str">
        <f>RTD("pi.rtdserver", ,"NFO_NIFTY18SEP11300CE", "lastTradeTime")</f>
        <v>N.A.</v>
      </c>
      <c r="M32" s="1" t="str">
        <f>RTD("pi.rtdserver", ,"NFO_NIFTY18SEP11300CE", "lastUpdateTime")</f>
        <v>N.A.</v>
      </c>
    </row>
    <row r="33" spans="1:13" x14ac:dyDescent="0.25">
      <c r="A33" s="1" t="str">
        <f>RTD("pi.rtdserver", ,"NFO_NIFTY18SEP11300PE", "TradingSymbol")</f>
        <v>N.A.</v>
      </c>
      <c r="B33" s="1" t="str">
        <f>RTD("pi.rtdserver", ,"NFO_NIFTY18SEP11300PE", "Last")</f>
        <v>N.A.</v>
      </c>
      <c r="C33" s="1" t="str">
        <f>RTD("pi.rtdserver", ,"NFO_NIFTY18SEP11300PE", "BidSize")</f>
        <v>N.A.</v>
      </c>
      <c r="D33" s="1" t="str">
        <f>RTD("pi.rtdserver", ,"NFO_NIFTY18SEP11300PE", "Bid")</f>
        <v>N.A.</v>
      </c>
      <c r="E33" s="1" t="str">
        <f>RTD("pi.rtdserver", ,"NFO_NIFTY18SEP11300PE", "Ask")</f>
        <v>N.A.</v>
      </c>
      <c r="F33" s="1" t="str">
        <f>RTD("pi.rtdserver", ,"NFO_NIFTY18SEP11300PE", "AskSize")</f>
        <v>N.A.</v>
      </c>
      <c r="G33" s="1" t="str">
        <f>RTD("pi.rtdserver", ,"NFO_NIFTY18SEP11300PE", "LTQ")</f>
        <v>N.A.</v>
      </c>
      <c r="H33" s="1" t="str">
        <f>RTD("pi.rtdserver", ,"NFO_NIFTY18SEP11300PE", "Volume")</f>
        <v>N.A.</v>
      </c>
      <c r="I33" s="1" t="str">
        <f>RTD("pi.rtdserver", ,"NFO_NIFTY18SEP11300PE", "OpenInterest")</f>
        <v>N.A.</v>
      </c>
      <c r="J33" s="1" t="str">
        <f>RTD("pi.rtdserver", ,"NFO_NIFTY18SEP11300PE", "TotalBidQty")</f>
        <v>N.A.</v>
      </c>
      <c r="K33" s="1" t="str">
        <f>RTD("pi.rtdserver", ,"NFO_NIFTY18SEP11300PE", "TotalAskQty")</f>
        <v>N.A.</v>
      </c>
      <c r="L33" s="1" t="str">
        <f>RTD("pi.rtdserver", ,"NFO_NIFTY18SEP11300PE", "lastTradeTime")</f>
        <v>N.A.</v>
      </c>
      <c r="M33" s="1" t="str">
        <f>RTD("pi.rtdserver", ,"NFO_NIFTY18SEP11300PE", "lastUpdateTime")</f>
        <v>N.A.</v>
      </c>
    </row>
    <row r="34" spans="1:13" x14ac:dyDescent="0.25">
      <c r="A34" s="1" t="str">
        <f>RTD("pi.rtdserver", ,"NFO_NIFTY18SEP11150PE", "TradingSymbol")</f>
        <v>N.A.</v>
      </c>
      <c r="B34" s="1" t="str">
        <f>RTD("pi.rtdserver", ,"NFO_NIFTY18SEP11150PE", "Last")</f>
        <v>N.A.</v>
      </c>
      <c r="C34" s="1" t="str">
        <f>RTD("pi.rtdserver", ,"NFO_NIFTY18SEP11150PE", "BidSize")</f>
        <v>N.A.</v>
      </c>
      <c r="D34" s="1" t="str">
        <f>RTD("pi.rtdserver", ,"NFO_NIFTY18SEP11150PE", "Bid")</f>
        <v>N.A.</v>
      </c>
      <c r="E34" s="1" t="str">
        <f>RTD("pi.rtdserver", ,"NFO_NIFTY18SEP11150PE", "Ask")</f>
        <v>N.A.</v>
      </c>
      <c r="F34" s="1" t="str">
        <f>RTD("pi.rtdserver", ,"NFO_NIFTY18SEP11150PE", "AskSize")</f>
        <v>N.A.</v>
      </c>
      <c r="G34" s="1" t="str">
        <f>RTD("pi.rtdserver", ,"NFO_NIFTY18SEP11150PE", "LTQ")</f>
        <v>N.A.</v>
      </c>
      <c r="H34" s="1" t="str">
        <f>RTD("pi.rtdserver", ,"NFO_NIFTY18SEP11150PE", "Volume")</f>
        <v>N.A.</v>
      </c>
      <c r="I34" s="1" t="str">
        <f>RTD("pi.rtdserver", ,"NFO_NIFTY18SEP11150PE", "OpenInterest")</f>
        <v>N.A.</v>
      </c>
      <c r="J34" s="1" t="str">
        <f>RTD("pi.rtdserver", ,"NFO_NIFTY18SEP11150PE", "TotalBidQty")</f>
        <v>N.A.</v>
      </c>
      <c r="K34" s="1" t="str">
        <f>RTD("pi.rtdserver", ,"NFO_NIFTY18SEP11150PE", "TotalAskQty")</f>
        <v>N.A.</v>
      </c>
      <c r="L34" s="1" t="str">
        <f>RTD("pi.rtdserver", ,"NFO_NIFTY18SEP11150PE", "lastTradeTime")</f>
        <v>N.A.</v>
      </c>
      <c r="M34" s="1" t="str">
        <f>RTD("pi.rtdserver", ,"NFO_NIFTY18SEP11150PE", "lastUpdateTime")</f>
        <v>N.A.</v>
      </c>
    </row>
    <row r="35" spans="1:13" x14ac:dyDescent="0.25">
      <c r="A35" s="1" t="str">
        <f>RTD("pi.rtdserver", ,"NFO_NIFTY18SEP11150CE", "TradingSymbol")</f>
        <v>N.A.</v>
      </c>
      <c r="B35" s="1" t="str">
        <f>RTD("pi.rtdserver", ,"NFO_NIFTY18SEP11150CE", "Last")</f>
        <v>N.A.</v>
      </c>
      <c r="C35" s="1" t="str">
        <f>RTD("pi.rtdserver", ,"NFO_NIFTY18SEP11150CE", "BidSize")</f>
        <v>N.A.</v>
      </c>
      <c r="D35" s="1" t="str">
        <f>RTD("pi.rtdserver", ,"NFO_NIFTY18SEP11150CE", "Bid")</f>
        <v>N.A.</v>
      </c>
      <c r="E35" s="1" t="str">
        <f>RTD("pi.rtdserver", ,"NFO_NIFTY18SEP11150CE", "Ask")</f>
        <v>N.A.</v>
      </c>
      <c r="F35" s="1" t="str">
        <f>RTD("pi.rtdserver", ,"NFO_NIFTY18SEP11150CE", "AskSize")</f>
        <v>N.A.</v>
      </c>
      <c r="G35" s="1" t="str">
        <f>RTD("pi.rtdserver", ,"NFO_NIFTY18SEP11150CE", "LTQ")</f>
        <v>N.A.</v>
      </c>
      <c r="H35" s="1" t="str">
        <f>RTD("pi.rtdserver", ,"NFO_NIFTY18SEP11150CE", "Volume")</f>
        <v>N.A.</v>
      </c>
      <c r="I35" s="1" t="str">
        <f>RTD("pi.rtdserver", ,"NFO_NIFTY18SEP11150CE", "OpenInterest")</f>
        <v>N.A.</v>
      </c>
      <c r="J35" s="1" t="str">
        <f>RTD("pi.rtdserver", ,"NFO_NIFTY18SEP11150CE", "TotalBidQty")</f>
        <v>N.A.</v>
      </c>
      <c r="K35" s="1" t="str">
        <f>RTD("pi.rtdserver", ,"NFO_NIFTY18SEP11150CE", "TotalAskQty")</f>
        <v>N.A.</v>
      </c>
      <c r="L35" s="1" t="str">
        <f>RTD("pi.rtdserver", ,"NFO_NIFTY18SEP11150CE", "lastTradeTime")</f>
        <v>N.A.</v>
      </c>
      <c r="M35" s="1" t="str">
        <f>RTD("pi.rtdserver", ,"NFO_NIFTY18SEP11150CE", "lastUpdateTime")</f>
        <v>N.A.</v>
      </c>
    </row>
    <row r="36" spans="1:13" x14ac:dyDescent="0.25">
      <c r="A36" s="1" t="str">
        <f>RTD("pi.rtdserver", ,"NFO_BANKNIFTY18SEP24600CE", "TradingSymbol")</f>
        <v>N.A.</v>
      </c>
      <c r="B36" s="1" t="str">
        <f>RTD("pi.rtdserver", ,"NFO_BANKNIFTY18SEP24600CE", "Last")</f>
        <v>N.A.</v>
      </c>
      <c r="C36" s="1" t="str">
        <f>RTD("pi.rtdserver", ,"NFO_BANKNIFTY18SEP24600CE", "BidSize")</f>
        <v>N.A.</v>
      </c>
      <c r="D36" s="1" t="str">
        <f>RTD("pi.rtdserver", ,"NFO_BANKNIFTY18SEP24600CE", "Bid")</f>
        <v>N.A.</v>
      </c>
      <c r="E36" s="1" t="str">
        <f>RTD("pi.rtdserver", ,"NFO_BANKNIFTY18SEP24600CE", "Ask")</f>
        <v>N.A.</v>
      </c>
      <c r="F36" s="1" t="str">
        <f>RTD("pi.rtdserver", ,"NFO_BANKNIFTY18SEP24600CE", "AskSize")</f>
        <v>N.A.</v>
      </c>
      <c r="G36" s="1" t="str">
        <f>RTD("pi.rtdserver", ,"NFO_BANKNIFTY18SEP24600CE", "LTQ")</f>
        <v>N.A.</v>
      </c>
      <c r="H36" s="1" t="str">
        <f>RTD("pi.rtdserver", ,"NFO_BANKNIFTY18SEP24600CE", "Volume")</f>
        <v>N.A.</v>
      </c>
      <c r="I36" s="1" t="str">
        <f>RTD("pi.rtdserver", ,"NFO_BANKNIFTY18SEP24600CE", "OpenInterest")</f>
        <v>N.A.</v>
      </c>
      <c r="J36" s="1" t="str">
        <f>RTD("pi.rtdserver", ,"NFO_BANKNIFTY18SEP24600CE", "TotalBidQty")</f>
        <v>N.A.</v>
      </c>
      <c r="K36" s="1" t="str">
        <f>RTD("pi.rtdserver", ,"NFO_BANKNIFTY18SEP24600CE", "TotalAskQty")</f>
        <v>N.A.</v>
      </c>
      <c r="L36" s="1" t="str">
        <f>RTD("pi.rtdserver", ,"NFO_BANKNIFTY18SEP24600CE", "lastTradeTime")</f>
        <v>N.A.</v>
      </c>
      <c r="M36" s="1" t="str">
        <f>RTD("pi.rtdserver", ,"NFO_BANKNIFTY18SEP24600CE", "lastUpdateTime")</f>
        <v>N.A.</v>
      </c>
    </row>
    <row r="37" spans="1:13" x14ac:dyDescent="0.25">
      <c r="A37" s="1" t="str">
        <f>RTD("pi.rtdserver", ,"NFO_BANKNIFTY18SEP24600PE", "TradingSymbol")</f>
        <v>N.A.</v>
      </c>
      <c r="B37" s="1" t="str">
        <f>RTD("pi.rtdserver", ,"NFO_BANKNIFTY18SEP24600PE", "Last")</f>
        <v>N.A.</v>
      </c>
      <c r="C37" s="1" t="str">
        <f>RTD("pi.rtdserver", ,"NFO_BANKNIFTY18SEP24600PE", "BidSize")</f>
        <v>N.A.</v>
      </c>
      <c r="D37" s="1" t="str">
        <f>RTD("pi.rtdserver", ,"NFO_BANKNIFTY18SEP24600PE", "Bid")</f>
        <v>N.A.</v>
      </c>
      <c r="E37" s="1" t="str">
        <f>RTD("pi.rtdserver", ,"NFO_BANKNIFTY18SEP24600PE", "Ask")</f>
        <v>N.A.</v>
      </c>
      <c r="F37" s="1" t="str">
        <f>RTD("pi.rtdserver", ,"NFO_BANKNIFTY18SEP24600PE", "AskSize")</f>
        <v>N.A.</v>
      </c>
      <c r="G37" s="1" t="str">
        <f>RTD("pi.rtdserver", ,"NFO_BANKNIFTY18SEP24600PE", "LTQ")</f>
        <v>N.A.</v>
      </c>
      <c r="H37" s="1" t="str">
        <f>RTD("pi.rtdserver", ,"NFO_BANKNIFTY18SEP24600PE", "Volume")</f>
        <v>N.A.</v>
      </c>
      <c r="I37" s="1" t="str">
        <f>RTD("pi.rtdserver", ,"NFO_BANKNIFTY18SEP24600PE", "OpenInterest")</f>
        <v>N.A.</v>
      </c>
      <c r="J37" s="1" t="str">
        <f>RTD("pi.rtdserver", ,"NFO_BANKNIFTY18SEP24600PE", "TotalBidQty")</f>
        <v>N.A.</v>
      </c>
      <c r="K37" s="1" t="str">
        <f>RTD("pi.rtdserver", ,"NFO_BANKNIFTY18SEP24600PE", "TotalAskQty")</f>
        <v>N.A.</v>
      </c>
      <c r="L37" s="1" t="str">
        <f>RTD("pi.rtdserver", ,"NFO_BANKNIFTY18SEP24600PE", "lastTradeTime")</f>
        <v>N.A.</v>
      </c>
      <c r="M37" s="1" t="str">
        <f>RTD("pi.rtdserver", ,"NFO_BANKNIFTY18SEP24600PE", "lastUpdateTime")</f>
        <v>N.A.</v>
      </c>
    </row>
    <row r="38" spans="1:13" x14ac:dyDescent="0.25">
      <c r="A38" s="1" t="str">
        <f>RTD("pi.rtdserver", ,"NFO_BANKNIFTY18SEP24700CE", "TradingSymbol")</f>
        <v>N.A.</v>
      </c>
      <c r="B38" s="1" t="str">
        <f>RTD("pi.rtdserver", ,"NFO_BANKNIFTY18SEP24700CE", "Last")</f>
        <v>N.A.</v>
      </c>
      <c r="C38" s="1" t="str">
        <f>RTD("pi.rtdserver", ,"NFO_BANKNIFTY18SEP24700CE", "BidSize")</f>
        <v>N.A.</v>
      </c>
      <c r="D38" s="1" t="str">
        <f>RTD("pi.rtdserver", ,"NFO_BANKNIFTY18SEP24700CE", "Bid")</f>
        <v>N.A.</v>
      </c>
      <c r="E38" s="1" t="str">
        <f>RTD("pi.rtdserver", ,"NFO_BANKNIFTY18SEP24700CE", "Ask")</f>
        <v>N.A.</v>
      </c>
      <c r="F38" s="1" t="str">
        <f>RTD("pi.rtdserver", ,"NFO_BANKNIFTY18SEP24700CE", "AskSize")</f>
        <v>N.A.</v>
      </c>
      <c r="G38" s="1" t="str">
        <f>RTD("pi.rtdserver", ,"NFO_BANKNIFTY18SEP24700CE", "LTQ")</f>
        <v>N.A.</v>
      </c>
      <c r="H38" s="1" t="str">
        <f>RTD("pi.rtdserver", ,"NFO_BANKNIFTY18SEP24700CE", "Volume")</f>
        <v>N.A.</v>
      </c>
      <c r="I38" s="1" t="str">
        <f>RTD("pi.rtdserver", ,"NFO_BANKNIFTY18SEP24700CE", "OpenInterest")</f>
        <v>N.A.</v>
      </c>
      <c r="J38" s="1" t="str">
        <f>RTD("pi.rtdserver", ,"NFO_BANKNIFTY18SEP24700CE", "TotalBidQty")</f>
        <v>N.A.</v>
      </c>
      <c r="K38" s="1" t="str">
        <f>RTD("pi.rtdserver", ,"NFO_BANKNIFTY18SEP24700CE", "TotalAskQty")</f>
        <v>N.A.</v>
      </c>
      <c r="L38" s="1" t="str">
        <f>RTD("pi.rtdserver", ,"NFO_BANKNIFTY18SEP24700CE", "lastTradeTime")</f>
        <v>N.A.</v>
      </c>
      <c r="M38" s="1" t="str">
        <f>RTD("pi.rtdserver", ,"NFO_BANKNIFTY18SEP24700CE", "lastUpdateTime")</f>
        <v>N.A.</v>
      </c>
    </row>
    <row r="39" spans="1:13" x14ac:dyDescent="0.25">
      <c r="A39" s="1" t="str">
        <f>RTD("pi.rtdserver", ,"NFO_BANKNIFTY18SEP24700PE", "TradingSymbol")</f>
        <v>N.A.</v>
      </c>
      <c r="B39" s="1" t="str">
        <f>RTD("pi.rtdserver", ,"NFO_BANKNIFTY18SEP24700PE", "Last")</f>
        <v>N.A.</v>
      </c>
      <c r="C39" s="1" t="str">
        <f>RTD("pi.rtdserver", ,"NFO_BANKNIFTY18SEP24700PE", "BidSize")</f>
        <v>N.A.</v>
      </c>
      <c r="D39" s="1" t="str">
        <f>RTD("pi.rtdserver", ,"NFO_BANKNIFTY18SEP24700PE", "Bid")</f>
        <v>N.A.</v>
      </c>
      <c r="E39" s="1" t="str">
        <f>RTD("pi.rtdserver", ,"NFO_BANKNIFTY18SEP24700PE", "Ask")</f>
        <v>N.A.</v>
      </c>
      <c r="F39" s="1" t="str">
        <f>RTD("pi.rtdserver", ,"NFO_BANKNIFTY18SEP24700PE", "AskSize")</f>
        <v>N.A.</v>
      </c>
      <c r="G39" s="1" t="str">
        <f>RTD("pi.rtdserver", ,"NFO_BANKNIFTY18SEP24700PE", "LTQ")</f>
        <v>N.A.</v>
      </c>
      <c r="H39" s="1" t="str">
        <f>RTD("pi.rtdserver", ,"NFO_BANKNIFTY18SEP24700PE", "Volume")</f>
        <v>N.A.</v>
      </c>
      <c r="I39" s="1" t="str">
        <f>RTD("pi.rtdserver", ,"NFO_BANKNIFTY18SEP24700PE", "OpenInterest")</f>
        <v>N.A.</v>
      </c>
      <c r="J39" s="1" t="str">
        <f>RTD("pi.rtdserver", ,"NFO_BANKNIFTY18SEP24700PE", "TotalBidQty")</f>
        <v>N.A.</v>
      </c>
      <c r="K39" s="1" t="str">
        <f>RTD("pi.rtdserver", ,"NFO_BANKNIFTY18SEP24700PE", "TotalAskQty")</f>
        <v>N.A.</v>
      </c>
      <c r="L39" s="1" t="str">
        <f>RTD("pi.rtdserver", ,"NFO_BANKNIFTY18SEP24700PE", "lastTradeTime")</f>
        <v>N.A.</v>
      </c>
      <c r="M39" s="1" t="str">
        <f>RTD("pi.rtdserver", ,"NFO_BANKNIFTY18SEP24700PE", "lastUpdateTime")</f>
        <v>N.A.</v>
      </c>
    </row>
    <row r="40" spans="1:13" x14ac:dyDescent="0.25">
      <c r="A40" s="1" t="str">
        <f>RTD("pi.rtdserver", ,"NFO_BANKNIFTY18SEP24800CE", "TradingSymbol")</f>
        <v>N.A.</v>
      </c>
      <c r="B40" s="1" t="str">
        <f>RTD("pi.rtdserver", ,"NFO_BANKNIFTY18SEP24800CE", "Last")</f>
        <v>N.A.</v>
      </c>
      <c r="C40" s="1" t="str">
        <f>RTD("pi.rtdserver", ,"NFO_BANKNIFTY18SEP24800CE", "BidSize")</f>
        <v>N.A.</v>
      </c>
      <c r="D40" s="1" t="str">
        <f>RTD("pi.rtdserver", ,"NFO_BANKNIFTY18SEP24800CE", "Bid")</f>
        <v>N.A.</v>
      </c>
      <c r="E40" s="1" t="str">
        <f>RTD("pi.rtdserver", ,"NFO_BANKNIFTY18SEP24800CE", "Ask")</f>
        <v>N.A.</v>
      </c>
      <c r="F40" s="1" t="str">
        <f>RTD("pi.rtdserver", ,"NFO_BANKNIFTY18SEP24800CE", "AskSize")</f>
        <v>N.A.</v>
      </c>
      <c r="G40" s="1" t="str">
        <f>RTD("pi.rtdserver", ,"NFO_BANKNIFTY18SEP24800CE", "LTQ")</f>
        <v>N.A.</v>
      </c>
      <c r="H40" s="1" t="str">
        <f>RTD("pi.rtdserver", ,"NFO_BANKNIFTY18SEP24800CE", "Volume")</f>
        <v>N.A.</v>
      </c>
      <c r="I40" s="1" t="str">
        <f>RTD("pi.rtdserver", ,"NFO_BANKNIFTY18SEP24800CE", "OpenInterest")</f>
        <v>N.A.</v>
      </c>
      <c r="J40" s="1" t="str">
        <f>RTD("pi.rtdserver", ,"NFO_BANKNIFTY18SEP24800CE", "TotalBidQty")</f>
        <v>N.A.</v>
      </c>
      <c r="K40" s="1" t="str">
        <f>RTD("pi.rtdserver", ,"NFO_BANKNIFTY18SEP24800CE", "TotalAskQty")</f>
        <v>N.A.</v>
      </c>
      <c r="L40" s="1" t="str">
        <f>RTD("pi.rtdserver", ,"NFO_BANKNIFTY18SEP24800CE", "lastTradeTime")</f>
        <v>N.A.</v>
      </c>
      <c r="M40" s="1" t="str">
        <f>RTD("pi.rtdserver", ,"NFO_BANKNIFTY18SEP24800CE", "lastUpdateTime")</f>
        <v>N.A.</v>
      </c>
    </row>
    <row r="41" spans="1:13" x14ac:dyDescent="0.25">
      <c r="A41" s="1" t="str">
        <f>RTD("pi.rtdserver", ,"NFO_BANKNIFTY18SEP24800PE", "TradingSymbol")</f>
        <v>N.A.</v>
      </c>
      <c r="B41" s="1" t="str">
        <f>RTD("pi.rtdserver", ,"NFO_BANKNIFTY18SEP24800PE", "Last")</f>
        <v>N.A.</v>
      </c>
      <c r="C41" s="1" t="str">
        <f>RTD("pi.rtdserver", ,"NFO_BANKNIFTY18SEP24800PE", "BidSize")</f>
        <v>N.A.</v>
      </c>
      <c r="D41" s="1" t="str">
        <f>RTD("pi.rtdserver", ,"NFO_BANKNIFTY18SEP24800PE", "Bid")</f>
        <v>N.A.</v>
      </c>
      <c r="E41" s="1" t="str">
        <f>RTD("pi.rtdserver", ,"NFO_BANKNIFTY18SEP24800PE", "Ask")</f>
        <v>N.A.</v>
      </c>
      <c r="F41" s="1" t="str">
        <f>RTD("pi.rtdserver", ,"NFO_BANKNIFTY18SEP24800PE", "AskSize")</f>
        <v>N.A.</v>
      </c>
      <c r="G41" s="1" t="str">
        <f>RTD("pi.rtdserver", ,"NFO_BANKNIFTY18SEP24800PE", "LTQ")</f>
        <v>N.A.</v>
      </c>
      <c r="H41" s="1" t="str">
        <f>RTD("pi.rtdserver", ,"NFO_BANKNIFTY18SEP24800PE", "Volume")</f>
        <v>N.A.</v>
      </c>
      <c r="I41" s="1" t="str">
        <f>RTD("pi.rtdserver", ,"NFO_BANKNIFTY18SEP24800PE", "OpenInterest")</f>
        <v>N.A.</v>
      </c>
      <c r="J41" s="1" t="str">
        <f>RTD("pi.rtdserver", ,"NFO_BANKNIFTY18SEP24800PE", "TotalBidQty")</f>
        <v>N.A.</v>
      </c>
      <c r="K41" s="1" t="str">
        <f>RTD("pi.rtdserver", ,"NFO_BANKNIFTY18SEP24800PE", "TotalAskQty")</f>
        <v>N.A.</v>
      </c>
      <c r="L41" s="1" t="str">
        <f>RTD("pi.rtdserver", ,"NFO_BANKNIFTY18SEP24800PE", "lastTradeTime")</f>
        <v>N.A.</v>
      </c>
      <c r="M41" s="1" t="str">
        <f>RTD("pi.rtdserver", ,"NFO_BANKNIFTY18SEP24800PE", "lastUpdateTime")</f>
        <v>N.A.</v>
      </c>
    </row>
    <row r="42" spans="1:13" x14ac:dyDescent="0.25">
      <c r="A42" s="1" t="str">
        <f>RTD("pi.rtdserver", ,"NFO_BANKNIFTY18SEP24900CE", "TradingSymbol")</f>
        <v>N.A.</v>
      </c>
      <c r="B42" s="1" t="str">
        <f>RTD("pi.rtdserver", ,"NFO_BANKNIFTY18SEP24900CE", "Last")</f>
        <v>N.A.</v>
      </c>
      <c r="C42" s="1" t="str">
        <f>RTD("pi.rtdserver", ,"NFO_BANKNIFTY18SEP24900CE", "BidSize")</f>
        <v>N.A.</v>
      </c>
      <c r="D42" s="1" t="str">
        <f>RTD("pi.rtdserver", ,"NFO_BANKNIFTY18SEP24900CE", "Bid")</f>
        <v>N.A.</v>
      </c>
      <c r="E42" s="1" t="str">
        <f>RTD("pi.rtdserver", ,"NFO_BANKNIFTY18SEP24900CE", "Ask")</f>
        <v>N.A.</v>
      </c>
      <c r="F42" s="1" t="str">
        <f>RTD("pi.rtdserver", ,"NFO_BANKNIFTY18SEP24900CE", "AskSize")</f>
        <v>N.A.</v>
      </c>
      <c r="G42" s="1" t="str">
        <f>RTD("pi.rtdserver", ,"NFO_BANKNIFTY18SEP24900CE", "LTQ")</f>
        <v>N.A.</v>
      </c>
      <c r="H42" s="1" t="str">
        <f>RTD("pi.rtdserver", ,"NFO_BANKNIFTY18SEP24900CE", "Volume")</f>
        <v>N.A.</v>
      </c>
      <c r="I42" s="1" t="str">
        <f>RTD("pi.rtdserver", ,"NFO_BANKNIFTY18SEP24900CE", "OpenInterest")</f>
        <v>N.A.</v>
      </c>
      <c r="J42" s="1" t="str">
        <f>RTD("pi.rtdserver", ,"NFO_BANKNIFTY18SEP24900CE", "TotalBidQty")</f>
        <v>N.A.</v>
      </c>
      <c r="K42" s="1" t="str">
        <f>RTD("pi.rtdserver", ,"NFO_BANKNIFTY18SEP24900CE", "TotalAskQty")</f>
        <v>N.A.</v>
      </c>
      <c r="L42" s="1" t="str">
        <f>RTD("pi.rtdserver", ,"NFO_BANKNIFTY18SEP24900CE", "lastTradeTime")</f>
        <v>N.A.</v>
      </c>
      <c r="M42" s="1" t="str">
        <f>RTD("pi.rtdserver", ,"NFO_BANKNIFTY18SEP24900CE", "lastUpdateTime")</f>
        <v>N.A.</v>
      </c>
    </row>
    <row r="43" spans="1:13" x14ac:dyDescent="0.25">
      <c r="A43" s="1" t="str">
        <f>RTD("pi.rtdserver", ,"NFO_BANKNIFTY18SEP24900PE", "TradingSymbol")</f>
        <v>N.A.</v>
      </c>
      <c r="B43" s="1" t="str">
        <f>RTD("pi.rtdserver", ,"NFO_BANKNIFTY18SEP24900PE", "Last")</f>
        <v>N.A.</v>
      </c>
      <c r="C43" s="1" t="str">
        <f>RTD("pi.rtdserver", ,"NFO_BANKNIFTY18SEP24900PE", "BidSize")</f>
        <v>N.A.</v>
      </c>
      <c r="D43" s="1" t="str">
        <f>RTD("pi.rtdserver", ,"NFO_BANKNIFTY18SEP24900PE", "Bid")</f>
        <v>N.A.</v>
      </c>
      <c r="E43" s="1" t="str">
        <f>RTD("pi.rtdserver", ,"NFO_BANKNIFTY18SEP24900PE", "Ask")</f>
        <v>N.A.</v>
      </c>
      <c r="F43" s="1" t="str">
        <f>RTD("pi.rtdserver", ,"NFO_BANKNIFTY18SEP24900PE", "AskSize")</f>
        <v>N.A.</v>
      </c>
      <c r="G43" s="1" t="str">
        <f>RTD("pi.rtdserver", ,"NFO_BANKNIFTY18SEP24900PE", "LTQ")</f>
        <v>N.A.</v>
      </c>
      <c r="H43" s="1" t="str">
        <f>RTD("pi.rtdserver", ,"NFO_BANKNIFTY18SEP24900PE", "Volume")</f>
        <v>N.A.</v>
      </c>
      <c r="I43" s="1" t="str">
        <f>RTD("pi.rtdserver", ,"NFO_BANKNIFTY18SEP24900PE", "OpenInterest")</f>
        <v>N.A.</v>
      </c>
      <c r="J43" s="1" t="str">
        <f>RTD("pi.rtdserver", ,"NFO_BANKNIFTY18SEP24900PE", "TotalBidQty")</f>
        <v>N.A.</v>
      </c>
      <c r="K43" s="1" t="str">
        <f>RTD("pi.rtdserver", ,"NFO_BANKNIFTY18SEP24900PE", "TotalAskQty")</f>
        <v>N.A.</v>
      </c>
      <c r="L43" s="1" t="str">
        <f>RTD("pi.rtdserver", ,"NFO_BANKNIFTY18SEP24900PE", "lastTradeTime")</f>
        <v>N.A.</v>
      </c>
      <c r="M43" s="1" t="str">
        <f>RTD("pi.rtdserver", ,"NFO_BANKNIFTY18SEP24900PE", "lastUpdateTime")</f>
        <v>N.A.</v>
      </c>
    </row>
    <row r="44" spans="1:13" x14ac:dyDescent="0.25">
      <c r="A44" s="1" t="str">
        <f>RTD("pi.rtdserver", ,"NFO_BANKNIFTY18SEP25000CE", "TradingSymbol")</f>
        <v>N.A.</v>
      </c>
      <c r="B44" s="1" t="str">
        <f>RTD("pi.rtdserver", ,"NFO_BANKNIFTY18SEP25000CE", "Last")</f>
        <v>N.A.</v>
      </c>
      <c r="C44" s="1" t="str">
        <f>RTD("pi.rtdserver", ,"NFO_BANKNIFTY18SEP25000CE", "BidSize")</f>
        <v>N.A.</v>
      </c>
      <c r="D44" s="1" t="str">
        <f>RTD("pi.rtdserver", ,"NFO_BANKNIFTY18SEP25000CE", "Bid")</f>
        <v>N.A.</v>
      </c>
      <c r="E44" s="1" t="str">
        <f>RTD("pi.rtdserver", ,"NFO_BANKNIFTY18SEP25000CE", "Ask")</f>
        <v>N.A.</v>
      </c>
      <c r="F44" s="1" t="str">
        <f>RTD("pi.rtdserver", ,"NFO_BANKNIFTY18SEP25000CE", "AskSize")</f>
        <v>N.A.</v>
      </c>
      <c r="G44" s="1" t="str">
        <f>RTD("pi.rtdserver", ,"NFO_BANKNIFTY18SEP25000CE", "LTQ")</f>
        <v>N.A.</v>
      </c>
      <c r="H44" s="1" t="str">
        <f>RTD("pi.rtdserver", ,"NFO_BANKNIFTY18SEP25000CE", "Volume")</f>
        <v>N.A.</v>
      </c>
      <c r="I44" s="1" t="str">
        <f>RTD("pi.rtdserver", ,"NFO_BANKNIFTY18SEP25000CE", "OpenInterest")</f>
        <v>N.A.</v>
      </c>
      <c r="J44" s="1" t="str">
        <f>RTD("pi.rtdserver", ,"NFO_BANKNIFTY18SEP25000CE", "TotalBidQty")</f>
        <v>N.A.</v>
      </c>
      <c r="K44" s="1" t="str">
        <f>RTD("pi.rtdserver", ,"NFO_BANKNIFTY18SEP25000CE", "TotalAskQty")</f>
        <v>N.A.</v>
      </c>
      <c r="L44" s="1" t="str">
        <f>RTD("pi.rtdserver", ,"NFO_BANKNIFTY18SEP25000CE", "lastTradeTime")</f>
        <v>N.A.</v>
      </c>
      <c r="M44" s="1" t="str">
        <f>RTD("pi.rtdserver", ,"NFO_BANKNIFTY18SEP25000CE", "lastUpdateTime")</f>
        <v>N.A.</v>
      </c>
    </row>
    <row r="45" spans="1:13" x14ac:dyDescent="0.25">
      <c r="A45" s="1" t="str">
        <f>RTD("pi.rtdserver", ,"NFO_BANKNIFTY18SEP25000PE", "TradingSymbol")</f>
        <v>N.A.</v>
      </c>
      <c r="B45" s="1" t="str">
        <f>RTD("pi.rtdserver", ,"NFO_BANKNIFTY18SEP25000PE", "Last")</f>
        <v>N.A.</v>
      </c>
      <c r="C45" s="1" t="str">
        <f>RTD("pi.rtdserver", ,"NFO_BANKNIFTY18SEP25000PE", "BidSize")</f>
        <v>N.A.</v>
      </c>
      <c r="D45" s="1" t="str">
        <f>RTD("pi.rtdserver", ,"NFO_BANKNIFTY18SEP25000PE", "Bid")</f>
        <v>N.A.</v>
      </c>
      <c r="E45" s="1" t="str">
        <f>RTD("pi.rtdserver", ,"NFO_BANKNIFTY18SEP25000PE", "Ask")</f>
        <v>N.A.</v>
      </c>
      <c r="F45" s="1" t="str">
        <f>RTD("pi.rtdserver", ,"NFO_BANKNIFTY18SEP25000PE", "AskSize")</f>
        <v>N.A.</v>
      </c>
      <c r="G45" s="1" t="str">
        <f>RTD("pi.rtdserver", ,"NFO_BANKNIFTY18SEP25000PE", "LTQ")</f>
        <v>N.A.</v>
      </c>
      <c r="H45" s="1" t="str">
        <f>RTD("pi.rtdserver", ,"NFO_BANKNIFTY18SEP25000PE", "Volume")</f>
        <v>N.A.</v>
      </c>
      <c r="I45" s="1" t="str">
        <f>RTD("pi.rtdserver", ,"NFO_BANKNIFTY18SEP25000PE", "OpenInterest")</f>
        <v>N.A.</v>
      </c>
      <c r="J45" s="1" t="str">
        <f>RTD("pi.rtdserver", ,"NFO_BANKNIFTY18SEP25000PE", "TotalBidQty")</f>
        <v>N.A.</v>
      </c>
      <c r="K45" s="1" t="str">
        <f>RTD("pi.rtdserver", ,"NFO_BANKNIFTY18SEP25000PE", "TotalAskQty")</f>
        <v>N.A.</v>
      </c>
      <c r="L45" s="1" t="str">
        <f>RTD("pi.rtdserver", ,"NFO_BANKNIFTY18SEP25000PE", "lastTradeTime")</f>
        <v>N.A.</v>
      </c>
      <c r="M45" s="1" t="str">
        <f>RTD("pi.rtdserver", ,"NFO_BANKNIFTY18SEP25000PE", "lastUpdateTime")</f>
        <v>N.A.</v>
      </c>
    </row>
    <row r="46" spans="1:13" x14ac:dyDescent="0.25">
      <c r="A46" s="1" t="str">
        <f>RTD("pi.rtdserver", ,"NFO_BANKNIFTY18SEP25100CE", "TradingSymbol")</f>
        <v>N.A.</v>
      </c>
      <c r="B46" s="1" t="str">
        <f>RTD("pi.rtdserver", ,"NFO_BANKNIFTY18SEP25100CE", "Last")</f>
        <v>N.A.</v>
      </c>
      <c r="C46" s="1" t="str">
        <f>RTD("pi.rtdserver", ,"NFO_BANKNIFTY18SEP25100CE", "BidSize")</f>
        <v>N.A.</v>
      </c>
      <c r="D46" s="1" t="str">
        <f>RTD("pi.rtdserver", ,"NFO_BANKNIFTY18SEP25100CE", "Bid")</f>
        <v>N.A.</v>
      </c>
      <c r="E46" s="1" t="str">
        <f>RTD("pi.rtdserver", ,"NFO_BANKNIFTY18SEP25100CE", "Ask")</f>
        <v>N.A.</v>
      </c>
      <c r="F46" s="1" t="str">
        <f>RTD("pi.rtdserver", ,"NFO_BANKNIFTY18SEP25100CE", "AskSize")</f>
        <v>N.A.</v>
      </c>
      <c r="G46" s="1" t="str">
        <f>RTD("pi.rtdserver", ,"NFO_BANKNIFTY18SEP25100CE", "LTQ")</f>
        <v>N.A.</v>
      </c>
      <c r="H46" s="1" t="str">
        <f>RTD("pi.rtdserver", ,"NFO_BANKNIFTY18SEP25100CE", "Volume")</f>
        <v>N.A.</v>
      </c>
      <c r="I46" s="1" t="str">
        <f>RTD("pi.rtdserver", ,"NFO_BANKNIFTY18SEP25100CE", "OpenInterest")</f>
        <v>N.A.</v>
      </c>
      <c r="J46" s="1" t="str">
        <f>RTD("pi.rtdserver", ,"NFO_BANKNIFTY18SEP25100CE", "TotalBidQty")</f>
        <v>N.A.</v>
      </c>
      <c r="K46" s="1" t="str">
        <f>RTD("pi.rtdserver", ,"NFO_BANKNIFTY18SEP25100CE", "TotalAskQty")</f>
        <v>N.A.</v>
      </c>
      <c r="L46" s="1" t="str">
        <f>RTD("pi.rtdserver", ,"NFO_BANKNIFTY18SEP25100CE", "lastTradeTime")</f>
        <v>N.A.</v>
      </c>
      <c r="M46" s="1" t="str">
        <f>RTD("pi.rtdserver", ,"NFO_BANKNIFTY18SEP25100CE", "lastUpdateTime")</f>
        <v>N.A.</v>
      </c>
    </row>
    <row r="47" spans="1:13" x14ac:dyDescent="0.25">
      <c r="A47" s="1" t="str">
        <f>RTD("pi.rtdserver", ,"NFO_BANKNIFTY18SEP25100PE", "TradingSymbol")</f>
        <v>N.A.</v>
      </c>
      <c r="B47" s="1" t="str">
        <f>RTD("pi.rtdserver", ,"NFO_BANKNIFTY18SEP25100PE", "Last")</f>
        <v>N.A.</v>
      </c>
      <c r="C47" s="1" t="str">
        <f>RTD("pi.rtdserver", ,"NFO_BANKNIFTY18SEP25100PE", "BidSize")</f>
        <v>N.A.</v>
      </c>
      <c r="D47" s="1" t="str">
        <f>RTD("pi.rtdserver", ,"NFO_BANKNIFTY18SEP25100PE", "Bid")</f>
        <v>N.A.</v>
      </c>
      <c r="E47" s="1" t="str">
        <f>RTD("pi.rtdserver", ,"NFO_BANKNIFTY18SEP25100PE", "Ask")</f>
        <v>N.A.</v>
      </c>
      <c r="F47" s="1" t="str">
        <f>RTD("pi.rtdserver", ,"NFO_BANKNIFTY18SEP25100PE", "AskSize")</f>
        <v>N.A.</v>
      </c>
      <c r="G47" s="1" t="str">
        <f>RTD("pi.rtdserver", ,"NFO_BANKNIFTY18SEP25100PE", "LTQ")</f>
        <v>N.A.</v>
      </c>
      <c r="H47" s="1" t="str">
        <f>RTD("pi.rtdserver", ,"NFO_BANKNIFTY18SEP25100PE", "Volume")</f>
        <v>N.A.</v>
      </c>
      <c r="I47" s="1" t="str">
        <f>RTD("pi.rtdserver", ,"NFO_BANKNIFTY18SEP25100PE", "OpenInterest")</f>
        <v>N.A.</v>
      </c>
      <c r="J47" s="1" t="str">
        <f>RTD("pi.rtdserver", ,"NFO_BANKNIFTY18SEP25100PE", "TotalBidQty")</f>
        <v>N.A.</v>
      </c>
      <c r="K47" s="1" t="str">
        <f>RTD("pi.rtdserver", ,"NFO_BANKNIFTY18SEP25100PE", "TotalAskQty")</f>
        <v>N.A.</v>
      </c>
      <c r="L47" s="1" t="str">
        <f>RTD("pi.rtdserver", ,"NFO_BANKNIFTY18SEP25100PE", "lastTradeTime")</f>
        <v>N.A.</v>
      </c>
      <c r="M47" s="1" t="str">
        <f>RTD("pi.rtdserver", ,"NFO_BANKNIFTY18SEP25100PE", "lastUpdateTime")</f>
        <v>N.A.</v>
      </c>
    </row>
    <row r="48" spans="1:13" x14ac:dyDescent="0.25">
      <c r="A48" s="1" t="str">
        <f>RTD("pi.rtdserver", ,"NFO_BANKNIFTY18SEP25200CE", "TradingSymbol")</f>
        <v>N.A.</v>
      </c>
      <c r="B48" s="1" t="str">
        <f>RTD("pi.rtdserver", ,"NFO_BANKNIFTY18SEP25200CE", "Last")</f>
        <v>N.A.</v>
      </c>
      <c r="C48" s="1" t="str">
        <f>RTD("pi.rtdserver", ,"NFO_BANKNIFTY18SEP25200CE", "BidSize")</f>
        <v>N.A.</v>
      </c>
      <c r="D48" s="1" t="str">
        <f>RTD("pi.rtdserver", ,"NFO_BANKNIFTY18SEP25200CE", "Bid")</f>
        <v>N.A.</v>
      </c>
      <c r="E48" s="1" t="str">
        <f>RTD("pi.rtdserver", ,"NFO_BANKNIFTY18SEP25200CE", "Ask")</f>
        <v>N.A.</v>
      </c>
      <c r="F48" s="1" t="str">
        <f>RTD("pi.rtdserver", ,"NFO_BANKNIFTY18SEP25200CE", "AskSize")</f>
        <v>N.A.</v>
      </c>
      <c r="G48" s="1" t="str">
        <f>RTD("pi.rtdserver", ,"NFO_BANKNIFTY18SEP25200CE", "LTQ")</f>
        <v>N.A.</v>
      </c>
      <c r="H48" s="1" t="str">
        <f>RTD("pi.rtdserver", ,"NFO_BANKNIFTY18SEP25200CE", "Volume")</f>
        <v>N.A.</v>
      </c>
      <c r="I48" s="1" t="str">
        <f>RTD("pi.rtdserver", ,"NFO_BANKNIFTY18SEP25200CE", "OpenInterest")</f>
        <v>N.A.</v>
      </c>
      <c r="J48" s="1" t="str">
        <f>RTD("pi.rtdserver", ,"NFO_BANKNIFTY18SEP25200CE", "TotalBidQty")</f>
        <v>N.A.</v>
      </c>
      <c r="K48" s="1" t="str">
        <f>RTD("pi.rtdserver", ,"NFO_BANKNIFTY18SEP25200CE", "TotalAskQty")</f>
        <v>N.A.</v>
      </c>
      <c r="L48" s="1" t="str">
        <f>RTD("pi.rtdserver", ,"NFO_BANKNIFTY18SEP25200CE", "lastTradeTime")</f>
        <v>N.A.</v>
      </c>
      <c r="M48" s="1" t="str">
        <f>RTD("pi.rtdserver", ,"NFO_BANKNIFTY18SEP25200CE", "lastUpdateTime")</f>
        <v>N.A.</v>
      </c>
    </row>
    <row r="49" spans="1:13" x14ac:dyDescent="0.25">
      <c r="A49" s="1" t="str">
        <f>RTD("pi.rtdserver", ,"NFO_BANKNIFTY18SEP25200PE", "TradingSymbol")</f>
        <v>N.A.</v>
      </c>
      <c r="B49" s="1" t="str">
        <f>RTD("pi.rtdserver", ,"NFO_BANKNIFTY18SEP25200PE", "Last")</f>
        <v>N.A.</v>
      </c>
      <c r="C49" s="1" t="str">
        <f>RTD("pi.rtdserver", ,"NFO_BANKNIFTY18SEP25200PE", "BidSize")</f>
        <v>N.A.</v>
      </c>
      <c r="D49" s="1" t="str">
        <f>RTD("pi.rtdserver", ,"NFO_BANKNIFTY18SEP25200PE", "Bid")</f>
        <v>N.A.</v>
      </c>
      <c r="E49" s="1" t="str">
        <f>RTD("pi.rtdserver", ,"NFO_BANKNIFTY18SEP25200PE", "Ask")</f>
        <v>N.A.</v>
      </c>
      <c r="F49" s="1" t="str">
        <f>RTD("pi.rtdserver", ,"NFO_BANKNIFTY18SEP25200PE", "AskSize")</f>
        <v>N.A.</v>
      </c>
      <c r="G49" s="1" t="str">
        <f>RTD("pi.rtdserver", ,"NFO_BANKNIFTY18SEP25200PE", "LTQ")</f>
        <v>N.A.</v>
      </c>
      <c r="H49" s="1" t="str">
        <f>RTD("pi.rtdserver", ,"NFO_BANKNIFTY18SEP25200PE", "Volume")</f>
        <v>N.A.</v>
      </c>
      <c r="I49" s="1" t="str">
        <f>RTD("pi.rtdserver", ,"NFO_BANKNIFTY18SEP25200PE", "OpenInterest")</f>
        <v>N.A.</v>
      </c>
      <c r="J49" s="1" t="str">
        <f>RTD("pi.rtdserver", ,"NFO_BANKNIFTY18SEP25200PE", "TotalBidQty")</f>
        <v>N.A.</v>
      </c>
      <c r="K49" s="1" t="str">
        <f>RTD("pi.rtdserver", ,"NFO_BANKNIFTY18SEP25200PE", "TotalAskQty")</f>
        <v>N.A.</v>
      </c>
      <c r="L49" s="1" t="str">
        <f>RTD("pi.rtdserver", ,"NFO_BANKNIFTY18SEP25200PE", "lastTradeTime")</f>
        <v>N.A.</v>
      </c>
      <c r="M49" s="1" t="str">
        <f>RTD("pi.rtdserver", ,"NFO_BANKNIFTY18SEP25200PE", "lastUpdateTime")</f>
        <v>N.A.</v>
      </c>
    </row>
    <row r="50" spans="1:13" x14ac:dyDescent="0.25">
      <c r="A50" s="1" t="str">
        <f>RTD("pi.rtdserver", ,"NFO_BANKNIFTY18SEP25300CE", "TradingSymbol")</f>
        <v>N.A.</v>
      </c>
      <c r="B50" s="1" t="str">
        <f>RTD("pi.rtdserver", ,"NFO_BANKNIFTY18SEP25300CE", "Last")</f>
        <v>N.A.</v>
      </c>
      <c r="C50" s="1" t="str">
        <f>RTD("pi.rtdserver", ,"NFO_BANKNIFTY18SEP25300CE", "BidSize")</f>
        <v>N.A.</v>
      </c>
      <c r="D50" s="1" t="str">
        <f>RTD("pi.rtdserver", ,"NFO_BANKNIFTY18SEP25300CE", "Bid")</f>
        <v>N.A.</v>
      </c>
      <c r="E50" s="1" t="str">
        <f>RTD("pi.rtdserver", ,"NFO_BANKNIFTY18SEP25300CE", "Ask")</f>
        <v>N.A.</v>
      </c>
      <c r="F50" s="1" t="str">
        <f>RTD("pi.rtdserver", ,"NFO_BANKNIFTY18SEP25300CE", "AskSize")</f>
        <v>N.A.</v>
      </c>
      <c r="G50" s="1" t="str">
        <f>RTD("pi.rtdserver", ,"NFO_BANKNIFTY18SEP25300CE", "LTQ")</f>
        <v>N.A.</v>
      </c>
      <c r="H50" s="1" t="str">
        <f>RTD("pi.rtdserver", ,"NFO_BANKNIFTY18SEP25300CE", "Volume")</f>
        <v>N.A.</v>
      </c>
      <c r="I50" s="1" t="str">
        <f>RTD("pi.rtdserver", ,"NFO_BANKNIFTY18SEP25300CE", "OpenInterest")</f>
        <v>N.A.</v>
      </c>
      <c r="J50" s="1" t="str">
        <f>RTD("pi.rtdserver", ,"NFO_BANKNIFTY18SEP25300CE", "TotalBidQty")</f>
        <v>N.A.</v>
      </c>
      <c r="K50" s="1" t="str">
        <f>RTD("pi.rtdserver", ,"NFO_BANKNIFTY18SEP25300CE", "TotalAskQty")</f>
        <v>N.A.</v>
      </c>
      <c r="L50" s="1" t="str">
        <f>RTD("pi.rtdserver", ,"NFO_BANKNIFTY18SEP25300CE", "lastTradeTime")</f>
        <v>N.A.</v>
      </c>
      <c r="M50" s="1" t="str">
        <f>RTD("pi.rtdserver", ,"NFO_BANKNIFTY18SEP25300CE", "lastUpdateTime")</f>
        <v>N.A.</v>
      </c>
    </row>
    <row r="51" spans="1:13" x14ac:dyDescent="0.25">
      <c r="A51" s="1" t="str">
        <f>RTD("pi.rtdserver", ,"NFO_BANKNIFTY18SEP25300PE", "TradingSymbol")</f>
        <v>N.A.</v>
      </c>
      <c r="B51" s="1" t="str">
        <f>RTD("pi.rtdserver", ,"NFO_BANKNIFTY18SEP25300PE", "Last")</f>
        <v>N.A.</v>
      </c>
      <c r="C51" s="1" t="str">
        <f>RTD("pi.rtdserver", ,"NFO_BANKNIFTY18SEP25300PE", "BidSize")</f>
        <v>N.A.</v>
      </c>
      <c r="D51" s="1" t="str">
        <f>RTD("pi.rtdserver", ,"NFO_BANKNIFTY18SEP25300PE", "Bid")</f>
        <v>N.A.</v>
      </c>
      <c r="E51" s="1" t="str">
        <f>RTD("pi.rtdserver", ,"NFO_BANKNIFTY18SEP25300PE", "Ask")</f>
        <v>N.A.</v>
      </c>
      <c r="F51" s="1" t="str">
        <f>RTD("pi.rtdserver", ,"NFO_BANKNIFTY18SEP25300PE", "AskSize")</f>
        <v>N.A.</v>
      </c>
      <c r="G51" s="1" t="str">
        <f>RTD("pi.rtdserver", ,"NFO_BANKNIFTY18SEP25300PE", "LTQ")</f>
        <v>N.A.</v>
      </c>
      <c r="H51" s="1" t="str">
        <f>RTD("pi.rtdserver", ,"NFO_BANKNIFTY18SEP25300PE", "Volume")</f>
        <v>N.A.</v>
      </c>
      <c r="I51" s="1" t="str">
        <f>RTD("pi.rtdserver", ,"NFO_BANKNIFTY18SEP25300PE", "OpenInterest")</f>
        <v>N.A.</v>
      </c>
      <c r="J51" s="1" t="str">
        <f>RTD("pi.rtdserver", ,"NFO_BANKNIFTY18SEP25300PE", "TotalBidQty")</f>
        <v>N.A.</v>
      </c>
      <c r="K51" s="1" t="str">
        <f>RTD("pi.rtdserver", ,"NFO_BANKNIFTY18SEP25300PE", "TotalAskQty")</f>
        <v>N.A.</v>
      </c>
      <c r="L51" s="1" t="str">
        <f>RTD("pi.rtdserver", ,"NFO_BANKNIFTY18SEP25300PE", "lastTradeTime")</f>
        <v>N.A.</v>
      </c>
      <c r="M51" s="1" t="str">
        <f>RTD("pi.rtdserver", ,"NFO_BANKNIFTY18SEP25300PE", "lastUpdateTime")</f>
        <v>N.A.</v>
      </c>
    </row>
    <row r="52" spans="1:13" x14ac:dyDescent="0.25">
      <c r="A52" s="1" t="str">
        <f>RTD("pi.rtdserver", ,"NFO_BANKNIFTY18SEP25400CE", "TradingSymbol")</f>
        <v>N.A.</v>
      </c>
      <c r="B52" s="1" t="str">
        <f>RTD("pi.rtdserver", ,"NFO_BANKNIFTY18SEP25400CE", "Last")</f>
        <v>N.A.</v>
      </c>
      <c r="C52" s="1" t="str">
        <f>RTD("pi.rtdserver", ,"NFO_BANKNIFTY18SEP25400CE", "BidSize")</f>
        <v>N.A.</v>
      </c>
      <c r="D52" s="1" t="str">
        <f>RTD("pi.rtdserver", ,"NFO_BANKNIFTY18SEP25400CE", "Bid")</f>
        <v>N.A.</v>
      </c>
      <c r="E52" s="1" t="str">
        <f>RTD("pi.rtdserver", ,"NFO_BANKNIFTY18SEP25400CE", "Ask")</f>
        <v>N.A.</v>
      </c>
      <c r="F52" s="1" t="str">
        <f>RTD("pi.rtdserver", ,"NFO_BANKNIFTY18SEP25400CE", "AskSize")</f>
        <v>N.A.</v>
      </c>
      <c r="G52" s="1" t="str">
        <f>RTD("pi.rtdserver", ,"NFO_BANKNIFTY18SEP25400CE", "LTQ")</f>
        <v>N.A.</v>
      </c>
      <c r="H52" s="1" t="str">
        <f>RTD("pi.rtdserver", ,"NFO_BANKNIFTY18SEP25400CE", "Volume")</f>
        <v>N.A.</v>
      </c>
      <c r="I52" s="1" t="str">
        <f>RTD("pi.rtdserver", ,"NFO_BANKNIFTY18SEP25400CE", "OpenInterest")</f>
        <v>N.A.</v>
      </c>
      <c r="J52" s="1" t="str">
        <f>RTD("pi.rtdserver", ,"NFO_BANKNIFTY18SEP25400CE", "TotalBidQty")</f>
        <v>N.A.</v>
      </c>
      <c r="K52" s="1" t="str">
        <f>RTD("pi.rtdserver", ,"NFO_BANKNIFTY18SEP25400CE", "TotalAskQty")</f>
        <v>N.A.</v>
      </c>
      <c r="L52" s="1" t="str">
        <f>RTD("pi.rtdserver", ,"NFO_BANKNIFTY18SEP25400CE", "lastTradeTime")</f>
        <v>N.A.</v>
      </c>
      <c r="M52" s="1" t="str">
        <f>RTD("pi.rtdserver", ,"NFO_BANKNIFTY18SEP25400CE", "lastUpdateTime")</f>
        <v>N.A.</v>
      </c>
    </row>
    <row r="53" spans="1:13" x14ac:dyDescent="0.25">
      <c r="A53" s="1" t="str">
        <f>RTD("pi.rtdserver", ,"NFO_BANKNIFTY18SEP25400PE", "TradingSymbol")</f>
        <v>N.A.</v>
      </c>
      <c r="B53" s="1" t="str">
        <f>RTD("pi.rtdserver", ,"NFO_BANKNIFTY18SEP25400PE", "Last")</f>
        <v>N.A.</v>
      </c>
      <c r="C53" s="1" t="str">
        <f>RTD("pi.rtdserver", ,"NFO_BANKNIFTY18SEP25400PE", "BidSize")</f>
        <v>N.A.</v>
      </c>
      <c r="D53" s="1" t="str">
        <f>RTD("pi.rtdserver", ,"NFO_BANKNIFTY18SEP25400PE", "Bid")</f>
        <v>N.A.</v>
      </c>
      <c r="E53" s="1" t="str">
        <f>RTD("pi.rtdserver", ,"NFO_BANKNIFTY18SEP25400PE", "Ask")</f>
        <v>N.A.</v>
      </c>
      <c r="F53" s="1" t="str">
        <f>RTD("pi.rtdserver", ,"NFO_BANKNIFTY18SEP25400PE", "AskSize")</f>
        <v>N.A.</v>
      </c>
      <c r="G53" s="1" t="str">
        <f>RTD("pi.rtdserver", ,"NFO_BANKNIFTY18SEP25400PE", "LTQ")</f>
        <v>N.A.</v>
      </c>
      <c r="H53" s="1" t="str">
        <f>RTD("pi.rtdserver", ,"NFO_BANKNIFTY18SEP25400PE", "Volume")</f>
        <v>N.A.</v>
      </c>
      <c r="I53" s="1" t="str">
        <f>RTD("pi.rtdserver", ,"NFO_BANKNIFTY18SEP25400PE", "OpenInterest")</f>
        <v>N.A.</v>
      </c>
      <c r="J53" s="1" t="str">
        <f>RTD("pi.rtdserver", ,"NFO_BANKNIFTY18SEP25400PE", "TotalBidQty")</f>
        <v>N.A.</v>
      </c>
      <c r="K53" s="1" t="str">
        <f>RTD("pi.rtdserver", ,"NFO_BANKNIFTY18SEP25400PE", "TotalAskQty")</f>
        <v>N.A.</v>
      </c>
      <c r="L53" s="1" t="str">
        <f>RTD("pi.rtdserver", ,"NFO_BANKNIFTY18SEP25400PE", "lastTradeTime")</f>
        <v>N.A.</v>
      </c>
      <c r="M53" s="1" t="str">
        <f>RTD("pi.rtdserver", ,"NFO_BANKNIFTY18SEP25400PE", "lastUpdateTime")</f>
        <v>N.A.</v>
      </c>
    </row>
    <row r="54" spans="1:13" x14ac:dyDescent="0.25">
      <c r="A54" s="1" t="str">
        <f>RTD("pi.rtdserver", ,"NFO_BANKNIFTY18SEP25500CE", "TradingSymbol")</f>
        <v>N.A.</v>
      </c>
      <c r="B54" s="1" t="str">
        <f>RTD("pi.rtdserver", ,"NFO_BANKNIFTY18SEP25500CE", "Last")</f>
        <v>N.A.</v>
      </c>
      <c r="C54" s="1" t="str">
        <f>RTD("pi.rtdserver", ,"NFO_BANKNIFTY18SEP25500CE", "BidSize")</f>
        <v>N.A.</v>
      </c>
      <c r="D54" s="1" t="str">
        <f>RTD("pi.rtdserver", ,"NFO_BANKNIFTY18SEP25500CE", "Bid")</f>
        <v>N.A.</v>
      </c>
      <c r="E54" s="1" t="str">
        <f>RTD("pi.rtdserver", ,"NFO_BANKNIFTY18SEP25500CE", "Ask")</f>
        <v>N.A.</v>
      </c>
      <c r="F54" s="1" t="str">
        <f>RTD("pi.rtdserver", ,"NFO_BANKNIFTY18SEP25500CE", "AskSize")</f>
        <v>N.A.</v>
      </c>
      <c r="G54" s="1" t="str">
        <f>RTD("pi.rtdserver", ,"NFO_BANKNIFTY18SEP25500CE", "LTQ")</f>
        <v>N.A.</v>
      </c>
      <c r="H54" s="1" t="str">
        <f>RTD("pi.rtdserver", ,"NFO_BANKNIFTY18SEP25500CE", "Volume")</f>
        <v>N.A.</v>
      </c>
      <c r="I54" s="1" t="str">
        <f>RTD("pi.rtdserver", ,"NFO_BANKNIFTY18SEP25500CE", "OpenInterest")</f>
        <v>N.A.</v>
      </c>
      <c r="J54" s="1" t="str">
        <f>RTD("pi.rtdserver", ,"NFO_BANKNIFTY18SEP25500CE", "TotalBidQty")</f>
        <v>N.A.</v>
      </c>
      <c r="K54" s="1" t="str">
        <f>RTD("pi.rtdserver", ,"NFO_BANKNIFTY18SEP25500CE", "TotalAskQty")</f>
        <v>N.A.</v>
      </c>
      <c r="L54" s="1" t="str">
        <f>RTD("pi.rtdserver", ,"NFO_BANKNIFTY18SEP25500CE", "lastTradeTime")</f>
        <v>N.A.</v>
      </c>
      <c r="M54" s="1" t="str">
        <f>RTD("pi.rtdserver", ,"NFO_BANKNIFTY18SEP25500CE", "lastUpdateTime")</f>
        <v>N.A.</v>
      </c>
    </row>
    <row r="55" spans="1:13" x14ac:dyDescent="0.25">
      <c r="A55" s="1" t="str">
        <f>RTD("pi.rtdserver", ,"NFO_BANKNIFTY18SEP25500PE", "TradingSymbol")</f>
        <v>N.A.</v>
      </c>
      <c r="B55" s="1" t="str">
        <f>RTD("pi.rtdserver", ,"NFO_BANKNIFTY18SEP25500PE", "Last")</f>
        <v>N.A.</v>
      </c>
      <c r="C55" s="1" t="str">
        <f>RTD("pi.rtdserver", ,"NFO_BANKNIFTY18SEP25500PE", "BidSize")</f>
        <v>N.A.</v>
      </c>
      <c r="D55" s="1" t="str">
        <f>RTD("pi.rtdserver", ,"NFO_BANKNIFTY18SEP25500PE", "Bid")</f>
        <v>N.A.</v>
      </c>
      <c r="E55" s="1" t="str">
        <f>RTD("pi.rtdserver", ,"NFO_BANKNIFTY18SEP25500PE", "Ask")</f>
        <v>N.A.</v>
      </c>
      <c r="F55" s="1" t="str">
        <f>RTD("pi.rtdserver", ,"NFO_BANKNIFTY18SEP25500PE", "AskSize")</f>
        <v>N.A.</v>
      </c>
      <c r="G55" s="1" t="str">
        <f>RTD("pi.rtdserver", ,"NFO_BANKNIFTY18SEP25500PE", "LTQ")</f>
        <v>N.A.</v>
      </c>
      <c r="H55" s="1" t="str">
        <f>RTD("pi.rtdserver", ,"NFO_BANKNIFTY18SEP25500PE", "Volume")</f>
        <v>N.A.</v>
      </c>
      <c r="I55" s="1" t="str">
        <f>RTD("pi.rtdserver", ,"NFO_BANKNIFTY18SEP25500PE", "OpenInterest")</f>
        <v>N.A.</v>
      </c>
      <c r="J55" s="1" t="str">
        <f>RTD("pi.rtdserver", ,"NFO_BANKNIFTY18SEP25500PE", "TotalBidQty")</f>
        <v>N.A.</v>
      </c>
      <c r="K55" s="1" t="str">
        <f>RTD("pi.rtdserver", ,"NFO_BANKNIFTY18SEP25500PE", "TotalAskQty")</f>
        <v>N.A.</v>
      </c>
      <c r="L55" s="1" t="str">
        <f>RTD("pi.rtdserver", ,"NFO_BANKNIFTY18SEP25500PE", "lastTradeTime")</f>
        <v>N.A.</v>
      </c>
      <c r="M55" s="1" t="str">
        <f>RTD("pi.rtdserver", ,"NFO_BANKNIFTY18SEP25500PE", "lastUpdateTime")</f>
        <v>N.A.</v>
      </c>
    </row>
    <row r="56" spans="1:13" x14ac:dyDescent="0.25">
      <c r="A56" s="1" t="str">
        <f>RTD("pi.rtdserver", ,"NFO_BANKNIFTY18SEP25600PE", "TradingSymbol")</f>
        <v>N.A.</v>
      </c>
      <c r="B56" s="1" t="str">
        <f>RTD("pi.rtdserver", ,"NFO_BANKNIFTY18SEP25600PE", "Last")</f>
        <v>N.A.</v>
      </c>
      <c r="C56" s="1" t="str">
        <f>RTD("pi.rtdserver", ,"NFO_BANKNIFTY18SEP25600PE", "BidSize")</f>
        <v>N.A.</v>
      </c>
      <c r="D56" s="1" t="str">
        <f>RTD("pi.rtdserver", ,"NFO_BANKNIFTY18SEP25600PE", "Bid")</f>
        <v>N.A.</v>
      </c>
      <c r="E56" s="1" t="str">
        <f>RTD("pi.rtdserver", ,"NFO_BANKNIFTY18SEP25600PE", "Ask")</f>
        <v>N.A.</v>
      </c>
      <c r="F56" s="1" t="str">
        <f>RTD("pi.rtdserver", ,"NFO_BANKNIFTY18SEP25600PE", "AskSize")</f>
        <v>N.A.</v>
      </c>
      <c r="G56" s="1" t="str">
        <f>RTD("pi.rtdserver", ,"NFO_BANKNIFTY18SEP25600PE", "LTQ")</f>
        <v>N.A.</v>
      </c>
      <c r="H56" s="1" t="str">
        <f>RTD("pi.rtdserver", ,"NFO_BANKNIFTY18SEP25600PE", "Volume")</f>
        <v>N.A.</v>
      </c>
      <c r="I56" s="1" t="str">
        <f>RTD("pi.rtdserver", ,"NFO_BANKNIFTY18SEP25600PE", "OpenInterest")</f>
        <v>N.A.</v>
      </c>
      <c r="J56" s="1" t="str">
        <f>RTD("pi.rtdserver", ,"NFO_BANKNIFTY18SEP25600PE", "TotalBidQty")</f>
        <v>N.A.</v>
      </c>
      <c r="K56" s="1" t="str">
        <f>RTD("pi.rtdserver", ,"NFO_BANKNIFTY18SEP25600PE", "TotalAskQty")</f>
        <v>N.A.</v>
      </c>
      <c r="L56" s="1" t="str">
        <f>RTD("pi.rtdserver", ,"NFO_BANKNIFTY18SEP25600PE", "lastTradeTime")</f>
        <v>N.A.</v>
      </c>
      <c r="M56" s="1" t="str">
        <f>RTD("pi.rtdserver", ,"NFO_BANKNIFTY18SEP25600PE", "lastUpdateTime")</f>
        <v>N.A.</v>
      </c>
    </row>
    <row r="57" spans="1:13" x14ac:dyDescent="0.25">
      <c r="A57" s="1" t="str">
        <f>RTD("pi.rtdserver", ,"NFO_BANKNIFTY18SEP25700CE", "TradingSymbol")</f>
        <v>N.A.</v>
      </c>
      <c r="B57" s="1" t="str">
        <f>RTD("pi.rtdserver", ,"NFO_BANKNIFTY18SEP25700CE", "Last")</f>
        <v>N.A.</v>
      </c>
      <c r="C57" s="1" t="str">
        <f>RTD("pi.rtdserver", ,"NFO_BANKNIFTY18SEP25700CE", "BidSize")</f>
        <v>N.A.</v>
      </c>
      <c r="D57" s="1" t="str">
        <f>RTD("pi.rtdserver", ,"NFO_BANKNIFTY18SEP25700CE", "Bid")</f>
        <v>N.A.</v>
      </c>
      <c r="E57" s="1" t="str">
        <f>RTD("pi.rtdserver", ,"NFO_BANKNIFTY18SEP25700CE", "Ask")</f>
        <v>N.A.</v>
      </c>
      <c r="F57" s="1" t="str">
        <f>RTD("pi.rtdserver", ,"NFO_BANKNIFTY18SEP25700CE", "AskSize")</f>
        <v>N.A.</v>
      </c>
      <c r="G57" s="1" t="str">
        <f>RTD("pi.rtdserver", ,"NFO_BANKNIFTY18SEP25700CE", "LTQ")</f>
        <v>N.A.</v>
      </c>
      <c r="H57" s="1" t="str">
        <f>RTD("pi.rtdserver", ,"NFO_BANKNIFTY18SEP25700CE", "Volume")</f>
        <v>N.A.</v>
      </c>
      <c r="I57" s="1" t="str">
        <f>RTD("pi.rtdserver", ,"NFO_BANKNIFTY18SEP25700CE", "OpenInterest")</f>
        <v>N.A.</v>
      </c>
      <c r="J57" s="1" t="str">
        <f>RTD("pi.rtdserver", ,"NFO_BANKNIFTY18SEP25700CE", "TotalBidQty")</f>
        <v>N.A.</v>
      </c>
      <c r="K57" s="1" t="str">
        <f>RTD("pi.rtdserver", ,"NFO_BANKNIFTY18SEP25700CE", "TotalAskQty")</f>
        <v>N.A.</v>
      </c>
      <c r="L57" s="1" t="str">
        <f>RTD("pi.rtdserver", ,"NFO_BANKNIFTY18SEP25700CE", "lastTradeTime")</f>
        <v>N.A.</v>
      </c>
      <c r="M57" s="1" t="str">
        <f>RTD("pi.rtdserver", ,"NFO_BANKNIFTY18SEP25700CE", "lastUpdateTime")</f>
        <v>N.A.</v>
      </c>
    </row>
    <row r="58" spans="1:13" x14ac:dyDescent="0.25">
      <c r="A58" s="1" t="str">
        <f>RTD("pi.rtdserver", ,"NFO_BANKNIFTY18SEP25800CE", "TradingSymbol")</f>
        <v>N.A.</v>
      </c>
      <c r="B58" s="1" t="str">
        <f>RTD("pi.rtdserver", ,"NFO_BANKNIFTY18SEP25800CE", "Last")</f>
        <v>N.A.</v>
      </c>
      <c r="C58" s="1" t="str">
        <f>RTD("pi.rtdserver", ,"NFO_BANKNIFTY18SEP25800CE", "BidSize")</f>
        <v>N.A.</v>
      </c>
      <c r="D58" s="1" t="str">
        <f>RTD("pi.rtdserver", ,"NFO_BANKNIFTY18SEP25800CE", "Bid")</f>
        <v>N.A.</v>
      </c>
      <c r="E58" s="1" t="str">
        <f>RTD("pi.rtdserver", ,"NFO_BANKNIFTY18SEP25800CE", "Ask")</f>
        <v>N.A.</v>
      </c>
      <c r="F58" s="1" t="str">
        <f>RTD("pi.rtdserver", ,"NFO_BANKNIFTY18SEP25800CE", "AskSize")</f>
        <v>N.A.</v>
      </c>
      <c r="G58" s="1" t="str">
        <f>RTD("pi.rtdserver", ,"NFO_BANKNIFTY18SEP25800CE", "LTQ")</f>
        <v>N.A.</v>
      </c>
      <c r="H58" s="1" t="str">
        <f>RTD("pi.rtdserver", ,"NFO_BANKNIFTY18SEP25800CE", "Volume")</f>
        <v>N.A.</v>
      </c>
      <c r="I58" s="1" t="str">
        <f>RTD("pi.rtdserver", ,"NFO_BANKNIFTY18SEP25800CE", "OpenInterest")</f>
        <v>N.A.</v>
      </c>
      <c r="J58" s="1" t="str">
        <f>RTD("pi.rtdserver", ,"NFO_BANKNIFTY18SEP25800CE", "TotalBidQty")</f>
        <v>N.A.</v>
      </c>
      <c r="K58" s="1" t="str">
        <f>RTD("pi.rtdserver", ,"NFO_BANKNIFTY18SEP25800CE", "TotalAskQty")</f>
        <v>N.A.</v>
      </c>
      <c r="L58" s="1" t="str">
        <f>RTD("pi.rtdserver", ,"NFO_BANKNIFTY18SEP25800CE", "lastTradeTime")</f>
        <v>N.A.</v>
      </c>
      <c r="M58" s="1" t="str">
        <f>RTD("pi.rtdserver", ,"NFO_BANKNIFTY18SEP25800CE", "lastUpdateTime")</f>
        <v>N.A.</v>
      </c>
    </row>
    <row r="59" spans="1:13" x14ac:dyDescent="0.25">
      <c r="A59" s="1" t="str">
        <f>RTD("pi.rtdserver", ,"NFO_BANKNIFTY18SEP25700PE", "TradingSymbol")</f>
        <v>N.A.</v>
      </c>
      <c r="B59" s="1" t="str">
        <f>RTD("pi.rtdserver", ,"NFO_BANKNIFTY18SEP25700PE", "Last")</f>
        <v>N.A.</v>
      </c>
      <c r="C59" s="1" t="str">
        <f>RTD("pi.rtdserver", ,"NFO_BANKNIFTY18SEP25700PE", "BidSize")</f>
        <v>N.A.</v>
      </c>
      <c r="D59" s="1" t="str">
        <f>RTD("pi.rtdserver", ,"NFO_BANKNIFTY18SEP25700PE", "Bid")</f>
        <v>N.A.</v>
      </c>
      <c r="E59" s="1" t="str">
        <f>RTD("pi.rtdserver", ,"NFO_BANKNIFTY18SEP25700PE", "Ask")</f>
        <v>N.A.</v>
      </c>
      <c r="F59" s="1" t="str">
        <f>RTD("pi.rtdserver", ,"NFO_BANKNIFTY18SEP25700PE", "AskSize")</f>
        <v>N.A.</v>
      </c>
      <c r="G59" s="1" t="str">
        <f>RTD("pi.rtdserver", ,"NFO_BANKNIFTY18SEP25700PE", "LTQ")</f>
        <v>N.A.</v>
      </c>
      <c r="H59" s="1" t="str">
        <f>RTD("pi.rtdserver", ,"NFO_BANKNIFTY18SEP25700PE", "Volume")</f>
        <v>N.A.</v>
      </c>
      <c r="I59" s="1" t="str">
        <f>RTD("pi.rtdserver", ,"NFO_BANKNIFTY18SEP25700PE", "OpenInterest")</f>
        <v>N.A.</v>
      </c>
      <c r="J59" s="1" t="str">
        <f>RTD("pi.rtdserver", ,"NFO_BANKNIFTY18SEP25700PE", "TotalBidQty")</f>
        <v>N.A.</v>
      </c>
      <c r="K59" s="1" t="str">
        <f>RTD("pi.rtdserver", ,"NFO_BANKNIFTY18SEP25700PE", "TotalAskQty")</f>
        <v>N.A.</v>
      </c>
      <c r="L59" s="1" t="str">
        <f>RTD("pi.rtdserver", ,"NFO_BANKNIFTY18SEP25700PE", "lastTradeTime")</f>
        <v>N.A.</v>
      </c>
      <c r="M59" s="1" t="str">
        <f>RTD("pi.rtdserver", ,"NFO_BANKNIFTY18SEP25700PE", "lastUpdateTime")</f>
        <v>N.A.</v>
      </c>
    </row>
    <row r="60" spans="1:13" x14ac:dyDescent="0.25">
      <c r="A60" s="1" t="str">
        <f>RTD("pi.rtdserver", ,"NFO_BANKNIFTY18SEP25600CE", "TradingSymbol")</f>
        <v>N.A.</v>
      </c>
      <c r="B60" s="1" t="str">
        <f>RTD("pi.rtdserver", ,"NFO_BANKNIFTY18SEP25600CE", "Last")</f>
        <v>N.A.</v>
      </c>
      <c r="C60" s="1" t="str">
        <f>RTD("pi.rtdserver", ,"NFO_BANKNIFTY18SEP25600CE", "BidSize")</f>
        <v>N.A.</v>
      </c>
      <c r="D60" s="1" t="str">
        <f>RTD("pi.rtdserver", ,"NFO_BANKNIFTY18SEP25600CE", "Bid")</f>
        <v>N.A.</v>
      </c>
      <c r="E60" s="1" t="str">
        <f>RTD("pi.rtdserver", ,"NFO_BANKNIFTY18SEP25600CE", "Ask")</f>
        <v>N.A.</v>
      </c>
      <c r="F60" s="1" t="str">
        <f>RTD("pi.rtdserver", ,"NFO_BANKNIFTY18SEP25600CE", "AskSize")</f>
        <v>N.A.</v>
      </c>
      <c r="G60" s="1" t="str">
        <f>RTD("pi.rtdserver", ,"NFO_BANKNIFTY18SEP25600CE", "LTQ")</f>
        <v>N.A.</v>
      </c>
      <c r="H60" s="1" t="str">
        <f>RTD("pi.rtdserver", ,"NFO_BANKNIFTY18SEP25600CE", "Volume")</f>
        <v>N.A.</v>
      </c>
      <c r="I60" s="1" t="str">
        <f>RTD("pi.rtdserver", ,"NFO_BANKNIFTY18SEP25600CE", "OpenInterest")</f>
        <v>N.A.</v>
      </c>
      <c r="J60" s="1" t="str">
        <f>RTD("pi.rtdserver", ,"NFO_BANKNIFTY18SEP25600CE", "TotalBidQty")</f>
        <v>N.A.</v>
      </c>
      <c r="K60" s="1" t="str">
        <f>RTD("pi.rtdserver", ,"NFO_BANKNIFTY18SEP25600CE", "TotalAskQty")</f>
        <v>N.A.</v>
      </c>
      <c r="L60" s="1" t="str">
        <f>RTD("pi.rtdserver", ,"NFO_BANKNIFTY18SEP25600CE", "lastTradeTime")</f>
        <v>N.A.</v>
      </c>
      <c r="M60" s="1" t="str">
        <f>RTD("pi.rtdserver", ,"NFO_BANKNIFTY18SEP25600CE", "lastUpdateTime")</f>
        <v>N.A.</v>
      </c>
    </row>
    <row r="61" spans="1:13" x14ac:dyDescent="0.25">
      <c r="A61" s="1" t="str">
        <f>RTD("pi.rtdserver", ,"_India VIX", "TradingSymbol")</f>
        <v>N.A.</v>
      </c>
      <c r="B61" s="1" t="str">
        <f>RTD("pi.rtdserver", ,"_India VIX", "Last")</f>
        <v>N.A.</v>
      </c>
      <c r="C61" s="1" t="str">
        <f>RTD("pi.rtdserver", ,"_India VIX", "BidSize")</f>
        <v>N.A.</v>
      </c>
      <c r="D61" s="1" t="str">
        <f>RTD("pi.rtdserver", ,"_India VIX", "Bid")</f>
        <v>N.A.</v>
      </c>
      <c r="E61" s="1" t="str">
        <f>RTD("pi.rtdserver", ,"_India VIX", "Ask")</f>
        <v>N.A.</v>
      </c>
      <c r="F61" s="1" t="str">
        <f>RTD("pi.rtdserver", ,"_India VIX", "AskSize")</f>
        <v>N.A.</v>
      </c>
      <c r="G61" s="1" t="str">
        <f>RTD("pi.rtdserver", ,"_India VIX", "LTQ")</f>
        <v>N.A.</v>
      </c>
      <c r="H61" s="1" t="str">
        <f>RTD("pi.rtdserver", ,"_India VIX", "Volume")</f>
        <v>N.A.</v>
      </c>
      <c r="I61" s="1" t="str">
        <f>RTD("pi.rtdserver", ,"_India VIX", "OpenInterest")</f>
        <v>N.A.</v>
      </c>
      <c r="J61" s="1" t="str">
        <f>RTD("pi.rtdserver", ,"_India VIX", "TotalBidQty")</f>
        <v>N.A.</v>
      </c>
      <c r="K61" s="1" t="str">
        <f>RTD("pi.rtdserver", ,"_India VIX", "TotalAskQty")</f>
        <v>N.A.</v>
      </c>
      <c r="L61" s="1" t="str">
        <f>RTD("pi.rtdserver", ,"_India VIX", "lastTradeTime")</f>
        <v>N.A.</v>
      </c>
      <c r="M61" s="1" t="str">
        <f>RTD("pi.rtdserver", ,"_India VIX", "lastUpdateTime")</f>
        <v>N.A.</v>
      </c>
    </row>
    <row r="62" spans="1:13" x14ac:dyDescent="0.25">
      <c r="A62" s="1" t="str">
        <f>RTD("pi.rtdserver", ,"NSE_ADANIPORTS-EQ", "TradingSymbol")</f>
        <v>N.A.</v>
      </c>
      <c r="B62" s="1" t="str">
        <f>RTD("pi.rtdserver", ,"NSE_ADANIPORTS-EQ", "Last")</f>
        <v>N.A.</v>
      </c>
      <c r="C62" s="1" t="str">
        <f>RTD("pi.rtdserver", ,"NSE_ADANIPORTS-EQ", "BidSize")</f>
        <v>N.A.</v>
      </c>
      <c r="D62" s="1" t="str">
        <f>RTD("pi.rtdserver", ,"NSE_ADANIPORTS-EQ", "Bid")</f>
        <v>N.A.</v>
      </c>
      <c r="E62" s="1" t="str">
        <f>RTD("pi.rtdserver", ,"NSE_ADANIPORTS-EQ", "Ask")</f>
        <v>N.A.</v>
      </c>
      <c r="F62" s="1" t="str">
        <f>RTD("pi.rtdserver", ,"NSE_ADANIPORTS-EQ", "AskSize")</f>
        <v>N.A.</v>
      </c>
      <c r="G62" s="1" t="str">
        <f>RTD("pi.rtdserver", ,"NSE_ADANIPORTS-EQ", "LTQ")</f>
        <v>N.A.</v>
      </c>
      <c r="H62" s="1" t="str">
        <f>RTD("pi.rtdserver", ,"NSE_ADANIPORTS-EQ", "Volume")</f>
        <v>N.A.</v>
      </c>
      <c r="I62" s="1" t="str">
        <f>RTD("pi.rtdserver", ,"NSE_ADANIPORTS-EQ", "OpenInterest")</f>
        <v>N.A.</v>
      </c>
      <c r="J62" s="1" t="str">
        <f>RTD("pi.rtdserver", ,"NSE_ADANIPORTS-EQ", "TotalBidQty")</f>
        <v>N.A.</v>
      </c>
      <c r="K62" s="1" t="str">
        <f>RTD("pi.rtdserver", ,"NSE_ADANIPORTS-EQ", "TotalAskQty")</f>
        <v>N.A.</v>
      </c>
      <c r="L62" s="1" t="str">
        <f>RTD("pi.rtdserver", ,"NSE_ADANIPORTS-EQ", "lastTradeTime")</f>
        <v>N.A.</v>
      </c>
      <c r="M62" s="1" t="str">
        <f>RTD("pi.rtdserver", ,"NSE_ADANIPORTS-EQ", "lastUpdateTime")</f>
        <v>N.A.</v>
      </c>
    </row>
    <row r="63" spans="1:13" x14ac:dyDescent="0.25">
      <c r="A63" s="1" t="str">
        <f>RTD("pi.rtdserver", ,"NSE_AMBUJACEM-EQ", "TradingSymbol")</f>
        <v>N.A.</v>
      </c>
      <c r="B63" s="1" t="str">
        <f>RTD("pi.rtdserver", ,"NSE_AMBUJACEM-EQ", "Last")</f>
        <v>N.A.</v>
      </c>
      <c r="C63" s="1" t="str">
        <f>RTD("pi.rtdserver", ,"NSE_AMBUJACEM-EQ", "BidSize")</f>
        <v>N.A.</v>
      </c>
      <c r="D63" s="1" t="str">
        <f>RTD("pi.rtdserver", ,"NSE_AMBUJACEM-EQ", "Bid")</f>
        <v>N.A.</v>
      </c>
      <c r="E63" s="1" t="str">
        <f>RTD("pi.rtdserver", ,"NSE_AMBUJACEM-EQ", "Ask")</f>
        <v>N.A.</v>
      </c>
      <c r="F63" s="1" t="str">
        <f>RTD("pi.rtdserver", ,"NSE_AMBUJACEM-EQ", "AskSize")</f>
        <v>N.A.</v>
      </c>
      <c r="G63" s="1" t="str">
        <f>RTD("pi.rtdserver", ,"NSE_AMBUJACEM-EQ", "LTQ")</f>
        <v>N.A.</v>
      </c>
      <c r="H63" s="1" t="str">
        <f>RTD("pi.rtdserver", ,"NSE_AMBUJACEM-EQ", "Volume")</f>
        <v>N.A.</v>
      </c>
      <c r="I63" s="1" t="str">
        <f>RTD("pi.rtdserver", ,"NSE_AMBUJACEM-EQ", "OpenInterest")</f>
        <v>N.A.</v>
      </c>
      <c r="J63" s="1" t="str">
        <f>RTD("pi.rtdserver", ,"NSE_AMBUJACEM-EQ", "TotalBidQty")</f>
        <v>N.A.</v>
      </c>
      <c r="K63" s="1" t="str">
        <f>RTD("pi.rtdserver", ,"NSE_AMBUJACEM-EQ", "TotalAskQty")</f>
        <v>N.A.</v>
      </c>
      <c r="L63" s="1" t="str">
        <f>RTD("pi.rtdserver", ,"NSE_AMBUJACEM-EQ", "lastTradeTime")</f>
        <v>N.A.</v>
      </c>
      <c r="M63" s="1" t="str">
        <f>RTD("pi.rtdserver", ,"NSE_AMBUJACEM-EQ", "lastUpdateTime")</f>
        <v>N.A.</v>
      </c>
    </row>
    <row r="64" spans="1:13" x14ac:dyDescent="0.25">
      <c r="A64" s="1" t="str">
        <f>RTD("pi.rtdserver", ,"NSE_ASIANPAINT-EQ", "TradingSymbol")</f>
        <v>N.A.</v>
      </c>
      <c r="B64" s="1" t="str">
        <f>RTD("pi.rtdserver", ,"NSE_ASIANPAINT-EQ", "Last")</f>
        <v>N.A.</v>
      </c>
      <c r="C64" s="1" t="str">
        <f>RTD("pi.rtdserver", ,"NSE_ASIANPAINT-EQ", "BidSize")</f>
        <v>N.A.</v>
      </c>
      <c r="D64" s="1" t="str">
        <f>RTD("pi.rtdserver", ,"NSE_ASIANPAINT-EQ", "Bid")</f>
        <v>N.A.</v>
      </c>
      <c r="E64" s="1" t="str">
        <f>RTD("pi.rtdserver", ,"NSE_ASIANPAINT-EQ", "Ask")</f>
        <v>N.A.</v>
      </c>
      <c r="F64" s="1" t="str">
        <f>RTD("pi.rtdserver", ,"NSE_ASIANPAINT-EQ", "AskSize")</f>
        <v>N.A.</v>
      </c>
      <c r="G64" s="1" t="str">
        <f>RTD("pi.rtdserver", ,"NSE_ASIANPAINT-EQ", "LTQ")</f>
        <v>N.A.</v>
      </c>
      <c r="H64" s="1" t="str">
        <f>RTD("pi.rtdserver", ,"NSE_ASIANPAINT-EQ", "Volume")</f>
        <v>N.A.</v>
      </c>
      <c r="I64" s="1" t="str">
        <f>RTD("pi.rtdserver", ,"NSE_ASIANPAINT-EQ", "OpenInterest")</f>
        <v>N.A.</v>
      </c>
      <c r="J64" s="1" t="str">
        <f>RTD("pi.rtdserver", ,"NSE_ASIANPAINT-EQ", "TotalBidQty")</f>
        <v>N.A.</v>
      </c>
      <c r="K64" s="1" t="str">
        <f>RTD("pi.rtdserver", ,"NSE_ASIANPAINT-EQ", "TotalAskQty")</f>
        <v>N.A.</v>
      </c>
      <c r="L64" s="1" t="str">
        <f>RTD("pi.rtdserver", ,"NSE_ASIANPAINT-EQ", "lastTradeTime")</f>
        <v>N.A.</v>
      </c>
      <c r="M64" s="1" t="str">
        <f>RTD("pi.rtdserver", ,"NSE_ASIANPAINT-EQ", "lastUpdateTime")</f>
        <v>N.A.</v>
      </c>
    </row>
    <row r="65" spans="1:13" x14ac:dyDescent="0.25">
      <c r="A65" s="1" t="str">
        <f>RTD("pi.rtdserver", ,"NSE_AUROPHARMA-EQ", "TradingSymbol")</f>
        <v>N.A.</v>
      </c>
      <c r="B65" s="1" t="str">
        <f>RTD("pi.rtdserver", ,"NSE_AUROPHARMA-EQ", "Last")</f>
        <v>N.A.</v>
      </c>
      <c r="C65" s="1" t="str">
        <f>RTD("pi.rtdserver", ,"NSE_AUROPHARMA-EQ", "BidSize")</f>
        <v>N.A.</v>
      </c>
      <c r="D65" s="1" t="str">
        <f>RTD("pi.rtdserver", ,"NSE_AUROPHARMA-EQ", "Bid")</f>
        <v>N.A.</v>
      </c>
      <c r="E65" s="1" t="str">
        <f>RTD("pi.rtdserver", ,"NSE_AUROPHARMA-EQ", "Ask")</f>
        <v>N.A.</v>
      </c>
      <c r="F65" s="1" t="str">
        <f>RTD("pi.rtdserver", ,"NSE_AUROPHARMA-EQ", "AskSize")</f>
        <v>N.A.</v>
      </c>
      <c r="G65" s="1" t="str">
        <f>RTD("pi.rtdserver", ,"NSE_AUROPHARMA-EQ", "LTQ")</f>
        <v>N.A.</v>
      </c>
      <c r="H65" s="1" t="str">
        <f>RTD("pi.rtdserver", ,"NSE_AUROPHARMA-EQ", "Volume")</f>
        <v>N.A.</v>
      </c>
      <c r="I65" s="1" t="str">
        <f>RTD("pi.rtdserver", ,"NSE_AUROPHARMA-EQ", "OpenInterest")</f>
        <v>N.A.</v>
      </c>
      <c r="J65" s="1" t="str">
        <f>RTD("pi.rtdserver", ,"NSE_AUROPHARMA-EQ", "TotalBidQty")</f>
        <v>N.A.</v>
      </c>
      <c r="K65" s="1" t="str">
        <f>RTD("pi.rtdserver", ,"NSE_AUROPHARMA-EQ", "TotalAskQty")</f>
        <v>N.A.</v>
      </c>
      <c r="L65" s="1" t="str">
        <f>RTD("pi.rtdserver", ,"NSE_AUROPHARMA-EQ", "lastTradeTime")</f>
        <v>N.A.</v>
      </c>
      <c r="M65" s="1" t="str">
        <f>RTD("pi.rtdserver", ,"NSE_AUROPHARMA-EQ", "lastUpdateTime")</f>
        <v>N.A.</v>
      </c>
    </row>
    <row r="66" spans="1:13" x14ac:dyDescent="0.25">
      <c r="A66" s="1" t="str">
        <f>RTD("pi.rtdserver", ,"NSE_AXISBANK-EQ", "TradingSymbol")</f>
        <v>N.A.</v>
      </c>
      <c r="B66" s="1" t="str">
        <f>RTD("pi.rtdserver", ,"NSE_AXISBANK-EQ", "Last")</f>
        <v>N.A.</v>
      </c>
      <c r="C66" s="1" t="str">
        <f>RTD("pi.rtdserver", ,"NSE_AXISBANK-EQ", "BidSize")</f>
        <v>N.A.</v>
      </c>
      <c r="D66" s="1" t="str">
        <f>RTD("pi.rtdserver", ,"NSE_AXISBANK-EQ", "Bid")</f>
        <v>N.A.</v>
      </c>
      <c r="E66" s="1" t="str">
        <f>RTD("pi.rtdserver", ,"NSE_AXISBANK-EQ", "Ask")</f>
        <v>N.A.</v>
      </c>
      <c r="F66" s="1" t="str">
        <f>RTD("pi.rtdserver", ,"NSE_AXISBANK-EQ", "AskSize")</f>
        <v>N.A.</v>
      </c>
      <c r="G66" s="1" t="str">
        <f>RTD("pi.rtdserver", ,"NSE_AXISBANK-EQ", "LTQ")</f>
        <v>N.A.</v>
      </c>
      <c r="H66" s="1" t="str">
        <f>RTD("pi.rtdserver", ,"NSE_AXISBANK-EQ", "Volume")</f>
        <v>N.A.</v>
      </c>
      <c r="I66" s="1" t="str">
        <f>RTD("pi.rtdserver", ,"NSE_AXISBANK-EQ", "OpenInterest")</f>
        <v>N.A.</v>
      </c>
      <c r="J66" s="1" t="str">
        <f>RTD("pi.rtdserver", ,"NSE_AXISBANK-EQ", "TotalBidQty")</f>
        <v>N.A.</v>
      </c>
      <c r="K66" s="1" t="str">
        <f>RTD("pi.rtdserver", ,"NSE_AXISBANK-EQ", "TotalAskQty")</f>
        <v>N.A.</v>
      </c>
      <c r="L66" s="1" t="str">
        <f>RTD("pi.rtdserver", ,"NSE_AXISBANK-EQ", "lastTradeTime")</f>
        <v>N.A.</v>
      </c>
      <c r="M66" s="1" t="str">
        <f>RTD("pi.rtdserver", ,"NSE_AXISBANK-EQ", "lastUpdateTime")</f>
        <v>N.A.</v>
      </c>
    </row>
    <row r="67" spans="1:13" x14ac:dyDescent="0.25">
      <c r="A67" s="1" t="str">
        <f>RTD("pi.rtdserver", ,"NSE_BAJAJ-AUTO-EQ", "TradingSymbol")</f>
        <v>N.A.</v>
      </c>
      <c r="B67" s="1" t="str">
        <f>RTD("pi.rtdserver", ,"NSE_BAJAJ-AUTO-EQ", "Last")</f>
        <v>N.A.</v>
      </c>
      <c r="C67" s="1" t="str">
        <f>RTD("pi.rtdserver", ,"NSE_BAJAJ-AUTO-EQ", "BidSize")</f>
        <v>N.A.</v>
      </c>
      <c r="D67" s="1" t="str">
        <f>RTD("pi.rtdserver", ,"NSE_BAJAJ-AUTO-EQ", "Bid")</f>
        <v>N.A.</v>
      </c>
      <c r="E67" s="1" t="str">
        <f>RTD("pi.rtdserver", ,"NSE_BAJAJ-AUTO-EQ", "Ask")</f>
        <v>N.A.</v>
      </c>
      <c r="F67" s="1" t="str">
        <f>RTD("pi.rtdserver", ,"NSE_BAJAJ-AUTO-EQ", "AskSize")</f>
        <v>N.A.</v>
      </c>
      <c r="G67" s="1" t="str">
        <f>RTD("pi.rtdserver", ,"NSE_BAJAJ-AUTO-EQ", "LTQ")</f>
        <v>N.A.</v>
      </c>
      <c r="H67" s="1" t="str">
        <f>RTD("pi.rtdserver", ,"NSE_BAJAJ-AUTO-EQ", "Volume")</f>
        <v>N.A.</v>
      </c>
      <c r="I67" s="1" t="str">
        <f>RTD("pi.rtdserver", ,"NSE_BAJAJ-AUTO-EQ", "OpenInterest")</f>
        <v>N.A.</v>
      </c>
      <c r="J67" s="1" t="str">
        <f>RTD("pi.rtdserver", ,"NSE_BAJAJ-AUTO-EQ", "TotalBidQty")</f>
        <v>N.A.</v>
      </c>
      <c r="K67" s="1" t="str">
        <f>RTD("pi.rtdserver", ,"NSE_BAJAJ-AUTO-EQ", "TotalAskQty")</f>
        <v>N.A.</v>
      </c>
      <c r="L67" s="1" t="str">
        <f>RTD("pi.rtdserver", ,"NSE_BAJAJ-AUTO-EQ", "lastTradeTime")</f>
        <v>N.A.</v>
      </c>
      <c r="M67" s="1" t="str">
        <f>RTD("pi.rtdserver", ,"NSE_BAJAJ-AUTO-EQ", "lastUpdateTime")</f>
        <v>N.A.</v>
      </c>
    </row>
    <row r="68" spans="1:13" x14ac:dyDescent="0.25">
      <c r="A68" s="1" t="str">
        <f>RTD("pi.rtdserver", ,"NSE_BAJFINANCE-EQ", "TradingSymbol")</f>
        <v>N.A.</v>
      </c>
      <c r="B68" s="1" t="str">
        <f>RTD("pi.rtdserver", ,"NSE_BAJFINANCE-EQ", "Last")</f>
        <v>N.A.</v>
      </c>
      <c r="C68" s="1" t="str">
        <f>RTD("pi.rtdserver", ,"NSE_BAJFINANCE-EQ", "BidSize")</f>
        <v>N.A.</v>
      </c>
      <c r="D68" s="1" t="str">
        <f>RTD("pi.rtdserver", ,"NSE_BAJFINANCE-EQ", "Bid")</f>
        <v>N.A.</v>
      </c>
      <c r="E68" s="1" t="str">
        <f>RTD("pi.rtdserver", ,"NSE_BAJFINANCE-EQ", "Ask")</f>
        <v>N.A.</v>
      </c>
      <c r="F68" s="1" t="str">
        <f>RTD("pi.rtdserver", ,"NSE_BAJFINANCE-EQ", "AskSize")</f>
        <v>N.A.</v>
      </c>
      <c r="G68" s="1" t="str">
        <f>RTD("pi.rtdserver", ,"NSE_BAJFINANCE-EQ", "LTQ")</f>
        <v>N.A.</v>
      </c>
      <c r="H68" s="1" t="str">
        <f>RTD("pi.rtdserver", ,"NSE_BAJFINANCE-EQ", "Volume")</f>
        <v>N.A.</v>
      </c>
      <c r="I68" s="1" t="str">
        <f>RTD("pi.rtdserver", ,"NSE_BAJFINANCE-EQ", "OpenInterest")</f>
        <v>N.A.</v>
      </c>
      <c r="J68" s="1" t="str">
        <f>RTD("pi.rtdserver", ,"NSE_BAJFINANCE-EQ", "TotalBidQty")</f>
        <v>N.A.</v>
      </c>
      <c r="K68" s="1" t="str">
        <f>RTD("pi.rtdserver", ,"NSE_BAJFINANCE-EQ", "TotalAskQty")</f>
        <v>N.A.</v>
      </c>
      <c r="L68" s="1" t="str">
        <f>RTD("pi.rtdserver", ,"NSE_BAJFINANCE-EQ", "lastTradeTime")</f>
        <v>N.A.</v>
      </c>
      <c r="M68" s="1" t="str">
        <f>RTD("pi.rtdserver", ,"NSE_BAJFINANCE-EQ", "lastUpdateTime")</f>
        <v>N.A.</v>
      </c>
    </row>
    <row r="69" spans="1:13" x14ac:dyDescent="0.25">
      <c r="A69" s="1" t="str">
        <f>RTD("pi.rtdserver", ,"NSE_BHARTIARTL-EQ", "TradingSymbol")</f>
        <v>N.A.</v>
      </c>
      <c r="B69" s="1" t="str">
        <f>RTD("pi.rtdserver", ,"NSE_BHARTIARTL-EQ", "Last")</f>
        <v>N.A.</v>
      </c>
      <c r="C69" s="1" t="str">
        <f>RTD("pi.rtdserver", ,"NSE_BHARTIARTL-EQ", "BidSize")</f>
        <v>N.A.</v>
      </c>
      <c r="D69" s="1" t="str">
        <f>RTD("pi.rtdserver", ,"NSE_BHARTIARTL-EQ", "Bid")</f>
        <v>N.A.</v>
      </c>
      <c r="E69" s="1" t="str">
        <f>RTD("pi.rtdserver", ,"NSE_BHARTIARTL-EQ", "Ask")</f>
        <v>N.A.</v>
      </c>
      <c r="F69" s="1" t="str">
        <f>RTD("pi.rtdserver", ,"NSE_BHARTIARTL-EQ", "AskSize")</f>
        <v>N.A.</v>
      </c>
      <c r="G69" s="1" t="str">
        <f>RTD("pi.rtdserver", ,"NSE_BHARTIARTL-EQ", "LTQ")</f>
        <v>N.A.</v>
      </c>
      <c r="H69" s="1" t="str">
        <f>RTD("pi.rtdserver", ,"NSE_BHARTIARTL-EQ", "Volume")</f>
        <v>N.A.</v>
      </c>
      <c r="I69" s="1" t="str">
        <f>RTD("pi.rtdserver", ,"NSE_BHARTIARTL-EQ", "OpenInterest")</f>
        <v>N.A.</v>
      </c>
      <c r="J69" s="1" t="str">
        <f>RTD("pi.rtdserver", ,"NSE_BHARTIARTL-EQ", "TotalBidQty")</f>
        <v>N.A.</v>
      </c>
      <c r="K69" s="1" t="str">
        <f>RTD("pi.rtdserver", ,"NSE_BHARTIARTL-EQ", "TotalAskQty")</f>
        <v>N.A.</v>
      </c>
      <c r="L69" s="1" t="str">
        <f>RTD("pi.rtdserver", ,"NSE_BHARTIARTL-EQ", "lastTradeTime")</f>
        <v>N.A.</v>
      </c>
      <c r="M69" s="1" t="str">
        <f>RTD("pi.rtdserver", ,"NSE_BHARTIARTL-EQ", "lastUpdateTime")</f>
        <v>N.A.</v>
      </c>
    </row>
    <row r="70" spans="1:13" x14ac:dyDescent="0.25">
      <c r="A70" s="1" t="str">
        <f>RTD("pi.rtdserver", ,"NSE_BOSCHLTD-EQ", "TradingSymbol")</f>
        <v>N.A.</v>
      </c>
      <c r="B70" s="1" t="str">
        <f>RTD("pi.rtdserver", ,"NSE_BOSCHLTD-EQ", "Last")</f>
        <v>N.A.</v>
      </c>
      <c r="C70" s="1" t="str">
        <f>RTD("pi.rtdserver", ,"NSE_BOSCHLTD-EQ", "BidSize")</f>
        <v>N.A.</v>
      </c>
      <c r="D70" s="1" t="str">
        <f>RTD("pi.rtdserver", ,"NSE_BOSCHLTD-EQ", "Bid")</f>
        <v>N.A.</v>
      </c>
      <c r="E70" s="1" t="str">
        <f>RTD("pi.rtdserver", ,"NSE_BOSCHLTD-EQ", "Ask")</f>
        <v>N.A.</v>
      </c>
      <c r="F70" s="1" t="str">
        <f>RTD("pi.rtdserver", ,"NSE_BOSCHLTD-EQ", "AskSize")</f>
        <v>N.A.</v>
      </c>
      <c r="G70" s="1" t="str">
        <f>RTD("pi.rtdserver", ,"NSE_BOSCHLTD-EQ", "LTQ")</f>
        <v>N.A.</v>
      </c>
      <c r="H70" s="1" t="str">
        <f>RTD("pi.rtdserver", ,"NSE_BOSCHLTD-EQ", "Volume")</f>
        <v>N.A.</v>
      </c>
      <c r="I70" s="1" t="str">
        <f>RTD("pi.rtdserver", ,"NSE_BOSCHLTD-EQ", "OpenInterest")</f>
        <v>N.A.</v>
      </c>
      <c r="J70" s="1" t="str">
        <f>RTD("pi.rtdserver", ,"NSE_BOSCHLTD-EQ", "TotalBidQty")</f>
        <v>N.A.</v>
      </c>
      <c r="K70" s="1" t="str">
        <f>RTD("pi.rtdserver", ,"NSE_BOSCHLTD-EQ", "TotalAskQty")</f>
        <v>N.A.</v>
      </c>
      <c r="L70" s="1" t="str">
        <f>RTD("pi.rtdserver", ,"NSE_BOSCHLTD-EQ", "lastTradeTime")</f>
        <v>N.A.</v>
      </c>
      <c r="M70" s="1" t="str">
        <f>RTD("pi.rtdserver", ,"NSE_BOSCHLTD-EQ", "lastUpdateTime")</f>
        <v>N.A.</v>
      </c>
    </row>
    <row r="71" spans="1:13" x14ac:dyDescent="0.25">
      <c r="A71" s="1" t="str">
        <f>RTD("pi.rtdserver", ,"NSE_BPCL-EQ", "TradingSymbol")</f>
        <v>N.A.</v>
      </c>
      <c r="B71" s="1" t="str">
        <f>RTD("pi.rtdserver", ,"NSE_BPCL-EQ", "Last")</f>
        <v>N.A.</v>
      </c>
      <c r="C71" s="1" t="str">
        <f>RTD("pi.rtdserver", ,"NSE_BPCL-EQ", "BidSize")</f>
        <v>N.A.</v>
      </c>
      <c r="D71" s="1" t="str">
        <f>RTD("pi.rtdserver", ,"NSE_BPCL-EQ", "Bid")</f>
        <v>N.A.</v>
      </c>
      <c r="E71" s="1" t="str">
        <f>RTD("pi.rtdserver", ,"NSE_BPCL-EQ", "Ask")</f>
        <v>N.A.</v>
      </c>
      <c r="F71" s="1" t="str">
        <f>RTD("pi.rtdserver", ,"NSE_BPCL-EQ", "AskSize")</f>
        <v>N.A.</v>
      </c>
      <c r="G71" s="1" t="str">
        <f>RTD("pi.rtdserver", ,"NSE_BPCL-EQ", "LTQ")</f>
        <v>N.A.</v>
      </c>
      <c r="H71" s="1" t="str">
        <f>RTD("pi.rtdserver", ,"NSE_BPCL-EQ", "Volume")</f>
        <v>N.A.</v>
      </c>
      <c r="I71" s="1" t="str">
        <f>RTD("pi.rtdserver", ,"NSE_BPCL-EQ", "OpenInterest")</f>
        <v>N.A.</v>
      </c>
      <c r="J71" s="1" t="str">
        <f>RTD("pi.rtdserver", ,"NSE_BPCL-EQ", "TotalBidQty")</f>
        <v>N.A.</v>
      </c>
      <c r="K71" s="1" t="str">
        <f>RTD("pi.rtdserver", ,"NSE_BPCL-EQ", "TotalAskQty")</f>
        <v>N.A.</v>
      </c>
      <c r="L71" s="1" t="str">
        <f>RTD("pi.rtdserver", ,"NSE_BPCL-EQ", "lastTradeTime")</f>
        <v>N.A.</v>
      </c>
      <c r="M71" s="1" t="str">
        <f>RTD("pi.rtdserver", ,"NSE_BPCL-EQ", "lastUpdateTime")</f>
        <v>N.A.</v>
      </c>
    </row>
    <row r="72" spans="1:13" x14ac:dyDescent="0.25">
      <c r="A72" s="1" t="str">
        <f>RTD("pi.rtdserver", ,"NSE_CIPLA-EQ", "TradingSymbol")</f>
        <v>N.A.</v>
      </c>
      <c r="B72" s="1" t="str">
        <f>RTD("pi.rtdserver", ,"NSE_CIPLA-EQ", "Last")</f>
        <v>N.A.</v>
      </c>
      <c r="C72" s="1" t="str">
        <f>RTD("pi.rtdserver", ,"NSE_CIPLA-EQ", "BidSize")</f>
        <v>N.A.</v>
      </c>
      <c r="D72" s="1" t="str">
        <f>RTD("pi.rtdserver", ,"NSE_CIPLA-EQ", "Bid")</f>
        <v>N.A.</v>
      </c>
      <c r="E72" s="1" t="str">
        <f>RTD("pi.rtdserver", ,"NSE_CIPLA-EQ", "Ask")</f>
        <v>N.A.</v>
      </c>
      <c r="F72" s="1" t="str">
        <f>RTD("pi.rtdserver", ,"NSE_CIPLA-EQ", "AskSize")</f>
        <v>N.A.</v>
      </c>
      <c r="G72" s="1" t="str">
        <f>RTD("pi.rtdserver", ,"NSE_CIPLA-EQ", "LTQ")</f>
        <v>N.A.</v>
      </c>
      <c r="H72" s="1" t="str">
        <f>RTD("pi.rtdserver", ,"NSE_CIPLA-EQ", "Volume")</f>
        <v>N.A.</v>
      </c>
      <c r="I72" s="1" t="str">
        <f>RTD("pi.rtdserver", ,"NSE_CIPLA-EQ", "OpenInterest")</f>
        <v>N.A.</v>
      </c>
      <c r="J72" s="1" t="str">
        <f>RTD("pi.rtdserver", ,"NSE_CIPLA-EQ", "TotalBidQty")</f>
        <v>N.A.</v>
      </c>
      <c r="K72" s="1" t="str">
        <f>RTD("pi.rtdserver", ,"NSE_CIPLA-EQ", "TotalAskQty")</f>
        <v>N.A.</v>
      </c>
      <c r="L72" s="1" t="str">
        <f>RTD("pi.rtdserver", ,"NSE_CIPLA-EQ", "lastTradeTime")</f>
        <v>N.A.</v>
      </c>
      <c r="M72" s="1" t="str">
        <f>RTD("pi.rtdserver", ,"NSE_CIPLA-EQ", "lastUpdateTime")</f>
        <v>N.A.</v>
      </c>
    </row>
    <row r="73" spans="1:13" x14ac:dyDescent="0.25">
      <c r="A73" s="1" t="str">
        <f>RTD("pi.rtdserver", ,"NSE_COALINDIA-EQ", "TradingSymbol")</f>
        <v>N.A.</v>
      </c>
      <c r="B73" s="1" t="str">
        <f>RTD("pi.rtdserver", ,"NSE_COALINDIA-EQ", "Last")</f>
        <v>N.A.</v>
      </c>
      <c r="C73" s="1" t="str">
        <f>RTD("pi.rtdserver", ,"NSE_COALINDIA-EQ", "BidSize")</f>
        <v>N.A.</v>
      </c>
      <c r="D73" s="1" t="str">
        <f>RTD("pi.rtdserver", ,"NSE_COALINDIA-EQ", "Bid")</f>
        <v>N.A.</v>
      </c>
      <c r="E73" s="1" t="str">
        <f>RTD("pi.rtdserver", ,"NSE_COALINDIA-EQ", "Ask")</f>
        <v>N.A.</v>
      </c>
      <c r="F73" s="1" t="str">
        <f>RTD("pi.rtdserver", ,"NSE_COALINDIA-EQ", "AskSize")</f>
        <v>N.A.</v>
      </c>
      <c r="G73" s="1" t="str">
        <f>RTD("pi.rtdserver", ,"NSE_COALINDIA-EQ", "LTQ")</f>
        <v>N.A.</v>
      </c>
      <c r="H73" s="1" t="str">
        <f>RTD("pi.rtdserver", ,"NSE_COALINDIA-EQ", "Volume")</f>
        <v>N.A.</v>
      </c>
      <c r="I73" s="1" t="str">
        <f>RTD("pi.rtdserver", ,"NSE_COALINDIA-EQ", "OpenInterest")</f>
        <v>N.A.</v>
      </c>
      <c r="J73" s="1" t="str">
        <f>RTD("pi.rtdserver", ,"NSE_COALINDIA-EQ", "TotalBidQty")</f>
        <v>N.A.</v>
      </c>
      <c r="K73" s="1" t="str">
        <f>RTD("pi.rtdserver", ,"NSE_COALINDIA-EQ", "TotalAskQty")</f>
        <v>N.A.</v>
      </c>
      <c r="L73" s="1" t="str">
        <f>RTD("pi.rtdserver", ,"NSE_COALINDIA-EQ", "lastTradeTime")</f>
        <v>N.A.</v>
      </c>
      <c r="M73" s="1" t="str">
        <f>RTD("pi.rtdserver", ,"NSE_COALINDIA-EQ", "lastUpdateTime")</f>
        <v>N.A.</v>
      </c>
    </row>
    <row r="74" spans="1:13" x14ac:dyDescent="0.25">
      <c r="A74" s="1" t="str">
        <f>RTD("pi.rtdserver", ,"NSE_DRREDDY-EQ", "TradingSymbol")</f>
        <v>N.A.</v>
      </c>
      <c r="B74" s="1" t="str">
        <f>RTD("pi.rtdserver", ,"NSE_DRREDDY-EQ", "Last")</f>
        <v>N.A.</v>
      </c>
      <c r="C74" s="1" t="str">
        <f>RTD("pi.rtdserver", ,"NSE_DRREDDY-EQ", "BidSize")</f>
        <v>N.A.</v>
      </c>
      <c r="D74" s="1" t="str">
        <f>RTD("pi.rtdserver", ,"NSE_DRREDDY-EQ", "Bid")</f>
        <v>N.A.</v>
      </c>
      <c r="E74" s="1" t="str">
        <f>RTD("pi.rtdserver", ,"NSE_DRREDDY-EQ", "Ask")</f>
        <v>N.A.</v>
      </c>
      <c r="F74" s="1" t="str">
        <f>RTD("pi.rtdserver", ,"NSE_DRREDDY-EQ", "AskSize")</f>
        <v>N.A.</v>
      </c>
      <c r="G74" s="1" t="str">
        <f>RTD("pi.rtdserver", ,"NSE_DRREDDY-EQ", "LTQ")</f>
        <v>N.A.</v>
      </c>
      <c r="H74" s="1" t="str">
        <f>RTD("pi.rtdserver", ,"NSE_DRREDDY-EQ", "Volume")</f>
        <v>N.A.</v>
      </c>
      <c r="I74" s="1" t="str">
        <f>RTD("pi.rtdserver", ,"NSE_DRREDDY-EQ", "OpenInterest")</f>
        <v>N.A.</v>
      </c>
      <c r="J74" s="1" t="str">
        <f>RTD("pi.rtdserver", ,"NSE_DRREDDY-EQ", "TotalBidQty")</f>
        <v>N.A.</v>
      </c>
      <c r="K74" s="1" t="str">
        <f>RTD("pi.rtdserver", ,"NSE_DRREDDY-EQ", "TotalAskQty")</f>
        <v>N.A.</v>
      </c>
      <c r="L74" s="1" t="str">
        <f>RTD("pi.rtdserver", ,"NSE_DRREDDY-EQ", "lastTradeTime")</f>
        <v>N.A.</v>
      </c>
      <c r="M74" s="1" t="str">
        <f>RTD("pi.rtdserver", ,"NSE_DRREDDY-EQ", "lastUpdateTime")</f>
        <v>N.A.</v>
      </c>
    </row>
    <row r="75" spans="1:13" x14ac:dyDescent="0.25">
      <c r="A75" s="1" t="str">
        <f>RTD("pi.rtdserver", ,"NSE_EICHERMOT-EQ", "TradingSymbol")</f>
        <v>N.A.</v>
      </c>
      <c r="B75" s="1" t="str">
        <f>RTD("pi.rtdserver", ,"NSE_EICHERMOT-EQ", "Last")</f>
        <v>N.A.</v>
      </c>
      <c r="C75" s="1" t="str">
        <f>RTD("pi.rtdserver", ,"NSE_EICHERMOT-EQ", "BidSize")</f>
        <v>N.A.</v>
      </c>
      <c r="D75" s="1" t="str">
        <f>RTD("pi.rtdserver", ,"NSE_EICHERMOT-EQ", "Bid")</f>
        <v>N.A.</v>
      </c>
      <c r="E75" s="1" t="str">
        <f>RTD("pi.rtdserver", ,"NSE_EICHERMOT-EQ", "Ask")</f>
        <v>N.A.</v>
      </c>
      <c r="F75" s="1" t="str">
        <f>RTD("pi.rtdserver", ,"NSE_EICHERMOT-EQ", "AskSize")</f>
        <v>N.A.</v>
      </c>
      <c r="G75" s="1" t="str">
        <f>RTD("pi.rtdserver", ,"NSE_EICHERMOT-EQ", "LTQ")</f>
        <v>N.A.</v>
      </c>
      <c r="H75" s="1" t="str">
        <f>RTD("pi.rtdserver", ,"NSE_EICHERMOT-EQ", "Volume")</f>
        <v>N.A.</v>
      </c>
      <c r="I75" s="1" t="str">
        <f>RTD("pi.rtdserver", ,"NSE_EICHERMOT-EQ", "OpenInterest")</f>
        <v>N.A.</v>
      </c>
      <c r="J75" s="1" t="str">
        <f>RTD("pi.rtdserver", ,"NSE_EICHERMOT-EQ", "TotalBidQty")</f>
        <v>N.A.</v>
      </c>
      <c r="K75" s="1" t="str">
        <f>RTD("pi.rtdserver", ,"NSE_EICHERMOT-EQ", "TotalAskQty")</f>
        <v>N.A.</v>
      </c>
      <c r="L75" s="1" t="str">
        <f>RTD("pi.rtdserver", ,"NSE_EICHERMOT-EQ", "lastTradeTime")</f>
        <v>N.A.</v>
      </c>
      <c r="M75" s="1" t="str">
        <f>RTD("pi.rtdserver", ,"NSE_EICHERMOT-EQ", "lastUpdateTime")</f>
        <v>N.A.</v>
      </c>
    </row>
    <row r="76" spans="1:13" x14ac:dyDescent="0.25">
      <c r="A76" s="1" t="str">
        <f>RTD("pi.rtdserver", ,"NSE_GAIL-EQ", "TradingSymbol")</f>
        <v>N.A.</v>
      </c>
      <c r="B76" s="1" t="str">
        <f>RTD("pi.rtdserver", ,"NSE_GAIL-EQ", "Last")</f>
        <v>N.A.</v>
      </c>
      <c r="C76" s="1" t="str">
        <f>RTD("pi.rtdserver", ,"NSE_GAIL-EQ", "BidSize")</f>
        <v>N.A.</v>
      </c>
      <c r="D76" s="1" t="str">
        <f>RTD("pi.rtdserver", ,"NSE_GAIL-EQ", "Bid")</f>
        <v>N.A.</v>
      </c>
      <c r="E76" s="1" t="str">
        <f>RTD("pi.rtdserver", ,"NSE_GAIL-EQ", "Ask")</f>
        <v>N.A.</v>
      </c>
      <c r="F76" s="1" t="str">
        <f>RTD("pi.rtdserver", ,"NSE_GAIL-EQ", "AskSize")</f>
        <v>N.A.</v>
      </c>
      <c r="G76" s="1" t="str">
        <f>RTD("pi.rtdserver", ,"NSE_GAIL-EQ", "LTQ")</f>
        <v>N.A.</v>
      </c>
      <c r="H76" s="1" t="str">
        <f>RTD("pi.rtdserver", ,"NSE_GAIL-EQ", "Volume")</f>
        <v>N.A.</v>
      </c>
      <c r="I76" s="1" t="str">
        <f>RTD("pi.rtdserver", ,"NSE_GAIL-EQ", "OpenInterest")</f>
        <v>N.A.</v>
      </c>
      <c r="J76" s="1" t="str">
        <f>RTD("pi.rtdserver", ,"NSE_GAIL-EQ", "TotalBidQty")</f>
        <v>N.A.</v>
      </c>
      <c r="K76" s="1" t="str">
        <f>RTD("pi.rtdserver", ,"NSE_GAIL-EQ", "TotalAskQty")</f>
        <v>N.A.</v>
      </c>
      <c r="L76" s="1" t="str">
        <f>RTD("pi.rtdserver", ,"NSE_GAIL-EQ", "lastTradeTime")</f>
        <v>N.A.</v>
      </c>
      <c r="M76" s="1" t="str">
        <f>RTD("pi.rtdserver", ,"NSE_GAIL-EQ", "lastUpdateTime")</f>
        <v>N.A.</v>
      </c>
    </row>
    <row r="77" spans="1:13" x14ac:dyDescent="0.25">
      <c r="A77" s="1" t="str">
        <f>RTD("pi.rtdserver", ,"NSE_HCLTECH-EQ", "TradingSymbol")</f>
        <v>N.A.</v>
      </c>
      <c r="B77" s="1" t="str">
        <f>RTD("pi.rtdserver", ,"NSE_HCLTECH-EQ", "Last")</f>
        <v>N.A.</v>
      </c>
      <c r="C77" s="1" t="str">
        <f>RTD("pi.rtdserver", ,"NSE_HCLTECH-EQ", "BidSize")</f>
        <v>N.A.</v>
      </c>
      <c r="D77" s="1" t="str">
        <f>RTD("pi.rtdserver", ,"NSE_HCLTECH-EQ", "Bid")</f>
        <v>N.A.</v>
      </c>
      <c r="E77" s="1" t="str">
        <f>RTD("pi.rtdserver", ,"NSE_HCLTECH-EQ", "Ask")</f>
        <v>N.A.</v>
      </c>
      <c r="F77" s="1" t="str">
        <f>RTD("pi.rtdserver", ,"NSE_HCLTECH-EQ", "AskSize")</f>
        <v>N.A.</v>
      </c>
      <c r="G77" s="1" t="str">
        <f>RTD("pi.rtdserver", ,"NSE_HCLTECH-EQ", "LTQ")</f>
        <v>N.A.</v>
      </c>
      <c r="H77" s="1" t="str">
        <f>RTD("pi.rtdserver", ,"NSE_HCLTECH-EQ", "Volume")</f>
        <v>N.A.</v>
      </c>
      <c r="I77" s="1" t="str">
        <f>RTD("pi.rtdserver", ,"NSE_HCLTECH-EQ", "OpenInterest")</f>
        <v>N.A.</v>
      </c>
      <c r="J77" s="1" t="str">
        <f>RTD("pi.rtdserver", ,"NSE_HCLTECH-EQ", "TotalBidQty")</f>
        <v>N.A.</v>
      </c>
      <c r="K77" s="1" t="str">
        <f>RTD("pi.rtdserver", ,"NSE_HCLTECH-EQ", "TotalAskQty")</f>
        <v>N.A.</v>
      </c>
      <c r="L77" s="1" t="str">
        <f>RTD("pi.rtdserver", ,"NSE_HCLTECH-EQ", "lastTradeTime")</f>
        <v>N.A.</v>
      </c>
      <c r="M77" s="1" t="str">
        <f>RTD("pi.rtdserver", ,"NSE_HCLTECH-EQ", "lastUpdateTime")</f>
        <v>N.A.</v>
      </c>
    </row>
    <row r="78" spans="1:13" x14ac:dyDescent="0.25">
      <c r="A78" s="1" t="str">
        <f>RTD("pi.rtdserver", ,"NSE_HDFC-EQ", "TradingSymbol")</f>
        <v>N.A.</v>
      </c>
      <c r="B78" s="1" t="str">
        <f>RTD("pi.rtdserver", ,"NSE_HDFC-EQ", "Last")</f>
        <v>N.A.</v>
      </c>
      <c r="C78" s="1" t="str">
        <f>RTD("pi.rtdserver", ,"NSE_HDFC-EQ", "BidSize")</f>
        <v>N.A.</v>
      </c>
      <c r="D78" s="1" t="str">
        <f>RTD("pi.rtdserver", ,"NSE_HDFC-EQ", "Bid")</f>
        <v>N.A.</v>
      </c>
      <c r="E78" s="1" t="str">
        <f>RTD("pi.rtdserver", ,"NSE_HDFC-EQ", "Ask")</f>
        <v>N.A.</v>
      </c>
      <c r="F78" s="1" t="str">
        <f>RTD("pi.rtdserver", ,"NSE_HDFC-EQ", "AskSize")</f>
        <v>N.A.</v>
      </c>
      <c r="G78" s="1" t="str">
        <f>RTD("pi.rtdserver", ,"NSE_HDFC-EQ", "LTQ")</f>
        <v>N.A.</v>
      </c>
      <c r="H78" s="1" t="str">
        <f>RTD("pi.rtdserver", ,"NSE_HDFC-EQ", "Volume")</f>
        <v>N.A.</v>
      </c>
      <c r="I78" s="1" t="str">
        <f>RTD("pi.rtdserver", ,"NSE_HDFC-EQ", "OpenInterest")</f>
        <v>N.A.</v>
      </c>
      <c r="J78" s="1" t="str">
        <f>RTD("pi.rtdserver", ,"NSE_HDFC-EQ", "TotalBidQty")</f>
        <v>N.A.</v>
      </c>
      <c r="K78" s="1" t="str">
        <f>RTD("pi.rtdserver", ,"NSE_HDFC-EQ", "TotalAskQty")</f>
        <v>N.A.</v>
      </c>
      <c r="L78" s="1" t="str">
        <f>RTD("pi.rtdserver", ,"NSE_HDFC-EQ", "lastTradeTime")</f>
        <v>N.A.</v>
      </c>
      <c r="M78" s="1" t="str">
        <f>RTD("pi.rtdserver", ,"NSE_HDFC-EQ", "lastUpdateTime")</f>
        <v>N.A.</v>
      </c>
    </row>
    <row r="79" spans="1:13" x14ac:dyDescent="0.25">
      <c r="A79" s="1" t="str">
        <f>RTD("pi.rtdserver", ,"NSE_HDFCBANK-EQ", "TradingSymbol")</f>
        <v>N.A.</v>
      </c>
      <c r="B79" s="1" t="str">
        <f>RTD("pi.rtdserver", ,"NSE_HDFCBANK-EQ", "Last")</f>
        <v>N.A.</v>
      </c>
      <c r="C79" s="1" t="str">
        <f>RTD("pi.rtdserver", ,"NSE_HDFCBANK-EQ", "BidSize")</f>
        <v>N.A.</v>
      </c>
      <c r="D79" s="1" t="str">
        <f>RTD("pi.rtdserver", ,"NSE_HDFCBANK-EQ", "Bid")</f>
        <v>N.A.</v>
      </c>
      <c r="E79" s="1" t="str">
        <f>RTD("pi.rtdserver", ,"NSE_HDFCBANK-EQ", "Ask")</f>
        <v>N.A.</v>
      </c>
      <c r="F79" s="1" t="str">
        <f>RTD("pi.rtdserver", ,"NSE_HDFCBANK-EQ", "AskSize")</f>
        <v>N.A.</v>
      </c>
      <c r="G79" s="1" t="str">
        <f>RTD("pi.rtdserver", ,"NSE_HDFCBANK-EQ", "LTQ")</f>
        <v>N.A.</v>
      </c>
      <c r="H79" s="1" t="str">
        <f>RTD("pi.rtdserver", ,"NSE_HDFCBANK-EQ", "Volume")</f>
        <v>N.A.</v>
      </c>
      <c r="I79" s="1" t="str">
        <f>RTD("pi.rtdserver", ,"NSE_HDFCBANK-EQ", "OpenInterest")</f>
        <v>N.A.</v>
      </c>
      <c r="J79" s="1" t="str">
        <f>RTD("pi.rtdserver", ,"NSE_HDFCBANK-EQ", "TotalBidQty")</f>
        <v>N.A.</v>
      </c>
      <c r="K79" s="1" t="str">
        <f>RTD("pi.rtdserver", ,"NSE_HDFCBANK-EQ", "TotalAskQty")</f>
        <v>N.A.</v>
      </c>
      <c r="L79" s="1" t="str">
        <f>RTD("pi.rtdserver", ,"NSE_HDFCBANK-EQ", "lastTradeTime")</f>
        <v>N.A.</v>
      </c>
      <c r="M79" s="1" t="str">
        <f>RTD("pi.rtdserver", ,"NSE_HDFCBANK-EQ", "lastUpdateTime")</f>
        <v>N.A.</v>
      </c>
    </row>
    <row r="80" spans="1:13" x14ac:dyDescent="0.25">
      <c r="A80" s="1" t="str">
        <f>RTD("pi.rtdserver", ,"NSE_HEROMOTOCO-EQ", "TradingSymbol")</f>
        <v>N.A.</v>
      </c>
      <c r="B80" s="1" t="str">
        <f>RTD("pi.rtdserver", ,"NSE_HEROMOTOCO-EQ", "Last")</f>
        <v>N.A.</v>
      </c>
      <c r="C80" s="1" t="str">
        <f>RTD("pi.rtdserver", ,"NSE_HEROMOTOCO-EQ", "BidSize")</f>
        <v>N.A.</v>
      </c>
      <c r="D80" s="1" t="str">
        <f>RTD("pi.rtdserver", ,"NSE_HEROMOTOCO-EQ", "Bid")</f>
        <v>N.A.</v>
      </c>
      <c r="E80" s="1" t="str">
        <f>RTD("pi.rtdserver", ,"NSE_HEROMOTOCO-EQ", "Ask")</f>
        <v>N.A.</v>
      </c>
      <c r="F80" s="1" t="str">
        <f>RTD("pi.rtdserver", ,"NSE_HEROMOTOCO-EQ", "AskSize")</f>
        <v>N.A.</v>
      </c>
      <c r="G80" s="1" t="str">
        <f>RTD("pi.rtdserver", ,"NSE_HEROMOTOCO-EQ", "LTQ")</f>
        <v>N.A.</v>
      </c>
      <c r="H80" s="1" t="str">
        <f>RTD("pi.rtdserver", ,"NSE_HEROMOTOCO-EQ", "Volume")</f>
        <v>N.A.</v>
      </c>
      <c r="I80" s="1" t="str">
        <f>RTD("pi.rtdserver", ,"NSE_HEROMOTOCO-EQ", "OpenInterest")</f>
        <v>N.A.</v>
      </c>
      <c r="J80" s="1" t="str">
        <f>RTD("pi.rtdserver", ,"NSE_HEROMOTOCO-EQ", "TotalBidQty")</f>
        <v>N.A.</v>
      </c>
      <c r="K80" s="1" t="str">
        <f>RTD("pi.rtdserver", ,"NSE_HEROMOTOCO-EQ", "TotalAskQty")</f>
        <v>N.A.</v>
      </c>
      <c r="L80" s="1" t="str">
        <f>RTD("pi.rtdserver", ,"NSE_HEROMOTOCO-EQ", "lastTradeTime")</f>
        <v>N.A.</v>
      </c>
      <c r="M80" s="1" t="str">
        <f>RTD("pi.rtdserver", ,"NSE_HEROMOTOCO-EQ", "lastUpdateTime")</f>
        <v>N.A.</v>
      </c>
    </row>
    <row r="81" spans="1:13" x14ac:dyDescent="0.25">
      <c r="A81" s="1" t="str">
        <f>RTD("pi.rtdserver", ,"NSE_HINDALCO-EQ", "TradingSymbol")</f>
        <v>N.A.</v>
      </c>
      <c r="B81" s="1" t="str">
        <f>RTD("pi.rtdserver", ,"NSE_HINDALCO-EQ", "Last")</f>
        <v>N.A.</v>
      </c>
      <c r="C81" s="1" t="str">
        <f>RTD("pi.rtdserver", ,"NSE_HINDALCO-EQ", "BidSize")</f>
        <v>N.A.</v>
      </c>
      <c r="D81" s="1" t="str">
        <f>RTD("pi.rtdserver", ,"NSE_HINDALCO-EQ", "Bid")</f>
        <v>N.A.</v>
      </c>
      <c r="E81" s="1" t="str">
        <f>RTD("pi.rtdserver", ,"NSE_HINDALCO-EQ", "Ask")</f>
        <v>N.A.</v>
      </c>
      <c r="F81" s="1" t="str">
        <f>RTD("pi.rtdserver", ,"NSE_HINDALCO-EQ", "AskSize")</f>
        <v>N.A.</v>
      </c>
      <c r="G81" s="1" t="str">
        <f>RTD("pi.rtdserver", ,"NSE_HINDALCO-EQ", "LTQ")</f>
        <v>N.A.</v>
      </c>
      <c r="H81" s="1" t="str">
        <f>RTD("pi.rtdserver", ,"NSE_HINDALCO-EQ", "Volume")</f>
        <v>N.A.</v>
      </c>
      <c r="I81" s="1" t="str">
        <f>RTD("pi.rtdserver", ,"NSE_HINDALCO-EQ", "OpenInterest")</f>
        <v>N.A.</v>
      </c>
      <c r="J81" s="1" t="str">
        <f>RTD("pi.rtdserver", ,"NSE_HINDALCO-EQ", "TotalBidQty")</f>
        <v>N.A.</v>
      </c>
      <c r="K81" s="1" t="str">
        <f>RTD("pi.rtdserver", ,"NSE_HINDALCO-EQ", "TotalAskQty")</f>
        <v>N.A.</v>
      </c>
      <c r="L81" s="1" t="str">
        <f>RTD("pi.rtdserver", ,"NSE_HINDALCO-EQ", "lastTradeTime")</f>
        <v>N.A.</v>
      </c>
      <c r="M81" s="1" t="str">
        <f>RTD("pi.rtdserver", ,"NSE_HINDALCO-EQ", "lastUpdateTime")</f>
        <v>N.A.</v>
      </c>
    </row>
    <row r="82" spans="1:13" x14ac:dyDescent="0.25">
      <c r="A82" s="1" t="str">
        <f>RTD("pi.rtdserver", ,"NSE_HINDPETRO-EQ", "TradingSymbol")</f>
        <v>N.A.</v>
      </c>
      <c r="B82" s="1" t="str">
        <f>RTD("pi.rtdserver", ,"NSE_HINDPETRO-EQ", "Last")</f>
        <v>N.A.</v>
      </c>
      <c r="C82" s="1" t="str">
        <f>RTD("pi.rtdserver", ,"NSE_HINDPETRO-EQ", "BidSize")</f>
        <v>N.A.</v>
      </c>
      <c r="D82" s="1" t="str">
        <f>RTD("pi.rtdserver", ,"NSE_HINDPETRO-EQ", "Bid")</f>
        <v>N.A.</v>
      </c>
      <c r="E82" s="1" t="str">
        <f>RTD("pi.rtdserver", ,"NSE_HINDPETRO-EQ", "Ask")</f>
        <v>N.A.</v>
      </c>
      <c r="F82" s="1" t="str">
        <f>RTD("pi.rtdserver", ,"NSE_HINDPETRO-EQ", "AskSize")</f>
        <v>N.A.</v>
      </c>
      <c r="G82" s="1" t="str">
        <f>RTD("pi.rtdserver", ,"NSE_HINDPETRO-EQ", "LTQ")</f>
        <v>N.A.</v>
      </c>
      <c r="H82" s="1" t="str">
        <f>RTD("pi.rtdserver", ,"NSE_HINDPETRO-EQ", "Volume")</f>
        <v>N.A.</v>
      </c>
      <c r="I82" s="1" t="str">
        <f>RTD("pi.rtdserver", ,"NSE_HINDPETRO-EQ", "OpenInterest")</f>
        <v>N.A.</v>
      </c>
      <c r="J82" s="1" t="str">
        <f>RTD("pi.rtdserver", ,"NSE_HINDPETRO-EQ", "TotalBidQty")</f>
        <v>N.A.</v>
      </c>
      <c r="K82" s="1" t="str">
        <f>RTD("pi.rtdserver", ,"NSE_HINDPETRO-EQ", "TotalAskQty")</f>
        <v>N.A.</v>
      </c>
      <c r="L82" s="1" t="str">
        <f>RTD("pi.rtdserver", ,"NSE_HINDPETRO-EQ", "lastTradeTime")</f>
        <v>N.A.</v>
      </c>
      <c r="M82" s="1" t="str">
        <f>RTD("pi.rtdserver", ,"NSE_HINDPETRO-EQ", "lastUpdateTime")</f>
        <v>N.A.</v>
      </c>
    </row>
    <row r="83" spans="1:13" x14ac:dyDescent="0.25">
      <c r="A83" s="1" t="str">
        <f>RTD("pi.rtdserver", ,"NSE_HINDUNILVR-EQ", "TradingSymbol")</f>
        <v>N.A.</v>
      </c>
      <c r="B83" s="1" t="str">
        <f>RTD("pi.rtdserver", ,"NSE_HINDUNILVR-EQ", "Last")</f>
        <v>N.A.</v>
      </c>
      <c r="C83" s="1" t="str">
        <f>RTD("pi.rtdserver", ,"NSE_HINDUNILVR-EQ", "BidSize")</f>
        <v>N.A.</v>
      </c>
      <c r="D83" s="1" t="str">
        <f>RTD("pi.rtdserver", ,"NSE_HINDUNILVR-EQ", "Bid")</f>
        <v>N.A.</v>
      </c>
      <c r="E83" s="1" t="str">
        <f>RTD("pi.rtdserver", ,"NSE_HINDUNILVR-EQ", "Ask")</f>
        <v>N.A.</v>
      </c>
      <c r="F83" s="1" t="str">
        <f>RTD("pi.rtdserver", ,"NSE_HINDUNILVR-EQ", "AskSize")</f>
        <v>N.A.</v>
      </c>
      <c r="G83" s="1" t="str">
        <f>RTD("pi.rtdserver", ,"NSE_HINDUNILVR-EQ", "LTQ")</f>
        <v>N.A.</v>
      </c>
      <c r="H83" s="1" t="str">
        <f>RTD("pi.rtdserver", ,"NSE_HINDUNILVR-EQ", "Volume")</f>
        <v>N.A.</v>
      </c>
      <c r="I83" s="1" t="str">
        <f>RTD("pi.rtdserver", ,"NSE_HINDUNILVR-EQ", "OpenInterest")</f>
        <v>N.A.</v>
      </c>
      <c r="J83" s="1" t="str">
        <f>RTD("pi.rtdserver", ,"NSE_HINDUNILVR-EQ", "TotalBidQty")</f>
        <v>N.A.</v>
      </c>
      <c r="K83" s="1" t="str">
        <f>RTD("pi.rtdserver", ,"NSE_HINDUNILVR-EQ", "TotalAskQty")</f>
        <v>N.A.</v>
      </c>
      <c r="L83" s="1" t="str">
        <f>RTD("pi.rtdserver", ,"NSE_HINDUNILVR-EQ", "lastTradeTime")</f>
        <v>N.A.</v>
      </c>
      <c r="M83" s="1" t="str">
        <f>RTD("pi.rtdserver", ,"NSE_HINDUNILVR-EQ", "lastUpdateTime")</f>
        <v>N.A.</v>
      </c>
    </row>
    <row r="84" spans="1:13" x14ac:dyDescent="0.25">
      <c r="A84" s="1" t="str">
        <f>RTD("pi.rtdserver", ,"NSE_IBULHSGFIN-EQ", "TradingSymbol")</f>
        <v>N.A.</v>
      </c>
      <c r="B84" s="1" t="str">
        <f>RTD("pi.rtdserver", ,"NSE_IBULHSGFIN-EQ", "Last")</f>
        <v>N.A.</v>
      </c>
      <c r="C84" s="1" t="str">
        <f>RTD("pi.rtdserver", ,"NSE_IBULHSGFIN-EQ", "BidSize")</f>
        <v>N.A.</v>
      </c>
      <c r="D84" s="1" t="str">
        <f>RTD("pi.rtdserver", ,"NSE_IBULHSGFIN-EQ", "Bid")</f>
        <v>N.A.</v>
      </c>
      <c r="E84" s="1" t="str">
        <f>RTD("pi.rtdserver", ,"NSE_IBULHSGFIN-EQ", "Ask")</f>
        <v>N.A.</v>
      </c>
      <c r="F84" s="1" t="str">
        <f>RTD("pi.rtdserver", ,"NSE_IBULHSGFIN-EQ", "AskSize")</f>
        <v>N.A.</v>
      </c>
      <c r="G84" s="1" t="str">
        <f>RTD("pi.rtdserver", ,"NSE_IBULHSGFIN-EQ", "LTQ")</f>
        <v>N.A.</v>
      </c>
      <c r="H84" s="1" t="str">
        <f>RTD("pi.rtdserver", ,"NSE_IBULHSGFIN-EQ", "Volume")</f>
        <v>N.A.</v>
      </c>
      <c r="I84" s="1" t="str">
        <f>RTD("pi.rtdserver", ,"NSE_IBULHSGFIN-EQ", "OpenInterest")</f>
        <v>N.A.</v>
      </c>
      <c r="J84" s="1" t="str">
        <f>RTD("pi.rtdserver", ,"NSE_IBULHSGFIN-EQ", "TotalBidQty")</f>
        <v>N.A.</v>
      </c>
      <c r="K84" s="1" t="str">
        <f>RTD("pi.rtdserver", ,"NSE_IBULHSGFIN-EQ", "TotalAskQty")</f>
        <v>N.A.</v>
      </c>
      <c r="L84" s="1" t="str">
        <f>RTD("pi.rtdserver", ,"NSE_IBULHSGFIN-EQ", "lastTradeTime")</f>
        <v>N.A.</v>
      </c>
      <c r="M84" s="1" t="str">
        <f>RTD("pi.rtdserver", ,"NSE_IBULHSGFIN-EQ", "lastUpdateTime")</f>
        <v>N.A.</v>
      </c>
    </row>
    <row r="85" spans="1:13" x14ac:dyDescent="0.25">
      <c r="A85" s="1" t="str">
        <f>RTD("pi.rtdserver", ,"NSE_ICICIBANK-EQ", "TradingSymbol")</f>
        <v>N.A.</v>
      </c>
      <c r="B85" s="1" t="str">
        <f>RTD("pi.rtdserver", ,"NSE_ICICIBANK-EQ", "Last")</f>
        <v>N.A.</v>
      </c>
      <c r="C85" s="1" t="str">
        <f>RTD("pi.rtdserver", ,"NSE_ICICIBANK-EQ", "BidSize")</f>
        <v>N.A.</v>
      </c>
      <c r="D85" s="1" t="str">
        <f>RTD("pi.rtdserver", ,"NSE_ICICIBANK-EQ", "Bid")</f>
        <v>N.A.</v>
      </c>
      <c r="E85" s="1" t="str">
        <f>RTD("pi.rtdserver", ,"NSE_ICICIBANK-EQ", "Ask")</f>
        <v>N.A.</v>
      </c>
      <c r="F85" s="1" t="str">
        <f>RTD("pi.rtdserver", ,"NSE_ICICIBANK-EQ", "AskSize")</f>
        <v>N.A.</v>
      </c>
      <c r="G85" s="1" t="str">
        <f>RTD("pi.rtdserver", ,"NSE_ICICIBANK-EQ", "LTQ")</f>
        <v>N.A.</v>
      </c>
      <c r="H85" s="1" t="str">
        <f>RTD("pi.rtdserver", ,"NSE_ICICIBANK-EQ", "Volume")</f>
        <v>N.A.</v>
      </c>
      <c r="I85" s="1" t="str">
        <f>RTD("pi.rtdserver", ,"NSE_ICICIBANK-EQ", "OpenInterest")</f>
        <v>N.A.</v>
      </c>
      <c r="J85" s="1" t="str">
        <f>RTD("pi.rtdserver", ,"NSE_ICICIBANK-EQ", "TotalBidQty")</f>
        <v>N.A.</v>
      </c>
      <c r="K85" s="1" t="str">
        <f>RTD("pi.rtdserver", ,"NSE_ICICIBANK-EQ", "TotalAskQty")</f>
        <v>N.A.</v>
      </c>
      <c r="L85" s="1" t="str">
        <f>RTD("pi.rtdserver", ,"NSE_ICICIBANK-EQ", "lastTradeTime")</f>
        <v>N.A.</v>
      </c>
      <c r="M85" s="1" t="str">
        <f>RTD("pi.rtdserver", ,"NSE_ICICIBANK-EQ", "lastUpdateTime")</f>
        <v>N.A.</v>
      </c>
    </row>
    <row r="86" spans="1:13" x14ac:dyDescent="0.25">
      <c r="A86" s="1" t="str">
        <f>RTD("pi.rtdserver", ,"NSE_INDUSINDBK-EQ", "TradingSymbol")</f>
        <v>N.A.</v>
      </c>
      <c r="B86" s="1" t="str">
        <f>RTD("pi.rtdserver", ,"NSE_INDUSINDBK-EQ", "Last")</f>
        <v>N.A.</v>
      </c>
      <c r="C86" s="1" t="str">
        <f>RTD("pi.rtdserver", ,"NSE_INDUSINDBK-EQ", "BidSize")</f>
        <v>N.A.</v>
      </c>
      <c r="D86" s="1" t="str">
        <f>RTD("pi.rtdserver", ,"NSE_INDUSINDBK-EQ", "Bid")</f>
        <v>N.A.</v>
      </c>
      <c r="E86" s="1" t="str">
        <f>RTD("pi.rtdserver", ,"NSE_INDUSINDBK-EQ", "Ask")</f>
        <v>N.A.</v>
      </c>
      <c r="F86" s="1" t="str">
        <f>RTD("pi.rtdserver", ,"NSE_INDUSINDBK-EQ", "AskSize")</f>
        <v>N.A.</v>
      </c>
      <c r="G86" s="1" t="str">
        <f>RTD("pi.rtdserver", ,"NSE_INDUSINDBK-EQ", "LTQ")</f>
        <v>N.A.</v>
      </c>
      <c r="H86" s="1" t="str">
        <f>RTD("pi.rtdserver", ,"NSE_INDUSINDBK-EQ", "Volume")</f>
        <v>N.A.</v>
      </c>
      <c r="I86" s="1" t="str">
        <f>RTD("pi.rtdserver", ,"NSE_INDUSINDBK-EQ", "OpenInterest")</f>
        <v>N.A.</v>
      </c>
      <c r="J86" s="1" t="str">
        <f>RTD("pi.rtdserver", ,"NSE_INDUSINDBK-EQ", "TotalBidQty")</f>
        <v>N.A.</v>
      </c>
      <c r="K86" s="1" t="str">
        <f>RTD("pi.rtdserver", ,"NSE_INDUSINDBK-EQ", "TotalAskQty")</f>
        <v>N.A.</v>
      </c>
      <c r="L86" s="1" t="str">
        <f>RTD("pi.rtdserver", ,"NSE_INDUSINDBK-EQ", "lastTradeTime")</f>
        <v>N.A.</v>
      </c>
      <c r="M86" s="1" t="str">
        <f>RTD("pi.rtdserver", ,"NSE_INDUSINDBK-EQ", "lastUpdateTime")</f>
        <v>N.A.</v>
      </c>
    </row>
    <row r="87" spans="1:13" x14ac:dyDescent="0.25">
      <c r="A87" s="1" t="str">
        <f>RTD("pi.rtdserver", ,"NSE_INFY-EQ", "TradingSymbol")</f>
        <v>N.A.</v>
      </c>
      <c r="B87" s="1" t="str">
        <f>RTD("pi.rtdserver", ,"NSE_INFY-EQ", "Last")</f>
        <v>N.A.</v>
      </c>
      <c r="C87" s="1" t="str">
        <f>RTD("pi.rtdserver", ,"NSE_INFY-EQ", "BidSize")</f>
        <v>N.A.</v>
      </c>
      <c r="D87" s="1" t="str">
        <f>RTD("pi.rtdserver", ,"NSE_INFY-EQ", "Bid")</f>
        <v>N.A.</v>
      </c>
      <c r="E87" s="1" t="str">
        <f>RTD("pi.rtdserver", ,"NSE_INFY-EQ", "Ask")</f>
        <v>N.A.</v>
      </c>
      <c r="F87" s="1" t="str">
        <f>RTD("pi.rtdserver", ,"NSE_INFY-EQ", "AskSize")</f>
        <v>N.A.</v>
      </c>
      <c r="G87" s="1" t="str">
        <f>RTD("pi.rtdserver", ,"NSE_INFY-EQ", "LTQ")</f>
        <v>N.A.</v>
      </c>
      <c r="H87" s="1" t="str">
        <f>RTD("pi.rtdserver", ,"NSE_INFY-EQ", "Volume")</f>
        <v>N.A.</v>
      </c>
      <c r="I87" s="1" t="str">
        <f>RTD("pi.rtdserver", ,"NSE_INFY-EQ", "OpenInterest")</f>
        <v>N.A.</v>
      </c>
      <c r="J87" s="1" t="str">
        <f>RTD("pi.rtdserver", ,"NSE_INFY-EQ", "TotalBidQty")</f>
        <v>N.A.</v>
      </c>
      <c r="K87" s="1" t="str">
        <f>RTD("pi.rtdserver", ,"NSE_INFY-EQ", "TotalAskQty")</f>
        <v>N.A.</v>
      </c>
      <c r="L87" s="1" t="str">
        <f>RTD("pi.rtdserver", ,"NSE_INFY-EQ", "lastTradeTime")</f>
        <v>N.A.</v>
      </c>
      <c r="M87" s="1" t="str">
        <f>RTD("pi.rtdserver", ,"NSE_INFY-EQ", "lastUpdateTime")</f>
        <v>N.A.</v>
      </c>
    </row>
    <row r="88" spans="1:13" x14ac:dyDescent="0.25">
      <c r="A88" s="1" t="str">
        <f>RTD("pi.rtdserver", ,"NSE_IOC-EQ", "TradingSymbol")</f>
        <v>N.A.</v>
      </c>
      <c r="B88" s="1" t="str">
        <f>RTD("pi.rtdserver", ,"NSE_IOC-EQ", "Last")</f>
        <v>N.A.</v>
      </c>
      <c r="C88" s="1" t="str">
        <f>RTD("pi.rtdserver", ,"NSE_IOC-EQ", "BidSize")</f>
        <v>N.A.</v>
      </c>
      <c r="D88" s="1" t="str">
        <f>RTD("pi.rtdserver", ,"NSE_IOC-EQ", "Bid")</f>
        <v>N.A.</v>
      </c>
      <c r="E88" s="1" t="str">
        <f>RTD("pi.rtdserver", ,"NSE_IOC-EQ", "Ask")</f>
        <v>N.A.</v>
      </c>
      <c r="F88" s="1" t="str">
        <f>RTD("pi.rtdserver", ,"NSE_IOC-EQ", "AskSize")</f>
        <v>N.A.</v>
      </c>
      <c r="G88" s="1" t="str">
        <f>RTD("pi.rtdserver", ,"NSE_IOC-EQ", "LTQ")</f>
        <v>N.A.</v>
      </c>
      <c r="H88" s="1" t="str">
        <f>RTD("pi.rtdserver", ,"NSE_IOC-EQ", "Volume")</f>
        <v>N.A.</v>
      </c>
      <c r="I88" s="1" t="str">
        <f>RTD("pi.rtdserver", ,"NSE_IOC-EQ", "OpenInterest")</f>
        <v>N.A.</v>
      </c>
      <c r="J88" s="1" t="str">
        <f>RTD("pi.rtdserver", ,"NSE_IOC-EQ", "TotalBidQty")</f>
        <v>N.A.</v>
      </c>
      <c r="K88" s="1" t="str">
        <f>RTD("pi.rtdserver", ,"NSE_IOC-EQ", "TotalAskQty")</f>
        <v>N.A.</v>
      </c>
      <c r="L88" s="1" t="str">
        <f>RTD("pi.rtdserver", ,"NSE_IOC-EQ", "lastTradeTime")</f>
        <v>N.A.</v>
      </c>
      <c r="M88" s="1" t="str">
        <f>RTD("pi.rtdserver", ,"NSE_IOC-EQ", "lastUpdateTime")</f>
        <v>N.A.</v>
      </c>
    </row>
    <row r="89" spans="1:13" x14ac:dyDescent="0.25">
      <c r="A89" s="1" t="str">
        <f>RTD("pi.rtdserver", ,"NSE_ITC-EQ", "TradingSymbol")</f>
        <v>N.A.</v>
      </c>
      <c r="B89" s="1" t="str">
        <f>RTD("pi.rtdserver", ,"NSE_ITC-EQ", "Last")</f>
        <v>N.A.</v>
      </c>
      <c r="C89" s="1" t="str">
        <f>RTD("pi.rtdserver", ,"NSE_ITC-EQ", "BidSize")</f>
        <v>N.A.</v>
      </c>
      <c r="D89" s="1" t="str">
        <f>RTD("pi.rtdserver", ,"NSE_ITC-EQ", "Bid")</f>
        <v>N.A.</v>
      </c>
      <c r="E89" s="1" t="str">
        <f>RTD("pi.rtdserver", ,"NSE_ITC-EQ", "Ask")</f>
        <v>N.A.</v>
      </c>
      <c r="F89" s="1" t="str">
        <f>RTD("pi.rtdserver", ,"NSE_ITC-EQ", "AskSize")</f>
        <v>N.A.</v>
      </c>
      <c r="G89" s="1" t="str">
        <f>RTD("pi.rtdserver", ,"NSE_ITC-EQ", "LTQ")</f>
        <v>N.A.</v>
      </c>
      <c r="H89" s="1" t="str">
        <f>RTD("pi.rtdserver", ,"NSE_ITC-EQ", "Volume")</f>
        <v>N.A.</v>
      </c>
      <c r="I89" s="1" t="str">
        <f>RTD("pi.rtdserver", ,"NSE_ITC-EQ", "OpenInterest")</f>
        <v>N.A.</v>
      </c>
      <c r="J89" s="1" t="str">
        <f>RTD("pi.rtdserver", ,"NSE_ITC-EQ", "TotalBidQty")</f>
        <v>N.A.</v>
      </c>
      <c r="K89" s="1" t="str">
        <f>RTD("pi.rtdserver", ,"NSE_ITC-EQ", "TotalAskQty")</f>
        <v>N.A.</v>
      </c>
      <c r="L89" s="1" t="str">
        <f>RTD("pi.rtdserver", ,"NSE_ITC-EQ", "lastTradeTime")</f>
        <v>N.A.</v>
      </c>
      <c r="M89" s="1" t="str">
        <f>RTD("pi.rtdserver", ,"NSE_ITC-EQ", "lastUpdateTime")</f>
        <v>N.A.</v>
      </c>
    </row>
    <row r="90" spans="1:13" x14ac:dyDescent="0.25">
      <c r="A90" s="1" t="str">
        <f>RTD("pi.rtdserver", ,"NSE_KOTAKBANK-EQ", "TradingSymbol")</f>
        <v>N.A.</v>
      </c>
      <c r="B90" s="1" t="str">
        <f>RTD("pi.rtdserver", ,"NSE_KOTAKBANK-EQ", "Last")</f>
        <v>N.A.</v>
      </c>
      <c r="C90" s="1" t="str">
        <f>RTD("pi.rtdserver", ,"NSE_KOTAKBANK-EQ", "BidSize")</f>
        <v>N.A.</v>
      </c>
      <c r="D90" s="1" t="str">
        <f>RTD("pi.rtdserver", ,"NSE_KOTAKBANK-EQ", "Bid")</f>
        <v>N.A.</v>
      </c>
      <c r="E90" s="1" t="str">
        <f>RTD("pi.rtdserver", ,"NSE_KOTAKBANK-EQ", "Ask")</f>
        <v>N.A.</v>
      </c>
      <c r="F90" s="1" t="str">
        <f>RTD("pi.rtdserver", ,"NSE_KOTAKBANK-EQ", "AskSize")</f>
        <v>N.A.</v>
      </c>
      <c r="G90" s="1" t="str">
        <f>RTD("pi.rtdserver", ,"NSE_KOTAKBANK-EQ", "LTQ")</f>
        <v>N.A.</v>
      </c>
      <c r="H90" s="1" t="str">
        <f>RTD("pi.rtdserver", ,"NSE_KOTAKBANK-EQ", "Volume")</f>
        <v>N.A.</v>
      </c>
      <c r="I90" s="1" t="str">
        <f>RTD("pi.rtdserver", ,"NSE_KOTAKBANK-EQ", "OpenInterest")</f>
        <v>N.A.</v>
      </c>
      <c r="J90" s="1" t="str">
        <f>RTD("pi.rtdserver", ,"NSE_KOTAKBANK-EQ", "TotalBidQty")</f>
        <v>N.A.</v>
      </c>
      <c r="K90" s="1" t="str">
        <f>RTD("pi.rtdserver", ,"NSE_KOTAKBANK-EQ", "TotalAskQty")</f>
        <v>N.A.</v>
      </c>
      <c r="L90" s="1" t="str">
        <f>RTD("pi.rtdserver", ,"NSE_KOTAKBANK-EQ", "lastTradeTime")</f>
        <v>N.A.</v>
      </c>
      <c r="M90" s="1" t="str">
        <f>RTD("pi.rtdserver", ,"NSE_KOTAKBANK-EQ", "lastUpdateTime")</f>
        <v>N.A.</v>
      </c>
    </row>
    <row r="91" spans="1:13" x14ac:dyDescent="0.25">
      <c r="A91" s="1" t="str">
        <f>RTD("pi.rtdserver", ,"NSE_LT-EQ", "TradingSymbol")</f>
        <v>N.A.</v>
      </c>
      <c r="B91" s="1" t="str">
        <f>RTD("pi.rtdserver", ,"NSE_LT-EQ", "Last")</f>
        <v>N.A.</v>
      </c>
      <c r="C91" s="1" t="str">
        <f>RTD("pi.rtdserver", ,"NSE_LT-EQ", "BidSize")</f>
        <v>N.A.</v>
      </c>
      <c r="D91" s="1" t="str">
        <f>RTD("pi.rtdserver", ,"NSE_LT-EQ", "Bid")</f>
        <v>N.A.</v>
      </c>
      <c r="E91" s="1" t="str">
        <f>RTD("pi.rtdserver", ,"NSE_LT-EQ", "Ask")</f>
        <v>N.A.</v>
      </c>
      <c r="F91" s="1" t="str">
        <f>RTD("pi.rtdserver", ,"NSE_LT-EQ", "AskSize")</f>
        <v>N.A.</v>
      </c>
      <c r="G91" s="1" t="str">
        <f>RTD("pi.rtdserver", ,"NSE_LT-EQ", "LTQ")</f>
        <v>N.A.</v>
      </c>
      <c r="H91" s="1" t="str">
        <f>RTD("pi.rtdserver", ,"NSE_LT-EQ", "Volume")</f>
        <v>N.A.</v>
      </c>
      <c r="I91" s="1" t="str">
        <f>RTD("pi.rtdserver", ,"NSE_LT-EQ", "OpenInterest")</f>
        <v>N.A.</v>
      </c>
      <c r="J91" s="1" t="str">
        <f>RTD("pi.rtdserver", ,"NSE_LT-EQ", "TotalBidQty")</f>
        <v>N.A.</v>
      </c>
      <c r="K91" s="1" t="str">
        <f>RTD("pi.rtdserver", ,"NSE_LT-EQ", "TotalAskQty")</f>
        <v>N.A.</v>
      </c>
      <c r="L91" s="1" t="str">
        <f>RTD("pi.rtdserver", ,"NSE_LT-EQ", "lastTradeTime")</f>
        <v>N.A.</v>
      </c>
      <c r="M91" s="1" t="str">
        <f>RTD("pi.rtdserver", ,"NSE_LT-EQ", "lastUpdateTime")</f>
        <v>N.A.</v>
      </c>
    </row>
    <row r="92" spans="1:13" x14ac:dyDescent="0.25">
      <c r="A92" s="1" t="str">
        <f>RTD("pi.rtdserver", ,"NSE_LUPIN-EQ", "TradingSymbol")</f>
        <v>N.A.</v>
      </c>
      <c r="B92" s="1" t="str">
        <f>RTD("pi.rtdserver", ,"NSE_LUPIN-EQ", "Last")</f>
        <v>N.A.</v>
      </c>
      <c r="C92" s="1" t="str">
        <f>RTD("pi.rtdserver", ,"NSE_LUPIN-EQ", "BidSize")</f>
        <v>N.A.</v>
      </c>
      <c r="D92" s="1" t="str">
        <f>RTD("pi.rtdserver", ,"NSE_LUPIN-EQ", "Bid")</f>
        <v>N.A.</v>
      </c>
      <c r="E92" s="1" t="str">
        <f>RTD("pi.rtdserver", ,"NSE_LUPIN-EQ", "Ask")</f>
        <v>N.A.</v>
      </c>
      <c r="F92" s="1" t="str">
        <f>RTD("pi.rtdserver", ,"NSE_LUPIN-EQ", "AskSize")</f>
        <v>N.A.</v>
      </c>
      <c r="G92" s="1" t="str">
        <f>RTD("pi.rtdserver", ,"NSE_LUPIN-EQ", "LTQ")</f>
        <v>N.A.</v>
      </c>
      <c r="H92" s="1" t="str">
        <f>RTD("pi.rtdserver", ,"NSE_LUPIN-EQ", "Volume")</f>
        <v>N.A.</v>
      </c>
      <c r="I92" s="1" t="str">
        <f>RTD("pi.rtdserver", ,"NSE_LUPIN-EQ", "OpenInterest")</f>
        <v>N.A.</v>
      </c>
      <c r="J92" s="1" t="str">
        <f>RTD("pi.rtdserver", ,"NSE_LUPIN-EQ", "TotalBidQty")</f>
        <v>N.A.</v>
      </c>
      <c r="K92" s="1" t="str">
        <f>RTD("pi.rtdserver", ,"NSE_LUPIN-EQ", "TotalAskQty")</f>
        <v>N.A.</v>
      </c>
      <c r="L92" s="1" t="str">
        <f>RTD("pi.rtdserver", ,"NSE_LUPIN-EQ", "lastTradeTime")</f>
        <v>N.A.</v>
      </c>
      <c r="M92" s="1" t="str">
        <f>RTD("pi.rtdserver", ,"NSE_LUPIN-EQ", "lastUpdateTime")</f>
        <v>N.A.</v>
      </c>
    </row>
    <row r="93" spans="1:13" x14ac:dyDescent="0.25">
      <c r="A93" s="1" t="str">
        <f>RTD("pi.rtdserver", ,"NSE_M&amp;M-EQ", "TradingSymbol")</f>
        <v>N.A.</v>
      </c>
      <c r="B93" s="1" t="str">
        <f>RTD("pi.rtdserver", ,"NSE_M&amp;M-EQ", "Last")</f>
        <v>N.A.</v>
      </c>
      <c r="C93" s="1" t="str">
        <f>RTD("pi.rtdserver", ,"NSE_M&amp;M-EQ", "BidSize")</f>
        <v>N.A.</v>
      </c>
      <c r="D93" s="1" t="str">
        <f>RTD("pi.rtdserver", ,"NSE_M&amp;M-EQ", "Bid")</f>
        <v>N.A.</v>
      </c>
      <c r="E93" s="1" t="str">
        <f>RTD("pi.rtdserver", ,"NSE_M&amp;M-EQ", "Ask")</f>
        <v>N.A.</v>
      </c>
      <c r="F93" s="1" t="str">
        <f>RTD("pi.rtdserver", ,"NSE_M&amp;M-EQ", "AskSize")</f>
        <v>N.A.</v>
      </c>
      <c r="G93" s="1" t="str">
        <f>RTD("pi.rtdserver", ,"NSE_M&amp;M-EQ", "LTQ")</f>
        <v>N.A.</v>
      </c>
      <c r="H93" s="1" t="str">
        <f>RTD("pi.rtdserver", ,"NSE_M&amp;M-EQ", "Volume")</f>
        <v>N.A.</v>
      </c>
      <c r="I93" s="1" t="str">
        <f>RTD("pi.rtdserver", ,"NSE_M&amp;M-EQ", "OpenInterest")</f>
        <v>N.A.</v>
      </c>
      <c r="J93" s="1" t="str">
        <f>RTD("pi.rtdserver", ,"NSE_M&amp;M-EQ", "TotalBidQty")</f>
        <v>N.A.</v>
      </c>
      <c r="K93" s="1" t="str">
        <f>RTD("pi.rtdserver", ,"NSE_M&amp;M-EQ", "TotalAskQty")</f>
        <v>N.A.</v>
      </c>
      <c r="L93" s="1" t="str">
        <f>RTD("pi.rtdserver", ,"NSE_M&amp;M-EQ", "lastTradeTime")</f>
        <v>N.A.</v>
      </c>
      <c r="M93" s="1" t="str">
        <f>RTD("pi.rtdserver", ,"NSE_M&amp;M-EQ", "lastUpdateTime")</f>
        <v>N.A.</v>
      </c>
    </row>
    <row r="94" spans="1:13" x14ac:dyDescent="0.25">
      <c r="A94" s="1" t="str">
        <f>RTD("pi.rtdserver", ,"NSE_MARUTI-EQ", "TradingSymbol")</f>
        <v>N.A.</v>
      </c>
      <c r="B94" s="1" t="str">
        <f>RTD("pi.rtdserver", ,"NSE_MARUTI-EQ", "Last")</f>
        <v>N.A.</v>
      </c>
      <c r="C94" s="1" t="str">
        <f>RTD("pi.rtdserver", ,"NSE_MARUTI-EQ", "BidSize")</f>
        <v>N.A.</v>
      </c>
      <c r="D94" s="1" t="str">
        <f>RTD("pi.rtdserver", ,"NSE_MARUTI-EQ", "Bid")</f>
        <v>N.A.</v>
      </c>
      <c r="E94" s="1" t="str">
        <f>RTD("pi.rtdserver", ,"NSE_MARUTI-EQ", "Ask")</f>
        <v>N.A.</v>
      </c>
      <c r="F94" s="1" t="str">
        <f>RTD("pi.rtdserver", ,"NSE_MARUTI-EQ", "AskSize")</f>
        <v>N.A.</v>
      </c>
      <c r="G94" s="1" t="str">
        <f>RTD("pi.rtdserver", ,"NSE_MARUTI-EQ", "LTQ")</f>
        <v>N.A.</v>
      </c>
      <c r="H94" s="1" t="str">
        <f>RTD("pi.rtdserver", ,"NSE_MARUTI-EQ", "Volume")</f>
        <v>N.A.</v>
      </c>
      <c r="I94" s="1" t="str">
        <f>RTD("pi.rtdserver", ,"NSE_MARUTI-EQ", "OpenInterest")</f>
        <v>N.A.</v>
      </c>
      <c r="J94" s="1" t="str">
        <f>RTD("pi.rtdserver", ,"NSE_MARUTI-EQ", "TotalBidQty")</f>
        <v>N.A.</v>
      </c>
      <c r="K94" s="1" t="str">
        <f>RTD("pi.rtdserver", ,"NSE_MARUTI-EQ", "TotalAskQty")</f>
        <v>N.A.</v>
      </c>
      <c r="L94" s="1" t="str">
        <f>RTD("pi.rtdserver", ,"NSE_MARUTI-EQ", "lastTradeTime")</f>
        <v>N.A.</v>
      </c>
      <c r="M94" s="1" t="str">
        <f>RTD("pi.rtdserver", ,"NSE_MARUTI-EQ", "lastUpdateTime")</f>
        <v>N.A.</v>
      </c>
    </row>
    <row r="95" spans="1:13" x14ac:dyDescent="0.25">
      <c r="A95" s="1" t="str">
        <f>RTD("pi.rtdserver", ,"NSE_NTPC-EQ", "TradingSymbol")</f>
        <v>N.A.</v>
      </c>
      <c r="B95" s="1" t="str">
        <f>RTD("pi.rtdserver", ,"NSE_NTPC-EQ", "Last")</f>
        <v>N.A.</v>
      </c>
      <c r="C95" s="1" t="str">
        <f>RTD("pi.rtdserver", ,"NSE_NTPC-EQ", "BidSize")</f>
        <v>N.A.</v>
      </c>
      <c r="D95" s="1" t="str">
        <f>RTD("pi.rtdserver", ,"NSE_NTPC-EQ", "Bid")</f>
        <v>N.A.</v>
      </c>
      <c r="E95" s="1" t="str">
        <f>RTD("pi.rtdserver", ,"NSE_NTPC-EQ", "Ask")</f>
        <v>N.A.</v>
      </c>
      <c r="F95" s="1" t="str">
        <f>RTD("pi.rtdserver", ,"NSE_NTPC-EQ", "AskSize")</f>
        <v>N.A.</v>
      </c>
      <c r="G95" s="1" t="str">
        <f>RTD("pi.rtdserver", ,"NSE_NTPC-EQ", "LTQ")</f>
        <v>N.A.</v>
      </c>
      <c r="H95" s="1" t="str">
        <f>RTD("pi.rtdserver", ,"NSE_NTPC-EQ", "Volume")</f>
        <v>N.A.</v>
      </c>
      <c r="I95" s="1" t="str">
        <f>RTD("pi.rtdserver", ,"NSE_NTPC-EQ", "OpenInterest")</f>
        <v>N.A.</v>
      </c>
      <c r="J95" s="1" t="str">
        <f>RTD("pi.rtdserver", ,"NSE_NTPC-EQ", "TotalBidQty")</f>
        <v>N.A.</v>
      </c>
      <c r="K95" s="1" t="str">
        <f>RTD("pi.rtdserver", ,"NSE_NTPC-EQ", "TotalAskQty")</f>
        <v>N.A.</v>
      </c>
      <c r="L95" s="1" t="str">
        <f>RTD("pi.rtdserver", ,"NSE_NTPC-EQ", "lastTradeTime")</f>
        <v>N.A.</v>
      </c>
      <c r="M95" s="1" t="str">
        <f>RTD("pi.rtdserver", ,"NSE_NTPC-EQ", "lastUpdateTime")</f>
        <v>N.A.</v>
      </c>
    </row>
    <row r="96" spans="1:13" x14ac:dyDescent="0.25">
      <c r="A96" s="1" t="str">
        <f>RTD("pi.rtdserver", ,"NSE_ONGC-EQ", "TradingSymbol")</f>
        <v>N.A.</v>
      </c>
      <c r="B96" s="1" t="str">
        <f>RTD("pi.rtdserver", ,"NSE_ONGC-EQ", "Last")</f>
        <v>N.A.</v>
      </c>
      <c r="C96" s="1" t="str">
        <f>RTD("pi.rtdserver", ,"NSE_ONGC-EQ", "BidSize")</f>
        <v>N.A.</v>
      </c>
      <c r="D96" s="1" t="str">
        <f>RTD("pi.rtdserver", ,"NSE_ONGC-EQ", "Bid")</f>
        <v>N.A.</v>
      </c>
      <c r="E96" s="1" t="str">
        <f>RTD("pi.rtdserver", ,"NSE_ONGC-EQ", "Ask")</f>
        <v>N.A.</v>
      </c>
      <c r="F96" s="1" t="str">
        <f>RTD("pi.rtdserver", ,"NSE_ONGC-EQ", "AskSize")</f>
        <v>N.A.</v>
      </c>
      <c r="G96" s="1" t="str">
        <f>RTD("pi.rtdserver", ,"NSE_ONGC-EQ", "LTQ")</f>
        <v>N.A.</v>
      </c>
      <c r="H96" s="1" t="str">
        <f>RTD("pi.rtdserver", ,"NSE_ONGC-EQ", "Volume")</f>
        <v>N.A.</v>
      </c>
      <c r="I96" s="1" t="str">
        <f>RTD("pi.rtdserver", ,"NSE_ONGC-EQ", "OpenInterest")</f>
        <v>N.A.</v>
      </c>
      <c r="J96" s="1" t="str">
        <f>RTD("pi.rtdserver", ,"NSE_ONGC-EQ", "TotalBidQty")</f>
        <v>N.A.</v>
      </c>
      <c r="K96" s="1" t="str">
        <f>RTD("pi.rtdserver", ,"NSE_ONGC-EQ", "TotalAskQty")</f>
        <v>N.A.</v>
      </c>
      <c r="L96" s="1" t="str">
        <f>RTD("pi.rtdserver", ,"NSE_ONGC-EQ", "lastTradeTime")</f>
        <v>N.A.</v>
      </c>
      <c r="M96" s="1" t="str">
        <f>RTD("pi.rtdserver", ,"NSE_ONGC-EQ", "lastUpdateTime")</f>
        <v>N.A.</v>
      </c>
    </row>
    <row r="97" spans="1:13" x14ac:dyDescent="0.25">
      <c r="A97" s="1" t="str">
        <f>RTD("pi.rtdserver", ,"NSE_POWERGRID-EQ", "TradingSymbol")</f>
        <v>N.A.</v>
      </c>
      <c r="B97" s="1" t="str">
        <f>RTD("pi.rtdserver", ,"NSE_POWERGRID-EQ", "Last")</f>
        <v>N.A.</v>
      </c>
      <c r="C97" s="1" t="str">
        <f>RTD("pi.rtdserver", ,"NSE_POWERGRID-EQ", "BidSize")</f>
        <v>N.A.</v>
      </c>
      <c r="D97" s="1" t="str">
        <f>RTD("pi.rtdserver", ,"NSE_POWERGRID-EQ", "Bid")</f>
        <v>N.A.</v>
      </c>
      <c r="E97" s="1" t="str">
        <f>RTD("pi.rtdserver", ,"NSE_POWERGRID-EQ", "Ask")</f>
        <v>N.A.</v>
      </c>
      <c r="F97" s="1" t="str">
        <f>RTD("pi.rtdserver", ,"NSE_POWERGRID-EQ", "AskSize")</f>
        <v>N.A.</v>
      </c>
      <c r="G97" s="1" t="str">
        <f>RTD("pi.rtdserver", ,"NSE_POWERGRID-EQ", "LTQ")</f>
        <v>N.A.</v>
      </c>
      <c r="H97" s="1" t="str">
        <f>RTD("pi.rtdserver", ,"NSE_POWERGRID-EQ", "Volume")</f>
        <v>N.A.</v>
      </c>
      <c r="I97" s="1" t="str">
        <f>RTD("pi.rtdserver", ,"NSE_POWERGRID-EQ", "OpenInterest")</f>
        <v>N.A.</v>
      </c>
      <c r="J97" s="1" t="str">
        <f>RTD("pi.rtdserver", ,"NSE_POWERGRID-EQ", "TotalBidQty")</f>
        <v>N.A.</v>
      </c>
      <c r="K97" s="1" t="str">
        <f>RTD("pi.rtdserver", ,"NSE_POWERGRID-EQ", "TotalAskQty")</f>
        <v>N.A.</v>
      </c>
      <c r="L97" s="1" t="str">
        <f>RTD("pi.rtdserver", ,"NSE_POWERGRID-EQ", "lastTradeTime")</f>
        <v>N.A.</v>
      </c>
      <c r="M97" s="1" t="str">
        <f>RTD("pi.rtdserver", ,"NSE_POWERGRID-EQ", "lastUpdateTime")</f>
        <v>N.A.</v>
      </c>
    </row>
    <row r="98" spans="1:13" x14ac:dyDescent="0.25">
      <c r="A98" s="1" t="str">
        <f>RTD("pi.rtdserver", ,"NSE_RELIANCE-EQ", "TradingSymbol")</f>
        <v>N.A.</v>
      </c>
      <c r="B98" s="1" t="str">
        <f>RTD("pi.rtdserver", ,"NSE_RELIANCE-EQ", "Last")</f>
        <v>N.A.</v>
      </c>
      <c r="C98" s="1" t="str">
        <f>RTD("pi.rtdserver", ,"NSE_RELIANCE-EQ", "BidSize")</f>
        <v>N.A.</v>
      </c>
      <c r="D98" s="1" t="str">
        <f>RTD("pi.rtdserver", ,"NSE_RELIANCE-EQ", "Bid")</f>
        <v>N.A.</v>
      </c>
      <c r="E98" s="1" t="str">
        <f>RTD("pi.rtdserver", ,"NSE_RELIANCE-EQ", "Ask")</f>
        <v>N.A.</v>
      </c>
      <c r="F98" s="1" t="str">
        <f>RTD("pi.rtdserver", ,"NSE_RELIANCE-EQ", "AskSize")</f>
        <v>N.A.</v>
      </c>
      <c r="G98" s="1" t="str">
        <f>RTD("pi.rtdserver", ,"NSE_RELIANCE-EQ", "LTQ")</f>
        <v>N.A.</v>
      </c>
      <c r="H98" s="1" t="str">
        <f>RTD("pi.rtdserver", ,"NSE_RELIANCE-EQ", "Volume")</f>
        <v>N.A.</v>
      </c>
      <c r="I98" s="1" t="str">
        <f>RTD("pi.rtdserver", ,"NSE_RELIANCE-EQ", "OpenInterest")</f>
        <v>N.A.</v>
      </c>
      <c r="J98" s="1" t="str">
        <f>RTD("pi.rtdserver", ,"NSE_RELIANCE-EQ", "TotalBidQty")</f>
        <v>N.A.</v>
      </c>
      <c r="K98" s="1" t="str">
        <f>RTD("pi.rtdserver", ,"NSE_RELIANCE-EQ", "TotalAskQty")</f>
        <v>N.A.</v>
      </c>
      <c r="L98" s="1" t="str">
        <f>RTD("pi.rtdserver", ,"NSE_RELIANCE-EQ", "lastTradeTime")</f>
        <v>N.A.</v>
      </c>
      <c r="M98" s="1" t="str">
        <f>RTD("pi.rtdserver", ,"NSE_RELIANCE-EQ", "lastUpdateTime")</f>
        <v>N.A.</v>
      </c>
    </row>
    <row r="99" spans="1:13" x14ac:dyDescent="0.25">
      <c r="A99" s="1" t="str">
        <f>RTD("pi.rtdserver", ,"NSE_SBIN-EQ", "TradingSymbol")</f>
        <v>N.A.</v>
      </c>
      <c r="B99" s="1" t="str">
        <f>RTD("pi.rtdserver", ,"NSE_SBIN-EQ", "Last")</f>
        <v>N.A.</v>
      </c>
      <c r="C99" s="1" t="str">
        <f>RTD("pi.rtdserver", ,"NSE_SBIN-EQ", "BidSize")</f>
        <v>N.A.</v>
      </c>
      <c r="D99" s="1" t="str">
        <f>RTD("pi.rtdserver", ,"NSE_SBIN-EQ", "Bid")</f>
        <v>N.A.</v>
      </c>
      <c r="E99" s="1" t="str">
        <f>RTD("pi.rtdserver", ,"NSE_SBIN-EQ", "Ask")</f>
        <v>N.A.</v>
      </c>
      <c r="F99" s="1" t="str">
        <f>RTD("pi.rtdserver", ,"NSE_SBIN-EQ", "AskSize")</f>
        <v>N.A.</v>
      </c>
      <c r="G99" s="1" t="str">
        <f>RTD("pi.rtdserver", ,"NSE_SBIN-EQ", "LTQ")</f>
        <v>N.A.</v>
      </c>
      <c r="H99" s="1" t="str">
        <f>RTD("pi.rtdserver", ,"NSE_SBIN-EQ", "Volume")</f>
        <v>N.A.</v>
      </c>
      <c r="I99" s="1" t="str">
        <f>RTD("pi.rtdserver", ,"NSE_SBIN-EQ", "OpenInterest")</f>
        <v>N.A.</v>
      </c>
      <c r="J99" s="1" t="str">
        <f>RTD("pi.rtdserver", ,"NSE_SBIN-EQ", "TotalBidQty")</f>
        <v>N.A.</v>
      </c>
      <c r="K99" s="1" t="str">
        <f>RTD("pi.rtdserver", ,"NSE_SBIN-EQ", "TotalAskQty")</f>
        <v>N.A.</v>
      </c>
      <c r="L99" s="1" t="str">
        <f>RTD("pi.rtdserver", ,"NSE_SBIN-EQ", "lastTradeTime")</f>
        <v>N.A.</v>
      </c>
      <c r="M99" s="1" t="str">
        <f>RTD("pi.rtdserver", ,"NSE_SBIN-EQ", "lastUpdateTime")</f>
        <v>N.A.</v>
      </c>
    </row>
    <row r="100" spans="1:13" x14ac:dyDescent="0.25">
      <c r="A100" s="1" t="str">
        <f>RTD("pi.rtdserver", ,"NSE_SUNPHARMA-EQ", "TradingSymbol")</f>
        <v>N.A.</v>
      </c>
      <c r="B100" s="1" t="str">
        <f>RTD("pi.rtdserver", ,"NSE_SUNPHARMA-EQ", "Last")</f>
        <v>N.A.</v>
      </c>
      <c r="C100" s="1" t="str">
        <f>RTD("pi.rtdserver", ,"NSE_SUNPHARMA-EQ", "BidSize")</f>
        <v>N.A.</v>
      </c>
      <c r="D100" s="1" t="str">
        <f>RTD("pi.rtdserver", ,"NSE_SUNPHARMA-EQ", "Bid")</f>
        <v>N.A.</v>
      </c>
      <c r="E100" s="1" t="str">
        <f>RTD("pi.rtdserver", ,"NSE_SUNPHARMA-EQ", "Ask")</f>
        <v>N.A.</v>
      </c>
      <c r="F100" s="1" t="str">
        <f>RTD("pi.rtdserver", ,"NSE_SUNPHARMA-EQ", "AskSize")</f>
        <v>N.A.</v>
      </c>
      <c r="G100" s="1" t="str">
        <f>RTD("pi.rtdserver", ,"NSE_SUNPHARMA-EQ", "LTQ")</f>
        <v>N.A.</v>
      </c>
      <c r="H100" s="1" t="str">
        <f>RTD("pi.rtdserver", ,"NSE_SUNPHARMA-EQ", "Volume")</f>
        <v>N.A.</v>
      </c>
      <c r="I100" s="1" t="str">
        <f>RTD("pi.rtdserver", ,"NSE_SUNPHARMA-EQ", "OpenInterest")</f>
        <v>N.A.</v>
      </c>
      <c r="J100" s="1" t="str">
        <f>RTD("pi.rtdserver", ,"NSE_SUNPHARMA-EQ", "TotalBidQty")</f>
        <v>N.A.</v>
      </c>
      <c r="K100" s="1" t="str">
        <f>RTD("pi.rtdserver", ,"NSE_SUNPHARMA-EQ", "TotalAskQty")</f>
        <v>N.A.</v>
      </c>
      <c r="L100" s="1" t="str">
        <f>RTD("pi.rtdserver", ,"NSE_SUNPHARMA-EQ", "lastTradeTime")</f>
        <v>N.A.</v>
      </c>
      <c r="M100" s="1" t="str">
        <f>RTD("pi.rtdserver", ,"NSE_SUNPHARMA-EQ", "lastUpdateTime")</f>
        <v>N.A.</v>
      </c>
    </row>
    <row r="101" spans="1:13" x14ac:dyDescent="0.25">
      <c r="A101" s="1" t="str">
        <f>RTD("pi.rtdserver", ,"NSE_TATAMOTORS-EQ", "TradingSymbol")</f>
        <v>N.A.</v>
      </c>
      <c r="B101" s="1" t="str">
        <f>RTD("pi.rtdserver", ,"NSE_TATAMOTORS-EQ", "Last")</f>
        <v>N.A.</v>
      </c>
      <c r="C101" s="1" t="str">
        <f>RTD("pi.rtdserver", ,"NSE_TATAMOTORS-EQ", "BidSize")</f>
        <v>N.A.</v>
      </c>
      <c r="D101" s="1" t="str">
        <f>RTD("pi.rtdserver", ,"NSE_TATAMOTORS-EQ", "Bid")</f>
        <v>N.A.</v>
      </c>
      <c r="E101" s="1" t="str">
        <f>RTD("pi.rtdserver", ,"NSE_TATAMOTORS-EQ", "Ask")</f>
        <v>N.A.</v>
      </c>
      <c r="F101" s="1" t="str">
        <f>RTD("pi.rtdserver", ,"NSE_TATAMOTORS-EQ", "AskSize")</f>
        <v>N.A.</v>
      </c>
      <c r="G101" s="1" t="str">
        <f>RTD("pi.rtdserver", ,"NSE_TATAMOTORS-EQ", "LTQ")</f>
        <v>N.A.</v>
      </c>
      <c r="H101" s="1" t="str">
        <f>RTD("pi.rtdserver", ,"NSE_TATAMOTORS-EQ", "Volume")</f>
        <v>N.A.</v>
      </c>
      <c r="I101" s="1" t="str">
        <f>RTD("pi.rtdserver", ,"NSE_TATAMOTORS-EQ", "OpenInterest")</f>
        <v>N.A.</v>
      </c>
      <c r="J101" s="1" t="str">
        <f>RTD("pi.rtdserver", ,"NSE_TATAMOTORS-EQ", "TotalBidQty")</f>
        <v>N.A.</v>
      </c>
      <c r="K101" s="1" t="str">
        <f>RTD("pi.rtdserver", ,"NSE_TATAMOTORS-EQ", "TotalAskQty")</f>
        <v>N.A.</v>
      </c>
      <c r="L101" s="1" t="str">
        <f>RTD("pi.rtdserver", ,"NSE_TATAMOTORS-EQ", "lastTradeTime")</f>
        <v>N.A.</v>
      </c>
      <c r="M101" s="1" t="str">
        <f>RTD("pi.rtdserver", ,"NSE_TATAMOTORS-EQ", "lastUpdateTime")</f>
        <v>N.A.</v>
      </c>
    </row>
    <row r="102" spans="1:13" x14ac:dyDescent="0.25">
      <c r="A102" s="1" t="str">
        <f>RTD("pi.rtdserver", ,"NSE_TATASTEEL-EQ", "TradingSymbol")</f>
        <v>N.A.</v>
      </c>
      <c r="B102" s="1" t="str">
        <f>RTD("pi.rtdserver", ,"NSE_TATASTEEL-EQ", "Last")</f>
        <v>N.A.</v>
      </c>
      <c r="C102" s="1" t="str">
        <f>RTD("pi.rtdserver", ,"NSE_TATASTEEL-EQ", "BidSize")</f>
        <v>N.A.</v>
      </c>
      <c r="D102" s="1" t="str">
        <f>RTD("pi.rtdserver", ,"NSE_TATASTEEL-EQ", "Bid")</f>
        <v>N.A.</v>
      </c>
      <c r="E102" s="1" t="str">
        <f>RTD("pi.rtdserver", ,"NSE_TATASTEEL-EQ", "Ask")</f>
        <v>N.A.</v>
      </c>
      <c r="F102" s="1" t="str">
        <f>RTD("pi.rtdserver", ,"NSE_TATASTEEL-EQ", "AskSize")</f>
        <v>N.A.</v>
      </c>
      <c r="G102" s="1" t="str">
        <f>RTD("pi.rtdserver", ,"NSE_TATASTEEL-EQ", "LTQ")</f>
        <v>N.A.</v>
      </c>
      <c r="H102" s="1" t="str">
        <f>RTD("pi.rtdserver", ,"NSE_TATASTEEL-EQ", "Volume")</f>
        <v>N.A.</v>
      </c>
      <c r="I102" s="1" t="str">
        <f>RTD("pi.rtdserver", ,"NSE_TATASTEEL-EQ", "OpenInterest")</f>
        <v>N.A.</v>
      </c>
      <c r="J102" s="1" t="str">
        <f>RTD("pi.rtdserver", ,"NSE_TATASTEEL-EQ", "TotalBidQty")</f>
        <v>N.A.</v>
      </c>
      <c r="K102" s="1" t="str">
        <f>RTD("pi.rtdserver", ,"NSE_TATASTEEL-EQ", "TotalAskQty")</f>
        <v>N.A.</v>
      </c>
      <c r="L102" s="1" t="str">
        <f>RTD("pi.rtdserver", ,"NSE_TATASTEEL-EQ", "lastTradeTime")</f>
        <v>N.A.</v>
      </c>
      <c r="M102" s="1" t="str">
        <f>RTD("pi.rtdserver", ,"NSE_TATASTEEL-EQ", "lastUpdateTime")</f>
        <v>N.A.</v>
      </c>
    </row>
    <row r="103" spans="1:13" x14ac:dyDescent="0.25">
      <c r="A103" s="1" t="str">
        <f>RTD("pi.rtdserver", ,"NSE_TCS-EQ", "TradingSymbol")</f>
        <v>N.A.</v>
      </c>
      <c r="B103" s="1" t="str">
        <f>RTD("pi.rtdserver", ,"NSE_TCS-EQ", "Last")</f>
        <v>N.A.</v>
      </c>
      <c r="C103" s="1" t="str">
        <f>RTD("pi.rtdserver", ,"NSE_TCS-EQ", "BidSize")</f>
        <v>N.A.</v>
      </c>
      <c r="D103" s="1" t="str">
        <f>RTD("pi.rtdserver", ,"NSE_TCS-EQ", "Bid")</f>
        <v>N.A.</v>
      </c>
      <c r="E103" s="1" t="str">
        <f>RTD("pi.rtdserver", ,"NSE_TCS-EQ", "Ask")</f>
        <v>N.A.</v>
      </c>
      <c r="F103" s="1" t="str">
        <f>RTD("pi.rtdserver", ,"NSE_TCS-EQ", "AskSize")</f>
        <v>N.A.</v>
      </c>
      <c r="G103" s="1" t="str">
        <f>RTD("pi.rtdserver", ,"NSE_TCS-EQ", "LTQ")</f>
        <v>N.A.</v>
      </c>
      <c r="H103" s="1" t="str">
        <f>RTD("pi.rtdserver", ,"NSE_TCS-EQ", "Volume")</f>
        <v>N.A.</v>
      </c>
      <c r="I103" s="1" t="str">
        <f>RTD("pi.rtdserver", ,"NSE_TCS-EQ", "OpenInterest")</f>
        <v>N.A.</v>
      </c>
      <c r="J103" s="1" t="str">
        <f>RTD("pi.rtdserver", ,"NSE_TCS-EQ", "TotalBidQty")</f>
        <v>N.A.</v>
      </c>
      <c r="K103" s="1" t="str">
        <f>RTD("pi.rtdserver", ,"NSE_TCS-EQ", "TotalAskQty")</f>
        <v>N.A.</v>
      </c>
      <c r="L103" s="1" t="str">
        <f>RTD("pi.rtdserver", ,"NSE_TCS-EQ", "lastTradeTime")</f>
        <v>N.A.</v>
      </c>
      <c r="M103" s="1" t="str">
        <f>RTD("pi.rtdserver", ,"NSE_TCS-EQ", "lastUpdateTime")</f>
        <v>N.A.</v>
      </c>
    </row>
    <row r="104" spans="1:13" x14ac:dyDescent="0.25">
      <c r="A104" s="1" t="str">
        <f>RTD("pi.rtdserver", ,"NSE_TECHM-EQ", "TradingSymbol")</f>
        <v>N.A.</v>
      </c>
      <c r="B104" s="1" t="str">
        <f>RTD("pi.rtdserver", ,"NSE_TECHM-EQ", "Last")</f>
        <v>N.A.</v>
      </c>
      <c r="C104" s="1" t="str">
        <f>RTD("pi.rtdserver", ,"NSE_TECHM-EQ", "BidSize")</f>
        <v>N.A.</v>
      </c>
      <c r="D104" s="1" t="str">
        <f>RTD("pi.rtdserver", ,"NSE_TECHM-EQ", "Bid")</f>
        <v>N.A.</v>
      </c>
      <c r="E104" s="1" t="str">
        <f>RTD("pi.rtdserver", ,"NSE_TECHM-EQ", "Ask")</f>
        <v>N.A.</v>
      </c>
      <c r="F104" s="1" t="str">
        <f>RTD("pi.rtdserver", ,"NSE_TECHM-EQ", "AskSize")</f>
        <v>N.A.</v>
      </c>
      <c r="G104" s="1" t="str">
        <f>RTD("pi.rtdserver", ,"NSE_TECHM-EQ", "LTQ")</f>
        <v>N.A.</v>
      </c>
      <c r="H104" s="1" t="str">
        <f>RTD("pi.rtdserver", ,"NSE_TECHM-EQ", "Volume")</f>
        <v>N.A.</v>
      </c>
      <c r="I104" s="1" t="str">
        <f>RTD("pi.rtdserver", ,"NSE_TECHM-EQ", "OpenInterest")</f>
        <v>N.A.</v>
      </c>
      <c r="J104" s="1" t="str">
        <f>RTD("pi.rtdserver", ,"NSE_TECHM-EQ", "TotalBidQty")</f>
        <v>N.A.</v>
      </c>
      <c r="K104" s="1" t="str">
        <f>RTD("pi.rtdserver", ,"NSE_TECHM-EQ", "TotalAskQty")</f>
        <v>N.A.</v>
      </c>
      <c r="L104" s="1" t="str">
        <f>RTD("pi.rtdserver", ,"NSE_TECHM-EQ", "lastTradeTime")</f>
        <v>N.A.</v>
      </c>
      <c r="M104" s="1" t="str">
        <f>RTD("pi.rtdserver", ,"NSE_TECHM-EQ", "lastUpdateTime")</f>
        <v>N.A.</v>
      </c>
    </row>
    <row r="105" spans="1:13" x14ac:dyDescent="0.25">
      <c r="A105" s="1" t="str">
        <f>RTD("pi.rtdserver", ,"NSE_ULTRACEMCO-EQ", "TradingSymbol")</f>
        <v>N.A.</v>
      </c>
      <c r="B105" s="1" t="str">
        <f>RTD("pi.rtdserver", ,"NSE_ULTRACEMCO-EQ", "Last")</f>
        <v>N.A.</v>
      </c>
      <c r="C105" s="1" t="str">
        <f>RTD("pi.rtdserver", ,"NSE_ULTRACEMCO-EQ", "BidSize")</f>
        <v>N.A.</v>
      </c>
      <c r="D105" s="1" t="str">
        <f>RTD("pi.rtdserver", ,"NSE_ULTRACEMCO-EQ", "Bid")</f>
        <v>N.A.</v>
      </c>
      <c r="E105" s="1" t="str">
        <f>RTD("pi.rtdserver", ,"NSE_ULTRACEMCO-EQ", "Ask")</f>
        <v>N.A.</v>
      </c>
      <c r="F105" s="1" t="str">
        <f>RTD("pi.rtdserver", ,"NSE_ULTRACEMCO-EQ", "AskSize")</f>
        <v>N.A.</v>
      </c>
      <c r="G105" s="1" t="str">
        <f>RTD("pi.rtdserver", ,"NSE_ULTRACEMCO-EQ", "LTQ")</f>
        <v>N.A.</v>
      </c>
      <c r="H105" s="1" t="str">
        <f>RTD("pi.rtdserver", ,"NSE_ULTRACEMCO-EQ", "Volume")</f>
        <v>N.A.</v>
      </c>
      <c r="I105" s="1" t="str">
        <f>RTD("pi.rtdserver", ,"NSE_ULTRACEMCO-EQ", "OpenInterest")</f>
        <v>N.A.</v>
      </c>
      <c r="J105" s="1" t="str">
        <f>RTD("pi.rtdserver", ,"NSE_ULTRACEMCO-EQ", "TotalBidQty")</f>
        <v>N.A.</v>
      </c>
      <c r="K105" s="1" t="str">
        <f>RTD("pi.rtdserver", ,"NSE_ULTRACEMCO-EQ", "TotalAskQty")</f>
        <v>N.A.</v>
      </c>
      <c r="L105" s="1" t="str">
        <f>RTD("pi.rtdserver", ,"NSE_ULTRACEMCO-EQ", "lastTradeTime")</f>
        <v>N.A.</v>
      </c>
      <c r="M105" s="1" t="str">
        <f>RTD("pi.rtdserver", ,"NSE_ULTRACEMCO-EQ", "lastUpdateTime")</f>
        <v>N.A.</v>
      </c>
    </row>
    <row r="106" spans="1:13" x14ac:dyDescent="0.25">
      <c r="A106" s="1" t="str">
        <f>RTD("pi.rtdserver", ,"NSE_UPL-EQ", "TradingSymbol")</f>
        <v>N.A.</v>
      </c>
      <c r="B106" s="1" t="str">
        <f>RTD("pi.rtdserver", ,"NSE_UPL-EQ", "Last")</f>
        <v>N.A.</v>
      </c>
      <c r="C106" s="1" t="str">
        <f>RTD("pi.rtdserver", ,"NSE_UPL-EQ", "BidSize")</f>
        <v>N.A.</v>
      </c>
      <c r="D106" s="1" t="str">
        <f>RTD("pi.rtdserver", ,"NSE_UPL-EQ", "Bid")</f>
        <v>N.A.</v>
      </c>
      <c r="E106" s="1" t="str">
        <f>RTD("pi.rtdserver", ,"NSE_UPL-EQ", "Ask")</f>
        <v>N.A.</v>
      </c>
      <c r="F106" s="1" t="str">
        <f>RTD("pi.rtdserver", ,"NSE_UPL-EQ", "AskSize")</f>
        <v>N.A.</v>
      </c>
      <c r="G106" s="1" t="str">
        <f>RTD("pi.rtdserver", ,"NSE_UPL-EQ", "LTQ")</f>
        <v>N.A.</v>
      </c>
      <c r="H106" s="1" t="str">
        <f>RTD("pi.rtdserver", ,"NSE_UPL-EQ", "Volume")</f>
        <v>N.A.</v>
      </c>
      <c r="I106" s="1" t="str">
        <f>RTD("pi.rtdserver", ,"NSE_UPL-EQ", "OpenInterest")</f>
        <v>N.A.</v>
      </c>
      <c r="J106" s="1" t="str">
        <f>RTD("pi.rtdserver", ,"NSE_UPL-EQ", "TotalBidQty")</f>
        <v>N.A.</v>
      </c>
      <c r="K106" s="1" t="str">
        <f>RTD("pi.rtdserver", ,"NSE_UPL-EQ", "TotalAskQty")</f>
        <v>N.A.</v>
      </c>
      <c r="L106" s="1" t="str">
        <f>RTD("pi.rtdserver", ,"NSE_UPL-EQ", "lastTradeTime")</f>
        <v>N.A.</v>
      </c>
      <c r="M106" s="1" t="str">
        <f>RTD("pi.rtdserver", ,"NSE_UPL-EQ", "lastUpdateTime")</f>
        <v>N.A.</v>
      </c>
    </row>
    <row r="107" spans="1:13" x14ac:dyDescent="0.25">
      <c r="A107" s="1" t="str">
        <f>RTD("pi.rtdserver", ,"NSE_VEDL-EQ", "TradingSymbol")</f>
        <v>N.A.</v>
      </c>
      <c r="B107" s="1" t="str">
        <f>RTD("pi.rtdserver", ,"NSE_VEDL-EQ", "Last")</f>
        <v>N.A.</v>
      </c>
      <c r="C107" s="1" t="str">
        <f>RTD("pi.rtdserver", ,"NSE_VEDL-EQ", "BidSize")</f>
        <v>N.A.</v>
      </c>
      <c r="D107" s="1" t="str">
        <f>RTD("pi.rtdserver", ,"NSE_VEDL-EQ", "Bid")</f>
        <v>N.A.</v>
      </c>
      <c r="E107" s="1" t="str">
        <f>RTD("pi.rtdserver", ,"NSE_VEDL-EQ", "Ask")</f>
        <v>N.A.</v>
      </c>
      <c r="F107" s="1" t="str">
        <f>RTD("pi.rtdserver", ,"NSE_VEDL-EQ", "AskSize")</f>
        <v>N.A.</v>
      </c>
      <c r="G107" s="1" t="str">
        <f>RTD("pi.rtdserver", ,"NSE_VEDL-EQ", "LTQ")</f>
        <v>N.A.</v>
      </c>
      <c r="H107" s="1" t="str">
        <f>RTD("pi.rtdserver", ,"NSE_VEDL-EQ", "Volume")</f>
        <v>N.A.</v>
      </c>
      <c r="I107" s="1" t="str">
        <f>RTD("pi.rtdserver", ,"NSE_VEDL-EQ", "OpenInterest")</f>
        <v>N.A.</v>
      </c>
      <c r="J107" s="1" t="str">
        <f>RTD("pi.rtdserver", ,"NSE_VEDL-EQ", "TotalBidQty")</f>
        <v>N.A.</v>
      </c>
      <c r="K107" s="1" t="str">
        <f>RTD("pi.rtdserver", ,"NSE_VEDL-EQ", "TotalAskQty")</f>
        <v>N.A.</v>
      </c>
      <c r="L107" s="1" t="str">
        <f>RTD("pi.rtdserver", ,"NSE_VEDL-EQ", "lastTradeTime")</f>
        <v>N.A.</v>
      </c>
      <c r="M107" s="1" t="str">
        <f>RTD("pi.rtdserver", ,"NSE_VEDL-EQ", "lastUpdateTime")</f>
        <v>N.A.</v>
      </c>
    </row>
    <row r="108" spans="1:13" x14ac:dyDescent="0.25">
      <c r="A108" s="1" t="str">
        <f>RTD("pi.rtdserver", ,"NSE_WIPRO-EQ", "TradingSymbol")</f>
        <v>N.A.</v>
      </c>
      <c r="B108" s="1" t="str">
        <f>RTD("pi.rtdserver", ,"NSE_WIPRO-EQ", "Last")</f>
        <v>N.A.</v>
      </c>
      <c r="C108" s="1" t="str">
        <f>RTD("pi.rtdserver", ,"NSE_WIPRO-EQ", "BidSize")</f>
        <v>N.A.</v>
      </c>
      <c r="D108" s="1" t="str">
        <f>RTD("pi.rtdserver", ,"NSE_WIPRO-EQ", "Bid")</f>
        <v>N.A.</v>
      </c>
      <c r="E108" s="1" t="str">
        <f>RTD("pi.rtdserver", ,"NSE_WIPRO-EQ", "Ask")</f>
        <v>N.A.</v>
      </c>
      <c r="F108" s="1" t="str">
        <f>RTD("pi.rtdserver", ,"NSE_WIPRO-EQ", "AskSize")</f>
        <v>N.A.</v>
      </c>
      <c r="G108" s="1" t="str">
        <f>RTD("pi.rtdserver", ,"NSE_WIPRO-EQ", "LTQ")</f>
        <v>N.A.</v>
      </c>
      <c r="H108" s="1" t="str">
        <f>RTD("pi.rtdserver", ,"NSE_WIPRO-EQ", "Volume")</f>
        <v>N.A.</v>
      </c>
      <c r="I108" s="1" t="str">
        <f>RTD("pi.rtdserver", ,"NSE_WIPRO-EQ", "OpenInterest")</f>
        <v>N.A.</v>
      </c>
      <c r="J108" s="1" t="str">
        <f>RTD("pi.rtdserver", ,"NSE_WIPRO-EQ", "TotalBidQty")</f>
        <v>N.A.</v>
      </c>
      <c r="K108" s="1" t="str">
        <f>RTD("pi.rtdserver", ,"NSE_WIPRO-EQ", "TotalAskQty")</f>
        <v>N.A.</v>
      </c>
      <c r="L108" s="1" t="str">
        <f>RTD("pi.rtdserver", ,"NSE_WIPRO-EQ", "lastTradeTime")</f>
        <v>N.A.</v>
      </c>
      <c r="M108" s="1" t="str">
        <f>RTD("pi.rtdserver", ,"NSE_WIPRO-EQ", "lastUpdateTime")</f>
        <v>N.A.</v>
      </c>
    </row>
    <row r="109" spans="1:13" x14ac:dyDescent="0.25">
      <c r="A109" s="1" t="str">
        <f>RTD("pi.rtdserver", ,"NSE_YESBANK-EQ", "TradingSymbol")</f>
        <v>N.A.</v>
      </c>
      <c r="B109" s="1" t="str">
        <f>RTD("pi.rtdserver", ,"NSE_YESBANK-EQ", "Last")</f>
        <v>N.A.</v>
      </c>
      <c r="C109" s="1" t="str">
        <f>RTD("pi.rtdserver", ,"NSE_YESBANK-EQ", "BidSize")</f>
        <v>N.A.</v>
      </c>
      <c r="D109" s="1" t="str">
        <f>RTD("pi.rtdserver", ,"NSE_YESBANK-EQ", "Bid")</f>
        <v>N.A.</v>
      </c>
      <c r="E109" s="1" t="str">
        <f>RTD("pi.rtdserver", ,"NSE_YESBANK-EQ", "Ask")</f>
        <v>N.A.</v>
      </c>
      <c r="F109" s="1" t="str">
        <f>RTD("pi.rtdserver", ,"NSE_YESBANK-EQ", "AskSize")</f>
        <v>N.A.</v>
      </c>
      <c r="G109" s="1" t="str">
        <f>RTD("pi.rtdserver", ,"NSE_YESBANK-EQ", "LTQ")</f>
        <v>N.A.</v>
      </c>
      <c r="H109" s="1" t="str">
        <f>RTD("pi.rtdserver", ,"NSE_YESBANK-EQ", "Volume")</f>
        <v>N.A.</v>
      </c>
      <c r="I109" s="1" t="str">
        <f>RTD("pi.rtdserver", ,"NSE_YESBANK-EQ", "OpenInterest")</f>
        <v>N.A.</v>
      </c>
      <c r="J109" s="1" t="str">
        <f>RTD("pi.rtdserver", ,"NSE_YESBANK-EQ", "TotalBidQty")</f>
        <v>N.A.</v>
      </c>
      <c r="K109" s="1" t="str">
        <f>RTD("pi.rtdserver", ,"NSE_YESBANK-EQ", "TotalAskQty")</f>
        <v>N.A.</v>
      </c>
      <c r="L109" s="1" t="str">
        <f>RTD("pi.rtdserver", ,"NSE_YESBANK-EQ", "lastTradeTime")</f>
        <v>N.A.</v>
      </c>
      <c r="M109" s="1" t="str">
        <f>RTD("pi.rtdserver", ,"NSE_YESBANK-EQ", "lastUpdateTime")</f>
        <v>N.A.</v>
      </c>
    </row>
    <row r="110" spans="1:13" x14ac:dyDescent="0.25">
      <c r="A110" s="1" t="str">
        <f>RTD("pi.rtdserver", ,"NSE_ZEEL-EQ", "TradingSymbol")</f>
        <v>N.A.</v>
      </c>
      <c r="B110" s="1" t="str">
        <f>RTD("pi.rtdserver", ,"NSE_ZEEL-EQ", "Last")</f>
        <v>N.A.</v>
      </c>
      <c r="C110" s="1" t="str">
        <f>RTD("pi.rtdserver", ,"NSE_ZEEL-EQ", "BidSize")</f>
        <v>N.A.</v>
      </c>
      <c r="D110" s="1" t="str">
        <f>RTD("pi.rtdserver", ,"NSE_ZEEL-EQ", "Bid")</f>
        <v>N.A.</v>
      </c>
      <c r="E110" s="1" t="str">
        <f>RTD("pi.rtdserver", ,"NSE_ZEEL-EQ", "Ask")</f>
        <v>N.A.</v>
      </c>
      <c r="F110" s="1" t="str">
        <f>RTD("pi.rtdserver", ,"NSE_ZEEL-EQ", "AskSize")</f>
        <v>N.A.</v>
      </c>
      <c r="G110" s="1" t="str">
        <f>RTD("pi.rtdserver", ,"NSE_ZEEL-EQ", "LTQ")</f>
        <v>N.A.</v>
      </c>
      <c r="H110" s="1" t="str">
        <f>RTD("pi.rtdserver", ,"NSE_ZEEL-EQ", "Volume")</f>
        <v>N.A.</v>
      </c>
      <c r="I110" s="1" t="str">
        <f>RTD("pi.rtdserver", ,"NSE_ZEEL-EQ", "OpenInterest")</f>
        <v>N.A.</v>
      </c>
      <c r="J110" s="1" t="str">
        <f>RTD("pi.rtdserver", ,"NSE_ZEEL-EQ", "TotalBidQty")</f>
        <v>N.A.</v>
      </c>
      <c r="K110" s="1" t="str">
        <f>RTD("pi.rtdserver", ,"NSE_ZEEL-EQ", "TotalAskQty")</f>
        <v>N.A.</v>
      </c>
      <c r="L110" s="1" t="str">
        <f>RTD("pi.rtdserver", ,"NSE_ZEEL-EQ", "lastTradeTime")</f>
        <v>N.A.</v>
      </c>
      <c r="M110" s="1" t="str">
        <f>RTD("pi.rtdserver", ,"NSE_ZEEL-EQ", "lastUpdateTime")</f>
        <v>N.A.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NiftyBank 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2018-09-25T14:13:35Z</dcterms:created>
  <dcterms:modified xsi:type="dcterms:W3CDTF">2018-09-25T20:23:59Z</dcterms:modified>
</cp:coreProperties>
</file>