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hartsheets/sheet1.xml" ContentType="application/vnd.openxmlformats-officedocument.spreadsheetml.chart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orion\Desktop\CONT.2023\"/>
    </mc:Choice>
  </mc:AlternateContent>
  <workbookProtection workbookPassword="D373" lockStructure="1"/>
  <bookViews>
    <workbookView xWindow="405" yWindow="1995" windowWidth="9660" windowHeight="3915" tabRatio="577" firstSheet="12" activeTab="12"/>
  </bookViews>
  <sheets>
    <sheet name="CAT 1" sheetId="1" state="hidden" r:id="rId1"/>
    <sheet name="CAT 2" sheetId="2" state="hidden" r:id="rId2"/>
    <sheet name="CAT 3" sheetId="3" state="hidden" r:id="rId3"/>
    <sheet name="CAT 5A" sheetId="4" state="hidden" r:id="rId4"/>
    <sheet name="CAT 5B" sheetId="5" state="hidden" r:id="rId5"/>
    <sheet name="recap" sheetId="6" state="hidden" r:id="rId6"/>
    <sheet name="CAT 10" sheetId="7" state="hidden" r:id="rId7"/>
    <sheet name="CAT 9" sheetId="8" state="hidden" r:id="rId8"/>
    <sheet name="CAT 4A" sheetId="9" state="hidden" r:id="rId9"/>
    <sheet name="CAT 4B" sheetId="10" state="hidden" r:id="rId10"/>
    <sheet name="CAT 4C" sheetId="11" state="hidden" r:id="rId11"/>
    <sheet name="Chart1" sheetId="34" state="hidden" r:id="rId12"/>
    <sheet name="CONTRATS" sheetId="17" r:id="rId13"/>
    <sheet name="Reçu Caisse" sheetId="20" r:id="rId14"/>
    <sheet name="Att Pers (DTA)" sheetId="35" r:id="rId15"/>
    <sheet name="Att Pers" sheetId="19" state="hidden" r:id="rId16"/>
    <sheet name="carte rose" sheetId="18" state="hidden" r:id="rId17"/>
    <sheet name="Carte Rose Mo" sheetId="36" r:id="rId18"/>
    <sheet name="Att Taxi" sheetId="21" state="hidden" r:id="rId19"/>
    <sheet name="CAT 65" sheetId="27" state="hidden" r:id="rId20"/>
    <sheet name="CAT6123" sheetId="28" state="hidden" r:id="rId21"/>
    <sheet name="CAT 71" sheetId="30" state="hidden" r:id="rId22"/>
    <sheet name="CAT 7234" sheetId="31" state="hidden" r:id="rId23"/>
    <sheet name="CAT 75" sheetId="32" state="hidden" r:id="rId24"/>
    <sheet name="CAT 08" sheetId="33" state="hidden" r:id="rId25"/>
  </sheets>
  <externalReferences>
    <externalReference r:id="rId26"/>
  </externalReferences>
  <definedNames>
    <definedName name="_xlnm._FilterDatabase" localSheetId="12" hidden="1">CONTRATS!$A$3:$O$63</definedName>
    <definedName name="_xlnm.Print_Area" localSheetId="15">'Att Pers'!$A$1:$J$17</definedName>
    <definedName name="_xlnm.Print_Area" localSheetId="14">'Att Pers (DTA)'!$A$1:$J$16</definedName>
    <definedName name="_xlnm.Print_Area" localSheetId="18">'Att Taxi'!$A$1:$J$15</definedName>
    <definedName name="_xlnm.Print_Area" localSheetId="16">'carte rose'!$C$1:$M$15</definedName>
    <definedName name="_xlnm.Print_Area" localSheetId="12">CONTRATS!$A$1:$J$56</definedName>
    <definedName name="_xlnm.Print_Area" localSheetId="13">'Reçu Caisse'!$A$1:$H$51</definedName>
  </definedNames>
  <calcPr calcId="162913"/>
  <fileRecoveryPr autoRecover="0"/>
</workbook>
</file>

<file path=xl/calcChain.xml><?xml version="1.0" encoding="utf-8"?>
<calcChain xmlns="http://schemas.openxmlformats.org/spreadsheetml/2006/main">
  <c r="H27" i="17" l="1"/>
  <c r="A49" i="20" l="1"/>
  <c r="G35" i="33" l="1"/>
  <c r="G34" i="33"/>
  <c r="G33" i="33"/>
  <c r="G32" i="33"/>
  <c r="G31" i="33"/>
  <c r="H30" i="33"/>
  <c r="G30" i="33"/>
  <c r="H29" i="33"/>
  <c r="G29" i="33"/>
  <c r="V28" i="33"/>
  <c r="U28" i="33"/>
  <c r="T28" i="33"/>
  <c r="H28" i="33"/>
  <c r="G28" i="33"/>
  <c r="H27" i="33"/>
  <c r="G27" i="33"/>
  <c r="H26" i="33"/>
  <c r="G26" i="33"/>
  <c r="D25" i="33"/>
  <c r="D24" i="33"/>
  <c r="O20" i="33"/>
  <c r="G19" i="33"/>
  <c r="F19" i="33"/>
  <c r="G18" i="33"/>
  <c r="F18" i="33"/>
  <c r="V17" i="33"/>
  <c r="U17" i="33"/>
  <c r="T17" i="33"/>
  <c r="G17" i="33"/>
  <c r="F17" i="33"/>
  <c r="G16" i="33"/>
  <c r="F16" i="33"/>
  <c r="G15" i="33"/>
  <c r="F15" i="33"/>
  <c r="G14" i="33"/>
  <c r="F14" i="33"/>
  <c r="O13" i="33"/>
  <c r="G12" i="33"/>
  <c r="G11" i="33"/>
  <c r="G10" i="33"/>
  <c r="G9" i="33"/>
  <c r="G8" i="33"/>
  <c r="G7" i="33"/>
  <c r="E6" i="33"/>
  <c r="D6" i="33"/>
  <c r="C6" i="33"/>
  <c r="E4" i="33"/>
  <c r="B4" i="33"/>
  <c r="F1" i="33"/>
  <c r="H7" i="33" s="1"/>
  <c r="C1" i="33"/>
  <c r="C33" i="32"/>
  <c r="B33" i="32"/>
  <c r="A33" i="32"/>
  <c r="T28" i="32"/>
  <c r="S28" i="32"/>
  <c r="I20" i="32"/>
  <c r="H20" i="32"/>
  <c r="G20" i="32"/>
  <c r="T17" i="32"/>
  <c r="S17" i="32"/>
  <c r="O15" i="32"/>
  <c r="K14" i="32"/>
  <c r="J14" i="32"/>
  <c r="K13" i="32"/>
  <c r="J13" i="32"/>
  <c r="K12" i="32"/>
  <c r="J12" i="32"/>
  <c r="K11" i="32"/>
  <c r="J11" i="32"/>
  <c r="K10" i="32"/>
  <c r="J10" i="32"/>
  <c r="K9" i="32"/>
  <c r="J9" i="32"/>
  <c r="K8" i="32"/>
  <c r="J8" i="32"/>
  <c r="K7" i="32"/>
  <c r="J7" i="32"/>
  <c r="I6" i="32"/>
  <c r="F4" i="32"/>
  <c r="B4" i="32"/>
  <c r="E44" i="31"/>
  <c r="H43" i="31"/>
  <c r="G43" i="31"/>
  <c r="H42" i="31"/>
  <c r="G42" i="31"/>
  <c r="H41" i="31"/>
  <c r="G41" i="31"/>
  <c r="H40" i="31"/>
  <c r="G40" i="31"/>
  <c r="H39" i="31"/>
  <c r="G39" i="31"/>
  <c r="H38" i="31"/>
  <c r="G38" i="31"/>
  <c r="H36" i="31"/>
  <c r="G36" i="31"/>
  <c r="H35" i="31"/>
  <c r="G35" i="31"/>
  <c r="H34" i="31"/>
  <c r="G34" i="31"/>
  <c r="H33" i="31"/>
  <c r="G33" i="31"/>
  <c r="H32" i="31"/>
  <c r="G32" i="31"/>
  <c r="H31" i="31"/>
  <c r="G31" i="31"/>
  <c r="X28" i="31"/>
  <c r="W28" i="31"/>
  <c r="T28" i="31"/>
  <c r="S28" i="31"/>
  <c r="E28" i="31"/>
  <c r="D48" i="31" s="1"/>
  <c r="B28" i="31"/>
  <c r="W27" i="31"/>
  <c r="S27" i="31"/>
  <c r="B26" i="31"/>
  <c r="E20" i="31"/>
  <c r="H19" i="31"/>
  <c r="G19" i="31"/>
  <c r="H18" i="31"/>
  <c r="G18" i="31"/>
  <c r="X17" i="31"/>
  <c r="W17" i="31"/>
  <c r="T17" i="31"/>
  <c r="S17" i="31"/>
  <c r="H17" i="31"/>
  <c r="G17" i="31"/>
  <c r="W16" i="31"/>
  <c r="S16" i="31"/>
  <c r="H16" i="31"/>
  <c r="G16" i="31"/>
  <c r="H15" i="31"/>
  <c r="G15" i="31"/>
  <c r="H14" i="31"/>
  <c r="G14" i="31"/>
  <c r="H12" i="31"/>
  <c r="G12" i="31"/>
  <c r="H11" i="31"/>
  <c r="G11" i="31"/>
  <c r="H10" i="31"/>
  <c r="G10" i="31"/>
  <c r="H9" i="31"/>
  <c r="G9" i="31"/>
  <c r="H8" i="31"/>
  <c r="G8" i="31"/>
  <c r="H7" i="31"/>
  <c r="G7" i="31"/>
  <c r="E4" i="31"/>
  <c r="D24" i="31" s="1"/>
  <c r="B4" i="31"/>
  <c r="B2" i="31"/>
  <c r="E44" i="30"/>
  <c r="H43" i="30"/>
  <c r="G43" i="30"/>
  <c r="H42" i="30"/>
  <c r="G42" i="30"/>
  <c r="H41" i="30"/>
  <c r="G41" i="30"/>
  <c r="H40" i="30"/>
  <c r="G40" i="30"/>
  <c r="H39" i="30"/>
  <c r="G39" i="30"/>
  <c r="H38" i="30"/>
  <c r="G38" i="30"/>
  <c r="H36" i="30"/>
  <c r="G36" i="30"/>
  <c r="H35" i="30"/>
  <c r="G35" i="30"/>
  <c r="H34" i="30"/>
  <c r="G34" i="30"/>
  <c r="H33" i="30"/>
  <c r="G33" i="30"/>
  <c r="H32" i="30"/>
  <c r="G32" i="30"/>
  <c r="H31" i="30"/>
  <c r="G31" i="30"/>
  <c r="X28" i="30"/>
  <c r="W28" i="30"/>
  <c r="T28" i="30"/>
  <c r="S28" i="30"/>
  <c r="E28" i="30"/>
  <c r="D48" i="30" s="1"/>
  <c r="B28" i="30"/>
  <c r="W27" i="30"/>
  <c r="S27" i="30"/>
  <c r="B26" i="30"/>
  <c r="E20" i="30"/>
  <c r="H19" i="30"/>
  <c r="G19" i="30"/>
  <c r="H18" i="30"/>
  <c r="G18" i="30"/>
  <c r="X17" i="30"/>
  <c r="W17" i="30"/>
  <c r="T17" i="30"/>
  <c r="S17" i="30"/>
  <c r="H17" i="30"/>
  <c r="G17" i="30"/>
  <c r="W16" i="30"/>
  <c r="S16" i="30"/>
  <c r="H16" i="30"/>
  <c r="G16" i="30"/>
  <c r="H15" i="30"/>
  <c r="G15" i="30"/>
  <c r="H14" i="30"/>
  <c r="G14" i="30"/>
  <c r="H12" i="30"/>
  <c r="G12" i="30"/>
  <c r="H11" i="30"/>
  <c r="G11" i="30"/>
  <c r="H10" i="30"/>
  <c r="G10" i="30"/>
  <c r="H9" i="30"/>
  <c r="G9" i="30"/>
  <c r="H8" i="30"/>
  <c r="G8" i="30"/>
  <c r="H7" i="30"/>
  <c r="G7" i="30"/>
  <c r="E4" i="30"/>
  <c r="D24" i="30" s="1"/>
  <c r="B4" i="30"/>
  <c r="B2" i="30"/>
  <c r="R35" i="28"/>
  <c r="Q35" i="28"/>
  <c r="R29" i="28"/>
  <c r="Q29" i="28"/>
  <c r="C25" i="28"/>
  <c r="R24" i="28"/>
  <c r="Q24" i="28"/>
  <c r="G21" i="28"/>
  <c r="F21" i="28"/>
  <c r="E21" i="28"/>
  <c r="R18" i="28"/>
  <c r="Q18" i="28"/>
  <c r="M16" i="28"/>
  <c r="K15" i="28"/>
  <c r="I15" i="28"/>
  <c r="H15" i="28"/>
  <c r="K14" i="28"/>
  <c r="I14" i="28"/>
  <c r="H14" i="28"/>
  <c r="N13" i="28"/>
  <c r="L13" i="28"/>
  <c r="K13" i="28"/>
  <c r="J13" i="28"/>
  <c r="I13" i="28"/>
  <c r="H13" i="28"/>
  <c r="G13" i="28"/>
  <c r="R12" i="28"/>
  <c r="Q12" i="28"/>
  <c r="N12" i="28"/>
  <c r="K12" i="28"/>
  <c r="I12" i="28"/>
  <c r="H12" i="28"/>
  <c r="B12" i="28"/>
  <c r="A12" i="28"/>
  <c r="N11" i="28"/>
  <c r="K11" i="28"/>
  <c r="I11" i="28"/>
  <c r="H11" i="28"/>
  <c r="B11" i="28"/>
  <c r="A11" i="28"/>
  <c r="N10" i="28"/>
  <c r="K10" i="28"/>
  <c r="I10" i="28"/>
  <c r="H10" i="28"/>
  <c r="B10" i="28"/>
  <c r="A10" i="28"/>
  <c r="N9" i="28"/>
  <c r="K9" i="28"/>
  <c r="I9" i="28"/>
  <c r="H9" i="28"/>
  <c r="B9" i="28"/>
  <c r="A9" i="28"/>
  <c r="N8" i="28"/>
  <c r="K8" i="28"/>
  <c r="I8" i="28"/>
  <c r="H8" i="28"/>
  <c r="B8" i="28"/>
  <c r="A8" i="28"/>
  <c r="N7" i="28"/>
  <c r="K7" i="28"/>
  <c r="I7" i="28"/>
  <c r="H7" i="28"/>
  <c r="B7" i="28"/>
  <c r="A7" i="28"/>
  <c r="G6" i="28"/>
  <c r="F6" i="28"/>
  <c r="E6" i="28"/>
  <c r="I4" i="28"/>
  <c r="D4" i="28"/>
  <c r="D2" i="28"/>
  <c r="R33" i="27"/>
  <c r="Q33" i="27"/>
  <c r="R22" i="27"/>
  <c r="Q22" i="27"/>
  <c r="G20" i="27"/>
  <c r="F20" i="27"/>
  <c r="E20" i="27"/>
  <c r="M15" i="27"/>
  <c r="K14" i="27"/>
  <c r="K13" i="27"/>
  <c r="K12" i="27"/>
  <c r="R11" i="27"/>
  <c r="Q11" i="27"/>
  <c r="N11" i="27"/>
  <c r="K11" i="27"/>
  <c r="B11" i="27"/>
  <c r="A11" i="27"/>
  <c r="N10" i="27"/>
  <c r="K10" i="27"/>
  <c r="B10" i="27"/>
  <c r="A10" i="27"/>
  <c r="N9" i="27"/>
  <c r="K9" i="27"/>
  <c r="B9" i="27"/>
  <c r="A9" i="27"/>
  <c r="N8" i="27"/>
  <c r="K8" i="27"/>
  <c r="B8" i="27"/>
  <c r="A8" i="27"/>
  <c r="N7" i="27"/>
  <c r="K7" i="27"/>
  <c r="B7" i="27"/>
  <c r="A7" i="27"/>
  <c r="G6" i="27"/>
  <c r="I4" i="27"/>
  <c r="D4" i="27"/>
  <c r="I15" i="21"/>
  <c r="G15" i="21"/>
  <c r="H14" i="21"/>
  <c r="G14" i="21"/>
  <c r="A4" i="21"/>
  <c r="G3" i="21"/>
  <c r="B23" i="36"/>
  <c r="B21" i="36"/>
  <c r="B16" i="36"/>
  <c r="B15" i="36"/>
  <c r="J13" i="36"/>
  <c r="B12" i="36"/>
  <c r="G12" i="36" s="1"/>
  <c r="B11" i="36"/>
  <c r="D11" i="36" s="1"/>
  <c r="G11" i="36" s="1"/>
  <c r="M10" i="36"/>
  <c r="J10" i="36"/>
  <c r="G10" i="36"/>
  <c r="M9" i="36"/>
  <c r="J9" i="36"/>
  <c r="G9" i="36"/>
  <c r="M8" i="36"/>
  <c r="G8" i="36"/>
  <c r="D8" i="36" s="1"/>
  <c r="B8" i="36" s="1"/>
  <c r="B7" i="36"/>
  <c r="D7" i="36" s="1"/>
  <c r="B6" i="36"/>
  <c r="L6" i="36" s="1"/>
  <c r="J5" i="36"/>
  <c r="G5" i="36"/>
  <c r="B5" i="36"/>
  <c r="J7" i="36" s="1"/>
  <c r="B4" i="36"/>
  <c r="G3" i="36"/>
  <c r="D3" i="36"/>
  <c r="B3" i="36"/>
  <c r="B2" i="36"/>
  <c r="J4" i="36" s="1"/>
  <c r="B19" i="18"/>
  <c r="B18" i="18"/>
  <c r="D12" i="19" s="1"/>
  <c r="B17" i="18"/>
  <c r="G8" i="21" s="1"/>
  <c r="B16" i="18"/>
  <c r="M7" i="18" s="1"/>
  <c r="B15" i="18"/>
  <c r="E12" i="21" s="1"/>
  <c r="J14" i="18"/>
  <c r="B13" i="18"/>
  <c r="G13" i="18" s="1"/>
  <c r="B11" i="18"/>
  <c r="D6" i="21" s="1"/>
  <c r="M10" i="18"/>
  <c r="J10" i="18"/>
  <c r="H10" i="18"/>
  <c r="E10" i="18"/>
  <c r="M9" i="18"/>
  <c r="H9" i="18"/>
  <c r="E9" i="18"/>
  <c r="G8" i="18"/>
  <c r="D8" i="18" s="1"/>
  <c r="B8" i="18" s="1"/>
  <c r="B7" i="18"/>
  <c r="J9" i="18" s="1"/>
  <c r="B6" i="18"/>
  <c r="M6" i="18" s="1"/>
  <c r="J5" i="18"/>
  <c r="G5" i="18"/>
  <c r="B5" i="18"/>
  <c r="H10" i="21" s="1"/>
  <c r="L3" i="18"/>
  <c r="G3" i="18"/>
  <c r="D3" i="18"/>
  <c r="B3" i="18"/>
  <c r="B2" i="18"/>
  <c r="G2" i="21" s="1"/>
  <c r="I16" i="19"/>
  <c r="A7" i="19"/>
  <c r="G7" i="19" s="1"/>
  <c r="A4" i="19"/>
  <c r="G3" i="19"/>
  <c r="D26" i="35"/>
  <c r="A26" i="35"/>
  <c r="I16" i="35"/>
  <c r="G16" i="35"/>
  <c r="H15" i="35"/>
  <c r="G15" i="35"/>
  <c r="A11" i="35"/>
  <c r="G11" i="35" s="1"/>
  <c r="B10" i="35"/>
  <c r="E10" i="35" s="1"/>
  <c r="B8" i="35"/>
  <c r="E8" i="35" s="1"/>
  <c r="A7" i="35"/>
  <c r="G7" i="35" s="1"/>
  <c r="A6" i="35"/>
  <c r="D6" i="35" s="1"/>
  <c r="G4" i="35"/>
  <c r="A4" i="35"/>
  <c r="G3" i="35"/>
  <c r="A3" i="35"/>
  <c r="G2" i="35" s="1"/>
  <c r="F46" i="20"/>
  <c r="E46" i="20"/>
  <c r="C46" i="20"/>
  <c r="H44" i="20"/>
  <c r="B44" i="20"/>
  <c r="B43" i="20"/>
  <c r="F42" i="20"/>
  <c r="A42" i="20"/>
  <c r="G38" i="20"/>
  <c r="F19" i="20"/>
  <c r="E19" i="20"/>
  <c r="C19" i="20"/>
  <c r="B19" i="20"/>
  <c r="B46" i="20" s="1"/>
  <c r="H17" i="20"/>
  <c r="D17" i="20"/>
  <c r="D44" i="20" s="1"/>
  <c r="B17" i="20"/>
  <c r="G16" i="20"/>
  <c r="G43" i="20" s="1"/>
  <c r="B16" i="20"/>
  <c r="B15" i="20"/>
  <c r="B42" i="20" s="1"/>
  <c r="M14" i="20"/>
  <c r="B14" i="20"/>
  <c r="B41" i="20" s="1"/>
  <c r="B13" i="20"/>
  <c r="B40" i="20" s="1"/>
  <c r="G12" i="20"/>
  <c r="G39" i="20" s="1"/>
  <c r="B12" i="20"/>
  <c r="B39" i="20" s="1"/>
  <c r="M11" i="20"/>
  <c r="G11" i="20"/>
  <c r="B11" i="20"/>
  <c r="B38" i="20" s="1"/>
  <c r="CI10" i="20"/>
  <c r="G10" i="20"/>
  <c r="G37" i="20" s="1"/>
  <c r="CI9" i="20"/>
  <c r="BY115" i="17"/>
  <c r="BW59" i="17"/>
  <c r="BY58" i="17"/>
  <c r="BW58" i="17"/>
  <c r="BY57" i="17"/>
  <c r="BW57" i="17"/>
  <c r="BY56" i="17"/>
  <c r="BW56" i="17"/>
  <c r="BY55" i="17"/>
  <c r="BW55" i="17"/>
  <c r="BY54" i="17"/>
  <c r="BW54" i="17"/>
  <c r="CF53" i="17"/>
  <c r="CE53" i="17"/>
  <c r="CD53" i="17"/>
  <c r="BY53" i="17"/>
  <c r="BW53" i="17"/>
  <c r="CF52" i="17"/>
  <c r="CE52" i="17"/>
  <c r="CD52" i="17"/>
  <c r="BY52" i="17"/>
  <c r="BW52" i="17"/>
  <c r="CF51" i="17"/>
  <c r="CE51" i="17"/>
  <c r="CD51" i="17"/>
  <c r="BY51" i="17"/>
  <c r="BW51" i="17"/>
  <c r="CF50" i="17"/>
  <c r="CE50" i="17"/>
  <c r="CD50" i="17"/>
  <c r="BY50" i="17"/>
  <c r="BW50" i="17"/>
  <c r="H50" i="17"/>
  <c r="L14" i="18" s="1"/>
  <c r="J15" i="21" s="1"/>
  <c r="CF49" i="17"/>
  <c r="CE49" i="17"/>
  <c r="CD49" i="17"/>
  <c r="BY49" i="17"/>
  <c r="BW49" i="17"/>
  <c r="BY48" i="17"/>
  <c r="BW48" i="17"/>
  <c r="CF47" i="17"/>
  <c r="CE47" i="17"/>
  <c r="CD47" i="17"/>
  <c r="BY47" i="17"/>
  <c r="BW47" i="17"/>
  <c r="CF46" i="17"/>
  <c r="CE46" i="17"/>
  <c r="CD46" i="17"/>
  <c r="BY46" i="17"/>
  <c r="BW46" i="17"/>
  <c r="CF45" i="17"/>
  <c r="CE45" i="17"/>
  <c r="CD45" i="17"/>
  <c r="BY45" i="17"/>
  <c r="BW45" i="17"/>
  <c r="CF44" i="17"/>
  <c r="CE44" i="17"/>
  <c r="CD44" i="17"/>
  <c r="BY44" i="17"/>
  <c r="BW44" i="17"/>
  <c r="CF43" i="17"/>
  <c r="CE43" i="17"/>
  <c r="CD43" i="17"/>
  <c r="BY43" i="17"/>
  <c r="BW43" i="17"/>
  <c r="CF42" i="17"/>
  <c r="CE42" i="17"/>
  <c r="CD42" i="17"/>
  <c r="BY42" i="17"/>
  <c r="BW42" i="17"/>
  <c r="BY41" i="17"/>
  <c r="BW41" i="17"/>
  <c r="CQ40" i="17"/>
  <c r="BY40" i="17"/>
  <c r="BW40" i="17"/>
  <c r="BY39" i="17"/>
  <c r="BW39" i="17"/>
  <c r="E39" i="17"/>
  <c r="BY38" i="17"/>
  <c r="BW38" i="17"/>
  <c r="E38" i="17"/>
  <c r="BY37" i="17"/>
  <c r="BW37" i="17"/>
  <c r="I37" i="17"/>
  <c r="E37" i="17"/>
  <c r="BY36" i="17"/>
  <c r="BW36" i="17"/>
  <c r="BY35" i="17"/>
  <c r="BW35" i="17"/>
  <c r="FG34" i="17"/>
  <c r="BY34" i="17"/>
  <c r="BW34" i="17"/>
  <c r="E34" i="17"/>
  <c r="FG33" i="17"/>
  <c r="BY33" i="17"/>
  <c r="BW33" i="17"/>
  <c r="AN33" i="17"/>
  <c r="E33" i="17"/>
  <c r="DF32" i="17"/>
  <c r="BY32" i="17"/>
  <c r="BW32" i="17"/>
  <c r="AN32" i="17"/>
  <c r="E32" i="17"/>
  <c r="BY31" i="17"/>
  <c r="BW31" i="17"/>
  <c r="AN31" i="17"/>
  <c r="E31" i="17"/>
  <c r="BY30" i="17"/>
  <c r="BW30" i="17"/>
  <c r="AN30" i="17"/>
  <c r="E30" i="17"/>
  <c r="BY29" i="17"/>
  <c r="BW29" i="17"/>
  <c r="AN29" i="17"/>
  <c r="E29" i="17"/>
  <c r="DA28" i="17"/>
  <c r="DE28" i="17" s="1"/>
  <c r="CU28" i="17"/>
  <c r="BY28" i="17"/>
  <c r="BW28" i="17"/>
  <c r="AN28" i="17"/>
  <c r="E28" i="17"/>
  <c r="BY27" i="17"/>
  <c r="BW27" i="17"/>
  <c r="AN27" i="17"/>
  <c r="BY26" i="17"/>
  <c r="BW26" i="17"/>
  <c r="AN26" i="17"/>
  <c r="BY25" i="17"/>
  <c r="BW25" i="17"/>
  <c r="AN25" i="17"/>
  <c r="EJ24" i="17"/>
  <c r="DE24" i="17"/>
  <c r="DD24" i="17"/>
  <c r="BY24" i="17"/>
  <c r="BW24" i="17"/>
  <c r="AN24" i="17"/>
  <c r="EJ23" i="17"/>
  <c r="BY23" i="17"/>
  <c r="BW23" i="17"/>
  <c r="AN23" i="17"/>
  <c r="FH22" i="17"/>
  <c r="FG22" i="17"/>
  <c r="EJ22" i="17"/>
  <c r="EI22" i="17"/>
  <c r="EH22" i="17"/>
  <c r="EG22" i="17"/>
  <c r="BY22" i="17"/>
  <c r="BW22" i="17"/>
  <c r="AN22" i="17"/>
  <c r="FH21" i="17"/>
  <c r="FG21" i="17"/>
  <c r="EJ21" i="17"/>
  <c r="EI21" i="17"/>
  <c r="EH21" i="17"/>
  <c r="EG21" i="17"/>
  <c r="BY21" i="17"/>
  <c r="BW21" i="17"/>
  <c r="FH20" i="17"/>
  <c r="FG20" i="17"/>
  <c r="BY20" i="17"/>
  <c r="BW20" i="17"/>
  <c r="FH19" i="17"/>
  <c r="BY19" i="17"/>
  <c r="BW19" i="17"/>
  <c r="EJ18" i="17"/>
  <c r="EI18" i="17"/>
  <c r="EH18" i="17"/>
  <c r="EG18" i="17"/>
  <c r="DE18" i="17"/>
  <c r="BY18" i="17"/>
  <c r="BW18" i="17"/>
  <c r="EJ17" i="17"/>
  <c r="EI17" i="17"/>
  <c r="EH17" i="17"/>
  <c r="EG17" i="17"/>
  <c r="BY17" i="17"/>
  <c r="BW17" i="17"/>
  <c r="EJ16" i="17"/>
  <c r="EI16" i="17"/>
  <c r="EH16" i="17"/>
  <c r="EG16" i="17"/>
  <c r="BY16" i="17"/>
  <c r="BW16" i="17"/>
  <c r="BY15" i="17"/>
  <c r="BW15" i="17"/>
  <c r="FH13" i="17"/>
  <c r="FH24" i="17" s="1"/>
  <c r="FG13" i="17"/>
  <c r="FG24" i="17" s="1"/>
  <c r="DB13" i="17"/>
  <c r="DA13" i="17"/>
  <c r="CS13" i="17"/>
  <c r="CR13" i="17"/>
  <c r="BY13" i="17"/>
  <c r="BW13" i="17"/>
  <c r="FH12" i="17"/>
  <c r="FH16" i="17" s="1"/>
  <c r="FG12" i="17"/>
  <c r="FG17" i="17" s="1"/>
  <c r="DB12" i="17"/>
  <c r="DA12" i="17"/>
  <c r="CS12" i="17"/>
  <c r="CR12" i="17"/>
  <c r="BY12" i="17"/>
  <c r="BW12" i="17"/>
  <c r="B12" i="17"/>
  <c r="B13" i="17" s="1"/>
  <c r="B4" i="18" s="1"/>
  <c r="FK11" i="17"/>
  <c r="FK12" i="17" s="1"/>
  <c r="FH11" i="17"/>
  <c r="FH15" i="17" s="1"/>
  <c r="FG11" i="17"/>
  <c r="FG15" i="17" s="1"/>
  <c r="EJ11" i="17"/>
  <c r="DB11" i="17"/>
  <c r="DA11" i="17"/>
  <c r="CS11" i="17"/>
  <c r="CR11" i="17"/>
  <c r="BY11" i="17"/>
  <c r="BW11" i="17"/>
  <c r="J11" i="17"/>
  <c r="F11" i="17"/>
  <c r="B14" i="18" s="1"/>
  <c r="FC10" i="17"/>
  <c r="EJ10" i="17"/>
  <c r="EI10" i="17"/>
  <c r="EH10" i="17"/>
  <c r="EG10" i="17"/>
  <c r="DE10" i="17"/>
  <c r="DB10" i="17"/>
  <c r="DA10" i="17"/>
  <c r="CS10" i="17"/>
  <c r="CR10" i="17"/>
  <c r="BY10" i="17"/>
  <c r="BW10" i="17"/>
  <c r="EJ9" i="17"/>
  <c r="EI9" i="17"/>
  <c r="EH9" i="17"/>
  <c r="EG9" i="17"/>
  <c r="EB9" i="17"/>
  <c r="DN9" i="17"/>
  <c r="DL9" i="17"/>
  <c r="DI9" i="17"/>
  <c r="A4" i="3" s="1"/>
  <c r="DE9" i="17"/>
  <c r="DB9" i="17"/>
  <c r="DA9" i="17"/>
  <c r="CY9" i="17"/>
  <c r="CY10" i="17" s="1"/>
  <c r="CS9" i="17"/>
  <c r="CR9" i="17"/>
  <c r="CN9" i="17"/>
  <c r="CM9" i="17"/>
  <c r="CL9" i="17"/>
  <c r="CK9" i="17"/>
  <c r="CJ9" i="17"/>
  <c r="CG9" i="17"/>
  <c r="CD9" i="17"/>
  <c r="CD10" i="17" s="1"/>
  <c r="BY9" i="17"/>
  <c r="BW9" i="17"/>
  <c r="AG9" i="17"/>
  <c r="AF9" i="17"/>
  <c r="AE9" i="17"/>
  <c r="AD9" i="17"/>
  <c r="AC9" i="17"/>
  <c r="S9" i="17"/>
  <c r="EJ8" i="17"/>
  <c r="EI8" i="17"/>
  <c r="EH8" i="17"/>
  <c r="EG8" i="17"/>
  <c r="BY8" i="17"/>
  <c r="AG8" i="17"/>
  <c r="AE8" i="17"/>
  <c r="AD8" i="17"/>
  <c r="AC8" i="17"/>
  <c r="Y8" i="17"/>
  <c r="P8" i="17" s="1"/>
  <c r="EJ7" i="17"/>
  <c r="EI7" i="17"/>
  <c r="EH7" i="17"/>
  <c r="EG7" i="17"/>
  <c r="AE7" i="17"/>
  <c r="AD7" i="17"/>
  <c r="AC7" i="17"/>
  <c r="AB7" i="17"/>
  <c r="AA7" i="17"/>
  <c r="Y7" i="17"/>
  <c r="W7" i="17"/>
  <c r="V7" i="17"/>
  <c r="K7" i="17"/>
  <c r="EJ6" i="17"/>
  <c r="EI6" i="17"/>
  <c r="EH6" i="17"/>
  <c r="EG6" i="17"/>
  <c r="AC6" i="17"/>
  <c r="AB6" i="17"/>
  <c r="AA6" i="17"/>
  <c r="AD5" i="17"/>
  <c r="AC5" i="17"/>
  <c r="AB5" i="17"/>
  <c r="AA5" i="17"/>
  <c r="Y5" i="17"/>
  <c r="W5" i="17"/>
  <c r="P5" i="17"/>
  <c r="AE4" i="17"/>
  <c r="AD4" i="17"/>
  <c r="AC4" i="17"/>
  <c r="AB4" i="17"/>
  <c r="AA4" i="17"/>
  <c r="X4" i="17"/>
  <c r="V4" i="17"/>
  <c r="V1" i="17"/>
  <c r="S1" i="17"/>
  <c r="L1" i="17"/>
  <c r="N3" i="17" s="1"/>
  <c r="S34" i="11"/>
  <c r="S33" i="11"/>
  <c r="S32" i="11"/>
  <c r="S31" i="11"/>
  <c r="S30" i="11"/>
  <c r="S29" i="11"/>
  <c r="S28" i="11"/>
  <c r="R28" i="11"/>
  <c r="S23" i="11"/>
  <c r="S22" i="11"/>
  <c r="S21" i="11"/>
  <c r="S20" i="11"/>
  <c r="S19" i="11"/>
  <c r="G19" i="11"/>
  <c r="F19" i="11"/>
  <c r="S18" i="11"/>
  <c r="G18" i="11"/>
  <c r="F18" i="11"/>
  <c r="S17" i="11"/>
  <c r="R17" i="11"/>
  <c r="G17" i="11"/>
  <c r="F17" i="11"/>
  <c r="G16" i="11"/>
  <c r="F16" i="11"/>
  <c r="G15" i="11"/>
  <c r="F15" i="11"/>
  <c r="G14" i="11"/>
  <c r="F14" i="11"/>
  <c r="S13" i="11"/>
  <c r="S12" i="11"/>
  <c r="G12" i="11"/>
  <c r="F12" i="11"/>
  <c r="S11" i="11"/>
  <c r="G11" i="11"/>
  <c r="F11" i="11"/>
  <c r="S10" i="11"/>
  <c r="G10" i="11"/>
  <c r="F10" i="11"/>
  <c r="S9" i="11"/>
  <c r="G9" i="11"/>
  <c r="F9" i="11"/>
  <c r="S8" i="11"/>
  <c r="G8" i="11"/>
  <c r="F8" i="11"/>
  <c r="S7" i="11"/>
  <c r="G7" i="11"/>
  <c r="F7" i="11"/>
  <c r="E4" i="11"/>
  <c r="B4" i="11"/>
  <c r="H44" i="10"/>
  <c r="G44" i="10"/>
  <c r="H37" i="10"/>
  <c r="G37" i="10"/>
  <c r="F4" i="10"/>
  <c r="C30" i="10" s="1"/>
  <c r="C4" i="10"/>
  <c r="F4" i="9"/>
  <c r="I8" i="9" s="1"/>
  <c r="C4" i="9"/>
  <c r="E44" i="8"/>
  <c r="H43" i="8"/>
  <c r="G43" i="8"/>
  <c r="H42" i="8"/>
  <c r="G42" i="8"/>
  <c r="H41" i="8"/>
  <c r="G41" i="8"/>
  <c r="H40" i="8"/>
  <c r="G40" i="8"/>
  <c r="H39" i="8"/>
  <c r="G39" i="8"/>
  <c r="H38" i="8"/>
  <c r="G38" i="8"/>
  <c r="H36" i="8"/>
  <c r="G36" i="8"/>
  <c r="H35" i="8"/>
  <c r="G35" i="8"/>
  <c r="H34" i="8"/>
  <c r="G34" i="8"/>
  <c r="H33" i="8"/>
  <c r="G33" i="8"/>
  <c r="H32" i="8"/>
  <c r="G32" i="8"/>
  <c r="H31" i="8"/>
  <c r="G31" i="8"/>
  <c r="X28" i="8"/>
  <c r="W28" i="8"/>
  <c r="T28" i="8"/>
  <c r="S28" i="8"/>
  <c r="E28" i="8"/>
  <c r="D48" i="8" s="1"/>
  <c r="B28" i="8"/>
  <c r="E20" i="8"/>
  <c r="H19" i="8"/>
  <c r="G19" i="8"/>
  <c r="H18" i="8"/>
  <c r="G18" i="8"/>
  <c r="X17" i="8"/>
  <c r="W17" i="8"/>
  <c r="T17" i="8"/>
  <c r="S17" i="8"/>
  <c r="H17" i="8"/>
  <c r="G17" i="8"/>
  <c r="H16" i="8"/>
  <c r="G16" i="8"/>
  <c r="H15" i="8"/>
  <c r="G15" i="8"/>
  <c r="H14" i="8"/>
  <c r="G14" i="8"/>
  <c r="H12" i="8"/>
  <c r="G12" i="8"/>
  <c r="H11" i="8"/>
  <c r="G11" i="8"/>
  <c r="H10" i="8"/>
  <c r="G10" i="8"/>
  <c r="H9" i="8"/>
  <c r="G9" i="8"/>
  <c r="H8" i="8"/>
  <c r="G8" i="8"/>
  <c r="H7" i="8"/>
  <c r="G7" i="8"/>
  <c r="E4" i="8"/>
  <c r="D24" i="8" s="1"/>
  <c r="B4" i="8"/>
  <c r="B2" i="8"/>
  <c r="T34" i="7"/>
  <c r="T33" i="7"/>
  <c r="T32" i="7"/>
  <c r="T31" i="7"/>
  <c r="T30" i="7"/>
  <c r="T29" i="7"/>
  <c r="T28" i="7"/>
  <c r="S28" i="7"/>
  <c r="T23" i="7"/>
  <c r="T22" i="7"/>
  <c r="T21" i="7"/>
  <c r="T20" i="7"/>
  <c r="T19" i="7"/>
  <c r="H19" i="7"/>
  <c r="G19" i="7"/>
  <c r="T18" i="7"/>
  <c r="H18" i="7"/>
  <c r="G18" i="7"/>
  <c r="T17" i="7"/>
  <c r="S17" i="7"/>
  <c r="H17" i="7"/>
  <c r="G17" i="7"/>
  <c r="H16" i="7"/>
  <c r="G16" i="7"/>
  <c r="H15" i="7"/>
  <c r="G15" i="7"/>
  <c r="H14" i="7"/>
  <c r="G14" i="7"/>
  <c r="T12" i="7"/>
  <c r="H12" i="7"/>
  <c r="G12" i="7"/>
  <c r="T11" i="7"/>
  <c r="H11" i="7"/>
  <c r="G11" i="7"/>
  <c r="T10" i="7"/>
  <c r="H10" i="7"/>
  <c r="G10" i="7"/>
  <c r="T9" i="7"/>
  <c r="H9" i="7"/>
  <c r="G9" i="7"/>
  <c r="T8" i="7"/>
  <c r="H8" i="7"/>
  <c r="G8" i="7"/>
  <c r="T7" i="7"/>
  <c r="H7" i="7"/>
  <c r="G7" i="7"/>
  <c r="E4" i="7"/>
  <c r="D24" i="7" s="1"/>
  <c r="B4" i="7"/>
  <c r="D17" i="6"/>
  <c r="D16" i="6"/>
  <c r="D15" i="6"/>
  <c r="D14" i="6"/>
  <c r="D13" i="6"/>
  <c r="D12" i="6"/>
  <c r="D11" i="6"/>
  <c r="D10" i="6"/>
  <c r="D9" i="6"/>
  <c r="D8" i="6"/>
  <c r="D7" i="6"/>
  <c r="D6" i="6"/>
  <c r="E5" i="6"/>
  <c r="E6" i="6" s="1"/>
  <c r="E7" i="6" s="1"/>
  <c r="E8" i="6" s="1"/>
  <c r="E9" i="6" s="1"/>
  <c r="E10" i="6" s="1"/>
  <c r="E11" i="6" s="1"/>
  <c r="E12" i="6" s="1"/>
  <c r="E13" i="6" s="1"/>
  <c r="E14" i="6" s="1"/>
  <c r="E15" i="6" s="1"/>
  <c r="E16" i="6" s="1"/>
  <c r="E17" i="6" s="1"/>
  <c r="D5" i="6"/>
  <c r="T28" i="5"/>
  <c r="S28" i="5"/>
  <c r="I20" i="5"/>
  <c r="H20" i="5"/>
  <c r="G20" i="5"/>
  <c r="T17" i="5"/>
  <c r="S17" i="5"/>
  <c r="K14" i="5"/>
  <c r="J14" i="5"/>
  <c r="K13" i="5"/>
  <c r="J13" i="5"/>
  <c r="K12" i="5"/>
  <c r="J12" i="5"/>
  <c r="K11" i="5"/>
  <c r="J11" i="5"/>
  <c r="K10" i="5"/>
  <c r="J10" i="5"/>
  <c r="K9" i="5"/>
  <c r="J9" i="5"/>
  <c r="K8" i="5"/>
  <c r="J8" i="5"/>
  <c r="K7" i="5"/>
  <c r="J7" i="5"/>
  <c r="I6" i="5"/>
  <c r="F4" i="5"/>
  <c r="G2" i="5"/>
  <c r="G2" i="32" s="1"/>
  <c r="A7" i="32" s="1"/>
  <c r="C7" i="32" s="1"/>
  <c r="T28" i="4"/>
  <c r="S28" i="4"/>
  <c r="I20" i="4"/>
  <c r="H20" i="4"/>
  <c r="G20" i="4"/>
  <c r="T17" i="4"/>
  <c r="S17" i="4"/>
  <c r="O15" i="4"/>
  <c r="K14" i="4"/>
  <c r="J14" i="4"/>
  <c r="K13" i="4"/>
  <c r="J13" i="4"/>
  <c r="K12" i="4"/>
  <c r="J12" i="4"/>
  <c r="K11" i="4"/>
  <c r="J11" i="4"/>
  <c r="K10" i="4"/>
  <c r="J10" i="4"/>
  <c r="K9" i="4"/>
  <c r="J9" i="4"/>
  <c r="K8" i="4"/>
  <c r="J8" i="4"/>
  <c r="K7" i="4"/>
  <c r="J7" i="4"/>
  <c r="I6" i="4"/>
  <c r="F4" i="4"/>
  <c r="T28" i="3"/>
  <c r="S28" i="3"/>
  <c r="D24" i="3"/>
  <c r="H19" i="3"/>
  <c r="G19" i="3"/>
  <c r="H18" i="3"/>
  <c r="G18" i="3"/>
  <c r="T17" i="3"/>
  <c r="S17" i="3"/>
  <c r="H17" i="3"/>
  <c r="G17" i="3"/>
  <c r="H16" i="3"/>
  <c r="G16" i="3"/>
  <c r="H15" i="3"/>
  <c r="G15" i="3"/>
  <c r="H14" i="3"/>
  <c r="G14" i="3"/>
  <c r="H12" i="3"/>
  <c r="G12" i="3"/>
  <c r="H11" i="3"/>
  <c r="G11" i="3"/>
  <c r="H10" i="3"/>
  <c r="G10" i="3"/>
  <c r="H9" i="3"/>
  <c r="G9" i="3"/>
  <c r="H8" i="3"/>
  <c r="G8" i="3"/>
  <c r="H7" i="3"/>
  <c r="G7" i="3"/>
  <c r="G4" i="3"/>
  <c r="G4" i="33" s="1"/>
  <c r="E4" i="3"/>
  <c r="D4" i="3"/>
  <c r="D4" i="33" s="1"/>
  <c r="A17" i="33" s="1"/>
  <c r="C4" i="3"/>
  <c r="C28" i="8" s="1"/>
  <c r="C4" i="8" s="1"/>
  <c r="B4" i="3"/>
  <c r="T28" i="2"/>
  <c r="S28" i="2"/>
  <c r="D24" i="2"/>
  <c r="H19" i="2"/>
  <c r="G19" i="2"/>
  <c r="H18" i="2"/>
  <c r="G18" i="2"/>
  <c r="T17" i="2"/>
  <c r="S17" i="2"/>
  <c r="H17" i="2"/>
  <c r="G17" i="2"/>
  <c r="H16" i="2"/>
  <c r="G16" i="2"/>
  <c r="H15" i="2"/>
  <c r="G15" i="2"/>
  <c r="H14" i="2"/>
  <c r="G14" i="2"/>
  <c r="H12" i="2"/>
  <c r="G12" i="2"/>
  <c r="H11" i="2"/>
  <c r="G11" i="2"/>
  <c r="H10" i="2"/>
  <c r="G10" i="2"/>
  <c r="H9" i="2"/>
  <c r="G9" i="2"/>
  <c r="H8" i="2"/>
  <c r="G8" i="2"/>
  <c r="H7" i="2"/>
  <c r="G7" i="2"/>
  <c r="G4" i="2"/>
  <c r="C24" i="2" s="1"/>
  <c r="E4" i="2"/>
  <c r="B4" i="2"/>
  <c r="R28" i="1"/>
  <c r="Q28" i="1"/>
  <c r="G19" i="1"/>
  <c r="F19" i="1"/>
  <c r="G18" i="1"/>
  <c r="F18" i="1"/>
  <c r="R17" i="1"/>
  <c r="Q17" i="1"/>
  <c r="G17" i="1"/>
  <c r="F17" i="1"/>
  <c r="G16" i="1"/>
  <c r="F16" i="1"/>
  <c r="G15" i="1"/>
  <c r="F15" i="1"/>
  <c r="G14" i="1"/>
  <c r="F14" i="1"/>
  <c r="G12" i="1"/>
  <c r="F12" i="1"/>
  <c r="G11" i="1"/>
  <c r="F11" i="1"/>
  <c r="G10" i="1"/>
  <c r="F10" i="1"/>
  <c r="G9" i="1"/>
  <c r="F9" i="1"/>
  <c r="G8" i="1"/>
  <c r="F8" i="1"/>
  <c r="G7" i="1"/>
  <c r="F7" i="1"/>
  <c r="C6" i="1"/>
  <c r="F4" i="1"/>
  <c r="B4" i="1"/>
  <c r="L3" i="36" l="1"/>
  <c r="D11" i="35"/>
  <c r="D4" i="36"/>
  <c r="C4" i="1"/>
  <c r="I19" i="1" s="1"/>
  <c r="C4" i="2"/>
  <c r="J19" i="2" s="1"/>
  <c r="D4" i="2"/>
  <c r="A24" i="2"/>
  <c r="G4" i="31"/>
  <c r="G28" i="31" s="1"/>
  <c r="C48" i="31" s="1"/>
  <c r="A24" i="3"/>
  <c r="G4" i="30"/>
  <c r="G28" i="30" s="1"/>
  <c r="A48" i="30" s="1"/>
  <c r="G12" i="10"/>
  <c r="I12" i="10" s="1"/>
  <c r="K12" i="10" s="1"/>
  <c r="G20" i="10"/>
  <c r="I20" i="10" s="1"/>
  <c r="M20" i="10" s="1"/>
  <c r="G28" i="10"/>
  <c r="I28" i="10" s="1"/>
  <c r="K28" i="10" s="1"/>
  <c r="H8" i="10"/>
  <c r="G16" i="10"/>
  <c r="I16" i="10" s="1"/>
  <c r="M16" i="10" s="1"/>
  <c r="G24" i="10"/>
  <c r="I24" i="10" s="1"/>
  <c r="K24" i="10" s="1"/>
  <c r="G30" i="10"/>
  <c r="I30" i="10" s="1"/>
  <c r="L4" i="36"/>
  <c r="C24" i="33"/>
  <c r="A24" i="33"/>
  <c r="A25" i="33" s="1"/>
  <c r="C24" i="3"/>
  <c r="G4" i="7"/>
  <c r="G4" i="8"/>
  <c r="E26" i="35"/>
  <c r="G13" i="35" s="1"/>
  <c r="B24" i="36"/>
  <c r="B14" i="36" s="1"/>
  <c r="J14" i="36" s="1"/>
  <c r="AO35" i="17"/>
  <c r="FI22" i="17"/>
  <c r="FJ22" i="17" s="1"/>
  <c r="DD28" i="17"/>
  <c r="G15" i="20"/>
  <c r="G42" i="20" s="1"/>
  <c r="E14" i="19"/>
  <c r="CY11" i="17"/>
  <c r="CZ10" i="17"/>
  <c r="E36" i="17"/>
  <c r="CV27" i="17"/>
  <c r="EK24" i="17"/>
  <c r="EL24" i="17" s="1"/>
  <c r="DC24" i="17"/>
  <c r="EA7" i="17"/>
  <c r="Z7" i="17"/>
  <c r="P7" i="17" s="1"/>
  <c r="Y4" i="17"/>
  <c r="F37" i="17"/>
  <c r="G39" i="17" s="1"/>
  <c r="F36" i="17"/>
  <c r="G36" i="17" s="1"/>
  <c r="J36" i="17" s="1"/>
  <c r="FH33" i="17"/>
  <c r="FH34" i="17" s="1"/>
  <c r="FI34" i="17" s="1"/>
  <c r="CV26" i="17"/>
  <c r="EK23" i="17"/>
  <c r="EL23" i="17" s="1"/>
  <c r="DE11" i="17"/>
  <c r="X6" i="17"/>
  <c r="O1" i="17"/>
  <c r="FK13" i="17"/>
  <c r="FL12" i="17"/>
  <c r="D13" i="35"/>
  <c r="G15" i="18"/>
  <c r="B12" i="21"/>
  <c r="H12" i="21"/>
  <c r="P1" i="17"/>
  <c r="CZ9" i="17"/>
  <c r="FL11" i="17"/>
  <c r="A14" i="19"/>
  <c r="G14" i="19"/>
  <c r="D15" i="18"/>
  <c r="J15" i="18"/>
  <c r="G10" i="10"/>
  <c r="I10" i="10" s="1"/>
  <c r="M10" i="10" s="1"/>
  <c r="G14" i="10"/>
  <c r="I14" i="10" s="1"/>
  <c r="K14" i="10" s="1"/>
  <c r="G18" i="10"/>
  <c r="I18" i="10" s="1"/>
  <c r="K18" i="10" s="1"/>
  <c r="G22" i="10"/>
  <c r="I22" i="10" s="1"/>
  <c r="K22" i="10" s="1"/>
  <c r="G26" i="10"/>
  <c r="I26" i="10" s="1"/>
  <c r="M26" i="10" s="1"/>
  <c r="G2" i="4"/>
  <c r="A7" i="4" s="1"/>
  <c r="A8" i="4" s="1"/>
  <c r="C8" i="4" s="1"/>
  <c r="B8" i="19"/>
  <c r="A6" i="19"/>
  <c r="J30" i="10"/>
  <c r="B8" i="9"/>
  <c r="I9" i="9"/>
  <c r="L12" i="10"/>
  <c r="M14" i="10"/>
  <c r="K16" i="10"/>
  <c r="K20" i="10"/>
  <c r="L22" i="10"/>
  <c r="L24" i="10"/>
  <c r="L28" i="10"/>
  <c r="H30" i="10"/>
  <c r="F30" i="10"/>
  <c r="M30" i="10" s="1"/>
  <c r="D30" i="10"/>
  <c r="G8" i="10"/>
  <c r="G9" i="10"/>
  <c r="I9" i="10" s="1"/>
  <c r="G11" i="10"/>
  <c r="I11" i="10" s="1"/>
  <c r="G13" i="10"/>
  <c r="I13" i="10" s="1"/>
  <c r="G15" i="10"/>
  <c r="I15" i="10" s="1"/>
  <c r="G17" i="10"/>
  <c r="I17" i="10" s="1"/>
  <c r="G19" i="10"/>
  <c r="I19" i="10" s="1"/>
  <c r="J20" i="10"/>
  <c r="G21" i="10"/>
  <c r="I21" i="10" s="1"/>
  <c r="G23" i="10"/>
  <c r="I23" i="10" s="1"/>
  <c r="G25" i="10"/>
  <c r="I25" i="10" s="1"/>
  <c r="G27" i="10"/>
  <c r="I27" i="10" s="1"/>
  <c r="G29" i="10"/>
  <c r="I29" i="10" s="1"/>
  <c r="E30" i="10"/>
  <c r="G5" i="19"/>
  <c r="D6" i="19"/>
  <c r="D11" i="18"/>
  <c r="G11" i="18" s="1"/>
  <c r="G12" i="19"/>
  <c r="A3" i="19"/>
  <c r="L2" i="36"/>
  <c r="D12" i="36"/>
  <c r="G8" i="19"/>
  <c r="J10" i="3"/>
  <c r="J19" i="3"/>
  <c r="K15" i="3"/>
  <c r="DC12" i="17"/>
  <c r="E8" i="19"/>
  <c r="D5" i="36"/>
  <c r="G7" i="18"/>
  <c r="G7" i="36"/>
  <c r="D7" i="18"/>
  <c r="A6" i="21"/>
  <c r="CT10" i="17"/>
  <c r="CU10" i="17" s="1"/>
  <c r="CT12" i="17"/>
  <c r="CU12" i="17" s="1"/>
  <c r="CG42" i="17"/>
  <c r="CH42" i="17" s="1"/>
  <c r="CG44" i="17"/>
  <c r="CH44" i="17" s="1"/>
  <c r="CG46" i="17"/>
  <c r="CH46" i="17" s="1"/>
  <c r="CG49" i="17"/>
  <c r="CH49" i="17" s="1"/>
  <c r="CG50" i="17"/>
  <c r="CH50" i="17" s="1"/>
  <c r="CG52" i="17"/>
  <c r="CH52" i="17" s="1"/>
  <c r="D4" i="18"/>
  <c r="H4" i="5"/>
  <c r="D4" i="7"/>
  <c r="D28" i="8"/>
  <c r="D4" i="8" s="1"/>
  <c r="E4" i="9"/>
  <c r="J28" i="9" s="1"/>
  <c r="H4" i="32"/>
  <c r="D4" i="1"/>
  <c r="B7" i="32"/>
  <c r="D7" i="32" s="1"/>
  <c r="M7" i="32" s="1"/>
  <c r="J8" i="3"/>
  <c r="J12" i="3"/>
  <c r="J17" i="3"/>
  <c r="C4" i="11"/>
  <c r="I19" i="11" s="1"/>
  <c r="E8" i="21"/>
  <c r="G5" i="35"/>
  <c r="B10" i="19"/>
  <c r="H10" i="19"/>
  <c r="G4" i="18"/>
  <c r="J7" i="18"/>
  <c r="FH17" i="17"/>
  <c r="FG16" i="17"/>
  <c r="FI20" i="17"/>
  <c r="FI21" i="17"/>
  <c r="FJ21" i="17" s="1"/>
  <c r="A12" i="19"/>
  <c r="D2" i="36"/>
  <c r="CT9" i="17"/>
  <c r="CU9" i="17" s="1"/>
  <c r="CT11" i="17"/>
  <c r="CU11" i="17" s="1"/>
  <c r="CT13" i="17"/>
  <c r="CU13" i="17" s="1"/>
  <c r="CG43" i="17"/>
  <c r="CH43" i="17" s="1"/>
  <c r="CG45" i="17"/>
  <c r="CH45" i="17" s="1"/>
  <c r="CG47" i="17"/>
  <c r="CH47" i="17" s="1"/>
  <c r="CG51" i="17"/>
  <c r="CH51" i="17" s="1"/>
  <c r="CG53" i="17"/>
  <c r="CH53" i="17" s="1"/>
  <c r="J21" i="9"/>
  <c r="H4" i="4"/>
  <c r="E4" i="10"/>
  <c r="D4" i="11"/>
  <c r="M15" i="20"/>
  <c r="G14" i="20" s="1"/>
  <c r="G41" i="20" s="1"/>
  <c r="F4" i="27"/>
  <c r="F4" i="28"/>
  <c r="D28" i="30"/>
  <c r="D4" i="30" s="1"/>
  <c r="D28" i="31"/>
  <c r="D4" i="31" s="1"/>
  <c r="J14" i="2"/>
  <c r="K7" i="3"/>
  <c r="K9" i="3"/>
  <c r="K11" i="3"/>
  <c r="J14" i="3"/>
  <c r="J16" i="3"/>
  <c r="K18" i="3"/>
  <c r="G4" i="5"/>
  <c r="DC9" i="17"/>
  <c r="DC11" i="17"/>
  <c r="Y6" i="17"/>
  <c r="AF8" i="17"/>
  <c r="E4" i="32"/>
  <c r="A28" i="31"/>
  <c r="A4" i="33"/>
  <c r="A28" i="30"/>
  <c r="C4" i="27"/>
  <c r="A4" i="11"/>
  <c r="B4" i="10"/>
  <c r="B4" i="9"/>
  <c r="C4" i="28"/>
  <c r="A4" i="7"/>
  <c r="E4" i="5"/>
  <c r="E4" i="4"/>
  <c r="C7" i="3"/>
  <c r="E7" i="3"/>
  <c r="E14" i="3" s="1"/>
  <c r="C8" i="3"/>
  <c r="E8" i="3"/>
  <c r="E15" i="3" s="1"/>
  <c r="C9" i="3"/>
  <c r="E9" i="3"/>
  <c r="E16" i="3" s="1"/>
  <c r="C10" i="3"/>
  <c r="E10" i="3"/>
  <c r="E17" i="3" s="1"/>
  <c r="C11" i="3"/>
  <c r="E11" i="3"/>
  <c r="E18" i="3" s="1"/>
  <c r="C12" i="3"/>
  <c r="E12" i="3"/>
  <c r="E19" i="3" s="1"/>
  <c r="A4" i="1"/>
  <c r="A4" i="2"/>
  <c r="D7" i="3"/>
  <c r="F7" i="3" s="1"/>
  <c r="F14" i="3" s="1"/>
  <c r="D8" i="3"/>
  <c r="D9" i="3"/>
  <c r="F9" i="3" s="1"/>
  <c r="F16" i="3" s="1"/>
  <c r="D10" i="3"/>
  <c r="D11" i="3"/>
  <c r="F11" i="3" s="1"/>
  <c r="F18" i="3" s="1"/>
  <c r="D12" i="3"/>
  <c r="A28" i="8"/>
  <c r="H8" i="33"/>
  <c r="I7" i="33"/>
  <c r="I8" i="33" s="1"/>
  <c r="I9" i="33" s="1"/>
  <c r="I10" i="33" s="1"/>
  <c r="I11" i="33" s="1"/>
  <c r="I12" i="33" s="1"/>
  <c r="I14" i="33" s="1"/>
  <c r="G5" i="21"/>
  <c r="B7" i="35"/>
  <c r="H7" i="35" s="1"/>
  <c r="B13" i="36"/>
  <c r="CR25" i="17"/>
  <c r="CS24" i="17"/>
  <c r="CR22" i="17"/>
  <c r="CS21" i="17"/>
  <c r="CR19" i="17"/>
  <c r="FC11" i="17"/>
  <c r="CR21" i="17"/>
  <c r="CR24" i="17"/>
  <c r="CT24" i="17" s="1"/>
  <c r="CU24" i="17" s="1"/>
  <c r="FD11" i="17"/>
  <c r="H7" i="21"/>
  <c r="E7" i="21"/>
  <c r="B7" i="21"/>
  <c r="H13" i="18"/>
  <c r="E13" i="18"/>
  <c r="M4" i="18"/>
  <c r="M2" i="18"/>
  <c r="CS19" i="17"/>
  <c r="CS22" i="17"/>
  <c r="CS25" i="17"/>
  <c r="CU27" i="17"/>
  <c r="D7" i="19"/>
  <c r="A7" i="21"/>
  <c r="D7" i="21"/>
  <c r="G7" i="21"/>
  <c r="G13" i="20"/>
  <c r="G40" i="20" s="1"/>
  <c r="D7" i="35"/>
  <c r="B7" i="19"/>
  <c r="L2" i="18"/>
  <c r="L4" i="18" s="1"/>
  <c r="D13" i="18"/>
  <c r="H10" i="35"/>
  <c r="G4" i="36"/>
  <c r="B10" i="21"/>
  <c r="FH23" i="17"/>
  <c r="A7" i="5"/>
  <c r="FI11" i="17"/>
  <c r="E2" i="27"/>
  <c r="E2" i="28"/>
  <c r="A8" i="32"/>
  <c r="FI12" i="17"/>
  <c r="FI13" i="17"/>
  <c r="FG23" i="17"/>
  <c r="K19" i="8"/>
  <c r="J18" i="8"/>
  <c r="K17" i="8"/>
  <c r="K16" i="8"/>
  <c r="J15" i="8"/>
  <c r="K14" i="8"/>
  <c r="K12" i="8"/>
  <c r="J11" i="8"/>
  <c r="K10" i="8"/>
  <c r="J9" i="8"/>
  <c r="K8" i="8"/>
  <c r="J7" i="8"/>
  <c r="K43" i="8"/>
  <c r="J42" i="8"/>
  <c r="K41" i="8"/>
  <c r="K40" i="8"/>
  <c r="J39" i="8"/>
  <c r="K38" i="8"/>
  <c r="K36" i="8"/>
  <c r="J35" i="8"/>
  <c r="K34" i="8"/>
  <c r="J33" i="8"/>
  <c r="K32" i="8"/>
  <c r="J31" i="8"/>
  <c r="C4" i="33"/>
  <c r="G4" i="32"/>
  <c r="C28" i="31"/>
  <c r="C28" i="30"/>
  <c r="E4" i="27"/>
  <c r="E4" i="28"/>
  <c r="D4" i="10"/>
  <c r="D4" i="9"/>
  <c r="C4" i="7"/>
  <c r="G4" i="4"/>
  <c r="K19" i="3"/>
  <c r="J18" i="3"/>
  <c r="K17" i="3"/>
  <c r="K16" i="3"/>
  <c r="J15" i="3"/>
  <c r="K14" i="3"/>
  <c r="K12" i="3"/>
  <c r="J11" i="3"/>
  <c r="K10" i="3"/>
  <c r="J9" i="3"/>
  <c r="K8" i="3"/>
  <c r="J7" i="3"/>
  <c r="K7" i="8"/>
  <c r="J8" i="8"/>
  <c r="K9" i="8"/>
  <c r="J10" i="8"/>
  <c r="K11" i="8"/>
  <c r="J12" i="8"/>
  <c r="J14" i="8"/>
  <c r="K15" i="8"/>
  <c r="J16" i="8"/>
  <c r="J17" i="8"/>
  <c r="K18" i="8"/>
  <c r="J19" i="8"/>
  <c r="K31" i="8"/>
  <c r="J32" i="8"/>
  <c r="K33" i="8"/>
  <c r="J34" i="8"/>
  <c r="K35" i="8"/>
  <c r="J36" i="8"/>
  <c r="J38" i="8"/>
  <c r="K39" i="8"/>
  <c r="J40" i="8"/>
  <c r="J41" i="8"/>
  <c r="K42" i="8"/>
  <c r="J43" i="8"/>
  <c r="DC10" i="17"/>
  <c r="DC13" i="17"/>
  <c r="G8" i="35"/>
  <c r="D5" i="18"/>
  <c r="B8" i="21"/>
  <c r="G4" i="21"/>
  <c r="G4" i="19"/>
  <c r="G2" i="18"/>
  <c r="J4" i="18"/>
  <c r="A3" i="21"/>
  <c r="G2" i="19"/>
  <c r="D2" i="18"/>
  <c r="G2" i="36"/>
  <c r="H9" i="20"/>
  <c r="H36" i="20" s="1"/>
  <c r="J26" i="20" s="1"/>
  <c r="J16" i="35"/>
  <c r="B20" i="18"/>
  <c r="L13" i="36"/>
  <c r="J16" i="19"/>
  <c r="K10" i="2" l="1"/>
  <c r="K19" i="2"/>
  <c r="L19" i="2" s="1"/>
  <c r="J15" i="2"/>
  <c r="J10" i="2"/>
  <c r="P6" i="17"/>
  <c r="DD9" i="17"/>
  <c r="K8" i="2"/>
  <c r="K12" i="2"/>
  <c r="K17" i="2"/>
  <c r="K15" i="2"/>
  <c r="K18" i="2"/>
  <c r="K9" i="2"/>
  <c r="J17" i="1"/>
  <c r="J9" i="1"/>
  <c r="I7" i="11"/>
  <c r="J18" i="1"/>
  <c r="C24" i="31"/>
  <c r="A24" i="30"/>
  <c r="G14" i="36"/>
  <c r="L30" i="10"/>
  <c r="J28" i="10"/>
  <c r="J12" i="10"/>
  <c r="M28" i="10"/>
  <c r="L18" i="10"/>
  <c r="M12" i="10"/>
  <c r="J7" i="2"/>
  <c r="J9" i="2"/>
  <c r="J11" i="2"/>
  <c r="K14" i="2"/>
  <c r="L14" i="2" s="1"/>
  <c r="K16" i="2"/>
  <c r="J18" i="2"/>
  <c r="L18" i="2" s="1"/>
  <c r="J17" i="2"/>
  <c r="J12" i="2"/>
  <c r="J8" i="2"/>
  <c r="J16" i="2"/>
  <c r="K11" i="2"/>
  <c r="K7" i="2"/>
  <c r="M24" i="10"/>
  <c r="M22" i="10"/>
  <c r="L14" i="10"/>
  <c r="I16" i="1"/>
  <c r="J8" i="1"/>
  <c r="I14" i="1"/>
  <c r="J14" i="1"/>
  <c r="I7" i="1"/>
  <c r="J12" i="1"/>
  <c r="J7" i="1"/>
  <c r="J11" i="1"/>
  <c r="J16" i="1"/>
  <c r="CW27" i="17"/>
  <c r="FI33" i="17"/>
  <c r="A13" i="35"/>
  <c r="A48" i="31"/>
  <c r="B7" i="4"/>
  <c r="A9" i="4"/>
  <c r="B9" i="4" s="1"/>
  <c r="J19" i="1"/>
  <c r="K19" i="1" s="1"/>
  <c r="I11" i="1"/>
  <c r="I18" i="1"/>
  <c r="K18" i="1" s="1"/>
  <c r="J15" i="1"/>
  <c r="I9" i="1"/>
  <c r="K9" i="1" s="1"/>
  <c r="J10" i="1"/>
  <c r="I8" i="1"/>
  <c r="K8" i="1" s="1"/>
  <c r="I10" i="1"/>
  <c r="K10" i="1" s="1"/>
  <c r="I12" i="1"/>
  <c r="K12" i="1" s="1"/>
  <c r="I15" i="1"/>
  <c r="K15" i="1" s="1"/>
  <c r="I17" i="1"/>
  <c r="C24" i="30"/>
  <c r="A24" i="31"/>
  <c r="C48" i="30"/>
  <c r="D14" i="36"/>
  <c r="C7" i="4"/>
  <c r="B8" i="4"/>
  <c r="D8" i="4" s="1"/>
  <c r="E17" i="4" s="1"/>
  <c r="J26" i="10"/>
  <c r="J24" i="10"/>
  <c r="J10" i="10"/>
  <c r="I8" i="10"/>
  <c r="K8" i="10" s="1"/>
  <c r="K26" i="10"/>
  <c r="L20" i="10"/>
  <c r="M18" i="10"/>
  <c r="K10" i="10"/>
  <c r="G38" i="17"/>
  <c r="G37" i="17"/>
  <c r="J18" i="10"/>
  <c r="J16" i="10"/>
  <c r="K30" i="10"/>
  <c r="L26" i="10"/>
  <c r="L16" i="10"/>
  <c r="L10" i="10"/>
  <c r="G28" i="8"/>
  <c r="A24" i="8"/>
  <c r="C24" i="8"/>
  <c r="C24" i="7"/>
  <c r="A24" i="7"/>
  <c r="P4" i="17"/>
  <c r="W1" i="17"/>
  <c r="DD10" i="17"/>
  <c r="FK15" i="17"/>
  <c r="FL13" i="17"/>
  <c r="FM13" i="17" s="1"/>
  <c r="EJ25" i="17"/>
  <c r="K11" i="17" s="1"/>
  <c r="DC26" i="17"/>
  <c r="DE25" i="17"/>
  <c r="DE26" i="17" s="1"/>
  <c r="DD25" i="17"/>
  <c r="DD26" i="17" s="1"/>
  <c r="CY12" i="17"/>
  <c r="CZ11" i="17"/>
  <c r="DD11" i="17" s="1"/>
  <c r="L8" i="3"/>
  <c r="N8" i="3" s="1"/>
  <c r="L17" i="3"/>
  <c r="N17" i="3" s="1"/>
  <c r="L19" i="3"/>
  <c r="N19" i="3" s="1"/>
  <c r="J22" i="10"/>
  <c r="J14" i="10"/>
  <c r="M29" i="10"/>
  <c r="K29" i="10"/>
  <c r="L29" i="10"/>
  <c r="J29" i="10"/>
  <c r="M27" i="10"/>
  <c r="K27" i="10"/>
  <c r="L27" i="10"/>
  <c r="J27" i="10"/>
  <c r="M25" i="10"/>
  <c r="K25" i="10"/>
  <c r="L25" i="10"/>
  <c r="J25" i="10"/>
  <c r="M23" i="10"/>
  <c r="K23" i="10"/>
  <c r="L23" i="10"/>
  <c r="J23" i="10"/>
  <c r="M21" i="10"/>
  <c r="K21" i="10"/>
  <c r="L21" i="10"/>
  <c r="J21" i="10"/>
  <c r="M19" i="10"/>
  <c r="K19" i="10"/>
  <c r="L19" i="10"/>
  <c r="J19" i="10"/>
  <c r="M17" i="10"/>
  <c r="K17" i="10"/>
  <c r="L17" i="10"/>
  <c r="J17" i="10"/>
  <c r="M15" i="10"/>
  <c r="K15" i="10"/>
  <c r="L15" i="10"/>
  <c r="J15" i="10"/>
  <c r="M13" i="10"/>
  <c r="K13" i="10"/>
  <c r="L13" i="10"/>
  <c r="J13" i="10"/>
  <c r="M11" i="10"/>
  <c r="K11" i="10"/>
  <c r="L11" i="10"/>
  <c r="J11" i="10"/>
  <c r="M9" i="10"/>
  <c r="K9" i="10"/>
  <c r="L9" i="10"/>
  <c r="J9" i="10"/>
  <c r="M8" i="10"/>
  <c r="B9" i="9"/>
  <c r="I10" i="9"/>
  <c r="J16" i="11"/>
  <c r="I17" i="11"/>
  <c r="L9" i="3"/>
  <c r="O9" i="3" s="1"/>
  <c r="L14" i="3"/>
  <c r="N14" i="3" s="1"/>
  <c r="L18" i="3"/>
  <c r="O18" i="3" s="1"/>
  <c r="L11" i="2"/>
  <c r="J7" i="11"/>
  <c r="I11" i="11"/>
  <c r="I16" i="11"/>
  <c r="J10" i="11"/>
  <c r="L10" i="3"/>
  <c r="N10" i="3" s="1"/>
  <c r="L15" i="3"/>
  <c r="N15" i="3" s="1"/>
  <c r="J11" i="11"/>
  <c r="I9" i="11"/>
  <c r="J14" i="11"/>
  <c r="I14" i="11"/>
  <c r="I18" i="11"/>
  <c r="L43" i="8"/>
  <c r="L41" i="8"/>
  <c r="L36" i="8"/>
  <c r="L34" i="8"/>
  <c r="L32" i="8"/>
  <c r="L19" i="8"/>
  <c r="L17" i="8"/>
  <c r="L12" i="8"/>
  <c r="L10" i="8"/>
  <c r="L8" i="8"/>
  <c r="L7" i="3"/>
  <c r="N7" i="3" s="1"/>
  <c r="L11" i="3"/>
  <c r="O11" i="3" s="1"/>
  <c r="L16" i="3"/>
  <c r="N16" i="3" s="1"/>
  <c r="F12" i="3"/>
  <c r="F19" i="3" s="1"/>
  <c r="F10" i="3"/>
  <c r="F17" i="3" s="1"/>
  <c r="F8" i="3"/>
  <c r="F15" i="3" s="1"/>
  <c r="CU15" i="17"/>
  <c r="E10" i="21"/>
  <c r="E10" i="19"/>
  <c r="FJ20" i="17"/>
  <c r="J12" i="11"/>
  <c r="J8" i="11"/>
  <c r="L12" i="3"/>
  <c r="N12" i="3" s="1"/>
  <c r="J9" i="11"/>
  <c r="J18" i="11"/>
  <c r="I8" i="11"/>
  <c r="I10" i="11"/>
  <c r="I12" i="11"/>
  <c r="I15" i="11"/>
  <c r="J19" i="11"/>
  <c r="K19" i="11" s="1"/>
  <c r="J15" i="11"/>
  <c r="J17" i="11"/>
  <c r="FD12" i="17"/>
  <c r="CT21" i="17"/>
  <c r="CU21" i="17" s="1"/>
  <c r="CT19" i="17"/>
  <c r="CU19" i="17" s="1"/>
  <c r="CT25" i="17"/>
  <c r="CU25" i="17" s="1"/>
  <c r="CH54" i="17"/>
  <c r="EA6" i="17" s="1"/>
  <c r="E7" i="35"/>
  <c r="N38" i="10"/>
  <c r="N45" i="10"/>
  <c r="L40" i="8"/>
  <c r="L38" i="8"/>
  <c r="L16" i="8"/>
  <c r="L14" i="8"/>
  <c r="E12" i="2"/>
  <c r="E19" i="2" s="1"/>
  <c r="N19" i="2" s="1"/>
  <c r="C12" i="2"/>
  <c r="E11" i="2"/>
  <c r="E18" i="2" s="1"/>
  <c r="C11" i="2"/>
  <c r="E10" i="2"/>
  <c r="E17" i="2" s="1"/>
  <c r="C10" i="2"/>
  <c r="E9" i="2"/>
  <c r="E16" i="2" s="1"/>
  <c r="C9" i="2"/>
  <c r="E8" i="2"/>
  <c r="E15" i="2" s="1"/>
  <c r="C8" i="2"/>
  <c r="E7" i="2"/>
  <c r="E14" i="2" s="1"/>
  <c r="C7" i="2"/>
  <c r="D12" i="2"/>
  <c r="D11" i="2"/>
  <c r="F11" i="2" s="1"/>
  <c r="F18" i="2" s="1"/>
  <c r="D10" i="2"/>
  <c r="D9" i="2"/>
  <c r="F9" i="2" s="1"/>
  <c r="F16" i="2" s="1"/>
  <c r="D8" i="2"/>
  <c r="D7" i="2"/>
  <c r="F7" i="2" s="1"/>
  <c r="F14" i="2" s="1"/>
  <c r="D12" i="7"/>
  <c r="D11" i="7"/>
  <c r="D10" i="7"/>
  <c r="D9" i="7"/>
  <c r="D8" i="7"/>
  <c r="D7" i="7"/>
  <c r="C12" i="7"/>
  <c r="C11" i="7"/>
  <c r="C10" i="7"/>
  <c r="C9" i="7"/>
  <c r="C8" i="7"/>
  <c r="C7" i="7"/>
  <c r="E12" i="7"/>
  <c r="E19" i="7" s="1"/>
  <c r="E11" i="7"/>
  <c r="E18" i="7" s="1"/>
  <c r="E10" i="7"/>
  <c r="E17" i="7" s="1"/>
  <c r="E9" i="7"/>
  <c r="E16" i="7" s="1"/>
  <c r="E8" i="7"/>
  <c r="E15" i="7" s="1"/>
  <c r="E7" i="7"/>
  <c r="E14" i="7" s="1"/>
  <c r="E12" i="11"/>
  <c r="E19" i="11" s="1"/>
  <c r="C12" i="11"/>
  <c r="D11" i="11"/>
  <c r="E10" i="11"/>
  <c r="E17" i="11" s="1"/>
  <c r="C10" i="11"/>
  <c r="D9" i="11"/>
  <c r="E8" i="11"/>
  <c r="E15" i="11" s="1"/>
  <c r="C8" i="11"/>
  <c r="D7" i="11"/>
  <c r="C11" i="11"/>
  <c r="C9" i="11"/>
  <c r="C7" i="11"/>
  <c r="D12" i="11"/>
  <c r="E11" i="11"/>
  <c r="E18" i="11" s="1"/>
  <c r="D10" i="11"/>
  <c r="E9" i="11"/>
  <c r="E16" i="11" s="1"/>
  <c r="D8" i="11"/>
  <c r="E7" i="11"/>
  <c r="E14" i="11" s="1"/>
  <c r="D36" i="30"/>
  <c r="E35" i="30"/>
  <c r="E42" i="30" s="1"/>
  <c r="C35" i="30"/>
  <c r="D34" i="30"/>
  <c r="E33" i="30"/>
  <c r="E40" i="30" s="1"/>
  <c r="C33" i="30"/>
  <c r="D32" i="30"/>
  <c r="E31" i="30"/>
  <c r="E38" i="30" s="1"/>
  <c r="C31" i="30"/>
  <c r="E36" i="30"/>
  <c r="E43" i="30" s="1"/>
  <c r="C34" i="30"/>
  <c r="D33" i="30"/>
  <c r="F33" i="30" s="1"/>
  <c r="F40" i="30" s="1"/>
  <c r="E32" i="30"/>
  <c r="E39" i="30" s="1"/>
  <c r="C36" i="30"/>
  <c r="E34" i="30"/>
  <c r="E41" i="30" s="1"/>
  <c r="D31" i="30"/>
  <c r="D35" i="30"/>
  <c r="F35" i="30" s="1"/>
  <c r="F42" i="30" s="1"/>
  <c r="C32" i="30"/>
  <c r="A4" i="30"/>
  <c r="H21" i="4"/>
  <c r="H14" i="4"/>
  <c r="H13" i="4"/>
  <c r="H12" i="4"/>
  <c r="H11" i="4"/>
  <c r="H10" i="4"/>
  <c r="H9" i="4"/>
  <c r="H8" i="4"/>
  <c r="H7" i="4"/>
  <c r="G21" i="4"/>
  <c r="G14" i="4"/>
  <c r="G13" i="4"/>
  <c r="G12" i="4"/>
  <c r="G11" i="4"/>
  <c r="G10" i="4"/>
  <c r="G9" i="4"/>
  <c r="G8" i="4"/>
  <c r="G7" i="4"/>
  <c r="H14" i="9"/>
  <c r="F14" i="9"/>
  <c r="D14" i="9"/>
  <c r="H13" i="9"/>
  <c r="F13" i="9"/>
  <c r="D13" i="9"/>
  <c r="H12" i="9"/>
  <c r="F12" i="9"/>
  <c r="D12" i="9"/>
  <c r="H11" i="9"/>
  <c r="F11" i="9"/>
  <c r="D11" i="9"/>
  <c r="H10" i="9"/>
  <c r="F10" i="9"/>
  <c r="D10" i="9"/>
  <c r="H9" i="9"/>
  <c r="F9" i="9"/>
  <c r="D9" i="9"/>
  <c r="H8" i="9"/>
  <c r="O8" i="9" s="1"/>
  <c r="F8" i="9"/>
  <c r="M8" i="9" s="1"/>
  <c r="D8" i="9"/>
  <c r="K8" i="9" s="1"/>
  <c r="E14" i="9"/>
  <c r="E13" i="9"/>
  <c r="E12" i="9"/>
  <c r="E11" i="9"/>
  <c r="E10" i="9"/>
  <c r="E9" i="9"/>
  <c r="E8" i="9"/>
  <c r="L8" i="9" s="1"/>
  <c r="C14" i="9"/>
  <c r="C13" i="9"/>
  <c r="C12" i="9"/>
  <c r="C11" i="9"/>
  <c r="C10" i="9"/>
  <c r="C9" i="9"/>
  <c r="C8" i="9"/>
  <c r="J8" i="9" s="1"/>
  <c r="G14" i="9"/>
  <c r="G13" i="9"/>
  <c r="G12" i="9"/>
  <c r="G11" i="9"/>
  <c r="G10" i="9"/>
  <c r="G9" i="9"/>
  <c r="G8" i="9"/>
  <c r="N8" i="9" s="1"/>
  <c r="E36" i="31"/>
  <c r="E43" i="31" s="1"/>
  <c r="C36" i="31"/>
  <c r="D35" i="31"/>
  <c r="E34" i="31"/>
  <c r="E41" i="31" s="1"/>
  <c r="C34" i="31"/>
  <c r="D33" i="31"/>
  <c r="E32" i="31"/>
  <c r="E39" i="31" s="1"/>
  <c r="C32" i="31"/>
  <c r="D31" i="31"/>
  <c r="A4" i="31"/>
  <c r="D36" i="31"/>
  <c r="E35" i="31"/>
  <c r="E42" i="31" s="1"/>
  <c r="C33" i="31"/>
  <c r="D32" i="31"/>
  <c r="F32" i="31" s="1"/>
  <c r="F39" i="31" s="1"/>
  <c r="E31" i="31"/>
  <c r="E38" i="31" s="1"/>
  <c r="D34" i="31"/>
  <c r="C31" i="31"/>
  <c r="E33" i="31"/>
  <c r="E40" i="31" s="1"/>
  <c r="C35" i="31"/>
  <c r="D36" i="8"/>
  <c r="E36" i="8"/>
  <c r="E43" i="8" s="1"/>
  <c r="D35" i="8"/>
  <c r="E34" i="8"/>
  <c r="E41" i="8" s="1"/>
  <c r="C34" i="8"/>
  <c r="D33" i="8"/>
  <c r="E32" i="8"/>
  <c r="E39" i="8" s="1"/>
  <c r="C32" i="8"/>
  <c r="D31" i="8"/>
  <c r="C36" i="8"/>
  <c r="C35" i="8"/>
  <c r="D34" i="8"/>
  <c r="E33" i="8"/>
  <c r="E40" i="8" s="1"/>
  <c r="N40" i="8" s="1"/>
  <c r="C31" i="8"/>
  <c r="A4" i="8"/>
  <c r="E35" i="8"/>
  <c r="E42" i="8" s="1"/>
  <c r="C33" i="8"/>
  <c r="D32" i="8"/>
  <c r="F32" i="8" s="1"/>
  <c r="F39" i="8" s="1"/>
  <c r="E31" i="8"/>
  <c r="E38" i="8" s="1"/>
  <c r="C12" i="1"/>
  <c r="C11" i="1"/>
  <c r="C10" i="1"/>
  <c r="C9" i="1"/>
  <c r="C8" i="1"/>
  <c r="C7" i="1"/>
  <c r="D12" i="1"/>
  <c r="E12" i="1" s="1"/>
  <c r="E19" i="1" s="1"/>
  <c r="D11" i="1"/>
  <c r="D10" i="1"/>
  <c r="E10" i="1" s="1"/>
  <c r="E17" i="1" s="1"/>
  <c r="D9" i="1"/>
  <c r="E9" i="1" s="1"/>
  <c r="E16" i="1" s="1"/>
  <c r="D8" i="1"/>
  <c r="E8" i="1" s="1"/>
  <c r="E15" i="1" s="1"/>
  <c r="D7" i="1"/>
  <c r="E7" i="1" s="1"/>
  <c r="E14" i="1" s="1"/>
  <c r="I19" i="3"/>
  <c r="I12" i="3"/>
  <c r="I18" i="3"/>
  <c r="I11" i="3"/>
  <c r="I17" i="3"/>
  <c r="I10" i="3"/>
  <c r="I16" i="3"/>
  <c r="I9" i="3"/>
  <c r="I15" i="3"/>
  <c r="I8" i="3"/>
  <c r="I14" i="3"/>
  <c r="I7" i="3"/>
  <c r="G21" i="5"/>
  <c r="H14" i="5"/>
  <c r="H13" i="5"/>
  <c r="H12" i="5"/>
  <c r="H11" i="5"/>
  <c r="H10" i="5"/>
  <c r="H9" i="5"/>
  <c r="H8" i="5"/>
  <c r="H7" i="5"/>
  <c r="H21" i="5"/>
  <c r="G14" i="5"/>
  <c r="G13" i="5"/>
  <c r="G12" i="5"/>
  <c r="G11" i="5"/>
  <c r="G10" i="5"/>
  <c r="G9" i="5"/>
  <c r="G8" i="5"/>
  <c r="G7" i="5"/>
  <c r="E22" i="28"/>
  <c r="E15" i="28"/>
  <c r="F14" i="28"/>
  <c r="E12" i="28"/>
  <c r="E11" i="28"/>
  <c r="E10" i="28"/>
  <c r="E9" i="28"/>
  <c r="E8" i="28"/>
  <c r="E7" i="28"/>
  <c r="F22" i="28"/>
  <c r="F15" i="28"/>
  <c r="E14" i="28"/>
  <c r="F12" i="28"/>
  <c r="F10" i="28"/>
  <c r="F8" i="28"/>
  <c r="F9" i="28"/>
  <c r="F11" i="28"/>
  <c r="F7" i="28"/>
  <c r="F21" i="27"/>
  <c r="F14" i="27"/>
  <c r="E13" i="27"/>
  <c r="F12" i="27"/>
  <c r="F11" i="27"/>
  <c r="F10" i="27"/>
  <c r="F9" i="27"/>
  <c r="F8" i="27"/>
  <c r="F7" i="27"/>
  <c r="E14" i="27"/>
  <c r="F13" i="27"/>
  <c r="G13" i="27" s="1"/>
  <c r="N13" i="27" s="1"/>
  <c r="E12" i="27"/>
  <c r="E10" i="27"/>
  <c r="E8" i="27"/>
  <c r="E11" i="27"/>
  <c r="E7" i="27"/>
  <c r="E21" i="27"/>
  <c r="E9" i="27"/>
  <c r="D12" i="33"/>
  <c r="D11" i="33"/>
  <c r="D10" i="33"/>
  <c r="D9" i="33"/>
  <c r="D8" i="33"/>
  <c r="D7" i="33"/>
  <c r="E12" i="33"/>
  <c r="E19" i="33" s="1"/>
  <c r="C11" i="33"/>
  <c r="E10" i="33"/>
  <c r="E17" i="33" s="1"/>
  <c r="C9" i="33"/>
  <c r="E8" i="33"/>
  <c r="E15" i="33" s="1"/>
  <c r="C7" i="33"/>
  <c r="C12" i="33"/>
  <c r="E11" i="33"/>
  <c r="E18" i="33" s="1"/>
  <c r="C10" i="33"/>
  <c r="E9" i="33"/>
  <c r="E16" i="33" s="1"/>
  <c r="C8" i="33"/>
  <c r="J8" i="33" s="1"/>
  <c r="E7" i="33"/>
  <c r="E14" i="33" s="1"/>
  <c r="G21" i="32"/>
  <c r="G14" i="32"/>
  <c r="G13" i="32"/>
  <c r="G12" i="32"/>
  <c r="G11" i="32"/>
  <c r="G10" i="32"/>
  <c r="G9" i="32"/>
  <c r="G8" i="32"/>
  <c r="H7" i="32"/>
  <c r="G7" i="32"/>
  <c r="H14" i="32"/>
  <c r="H12" i="32"/>
  <c r="I12" i="32" s="1"/>
  <c r="H10" i="32"/>
  <c r="H8" i="32"/>
  <c r="I8" i="32" s="1"/>
  <c r="H21" i="32"/>
  <c r="I21" i="32" s="1"/>
  <c r="J21" i="32" s="1"/>
  <c r="H11" i="32"/>
  <c r="H13" i="32"/>
  <c r="I13" i="32" s="1"/>
  <c r="H9" i="32"/>
  <c r="H9" i="33"/>
  <c r="I16" i="33"/>
  <c r="I18" i="33" s="1"/>
  <c r="I15" i="33"/>
  <c r="I17" i="33" s="1"/>
  <c r="I19" i="33" s="1"/>
  <c r="H12" i="36"/>
  <c r="M4" i="36"/>
  <c r="M2" i="36"/>
  <c r="E12" i="36"/>
  <c r="H7" i="19"/>
  <c r="E7" i="19"/>
  <c r="CT22" i="17"/>
  <c r="CU22" i="17" s="1"/>
  <c r="FE10" i="17"/>
  <c r="FI24" i="17"/>
  <c r="FI23" i="17"/>
  <c r="FJ13" i="17"/>
  <c r="A9" i="32"/>
  <c r="B8" i="32"/>
  <c r="C8" i="32"/>
  <c r="I7" i="27"/>
  <c r="I8" i="27" s="1"/>
  <c r="I9" i="27" s="1"/>
  <c r="I10" i="27" s="1"/>
  <c r="I11" i="27" s="1"/>
  <c r="I12" i="27" s="1"/>
  <c r="I13" i="27" s="1"/>
  <c r="I14" i="27" s="1"/>
  <c r="H7" i="27"/>
  <c r="C7" i="5"/>
  <c r="B7" i="5"/>
  <c r="A8" i="5"/>
  <c r="C9" i="4"/>
  <c r="FI17" i="17"/>
  <c r="FM12" i="17"/>
  <c r="FJ12" i="17"/>
  <c r="FI16" i="17"/>
  <c r="FI15" i="17"/>
  <c r="FJ11" i="17"/>
  <c r="FJ15" i="17" s="1"/>
  <c r="FM11" i="17"/>
  <c r="H25" i="9"/>
  <c r="F25" i="9"/>
  <c r="D25" i="9"/>
  <c r="H24" i="9"/>
  <c r="F24" i="9"/>
  <c r="D24" i="9"/>
  <c r="G18" i="9"/>
  <c r="E18" i="9"/>
  <c r="C18" i="9"/>
  <c r="G17" i="9"/>
  <c r="E17" i="9"/>
  <c r="C17" i="9"/>
  <c r="E25" i="9"/>
  <c r="G24" i="9"/>
  <c r="C24" i="9"/>
  <c r="H18" i="9"/>
  <c r="D18" i="9"/>
  <c r="F17" i="9"/>
  <c r="C25" i="9"/>
  <c r="F18" i="9"/>
  <c r="D17" i="9"/>
  <c r="D19" i="9" s="1"/>
  <c r="G25" i="9"/>
  <c r="E24" i="9"/>
  <c r="E26" i="9" s="1"/>
  <c r="H17" i="9"/>
  <c r="H19" i="9" s="1"/>
  <c r="J43" i="30"/>
  <c r="K42" i="30"/>
  <c r="K43" i="30"/>
  <c r="J42" i="30"/>
  <c r="L42" i="30" s="1"/>
  <c r="J41" i="30"/>
  <c r="J40" i="30"/>
  <c r="K39" i="30"/>
  <c r="J38" i="30"/>
  <c r="J36" i="30"/>
  <c r="K35" i="30"/>
  <c r="J34" i="30"/>
  <c r="K33" i="30"/>
  <c r="J32" i="30"/>
  <c r="K31" i="30"/>
  <c r="K40" i="30"/>
  <c r="J39" i="30"/>
  <c r="K38" i="30"/>
  <c r="C4" i="30"/>
  <c r="K41" i="30"/>
  <c r="K36" i="30"/>
  <c r="K34" i="30"/>
  <c r="K32" i="30"/>
  <c r="J35" i="30"/>
  <c r="J33" i="30"/>
  <c r="L33" i="30" s="1"/>
  <c r="J31" i="30"/>
  <c r="L31" i="8"/>
  <c r="L33" i="8"/>
  <c r="L35" i="8"/>
  <c r="L42" i="8"/>
  <c r="L7" i="8"/>
  <c r="L9" i="8"/>
  <c r="L11" i="8"/>
  <c r="L18" i="8"/>
  <c r="K19" i="7"/>
  <c r="K18" i="7"/>
  <c r="J17" i="7"/>
  <c r="J16" i="7"/>
  <c r="K15" i="7"/>
  <c r="J14" i="7"/>
  <c r="K12" i="7"/>
  <c r="K11" i="7"/>
  <c r="K10" i="7"/>
  <c r="K9" i="7"/>
  <c r="K8" i="7"/>
  <c r="K7" i="7"/>
  <c r="J19" i="7"/>
  <c r="L19" i="7" s="1"/>
  <c r="J18" i="7"/>
  <c r="L18" i="7" s="1"/>
  <c r="K17" i="7"/>
  <c r="J11" i="7"/>
  <c r="L11" i="7" s="1"/>
  <c r="J9" i="7"/>
  <c r="J7" i="7"/>
  <c r="L7" i="7" s="1"/>
  <c r="K16" i="7"/>
  <c r="J15" i="7"/>
  <c r="K14" i="7"/>
  <c r="J12" i="7"/>
  <c r="J10" i="7"/>
  <c r="L10" i="7" s="1"/>
  <c r="J8" i="7"/>
  <c r="L42" i="10"/>
  <c r="J42" i="10"/>
  <c r="H42" i="10"/>
  <c r="L41" i="10"/>
  <c r="J41" i="10"/>
  <c r="H41" i="10"/>
  <c r="K35" i="10"/>
  <c r="I35" i="10"/>
  <c r="G35" i="10"/>
  <c r="K34" i="10"/>
  <c r="I34" i="10"/>
  <c r="G34" i="10"/>
  <c r="I42" i="10"/>
  <c r="K41" i="10"/>
  <c r="G41" i="10"/>
  <c r="L35" i="10"/>
  <c r="H35" i="10"/>
  <c r="J34" i="10"/>
  <c r="K42" i="10"/>
  <c r="I41" i="10"/>
  <c r="L34" i="10"/>
  <c r="G42" i="10"/>
  <c r="J35" i="10"/>
  <c r="H34" i="10"/>
  <c r="K43" i="31"/>
  <c r="J42" i="31"/>
  <c r="K41" i="31"/>
  <c r="K40" i="31"/>
  <c r="J39" i="31"/>
  <c r="K38" i="31"/>
  <c r="K36" i="31"/>
  <c r="J35" i="31"/>
  <c r="K34" i="31"/>
  <c r="J33" i="31"/>
  <c r="K32" i="31"/>
  <c r="J31" i="31"/>
  <c r="C4" i="31"/>
  <c r="K42" i="31"/>
  <c r="K39" i="31"/>
  <c r="K35" i="31"/>
  <c r="K33" i="31"/>
  <c r="K31" i="31"/>
  <c r="J40" i="31"/>
  <c r="J38" i="31"/>
  <c r="L38" i="31" s="1"/>
  <c r="J43" i="31"/>
  <c r="L43" i="31" s="1"/>
  <c r="J41" i="31"/>
  <c r="J36" i="31"/>
  <c r="L36" i="31" s="1"/>
  <c r="J34" i="31"/>
  <c r="J32" i="31"/>
  <c r="L32" i="31" s="1"/>
  <c r="K19" i="33"/>
  <c r="K18" i="33"/>
  <c r="L17" i="33"/>
  <c r="L16" i="33"/>
  <c r="L15" i="33"/>
  <c r="L14" i="33"/>
  <c r="L12" i="33"/>
  <c r="K11" i="33"/>
  <c r="L10" i="33"/>
  <c r="K9" i="33"/>
  <c r="L8" i="33"/>
  <c r="K7" i="33"/>
  <c r="L19" i="33"/>
  <c r="L18" i="33"/>
  <c r="K16" i="33"/>
  <c r="K15" i="33"/>
  <c r="K14" i="33"/>
  <c r="K12" i="33"/>
  <c r="K10" i="33"/>
  <c r="M10" i="33" s="1"/>
  <c r="K8" i="33"/>
  <c r="L11" i="33"/>
  <c r="L9" i="33"/>
  <c r="L7" i="33"/>
  <c r="K17" i="33"/>
  <c r="L39" i="8"/>
  <c r="L15" i="8"/>
  <c r="J28" i="20"/>
  <c r="J27" i="20"/>
  <c r="E11" i="1" l="1"/>
  <c r="E18" i="1" s="1"/>
  <c r="M8" i="4"/>
  <c r="L10" i="2"/>
  <c r="N10" i="2" s="1"/>
  <c r="L15" i="2"/>
  <c r="K12" i="11"/>
  <c r="M12" i="11" s="1"/>
  <c r="L8" i="2"/>
  <c r="L17" i="2"/>
  <c r="N17" i="2" s="1"/>
  <c r="L12" i="2"/>
  <c r="L9" i="2"/>
  <c r="O9" i="2" s="1"/>
  <c r="A10" i="4"/>
  <c r="A11" i="4" s="1"/>
  <c r="K17" i="1"/>
  <c r="M17" i="1" s="1"/>
  <c r="M10" i="3"/>
  <c r="K11" i="1"/>
  <c r="M11" i="1" s="1"/>
  <c r="K14" i="1"/>
  <c r="L7" i="2"/>
  <c r="O7" i="2" s="1"/>
  <c r="L16" i="2"/>
  <c r="O16" i="2" s="1"/>
  <c r="M7" i="3"/>
  <c r="M8" i="3"/>
  <c r="M9" i="3"/>
  <c r="M14" i="1"/>
  <c r="N14" i="2"/>
  <c r="K7" i="11"/>
  <c r="M7" i="11" s="1"/>
  <c r="M31" i="10"/>
  <c r="L37" i="10" s="1"/>
  <c r="L44" i="10" s="1"/>
  <c r="K16" i="1"/>
  <c r="K31" i="10"/>
  <c r="J37" i="10" s="1"/>
  <c r="J44" i="10" s="1"/>
  <c r="N9" i="9"/>
  <c r="L9" i="9"/>
  <c r="M9" i="9"/>
  <c r="J8" i="10"/>
  <c r="M16" i="1"/>
  <c r="K7" i="1"/>
  <c r="M7" i="1" s="1"/>
  <c r="O19" i="3"/>
  <c r="D7" i="4"/>
  <c r="M7" i="4" s="1"/>
  <c r="O16" i="3"/>
  <c r="K16" i="11"/>
  <c r="M16" i="11" s="1"/>
  <c r="O17" i="3"/>
  <c r="M14" i="3"/>
  <c r="M15" i="3"/>
  <c r="M17" i="3"/>
  <c r="L8" i="10"/>
  <c r="J37" i="17"/>
  <c r="A48" i="8"/>
  <c r="C48" i="8"/>
  <c r="M19" i="3"/>
  <c r="K14" i="11"/>
  <c r="M14" i="11" s="1"/>
  <c r="F27" i="17"/>
  <c r="F35" i="17" s="1"/>
  <c r="N11" i="3"/>
  <c r="O14" i="3"/>
  <c r="K10" i="11"/>
  <c r="M10" i="11" s="1"/>
  <c r="N38" i="8"/>
  <c r="O18" i="2"/>
  <c r="N41" i="8"/>
  <c r="CY13" i="17"/>
  <c r="CZ13" i="17" s="1"/>
  <c r="DD13" i="17" s="1"/>
  <c r="CZ12" i="17"/>
  <c r="DD12" i="17" s="1"/>
  <c r="FK16" i="17"/>
  <c r="FL15" i="17"/>
  <c r="FM15" i="17" s="1"/>
  <c r="N16" i="2"/>
  <c r="K17" i="11"/>
  <c r="M17" i="11" s="1"/>
  <c r="K11" i="11"/>
  <c r="M11" i="11" s="1"/>
  <c r="N34" i="8"/>
  <c r="J31" i="10"/>
  <c r="I37" i="10" s="1"/>
  <c r="I44" i="10" s="1"/>
  <c r="K18" i="11"/>
  <c r="M18" i="11" s="1"/>
  <c r="O10" i="3"/>
  <c r="CU26" i="17"/>
  <c r="CW26" i="17" s="1"/>
  <c r="O14" i="2"/>
  <c r="N36" i="8"/>
  <c r="N43" i="8"/>
  <c r="O11" i="2"/>
  <c r="J9" i="9"/>
  <c r="K9" i="9"/>
  <c r="O9" i="9"/>
  <c r="B10" i="9"/>
  <c r="J10" i="9" s="1"/>
  <c r="I11" i="9"/>
  <c r="L31" i="10"/>
  <c r="K37" i="10" s="1"/>
  <c r="K44" i="10" s="1"/>
  <c r="N11" i="2"/>
  <c r="N18" i="3"/>
  <c r="N20" i="3" s="1"/>
  <c r="N9" i="3"/>
  <c r="M18" i="1"/>
  <c r="N32" i="8"/>
  <c r="O8" i="3"/>
  <c r="N18" i="2"/>
  <c r="O7" i="3"/>
  <c r="M12" i="3"/>
  <c r="M18" i="3"/>
  <c r="M11" i="3"/>
  <c r="K9" i="11"/>
  <c r="M9" i="11" s="1"/>
  <c r="O15" i="3"/>
  <c r="M16" i="3"/>
  <c r="K8" i="11"/>
  <c r="M8" i="11" s="1"/>
  <c r="O32" i="8"/>
  <c r="I9" i="32"/>
  <c r="I11" i="32"/>
  <c r="L7" i="32"/>
  <c r="N7" i="32" s="1"/>
  <c r="J7" i="33"/>
  <c r="J14" i="28"/>
  <c r="L14" i="28" s="1"/>
  <c r="G22" i="28"/>
  <c r="H22" i="28" s="1"/>
  <c r="L7" i="5"/>
  <c r="L9" i="5"/>
  <c r="L11" i="5"/>
  <c r="L13" i="5"/>
  <c r="I21" i="5"/>
  <c r="J21" i="5" s="1"/>
  <c r="F34" i="31"/>
  <c r="F41" i="31" s="1"/>
  <c r="L7" i="4"/>
  <c r="N7" i="4" s="1"/>
  <c r="L9" i="4"/>
  <c r="L11" i="4"/>
  <c r="L13" i="4"/>
  <c r="F8" i="2"/>
  <c r="F15" i="2" s="1"/>
  <c r="O15" i="2" s="1"/>
  <c r="F10" i="2"/>
  <c r="F12" i="2"/>
  <c r="M9" i="1"/>
  <c r="N12" i="2"/>
  <c r="N8" i="2"/>
  <c r="O12" i="3"/>
  <c r="I10" i="32"/>
  <c r="I14" i="32"/>
  <c r="F36" i="31"/>
  <c r="F43" i="31" s="1"/>
  <c r="O43" i="31" s="1"/>
  <c r="L8" i="4"/>
  <c r="L10" i="4"/>
  <c r="L12" i="4"/>
  <c r="L14" i="4"/>
  <c r="F31" i="30"/>
  <c r="F38" i="30" s="1"/>
  <c r="N15" i="2"/>
  <c r="D8" i="32"/>
  <c r="M8" i="32" s="1"/>
  <c r="K15" i="11"/>
  <c r="M15" i="11" s="1"/>
  <c r="M14" i="33"/>
  <c r="M16" i="33"/>
  <c r="L34" i="31"/>
  <c r="L41" i="31"/>
  <c r="N41" i="31" s="1"/>
  <c r="L33" i="31"/>
  <c r="N33" i="31" s="1"/>
  <c r="H36" i="10"/>
  <c r="H38" i="10" s="1"/>
  <c r="I43" i="10"/>
  <c r="I45" i="10" s="1"/>
  <c r="J36" i="10"/>
  <c r="K43" i="10"/>
  <c r="K45" i="10" s="1"/>
  <c r="G36" i="10"/>
  <c r="G38" i="10" s="1"/>
  <c r="K36" i="10"/>
  <c r="K38" i="10" s="1"/>
  <c r="H43" i="10"/>
  <c r="H45" i="10" s="1"/>
  <c r="L43" i="10"/>
  <c r="L45" i="10" s="1"/>
  <c r="L8" i="7"/>
  <c r="L12" i="7"/>
  <c r="N12" i="7" s="1"/>
  <c r="L15" i="7"/>
  <c r="L31" i="30"/>
  <c r="N31" i="30" s="1"/>
  <c r="L35" i="30"/>
  <c r="N35" i="30" s="1"/>
  <c r="L32" i="30"/>
  <c r="N32" i="30" s="1"/>
  <c r="E19" i="9"/>
  <c r="F26" i="9"/>
  <c r="AN18" i="17"/>
  <c r="AO18" i="17" s="1"/>
  <c r="D7" i="5"/>
  <c r="M7" i="5" s="1"/>
  <c r="G15" i="28"/>
  <c r="N15" i="28" s="1"/>
  <c r="L8" i="5"/>
  <c r="L10" i="5"/>
  <c r="L12" i="5"/>
  <c r="L14" i="5"/>
  <c r="F34" i="8"/>
  <c r="L36" i="30"/>
  <c r="N36" i="30" s="1"/>
  <c r="L8" i="32"/>
  <c r="L10" i="32"/>
  <c r="L12" i="32"/>
  <c r="L14" i="32"/>
  <c r="G12" i="27"/>
  <c r="N12" i="27" s="1"/>
  <c r="G14" i="27"/>
  <c r="N14" i="27" s="1"/>
  <c r="J8" i="28"/>
  <c r="L8" i="28" s="1"/>
  <c r="J10" i="28"/>
  <c r="L10" i="28" s="1"/>
  <c r="J12" i="28"/>
  <c r="L12" i="28" s="1"/>
  <c r="J15" i="28"/>
  <c r="L15" i="28" s="1"/>
  <c r="I8" i="5"/>
  <c r="I10" i="5"/>
  <c r="I12" i="5"/>
  <c r="I14" i="5"/>
  <c r="H14" i="1"/>
  <c r="H7" i="1"/>
  <c r="H16" i="1"/>
  <c r="H9" i="1"/>
  <c r="L9" i="1" s="1"/>
  <c r="H18" i="1"/>
  <c r="L18" i="1" s="1"/>
  <c r="H11" i="1"/>
  <c r="I40" i="8"/>
  <c r="M40" i="8" s="1"/>
  <c r="I33" i="8"/>
  <c r="M33" i="8" s="1"/>
  <c r="E12" i="8"/>
  <c r="C12" i="8"/>
  <c r="D11" i="8"/>
  <c r="E10" i="8"/>
  <c r="C10" i="8"/>
  <c r="D9" i="8"/>
  <c r="E8" i="8"/>
  <c r="C8" i="8"/>
  <c r="D7" i="8"/>
  <c r="C11" i="8"/>
  <c r="D10" i="8"/>
  <c r="F10" i="8" s="1"/>
  <c r="E9" i="8"/>
  <c r="E16" i="8" s="1"/>
  <c r="N16" i="8" s="1"/>
  <c r="C7" i="8"/>
  <c r="D12" i="8"/>
  <c r="F12" i="8" s="1"/>
  <c r="E11" i="8"/>
  <c r="E18" i="8" s="1"/>
  <c r="N18" i="8" s="1"/>
  <c r="C9" i="8"/>
  <c r="D8" i="8"/>
  <c r="E7" i="8"/>
  <c r="E14" i="8" s="1"/>
  <c r="N14" i="8" s="1"/>
  <c r="I42" i="8"/>
  <c r="M42" i="8" s="1"/>
  <c r="I35" i="8"/>
  <c r="M35" i="8" s="1"/>
  <c r="F31" i="8"/>
  <c r="F38" i="8" s="1"/>
  <c r="O38" i="8" s="1"/>
  <c r="I34" i="8"/>
  <c r="M34" i="8" s="1"/>
  <c r="I41" i="8"/>
  <c r="M41" i="8" s="1"/>
  <c r="F35" i="8"/>
  <c r="F42" i="8" s="1"/>
  <c r="O42" i="8" s="1"/>
  <c r="F36" i="8"/>
  <c r="I35" i="31"/>
  <c r="I42" i="31"/>
  <c r="I38" i="31"/>
  <c r="M38" i="31" s="1"/>
  <c r="I31" i="31"/>
  <c r="I40" i="31"/>
  <c r="I33" i="31"/>
  <c r="F31" i="31"/>
  <c r="F38" i="31" s="1"/>
  <c r="O38" i="31" s="1"/>
  <c r="I41" i="31"/>
  <c r="I34" i="31"/>
  <c r="F35" i="31"/>
  <c r="F42" i="31" s="1"/>
  <c r="I7" i="4"/>
  <c r="I9" i="4"/>
  <c r="I11" i="4"/>
  <c r="I13" i="4"/>
  <c r="I21" i="4"/>
  <c r="J21" i="4" s="1"/>
  <c r="I39" i="30"/>
  <c r="I32" i="30"/>
  <c r="I43" i="30"/>
  <c r="I36" i="30"/>
  <c r="I40" i="30"/>
  <c r="I33" i="30"/>
  <c r="M33" i="30" s="1"/>
  <c r="F34" i="30"/>
  <c r="F41" i="30" s="1"/>
  <c r="H7" i="11"/>
  <c r="H14" i="11"/>
  <c r="H11" i="11"/>
  <c r="H18" i="11"/>
  <c r="H15" i="11"/>
  <c r="H8" i="11"/>
  <c r="H19" i="11"/>
  <c r="L19" i="11" s="1"/>
  <c r="H12" i="11"/>
  <c r="I7" i="7"/>
  <c r="M7" i="7" s="1"/>
  <c r="I14" i="7"/>
  <c r="I16" i="7"/>
  <c r="I9" i="7"/>
  <c r="I11" i="7"/>
  <c r="M11" i="7" s="1"/>
  <c r="I18" i="7"/>
  <c r="M18" i="7" s="1"/>
  <c r="F7" i="7"/>
  <c r="F14" i="7" s="1"/>
  <c r="F9" i="7"/>
  <c r="F16" i="7" s="1"/>
  <c r="F11" i="7"/>
  <c r="F18" i="7" s="1"/>
  <c r="O18" i="7" s="1"/>
  <c r="I14" i="2"/>
  <c r="M14" i="2" s="1"/>
  <c r="I7" i="2"/>
  <c r="I15" i="2"/>
  <c r="M15" i="2" s="1"/>
  <c r="I8" i="2"/>
  <c r="I16" i="2"/>
  <c r="I9" i="2"/>
  <c r="I17" i="2"/>
  <c r="I10" i="2"/>
  <c r="I18" i="2"/>
  <c r="M18" i="2" s="1"/>
  <c r="I11" i="2"/>
  <c r="M11" i="2" s="1"/>
  <c r="I19" i="2"/>
  <c r="M19" i="2" s="1"/>
  <c r="I12" i="2"/>
  <c r="I7" i="32"/>
  <c r="P7" i="32" s="1"/>
  <c r="L9" i="32"/>
  <c r="L11" i="32"/>
  <c r="L13" i="32"/>
  <c r="G21" i="27"/>
  <c r="H21" i="27" s="1"/>
  <c r="J7" i="28"/>
  <c r="L7" i="28" s="1"/>
  <c r="J9" i="28"/>
  <c r="L9" i="28" s="1"/>
  <c r="J11" i="28"/>
  <c r="L11" i="28" s="1"/>
  <c r="G14" i="28"/>
  <c r="N14" i="28" s="1"/>
  <c r="I7" i="5"/>
  <c r="I9" i="5"/>
  <c r="I11" i="5"/>
  <c r="I13" i="5"/>
  <c r="H15" i="1"/>
  <c r="L15" i="1" s="1"/>
  <c r="H8" i="1"/>
  <c r="L8" i="1" s="1"/>
  <c r="H17" i="1"/>
  <c r="H10" i="1"/>
  <c r="L10" i="1" s="1"/>
  <c r="H19" i="1"/>
  <c r="L19" i="1" s="1"/>
  <c r="H12" i="1"/>
  <c r="L12" i="1" s="1"/>
  <c r="I38" i="8"/>
  <c r="M38" i="8" s="1"/>
  <c r="I31" i="8"/>
  <c r="M31" i="8" s="1"/>
  <c r="I43" i="8"/>
  <c r="M43" i="8" s="1"/>
  <c r="I36" i="8"/>
  <c r="M36" i="8" s="1"/>
  <c r="I39" i="8"/>
  <c r="M39" i="8" s="1"/>
  <c r="I32" i="8"/>
  <c r="M32" i="8" s="1"/>
  <c r="F33" i="8"/>
  <c r="F40" i="8" s="1"/>
  <c r="O40" i="8" s="1"/>
  <c r="E12" i="31"/>
  <c r="E19" i="31" s="1"/>
  <c r="C12" i="31"/>
  <c r="D11" i="31"/>
  <c r="E10" i="31"/>
  <c r="E17" i="31" s="1"/>
  <c r="C10" i="31"/>
  <c r="D9" i="31"/>
  <c r="E8" i="31"/>
  <c r="E15" i="31" s="1"/>
  <c r="C8" i="31"/>
  <c r="D7" i="31"/>
  <c r="C11" i="31"/>
  <c r="D10" i="31"/>
  <c r="F10" i="31" s="1"/>
  <c r="F17" i="31" s="1"/>
  <c r="E9" i="31"/>
  <c r="E16" i="31" s="1"/>
  <c r="C7" i="31"/>
  <c r="E11" i="31"/>
  <c r="E18" i="31" s="1"/>
  <c r="D8" i="31"/>
  <c r="E7" i="31"/>
  <c r="E14" i="31" s="1"/>
  <c r="D12" i="31"/>
  <c r="C9" i="31"/>
  <c r="I39" i="31"/>
  <c r="I32" i="31"/>
  <c r="M32" i="31" s="1"/>
  <c r="F33" i="31"/>
  <c r="F40" i="31" s="1"/>
  <c r="I43" i="31"/>
  <c r="M43" i="31" s="1"/>
  <c r="I36" i="31"/>
  <c r="M36" i="31" s="1"/>
  <c r="I8" i="4"/>
  <c r="I10" i="4"/>
  <c r="I12" i="4"/>
  <c r="I14" i="4"/>
  <c r="D12" i="30"/>
  <c r="E11" i="30"/>
  <c r="E18" i="30" s="1"/>
  <c r="C11" i="30"/>
  <c r="D10" i="30"/>
  <c r="E9" i="30"/>
  <c r="E16" i="30" s="1"/>
  <c r="C9" i="30"/>
  <c r="D8" i="30"/>
  <c r="E12" i="30"/>
  <c r="E19" i="30" s="1"/>
  <c r="C10" i="30"/>
  <c r="D9" i="30"/>
  <c r="F9" i="30" s="1"/>
  <c r="F16" i="30" s="1"/>
  <c r="E8" i="30"/>
  <c r="E15" i="30" s="1"/>
  <c r="E7" i="30"/>
  <c r="E14" i="30" s="1"/>
  <c r="C7" i="30"/>
  <c r="D11" i="30"/>
  <c r="C8" i="30"/>
  <c r="D7" i="30"/>
  <c r="E10" i="30"/>
  <c r="E17" i="30" s="1"/>
  <c r="C12" i="30"/>
  <c r="I41" i="30"/>
  <c r="I34" i="30"/>
  <c r="I38" i="30"/>
  <c r="I31" i="30"/>
  <c r="F32" i="30"/>
  <c r="F39" i="30" s="1"/>
  <c r="I35" i="30"/>
  <c r="I42" i="30"/>
  <c r="M42" i="30" s="1"/>
  <c r="F36" i="30"/>
  <c r="F43" i="30" s="1"/>
  <c r="H9" i="11"/>
  <c r="H16" i="11"/>
  <c r="H17" i="11"/>
  <c r="H10" i="11"/>
  <c r="I15" i="7"/>
  <c r="M15" i="7" s="1"/>
  <c r="I8" i="7"/>
  <c r="I17" i="7"/>
  <c r="I10" i="7"/>
  <c r="M10" i="7" s="1"/>
  <c r="I19" i="7"/>
  <c r="M19" i="7" s="1"/>
  <c r="I12" i="7"/>
  <c r="F8" i="7"/>
  <c r="F15" i="7" s="1"/>
  <c r="F10" i="7"/>
  <c r="F17" i="7" s="1"/>
  <c r="F12" i="7"/>
  <c r="F19" i="7" s="1"/>
  <c r="O19" i="7" s="1"/>
  <c r="J9" i="33"/>
  <c r="H10" i="33"/>
  <c r="C10" i="4"/>
  <c r="B10" i="4"/>
  <c r="H8" i="27"/>
  <c r="J7" i="27"/>
  <c r="L7" i="27" s="1"/>
  <c r="FJ23" i="17"/>
  <c r="FJ16" i="17"/>
  <c r="FJ17" i="17"/>
  <c r="D9" i="4"/>
  <c r="A9" i="5"/>
  <c r="B8" i="5"/>
  <c r="C8" i="5"/>
  <c r="C9" i="32"/>
  <c r="B9" i="32"/>
  <c r="A10" i="32"/>
  <c r="FJ24" i="17"/>
  <c r="M15" i="1"/>
  <c r="M12" i="1"/>
  <c r="M8" i="1"/>
  <c r="N39" i="8"/>
  <c r="O39" i="8"/>
  <c r="M17" i="33"/>
  <c r="M8" i="33"/>
  <c r="N8" i="33" s="1"/>
  <c r="M12" i="33"/>
  <c r="M15" i="33"/>
  <c r="M7" i="33"/>
  <c r="M9" i="33"/>
  <c r="M11" i="33"/>
  <c r="M18" i="33"/>
  <c r="O32" i="31"/>
  <c r="N32" i="31"/>
  <c r="N36" i="31"/>
  <c r="N43" i="31"/>
  <c r="L40" i="31"/>
  <c r="J19" i="31"/>
  <c r="K18" i="31"/>
  <c r="J17" i="31"/>
  <c r="K19" i="31"/>
  <c r="J18" i="31"/>
  <c r="K17" i="31"/>
  <c r="J16" i="31"/>
  <c r="K15" i="31"/>
  <c r="J14" i="31"/>
  <c r="J12" i="31"/>
  <c r="K11" i="31"/>
  <c r="J10" i="31"/>
  <c r="K9" i="31"/>
  <c r="J8" i="31"/>
  <c r="K7" i="31"/>
  <c r="K12" i="31"/>
  <c r="J11" i="31"/>
  <c r="L11" i="31" s="1"/>
  <c r="K10" i="31"/>
  <c r="J9" i="31"/>
  <c r="L9" i="31" s="1"/>
  <c r="K8" i="31"/>
  <c r="J7" i="31"/>
  <c r="L7" i="31" s="1"/>
  <c r="J15" i="31"/>
  <c r="L15" i="31" s="1"/>
  <c r="K16" i="31"/>
  <c r="K14" i="31"/>
  <c r="L39" i="31"/>
  <c r="L36" i="10"/>
  <c r="G43" i="10"/>
  <c r="G45" i="10" s="1"/>
  <c r="I36" i="10"/>
  <c r="J43" i="10"/>
  <c r="J45" i="10" s="1"/>
  <c r="N10" i="7"/>
  <c r="L9" i="7"/>
  <c r="N19" i="7"/>
  <c r="L17" i="7"/>
  <c r="N42" i="8"/>
  <c r="N33" i="8"/>
  <c r="O33" i="30"/>
  <c r="N33" i="30"/>
  <c r="K19" i="30"/>
  <c r="J18" i="30"/>
  <c r="K17" i="30"/>
  <c r="K16" i="30"/>
  <c r="J15" i="30"/>
  <c r="K14" i="30"/>
  <c r="K12" i="30"/>
  <c r="J11" i="30"/>
  <c r="K10" i="30"/>
  <c r="J9" i="30"/>
  <c r="K8" i="30"/>
  <c r="J7" i="30"/>
  <c r="J19" i="30"/>
  <c r="L19" i="30" s="1"/>
  <c r="J17" i="30"/>
  <c r="J16" i="30"/>
  <c r="J14" i="30"/>
  <c r="L14" i="30" s="1"/>
  <c r="J12" i="30"/>
  <c r="L12" i="30" s="1"/>
  <c r="J10" i="30"/>
  <c r="J8" i="30"/>
  <c r="L8" i="30" s="1"/>
  <c r="K18" i="30"/>
  <c r="K15" i="30"/>
  <c r="K11" i="30"/>
  <c r="K9" i="30"/>
  <c r="K7" i="30"/>
  <c r="L39" i="30"/>
  <c r="L38" i="30"/>
  <c r="L40" i="30"/>
  <c r="O42" i="30"/>
  <c r="N42" i="30"/>
  <c r="F19" i="9"/>
  <c r="G26" i="9"/>
  <c r="C19" i="9"/>
  <c r="G19" i="9"/>
  <c r="D26" i="9"/>
  <c r="H26" i="9"/>
  <c r="M19" i="1"/>
  <c r="M10" i="1"/>
  <c r="M19" i="11"/>
  <c r="M19" i="33"/>
  <c r="N38" i="31"/>
  <c r="L31" i="31"/>
  <c r="L35" i="31"/>
  <c r="L42" i="31"/>
  <c r="N7" i="7"/>
  <c r="N11" i="7"/>
  <c r="N18" i="7"/>
  <c r="L14" i="7"/>
  <c r="L16" i="7"/>
  <c r="N35" i="8"/>
  <c r="N31" i="8"/>
  <c r="L34" i="30"/>
  <c r="L41" i="30"/>
  <c r="L43" i="30"/>
  <c r="C26" i="9"/>
  <c r="J29" i="20"/>
  <c r="B36" i="20" s="1"/>
  <c r="B9" i="20" s="1"/>
  <c r="D10" i="4" l="1"/>
  <c r="E19" i="4" s="1"/>
  <c r="F29" i="17"/>
  <c r="G29" i="17" s="1"/>
  <c r="J29" i="17" s="1"/>
  <c r="P8" i="4"/>
  <c r="N8" i="4"/>
  <c r="M10" i="2"/>
  <c r="M12" i="2"/>
  <c r="M8" i="2"/>
  <c r="L7" i="11"/>
  <c r="L12" i="11"/>
  <c r="M17" i="2"/>
  <c r="N9" i="2"/>
  <c r="N7" i="2"/>
  <c r="N13" i="3"/>
  <c r="D17" i="3" s="1"/>
  <c r="D25" i="3" s="1"/>
  <c r="F28" i="17"/>
  <c r="G28" i="17" s="1"/>
  <c r="J28" i="17" s="1"/>
  <c r="L17" i="1"/>
  <c r="M9" i="2"/>
  <c r="M7" i="2"/>
  <c r="L11" i="1"/>
  <c r="P7" i="4"/>
  <c r="M16" i="2"/>
  <c r="M20" i="2" s="1"/>
  <c r="L16" i="1"/>
  <c r="L14" i="1"/>
  <c r="L7" i="1"/>
  <c r="L38" i="10"/>
  <c r="J38" i="10"/>
  <c r="L16" i="11"/>
  <c r="O11" i="7"/>
  <c r="O34" i="31"/>
  <c r="O10" i="7"/>
  <c r="O31" i="8"/>
  <c r="L18" i="11"/>
  <c r="F30" i="17"/>
  <c r="G30" i="17" s="1"/>
  <c r="J30" i="17" s="1"/>
  <c r="F33" i="17"/>
  <c r="G33" i="17" s="1"/>
  <c r="J33" i="17" s="1"/>
  <c r="F31" i="17"/>
  <c r="G31" i="17" s="1"/>
  <c r="J31" i="17" s="1"/>
  <c r="F32" i="17"/>
  <c r="G32" i="17" s="1"/>
  <c r="J32" i="17" s="1"/>
  <c r="AN17" i="17"/>
  <c r="AO17" i="17" s="1"/>
  <c r="AO19" i="17" s="1"/>
  <c r="F34" i="17"/>
  <c r="G34" i="17" s="1"/>
  <c r="J34" i="17" s="1"/>
  <c r="AM22" i="17"/>
  <c r="AM23" i="17" s="1"/>
  <c r="AO23" i="17" s="1"/>
  <c r="O35" i="30"/>
  <c r="M8" i="7"/>
  <c r="L10" i="11"/>
  <c r="L14" i="11"/>
  <c r="O20" i="3"/>
  <c r="L11" i="11"/>
  <c r="DD15" i="17"/>
  <c r="DE15" i="17" s="1"/>
  <c r="DE19" i="17" s="1"/>
  <c r="N11" i="8"/>
  <c r="N7" i="33"/>
  <c r="FK17" i="17"/>
  <c r="FL16" i="17"/>
  <c r="FM16" i="17" s="1"/>
  <c r="L10" i="30"/>
  <c r="N10" i="30" s="1"/>
  <c r="L17" i="30"/>
  <c r="N17" i="30" s="1"/>
  <c r="N44" i="8"/>
  <c r="L17" i="11"/>
  <c r="L9" i="11"/>
  <c r="M34" i="31"/>
  <c r="F11" i="30"/>
  <c r="F18" i="30" s="1"/>
  <c r="F12" i="31"/>
  <c r="F19" i="31" s="1"/>
  <c r="N16" i="28"/>
  <c r="N7" i="5"/>
  <c r="I38" i="10"/>
  <c r="E17" i="32"/>
  <c r="F7" i="30"/>
  <c r="F14" i="30" s="1"/>
  <c r="O14" i="30" s="1"/>
  <c r="L10" i="9"/>
  <c r="N10" i="9"/>
  <c r="K10" i="9"/>
  <c r="B11" i="9"/>
  <c r="I12" i="9"/>
  <c r="M10" i="9"/>
  <c r="O10" i="9"/>
  <c r="O32" i="30"/>
  <c r="M33" i="31"/>
  <c r="N20" i="2"/>
  <c r="O41" i="31"/>
  <c r="M20" i="3"/>
  <c r="O35" i="8"/>
  <c r="N7" i="8"/>
  <c r="M13" i="1"/>
  <c r="O33" i="8"/>
  <c r="O36" i="31"/>
  <c r="O15" i="7"/>
  <c r="O8" i="7"/>
  <c r="M41" i="31"/>
  <c r="O8" i="2"/>
  <c r="O13" i="3"/>
  <c r="A17" i="3" s="1"/>
  <c r="A25" i="3" s="1"/>
  <c r="L8" i="11"/>
  <c r="M13" i="3"/>
  <c r="N15" i="7"/>
  <c r="N8" i="7"/>
  <c r="M35" i="30"/>
  <c r="L15" i="11"/>
  <c r="F8" i="31"/>
  <c r="F15" i="31" s="1"/>
  <c r="O15" i="31" s="1"/>
  <c r="O31" i="30"/>
  <c r="O12" i="7"/>
  <c r="M20" i="1"/>
  <c r="F17" i="2"/>
  <c r="O17" i="2" s="1"/>
  <c r="O10" i="2"/>
  <c r="F19" i="2"/>
  <c r="O19" i="2" s="1"/>
  <c r="O12" i="2"/>
  <c r="O36" i="30"/>
  <c r="O7" i="7"/>
  <c r="N9" i="8"/>
  <c r="F8" i="8"/>
  <c r="O8" i="8" s="1"/>
  <c r="M44" i="8"/>
  <c r="M36" i="30"/>
  <c r="P7" i="5"/>
  <c r="M32" i="30"/>
  <c r="M31" i="30"/>
  <c r="M12" i="7"/>
  <c r="O33" i="31"/>
  <c r="N34" i="31"/>
  <c r="L16" i="30"/>
  <c r="O16" i="30" s="1"/>
  <c r="D9" i="32"/>
  <c r="E18" i="32" s="1"/>
  <c r="F41" i="8"/>
  <c r="O41" i="8" s="1"/>
  <c r="O34" i="8"/>
  <c r="L18" i="31"/>
  <c r="I19" i="30"/>
  <c r="M19" i="30" s="1"/>
  <c r="I12" i="30"/>
  <c r="M12" i="30" s="1"/>
  <c r="I16" i="30"/>
  <c r="I9" i="30"/>
  <c r="F10" i="30"/>
  <c r="F17" i="30" s="1"/>
  <c r="I14" i="31"/>
  <c r="I7" i="31"/>
  <c r="M7" i="31" s="1"/>
  <c r="F7" i="31"/>
  <c r="F14" i="31" s="1"/>
  <c r="I17" i="31"/>
  <c r="I10" i="31"/>
  <c r="F11" i="31"/>
  <c r="F18" i="31" s="1"/>
  <c r="L16" i="28"/>
  <c r="I16" i="8"/>
  <c r="M16" i="8" s="1"/>
  <c r="I9" i="8"/>
  <c r="M9" i="8" s="1"/>
  <c r="F19" i="8"/>
  <c r="O19" i="8" s="1"/>
  <c r="O12" i="8"/>
  <c r="I18" i="8"/>
  <c r="M18" i="8" s="1"/>
  <c r="I11" i="8"/>
  <c r="M11" i="8" s="1"/>
  <c r="I15" i="8"/>
  <c r="M15" i="8" s="1"/>
  <c r="I8" i="8"/>
  <c r="M8" i="8" s="1"/>
  <c r="F9" i="8"/>
  <c r="E17" i="8"/>
  <c r="N17" i="8" s="1"/>
  <c r="N10" i="8"/>
  <c r="I19" i="8"/>
  <c r="M19" i="8" s="1"/>
  <c r="I12" i="8"/>
  <c r="M12" i="8" s="1"/>
  <c r="I15" i="30"/>
  <c r="I8" i="30"/>
  <c r="M8" i="30" s="1"/>
  <c r="I14" i="30"/>
  <c r="M14" i="30" s="1"/>
  <c r="I7" i="30"/>
  <c r="I10" i="30"/>
  <c r="I17" i="30"/>
  <c r="F8" i="30"/>
  <c r="F15" i="30" s="1"/>
  <c r="I18" i="30"/>
  <c r="I11" i="30"/>
  <c r="F12" i="30"/>
  <c r="F19" i="30" s="1"/>
  <c r="O19" i="30" s="1"/>
  <c r="I16" i="31"/>
  <c r="I9" i="31"/>
  <c r="M9" i="31" s="1"/>
  <c r="I18" i="31"/>
  <c r="I11" i="31"/>
  <c r="M11" i="31" s="1"/>
  <c r="I15" i="31"/>
  <c r="M15" i="31" s="1"/>
  <c r="I8" i="31"/>
  <c r="F9" i="31"/>
  <c r="F16" i="31" s="1"/>
  <c r="I19" i="31"/>
  <c r="I12" i="31"/>
  <c r="F43" i="8"/>
  <c r="O43" i="8" s="1"/>
  <c r="O36" i="8"/>
  <c r="I14" i="8"/>
  <c r="M14" i="8" s="1"/>
  <c r="I7" i="8"/>
  <c r="M7" i="8" s="1"/>
  <c r="F17" i="8"/>
  <c r="O17" i="8" s="1"/>
  <c r="O10" i="8"/>
  <c r="F7" i="8"/>
  <c r="E15" i="8"/>
  <c r="N15" i="8" s="1"/>
  <c r="N8" i="8"/>
  <c r="I17" i="8"/>
  <c r="M17" i="8" s="1"/>
  <c r="I10" i="8"/>
  <c r="M10" i="8" s="1"/>
  <c r="F11" i="8"/>
  <c r="E19" i="8"/>
  <c r="N19" i="8" s="1"/>
  <c r="N12" i="8"/>
  <c r="N15" i="27"/>
  <c r="N9" i="33"/>
  <c r="H11" i="33"/>
  <c r="J10" i="33"/>
  <c r="N10" i="33" s="1"/>
  <c r="C9" i="5"/>
  <c r="A10" i="5"/>
  <c r="B9" i="5"/>
  <c r="D9" i="5" s="1"/>
  <c r="M9" i="5" s="1"/>
  <c r="E18" i="4"/>
  <c r="M9" i="4"/>
  <c r="A12" i="4"/>
  <c r="B11" i="4"/>
  <c r="C11" i="4"/>
  <c r="A11" i="32"/>
  <c r="B10" i="32"/>
  <c r="C10" i="32"/>
  <c r="D8" i="5"/>
  <c r="M8" i="5" s="1"/>
  <c r="N8" i="32"/>
  <c r="P8" i="32"/>
  <c r="H9" i="27"/>
  <c r="J8" i="27"/>
  <c r="L8" i="27" s="1"/>
  <c r="N43" i="30"/>
  <c r="O43" i="30"/>
  <c r="M43" i="30"/>
  <c r="M37" i="8"/>
  <c r="N37" i="8"/>
  <c r="N14" i="7"/>
  <c r="M14" i="7"/>
  <c r="O14" i="7"/>
  <c r="N42" i="31"/>
  <c r="M42" i="31"/>
  <c r="O42" i="31"/>
  <c r="M31" i="9"/>
  <c r="M30" i="9"/>
  <c r="N38" i="30"/>
  <c r="O38" i="30"/>
  <c r="M38" i="30"/>
  <c r="N14" i="30"/>
  <c r="L7" i="30"/>
  <c r="L9" i="30"/>
  <c r="L11" i="30"/>
  <c r="L18" i="30"/>
  <c r="M13" i="11"/>
  <c r="M20" i="11"/>
  <c r="N17" i="7"/>
  <c r="O17" i="7"/>
  <c r="M17" i="7"/>
  <c r="O9" i="7"/>
  <c r="M9" i="7"/>
  <c r="N9" i="7"/>
  <c r="M45" i="10"/>
  <c r="M46" i="10" s="1"/>
  <c r="N39" i="31"/>
  <c r="M39" i="31"/>
  <c r="O39" i="31"/>
  <c r="N7" i="31"/>
  <c r="N9" i="31"/>
  <c r="N11" i="31"/>
  <c r="L14" i="31"/>
  <c r="L16" i="31"/>
  <c r="L17" i="31"/>
  <c r="L19" i="31"/>
  <c r="M26" i="9"/>
  <c r="N41" i="30"/>
  <c r="O41" i="30"/>
  <c r="M41" i="30"/>
  <c r="N34" i="30"/>
  <c r="N37" i="30" s="1"/>
  <c r="M34" i="30"/>
  <c r="O34" i="30"/>
  <c r="N16" i="7"/>
  <c r="M16" i="7"/>
  <c r="O16" i="7"/>
  <c r="N35" i="31"/>
  <c r="M35" i="31"/>
  <c r="O35" i="31"/>
  <c r="N31" i="31"/>
  <c r="M31" i="31"/>
  <c r="O31" i="31"/>
  <c r="M27" i="9"/>
  <c r="N40" i="30"/>
  <c r="O40" i="30"/>
  <c r="M40" i="30"/>
  <c r="O39" i="30"/>
  <c r="M39" i="30"/>
  <c r="N39" i="30"/>
  <c r="N8" i="30"/>
  <c r="N12" i="30"/>
  <c r="N19" i="30"/>
  <c r="L15" i="30"/>
  <c r="N15" i="31"/>
  <c r="L8" i="31"/>
  <c r="L10" i="31"/>
  <c r="L12" i="31"/>
  <c r="O40" i="31"/>
  <c r="M40" i="31"/>
  <c r="N40" i="31"/>
  <c r="M10" i="4" l="1"/>
  <c r="N13" i="2"/>
  <c r="M38" i="10"/>
  <c r="M39" i="10" s="1"/>
  <c r="H48" i="10" s="1"/>
  <c r="C9" i="6" s="1"/>
  <c r="F9" i="6" s="1"/>
  <c r="L13" i="1"/>
  <c r="M13" i="2"/>
  <c r="L20" i="1"/>
  <c r="B41" i="8"/>
  <c r="C49" i="8" s="1"/>
  <c r="AM24" i="17"/>
  <c r="AM25" i="17" s="1"/>
  <c r="AO22" i="17"/>
  <c r="D17" i="28"/>
  <c r="E17" i="28" s="1"/>
  <c r="D24" i="28" s="1"/>
  <c r="D26" i="28" s="1"/>
  <c r="M9" i="32"/>
  <c r="P9" i="32" s="1"/>
  <c r="D41" i="8"/>
  <c r="D49" i="8" s="1"/>
  <c r="M10" i="30"/>
  <c r="D17" i="2"/>
  <c r="D25" i="2" s="1"/>
  <c r="L20" i="11"/>
  <c r="B17" i="3"/>
  <c r="C25" i="3" s="1"/>
  <c r="B20" i="3" s="1"/>
  <c r="C7" i="6" s="1"/>
  <c r="F7" i="6" s="1"/>
  <c r="O8" i="30"/>
  <c r="O9" i="31"/>
  <c r="O7" i="31"/>
  <c r="M18" i="31"/>
  <c r="L13" i="11"/>
  <c r="D17" i="11"/>
  <c r="B17" i="11"/>
  <c r="B20" i="11" s="1"/>
  <c r="C10" i="6" s="1"/>
  <c r="F10" i="6" s="1"/>
  <c r="B16" i="1"/>
  <c r="C16" i="1" s="1"/>
  <c r="C5" i="6" s="1"/>
  <c r="F5" i="6" s="1"/>
  <c r="B17" i="2"/>
  <c r="C25" i="2" s="1"/>
  <c r="O17" i="30"/>
  <c r="DC22" i="17"/>
  <c r="DE22" i="17" s="1"/>
  <c r="DE31" i="17" s="1"/>
  <c r="M17" i="30"/>
  <c r="O37" i="30"/>
  <c r="FK18" i="17"/>
  <c r="FL17" i="17"/>
  <c r="FM17" i="17" s="1"/>
  <c r="O12" i="30"/>
  <c r="O10" i="30"/>
  <c r="N11" i="9"/>
  <c r="O11" i="9"/>
  <c r="L11" i="9"/>
  <c r="M11" i="9"/>
  <c r="J11" i="9"/>
  <c r="K11" i="9"/>
  <c r="B12" i="9"/>
  <c r="I13" i="9"/>
  <c r="N13" i="7"/>
  <c r="F15" i="8"/>
  <c r="O15" i="8" s="1"/>
  <c r="N16" i="30"/>
  <c r="M16" i="30"/>
  <c r="O13" i="2"/>
  <c r="M37" i="30"/>
  <c r="O13" i="7"/>
  <c r="O20" i="2"/>
  <c r="O11" i="31"/>
  <c r="M13" i="7"/>
  <c r="N13" i="8"/>
  <c r="N20" i="8"/>
  <c r="M13" i="8"/>
  <c r="O37" i="8"/>
  <c r="O18" i="31"/>
  <c r="N18" i="31"/>
  <c r="O44" i="8"/>
  <c r="D11" i="4"/>
  <c r="M11" i="4" s="1"/>
  <c r="M44" i="31"/>
  <c r="O44" i="31"/>
  <c r="N44" i="31"/>
  <c r="F18" i="8"/>
  <c r="O18" i="8" s="1"/>
  <c r="O11" i="8"/>
  <c r="F16" i="8"/>
  <c r="O16" i="8" s="1"/>
  <c r="O9" i="8"/>
  <c r="O37" i="31"/>
  <c r="A41" i="31" s="1"/>
  <c r="A49" i="31" s="1"/>
  <c r="N37" i="31"/>
  <c r="D41" i="31" s="1"/>
  <c r="D49" i="31" s="1"/>
  <c r="F14" i="8"/>
  <c r="O14" i="8" s="1"/>
  <c r="O7" i="8"/>
  <c r="O13" i="8" s="1"/>
  <c r="M20" i="8"/>
  <c r="J11" i="33"/>
  <c r="N11" i="33" s="1"/>
  <c r="H12" i="33"/>
  <c r="P10" i="4"/>
  <c r="N10" i="4"/>
  <c r="H10" i="27"/>
  <c r="J9" i="27"/>
  <c r="L9" i="27" s="1"/>
  <c r="C11" i="32"/>
  <c r="A12" i="32"/>
  <c r="B11" i="32"/>
  <c r="D11" i="32" s="1"/>
  <c r="A11" i="5"/>
  <c r="B10" i="5"/>
  <c r="C10" i="5"/>
  <c r="N8" i="5"/>
  <c r="P8" i="5"/>
  <c r="D10" i="32"/>
  <c r="C12" i="4"/>
  <c r="A13" i="4"/>
  <c r="B12" i="4"/>
  <c r="D12" i="4" s="1"/>
  <c r="N9" i="4"/>
  <c r="P9" i="4"/>
  <c r="P9" i="5"/>
  <c r="N9" i="5"/>
  <c r="N8" i="31"/>
  <c r="O8" i="31"/>
  <c r="M8" i="31"/>
  <c r="N10" i="31"/>
  <c r="O10" i="31"/>
  <c r="M10" i="31"/>
  <c r="M37" i="31"/>
  <c r="N19" i="31"/>
  <c r="O19" i="31"/>
  <c r="M19" i="31"/>
  <c r="N14" i="31"/>
  <c r="M14" i="31"/>
  <c r="O14" i="31"/>
  <c r="N18" i="30"/>
  <c r="M18" i="30"/>
  <c r="O18" i="30"/>
  <c r="N9" i="30"/>
  <c r="M9" i="30"/>
  <c r="O9" i="30"/>
  <c r="O44" i="30"/>
  <c r="O20" i="7"/>
  <c r="N20" i="7"/>
  <c r="N12" i="31"/>
  <c r="O12" i="31"/>
  <c r="M12" i="31"/>
  <c r="N15" i="30"/>
  <c r="M15" i="30"/>
  <c r="O15" i="30"/>
  <c r="N17" i="31"/>
  <c r="O17" i="31"/>
  <c r="M17" i="31"/>
  <c r="N16" i="31"/>
  <c r="M16" i="31"/>
  <c r="O16" i="31"/>
  <c r="N11" i="30"/>
  <c r="M11" i="30"/>
  <c r="O11" i="30"/>
  <c r="N7" i="30"/>
  <c r="M7" i="30"/>
  <c r="O7" i="30"/>
  <c r="M44" i="30"/>
  <c r="N44" i="30"/>
  <c r="D41" i="30" s="1"/>
  <c r="D49" i="30" s="1"/>
  <c r="M20" i="7"/>
  <c r="N9" i="32" l="1"/>
  <c r="AO24" i="17"/>
  <c r="DD22" i="17"/>
  <c r="DD31" i="17" s="1"/>
  <c r="O20" i="30"/>
  <c r="B41" i="31"/>
  <c r="C49" i="31" s="1"/>
  <c r="B44" i="31" s="1"/>
  <c r="G44" i="31" s="1"/>
  <c r="D17" i="7"/>
  <c r="D25" i="7" s="1"/>
  <c r="DC31" i="17"/>
  <c r="B17" i="8"/>
  <c r="C25" i="8" s="1"/>
  <c r="D17" i="8"/>
  <c r="D25" i="8" s="1"/>
  <c r="A17" i="2"/>
  <c r="A25" i="2" s="1"/>
  <c r="B20" i="2" s="1"/>
  <c r="C6" i="6" s="1"/>
  <c r="F6" i="6" s="1"/>
  <c r="A41" i="30"/>
  <c r="A49" i="30" s="1"/>
  <c r="FK20" i="17"/>
  <c r="FK19" i="17"/>
  <c r="FL19" i="17" s="1"/>
  <c r="FL18" i="17"/>
  <c r="DF31" i="17"/>
  <c r="C46" i="17" s="1"/>
  <c r="E47" i="17" s="1"/>
  <c r="H46" i="17" s="1"/>
  <c r="A17" i="7"/>
  <c r="A25" i="7" s="1"/>
  <c r="B13" i="9"/>
  <c r="I14" i="9"/>
  <c r="B14" i="9" s="1"/>
  <c r="K12" i="9"/>
  <c r="N12" i="9"/>
  <c r="L12" i="9"/>
  <c r="J12" i="9"/>
  <c r="O12" i="9"/>
  <c r="M12" i="9"/>
  <c r="N20" i="30"/>
  <c r="B17" i="7"/>
  <c r="C25" i="7" s="1"/>
  <c r="B41" i="30"/>
  <c r="C49" i="30" s="1"/>
  <c r="B44" i="30" s="1"/>
  <c r="G44" i="30" s="1"/>
  <c r="M20" i="30"/>
  <c r="E20" i="4"/>
  <c r="O13" i="31"/>
  <c r="N13" i="31"/>
  <c r="A41" i="8"/>
  <c r="A49" i="8" s="1"/>
  <c r="B44" i="8" s="1"/>
  <c r="G44" i="8" s="1"/>
  <c r="M13" i="31"/>
  <c r="M13" i="30"/>
  <c r="B17" i="30" s="1"/>
  <c r="C25" i="30" s="1"/>
  <c r="O20" i="8"/>
  <c r="A17" i="8" s="1"/>
  <c r="A25" i="8" s="1"/>
  <c r="H14" i="33"/>
  <c r="J12" i="33"/>
  <c r="N12" i="33" s="1"/>
  <c r="N13" i="33" s="1"/>
  <c r="AM26" i="17"/>
  <c r="AO25" i="17"/>
  <c r="A14" i="4"/>
  <c r="B13" i="4"/>
  <c r="C13" i="4"/>
  <c r="E19" i="32"/>
  <c r="M10" i="32"/>
  <c r="C11" i="5"/>
  <c r="B11" i="5"/>
  <c r="A12" i="5"/>
  <c r="N11" i="4"/>
  <c r="P11" i="4"/>
  <c r="E20" i="32"/>
  <c r="M11" i="32"/>
  <c r="E21" i="4"/>
  <c r="M12" i="4"/>
  <c r="D10" i="5"/>
  <c r="M10" i="5" s="1"/>
  <c r="A13" i="32"/>
  <c r="B12" i="32"/>
  <c r="C12" i="32"/>
  <c r="H11" i="27"/>
  <c r="J10" i="27"/>
  <c r="L10" i="27" s="1"/>
  <c r="O13" i="30"/>
  <c r="A17" i="30" s="1"/>
  <c r="A25" i="30" s="1"/>
  <c r="N13" i="30"/>
  <c r="D17" i="30" s="1"/>
  <c r="D25" i="30" s="1"/>
  <c r="O20" i="31"/>
  <c r="N20" i="31"/>
  <c r="M20" i="31"/>
  <c r="B17" i="31" l="1"/>
  <c r="C25" i="31" s="1"/>
  <c r="B20" i="7"/>
  <c r="C17" i="6" s="1"/>
  <c r="F17" i="6" s="1"/>
  <c r="B20" i="8"/>
  <c r="G20" i="8" s="1"/>
  <c r="B59" i="8" s="1"/>
  <c r="C16" i="6" s="1"/>
  <c r="F16" i="6" s="1"/>
  <c r="G19" i="20"/>
  <c r="G46" i="20" s="1"/>
  <c r="B24" i="35"/>
  <c r="FK21" i="17"/>
  <c r="FL20" i="17"/>
  <c r="FM20" i="17" s="1"/>
  <c r="J14" i="9"/>
  <c r="O14" i="9"/>
  <c r="M14" i="9"/>
  <c r="K14" i="9"/>
  <c r="N14" i="9"/>
  <c r="L14" i="9"/>
  <c r="L13" i="9"/>
  <c r="M13" i="9"/>
  <c r="J13" i="9"/>
  <c r="K13" i="9"/>
  <c r="N13" i="9"/>
  <c r="N15" i="9" s="1"/>
  <c r="G20" i="9" s="1"/>
  <c r="O13" i="9"/>
  <c r="A17" i="31"/>
  <c r="A25" i="31" s="1"/>
  <c r="D17" i="31"/>
  <c r="D25" i="31" s="1"/>
  <c r="D13" i="4"/>
  <c r="E22" i="4" s="1"/>
  <c r="E23" i="4" s="1"/>
  <c r="FG18" i="17" s="1"/>
  <c r="D12" i="32"/>
  <c r="M12" i="32" s="1"/>
  <c r="D11" i="5"/>
  <c r="M11" i="5" s="1"/>
  <c r="P11" i="5" s="1"/>
  <c r="B20" i="30"/>
  <c r="G20" i="30" s="1"/>
  <c r="B59" i="30" s="1"/>
  <c r="A34" i="32" s="1"/>
  <c r="A35" i="32" s="1"/>
  <c r="H15" i="33"/>
  <c r="J14" i="33"/>
  <c r="N14" i="33" s="1"/>
  <c r="AM27" i="17"/>
  <c r="AO26" i="17"/>
  <c r="H12" i="27"/>
  <c r="J11" i="27"/>
  <c r="L11" i="27" s="1"/>
  <c r="N10" i="5"/>
  <c r="P10" i="5"/>
  <c r="P12" i="4"/>
  <c r="N12" i="4"/>
  <c r="N11" i="5"/>
  <c r="C13" i="32"/>
  <c r="B13" i="32"/>
  <c r="A14" i="32"/>
  <c r="P11" i="32"/>
  <c r="N11" i="32"/>
  <c r="A13" i="5"/>
  <c r="B12" i="5"/>
  <c r="C12" i="5"/>
  <c r="N10" i="32"/>
  <c r="P10" i="32"/>
  <c r="C14" i="4"/>
  <c r="B14" i="4"/>
  <c r="M13" i="4" l="1"/>
  <c r="P13" i="4" s="1"/>
  <c r="D24" i="35"/>
  <c r="A14" i="35"/>
  <c r="D14" i="35" s="1"/>
  <c r="G14" i="35" s="1"/>
  <c r="FK22" i="17"/>
  <c r="FL21" i="17"/>
  <c r="FM21" i="17" s="1"/>
  <c r="L15" i="9"/>
  <c r="E20" i="9" s="1"/>
  <c r="E21" i="9" s="1"/>
  <c r="K15" i="9"/>
  <c r="D20" i="9" s="1"/>
  <c r="D27" i="9" s="1"/>
  <c r="D28" i="9" s="1"/>
  <c r="M15" i="9"/>
  <c r="F20" i="9" s="1"/>
  <c r="F21" i="9" s="1"/>
  <c r="J15" i="9"/>
  <c r="C20" i="9" s="1"/>
  <c r="C27" i="9" s="1"/>
  <c r="C28" i="9" s="1"/>
  <c r="E27" i="9"/>
  <c r="E28" i="9" s="1"/>
  <c r="D21" i="9"/>
  <c r="G27" i="9"/>
  <c r="G28" i="9" s="1"/>
  <c r="G21" i="9"/>
  <c r="O15" i="9"/>
  <c r="H20" i="9" s="1"/>
  <c r="D12" i="5"/>
  <c r="M12" i="5" s="1"/>
  <c r="P12" i="5" s="1"/>
  <c r="E21" i="32"/>
  <c r="B20" i="31"/>
  <c r="G20" i="31" s="1"/>
  <c r="B59" i="31" s="1"/>
  <c r="B34" i="32" s="1"/>
  <c r="B35" i="32" s="1"/>
  <c r="D13" i="32"/>
  <c r="M13" i="32" s="1"/>
  <c r="H16" i="33"/>
  <c r="J15" i="33"/>
  <c r="N15" i="33" s="1"/>
  <c r="AM28" i="17"/>
  <c r="AO27" i="17"/>
  <c r="N12" i="5"/>
  <c r="FI18" i="17"/>
  <c r="FG19" i="17"/>
  <c r="E22" i="32"/>
  <c r="E23" i="32" s="1"/>
  <c r="N13" i="4"/>
  <c r="J12" i="27"/>
  <c r="L12" i="27" s="1"/>
  <c r="H13" i="27"/>
  <c r="D14" i="4"/>
  <c r="M14" i="4" s="1"/>
  <c r="C13" i="5"/>
  <c r="A14" i="5"/>
  <c r="B13" i="5"/>
  <c r="D13" i="5" s="1"/>
  <c r="M13" i="5" s="1"/>
  <c r="B14" i="32"/>
  <c r="C14" i="32"/>
  <c r="N12" i="32"/>
  <c r="P12" i="32"/>
  <c r="C21" i="9" l="1"/>
  <c r="FL22" i="17"/>
  <c r="FM22" i="17" s="1"/>
  <c r="FK23" i="17"/>
  <c r="F27" i="9"/>
  <c r="F28" i="9" s="1"/>
  <c r="H27" i="9"/>
  <c r="H28" i="9" s="1"/>
  <c r="H21" i="9"/>
  <c r="D14" i="32"/>
  <c r="M14" i="32" s="1"/>
  <c r="N14" i="32" s="1"/>
  <c r="J16" i="33"/>
  <c r="N16" i="33" s="1"/>
  <c r="H17" i="33"/>
  <c r="AO28" i="17"/>
  <c r="AM29" i="17"/>
  <c r="B14" i="5"/>
  <c r="C14" i="5"/>
  <c r="P13" i="32"/>
  <c r="N13" i="32"/>
  <c r="FJ18" i="17"/>
  <c r="FI19" i="17"/>
  <c r="FM18" i="17"/>
  <c r="P13" i="5"/>
  <c r="N13" i="5"/>
  <c r="P14" i="4"/>
  <c r="P15" i="4" s="1"/>
  <c r="N14" i="4"/>
  <c r="N15" i="4" s="1"/>
  <c r="H14" i="27"/>
  <c r="J14" i="27" s="1"/>
  <c r="L14" i="27" s="1"/>
  <c r="J13" i="27"/>
  <c r="L13" i="27" s="1"/>
  <c r="I21" i="9" l="1"/>
  <c r="I22" i="9" s="1"/>
  <c r="I28" i="9"/>
  <c r="I29" i="9" s="1"/>
  <c r="M29" i="9" s="1"/>
  <c r="FK24" i="17"/>
  <c r="FL24" i="17" s="1"/>
  <c r="FM24" i="17" s="1"/>
  <c r="FL23" i="17"/>
  <c r="FM23" i="17" s="1"/>
  <c r="P14" i="32"/>
  <c r="D14" i="5"/>
  <c r="M14" i="5" s="1"/>
  <c r="P14" i="5" s="1"/>
  <c r="P15" i="5" s="1"/>
  <c r="N15" i="32"/>
  <c r="H18" i="33"/>
  <c r="J17" i="33"/>
  <c r="N17" i="33" s="1"/>
  <c r="AM30" i="17"/>
  <c r="AO29" i="17"/>
  <c r="N14" i="5"/>
  <c r="N15" i="5" s="1"/>
  <c r="L15" i="27"/>
  <c r="D16" i="27" s="1"/>
  <c r="E16" i="27" s="1"/>
  <c r="C24" i="28" s="1"/>
  <c r="C26" i="28" s="1"/>
  <c r="E26" i="28" s="1"/>
  <c r="C13" i="6" s="1"/>
  <c r="F13" i="6" s="1"/>
  <c r="F16" i="4"/>
  <c r="G16" i="4" s="1"/>
  <c r="C11" i="6" s="1"/>
  <c r="F11" i="6" s="1"/>
  <c r="FJ19" i="17"/>
  <c r="FM19" i="17"/>
  <c r="P15" i="32"/>
  <c r="F16" i="32" s="1"/>
  <c r="G16" i="32" s="1"/>
  <c r="C34" i="32" s="1"/>
  <c r="C35" i="32" s="1"/>
  <c r="D35" i="32" s="1"/>
  <c r="C14" i="6" s="1"/>
  <c r="F14" i="6" s="1"/>
  <c r="M28" i="9" l="1"/>
  <c r="FM25" i="17"/>
  <c r="FJ31" i="17" s="1"/>
  <c r="FJ33" i="17" s="1"/>
  <c r="P10" i="17" s="1"/>
  <c r="D31" i="9"/>
  <c r="C8" i="6" s="1"/>
  <c r="F8" i="6" s="1"/>
  <c r="F16" i="5"/>
  <c r="G16" i="5" s="1"/>
  <c r="C12" i="6" s="1"/>
  <c r="F12" i="6" s="1"/>
  <c r="H19" i="33"/>
  <c r="J19" i="33" s="1"/>
  <c r="N19" i="33" s="1"/>
  <c r="J18" i="33"/>
  <c r="N18" i="33" s="1"/>
  <c r="AO30" i="17"/>
  <c r="AM31" i="17"/>
  <c r="N20" i="33" l="1"/>
  <c r="B17" i="33" s="1"/>
  <c r="C25" i="33" s="1"/>
  <c r="B20" i="33" s="1"/>
  <c r="C15" i="6" s="1"/>
  <c r="F15" i="6" s="1"/>
  <c r="F18" i="6" s="1"/>
  <c r="M28" i="17" s="1"/>
  <c r="N27" i="17" s="1"/>
  <c r="AM32" i="17"/>
  <c r="AO31" i="17"/>
  <c r="N29" i="17" l="1"/>
  <c r="FE11" i="17"/>
  <c r="E27" i="17"/>
  <c r="AM33" i="17"/>
  <c r="AO33" i="17" s="1"/>
  <c r="AO32" i="17"/>
  <c r="G27" i="17" l="1"/>
  <c r="J27" i="17" s="1"/>
  <c r="E35" i="17"/>
  <c r="G35" i="17" s="1"/>
  <c r="J35" i="17" s="1"/>
  <c r="AO34" i="17"/>
  <c r="AO36" i="17" s="1"/>
  <c r="J9" i="17" s="1"/>
  <c r="A57" i="17" l="1"/>
  <c r="B57" i="17" s="1"/>
  <c r="H59" i="17" s="1"/>
  <c r="H41" i="17"/>
  <c r="H44" i="17" s="1"/>
  <c r="H45" i="17" s="1"/>
  <c r="D19" i="20" s="1"/>
  <c r="D46" i="20" s="1"/>
  <c r="E59" i="17" l="1"/>
  <c r="A19" i="20"/>
  <c r="A46" i="20" s="1"/>
  <c r="H49" i="17"/>
  <c r="H19" i="20" l="1"/>
  <c r="H46" i="20" s="1"/>
  <c r="E60" i="17"/>
  <c r="H60" i="17" s="1"/>
  <c r="F61" i="17"/>
  <c r="A41" i="17" s="1"/>
  <c r="A20" i="20" s="1"/>
  <c r="A47" i="20" s="1"/>
</calcChain>
</file>

<file path=xl/sharedStrings.xml><?xml version="1.0" encoding="utf-8"?>
<sst xmlns="http://schemas.openxmlformats.org/spreadsheetml/2006/main" count="1780" uniqueCount="456">
  <si>
    <t>ESSENCE</t>
  </si>
  <si>
    <t>DIESEL</t>
  </si>
  <si>
    <t xml:space="preserve">AVEC REMORQUE </t>
  </si>
  <si>
    <t xml:space="preserve">SANS REMORQUE </t>
  </si>
  <si>
    <t>3 à 6</t>
  </si>
  <si>
    <t>7 à 10</t>
  </si>
  <si>
    <t>11 à 14</t>
  </si>
  <si>
    <t>14 à 23</t>
  </si>
  <si>
    <t>24 et +</t>
  </si>
  <si>
    <t>&lt; 2</t>
  </si>
  <si>
    <t>2 à 4</t>
  </si>
  <si>
    <t>5 à 7</t>
  </si>
  <si>
    <t>8 à 10</t>
  </si>
  <si>
    <t>11 à 16</t>
  </si>
  <si>
    <t>17 et +</t>
  </si>
  <si>
    <t>ZONE A</t>
  </si>
  <si>
    <t>ZONE B</t>
  </si>
  <si>
    <t>ZONE C</t>
  </si>
  <si>
    <t>ess</t>
  </si>
  <si>
    <t>die</t>
  </si>
  <si>
    <t>SANS REMORQUE</t>
  </si>
  <si>
    <t>puisance</t>
  </si>
  <si>
    <t xml:space="preserve"> Source energie</t>
  </si>
  <si>
    <t>matiere inflammable</t>
  </si>
  <si>
    <t>YES</t>
  </si>
  <si>
    <t>NO</t>
  </si>
  <si>
    <t>RC DE BASE</t>
  </si>
  <si>
    <t>MATIERE INFLAMMABLE</t>
  </si>
  <si>
    <t>&lt; 1</t>
  </si>
  <si>
    <t>6+</t>
  </si>
  <si>
    <t>CATRGORIES</t>
  </si>
  <si>
    <t>5A</t>
  </si>
  <si>
    <t>5B</t>
  </si>
  <si>
    <t>4A</t>
  </si>
  <si>
    <t>4B</t>
  </si>
  <si>
    <t>4C</t>
  </si>
  <si>
    <t>ENGINS PORTUAIRES ET DE MANUTENTION</t>
  </si>
  <si>
    <t xml:space="preserve">AUTRES ENGINS NOTAMMENT DE GRANDS TRAVAUX </t>
  </si>
  <si>
    <t>15 à 23</t>
  </si>
  <si>
    <t>Nbre Place</t>
  </si>
  <si>
    <t>Nbre places</t>
  </si>
  <si>
    <t>9 à 19</t>
  </si>
  <si>
    <t>40 +</t>
  </si>
  <si>
    <t xml:space="preserve">ORD </t>
  </si>
  <si>
    <t>tauyx de prime</t>
  </si>
  <si>
    <t>VT</t>
  </si>
  <si>
    <t>A18</t>
  </si>
  <si>
    <t>4a,4b,4c</t>
  </si>
  <si>
    <t>AVENANT</t>
  </si>
  <si>
    <t>VP</t>
  </si>
  <si>
    <t>NOUVELLE AFFAIRE</t>
  </si>
  <si>
    <t>APPORTEUR</t>
  </si>
  <si>
    <t>DUREE</t>
  </si>
  <si>
    <t>CAT</t>
  </si>
  <si>
    <t>S.E</t>
  </si>
  <si>
    <t>PUISSANCE</t>
  </si>
  <si>
    <t>LIEU</t>
  </si>
  <si>
    <t xml:space="preserve">PLACES </t>
  </si>
  <si>
    <t xml:space="preserve">ZONE </t>
  </si>
  <si>
    <t>COMPAGNIE</t>
  </si>
  <si>
    <t>TAUX ANNUEL</t>
  </si>
  <si>
    <t>BNS</t>
  </si>
  <si>
    <t>SP</t>
  </si>
  <si>
    <t>EFFET</t>
  </si>
  <si>
    <t>DTA</t>
  </si>
  <si>
    <t>BAREME COURTES PERIODES</t>
  </si>
  <si>
    <t>ACC</t>
  </si>
  <si>
    <t>ASAC</t>
  </si>
  <si>
    <t>CR</t>
  </si>
  <si>
    <t>TAXI DE VILLE</t>
  </si>
  <si>
    <t>CODE COURTIER</t>
  </si>
  <si>
    <t>A</t>
  </si>
  <si>
    <t>MOTO PERSONNELLE</t>
  </si>
  <si>
    <t xml:space="preserve">DOUALA </t>
  </si>
  <si>
    <t>B</t>
  </si>
  <si>
    <t>MOTO TAXI</t>
  </si>
  <si>
    <t>YAOUNDE</t>
  </si>
  <si>
    <t>C</t>
  </si>
  <si>
    <t>RESILIATION</t>
  </si>
  <si>
    <t>TRICYCLE</t>
  </si>
  <si>
    <t>D</t>
  </si>
  <si>
    <t>BERTOUA</t>
  </si>
  <si>
    <t>SUSPENSION</t>
  </si>
  <si>
    <t>CA</t>
  </si>
  <si>
    <t>LIMBE</t>
  </si>
  <si>
    <t>REMISE EN VIGUEUR</t>
  </si>
  <si>
    <t>CAMIONS</t>
  </si>
  <si>
    <t>BUEA</t>
  </si>
  <si>
    <t>TRANS GARANTIES</t>
  </si>
  <si>
    <t>CAMIONNETTE</t>
  </si>
  <si>
    <t xml:space="preserve">KUMBA </t>
  </si>
  <si>
    <t>CHANG IMMATRI</t>
  </si>
  <si>
    <t xml:space="preserve"> </t>
  </si>
  <si>
    <t>CTTE</t>
  </si>
  <si>
    <t>RENOUVELLEMENT</t>
  </si>
  <si>
    <t>PICK-UP</t>
  </si>
  <si>
    <t>GENRE</t>
  </si>
  <si>
    <t>IMMATRICULATION</t>
  </si>
  <si>
    <t>MANFE</t>
  </si>
  <si>
    <t>DUPLICATA</t>
  </si>
  <si>
    <t>CITERNES</t>
  </si>
  <si>
    <t>CATEGORIE</t>
  </si>
  <si>
    <t>BAFOUSSAM</t>
  </si>
  <si>
    <t>CHANG PROPRIETAIR</t>
  </si>
  <si>
    <t>FOURGON</t>
  </si>
  <si>
    <t>FOUBAN</t>
  </si>
  <si>
    <t>FOURGONNETTE</t>
  </si>
  <si>
    <t>FOUBOT</t>
  </si>
  <si>
    <t xml:space="preserve">TRACTEUR </t>
  </si>
  <si>
    <t>DSCHANG</t>
  </si>
  <si>
    <t>REMORQUE</t>
  </si>
  <si>
    <t>GAROUA</t>
  </si>
  <si>
    <t>SEMI-REMORQUE</t>
  </si>
  <si>
    <t xml:space="preserve">GARANTIES </t>
  </si>
  <si>
    <t xml:space="preserve">CAPITAUX </t>
  </si>
  <si>
    <t xml:space="preserve">PRIMES </t>
  </si>
  <si>
    <t>GAROUNDERE</t>
  </si>
  <si>
    <t xml:space="preserve"> CAMIONS VIDANGES</t>
  </si>
  <si>
    <t>ANNUELLE</t>
  </si>
  <si>
    <t>%</t>
  </si>
  <si>
    <t>NETTE</t>
  </si>
  <si>
    <t>EBOLOWA</t>
  </si>
  <si>
    <t>CAMOINS VOIRIES</t>
  </si>
  <si>
    <t>Illimité D.Corp               500000000Dm</t>
  </si>
  <si>
    <t>BONUS</t>
  </si>
  <si>
    <t>KRIBI</t>
  </si>
  <si>
    <t>TRUCKS</t>
  </si>
  <si>
    <t xml:space="preserve">Franchise:10%                  Min-300 000F </t>
  </si>
  <si>
    <t>PB</t>
  </si>
  <si>
    <t>BALMAYO</t>
  </si>
  <si>
    <t>TRAILER</t>
  </si>
  <si>
    <t xml:space="preserve">Franchise:5%                   Min-100 000F </t>
  </si>
  <si>
    <t>SUPLUS</t>
  </si>
  <si>
    <t>ESEKA</t>
  </si>
  <si>
    <t xml:space="preserve">Franchise:15%                   Min-100 000F </t>
  </si>
  <si>
    <t>EDEA</t>
  </si>
  <si>
    <t xml:space="preserve">Franchise:5%                   Min-25 000F </t>
  </si>
  <si>
    <t xml:space="preserve">                                                                                                                                                                                                                                                                                                                                                                                                                                                                                                                                                                                                                                                                                                                                                                                                                                                                                                                                                                                                                                                                                                                                                                                                                                                                                                                                                                                                                                                                                                                </t>
  </si>
  <si>
    <t>YABASSI</t>
  </si>
  <si>
    <t>Avance sur recours  /  Advance before recourse</t>
  </si>
  <si>
    <t xml:space="preserve">Franchise:10%                  Min-100 000F </t>
  </si>
  <si>
    <t>NKONGSSAMBA</t>
  </si>
  <si>
    <t>2 000 000 FCFA Franchise:</t>
  </si>
  <si>
    <t xml:space="preserve">     </t>
  </si>
  <si>
    <t xml:space="preserve">LOUM </t>
  </si>
  <si>
    <t xml:space="preserve">Franchise:5%                   Min-20 000F </t>
  </si>
  <si>
    <t>ILLIMITEE</t>
  </si>
  <si>
    <t>OBALA</t>
  </si>
  <si>
    <t>Sans franchise</t>
  </si>
  <si>
    <t>MONATELE</t>
  </si>
  <si>
    <t>décès / death</t>
  </si>
  <si>
    <t>N° PAS</t>
  </si>
  <si>
    <t>NFOU</t>
  </si>
  <si>
    <t>invalidite</t>
  </si>
  <si>
    <t>NTENG</t>
  </si>
  <si>
    <t>FMPH</t>
  </si>
  <si>
    <t>MAROUA</t>
  </si>
  <si>
    <t>BANYO</t>
  </si>
  <si>
    <t xml:space="preserve">PRIME NETTE </t>
  </si>
  <si>
    <t>TIBATI</t>
  </si>
  <si>
    <t xml:space="preserve">L' ASSURE </t>
  </si>
  <si>
    <t>ACCESSOIRES</t>
  </si>
  <si>
    <t>ABONBANG</t>
  </si>
  <si>
    <t>1 mois</t>
  </si>
  <si>
    <t>BETARE OYA</t>
  </si>
  <si>
    <t>2 mois</t>
  </si>
  <si>
    <t xml:space="preserve">PRIME HT </t>
  </si>
  <si>
    <t>BATOURI</t>
  </si>
  <si>
    <t>3 mois</t>
  </si>
  <si>
    <t xml:space="preserve">TVA </t>
  </si>
  <si>
    <t>AYOS</t>
  </si>
  <si>
    <t>4 mois</t>
  </si>
  <si>
    <t xml:space="preserve">POUR LA COMPAGNIE </t>
  </si>
  <si>
    <t>VIGNETTE AUTO</t>
  </si>
  <si>
    <t>DIMAKO</t>
  </si>
  <si>
    <t>5 mois</t>
  </si>
  <si>
    <t xml:space="preserve">CARTE ROSE </t>
  </si>
  <si>
    <t>MESSAMENA</t>
  </si>
  <si>
    <t>6 mois</t>
  </si>
  <si>
    <t>PRIME TTC</t>
  </si>
  <si>
    <t>NTUI</t>
  </si>
  <si>
    <t>7 mois</t>
  </si>
  <si>
    <t>BAFIA</t>
  </si>
  <si>
    <t>CLAUSES PARTICULIERES</t>
  </si>
  <si>
    <t>BALESSING</t>
  </si>
  <si>
    <t>9 mois</t>
  </si>
  <si>
    <t>1- Sont seules considérées comme souscrites les garanties dont des primes auront été payée,</t>
  </si>
  <si>
    <t xml:space="preserve">                                                                                                      </t>
  </si>
  <si>
    <t>BAGANTE</t>
  </si>
  <si>
    <t>10 mois</t>
  </si>
  <si>
    <t>2-Etendue territoriale: les garanties s'exercent pour les sinistres survenus au Cameroon ou dans l'un des pays membres de la CIMA,</t>
  </si>
  <si>
    <t>11 mois</t>
  </si>
  <si>
    <t xml:space="preserve">3-Le present contrat est établi d'après les déclarations du souscripteur, En cas de reticences, de fausse déclaration intentionnelle, d'omission ou de </t>
  </si>
  <si>
    <t>DJIBOMBARI</t>
  </si>
  <si>
    <t>12 mois</t>
  </si>
  <si>
    <t>déclaration inéxacte, le souscripteur s'expose aux sanctions prévues par les articles 18 et 19 du Code CIMA</t>
  </si>
  <si>
    <t>MBOUDA</t>
  </si>
  <si>
    <t>BAMENDA</t>
  </si>
  <si>
    <t>WOM</t>
  </si>
  <si>
    <t>Remorque/Semi-remorque/Appareil terrestre</t>
  </si>
  <si>
    <t>GAMBE</t>
  </si>
  <si>
    <t>Type</t>
  </si>
  <si>
    <t>Marque</t>
  </si>
  <si>
    <t>MOKOLO</t>
  </si>
  <si>
    <t>Immatriculation</t>
  </si>
  <si>
    <t>KOLOFATA</t>
  </si>
  <si>
    <t>COMMISION</t>
  </si>
  <si>
    <t>MOUNTENGENE</t>
  </si>
  <si>
    <t>REVERSEMENT</t>
  </si>
  <si>
    <t xml:space="preserve">PC N° </t>
  </si>
  <si>
    <t>AVENANT:</t>
  </si>
  <si>
    <t>0000010</t>
  </si>
  <si>
    <t>MODE DE PAIEMENT:</t>
  </si>
  <si>
    <t>Espèces</t>
  </si>
  <si>
    <t>NATURE DU PAIEMENT:</t>
  </si>
  <si>
    <t>Solde</t>
  </si>
  <si>
    <t>RESTE:</t>
  </si>
  <si>
    <t>Acompte</t>
  </si>
  <si>
    <t>Montant de l'acompte:</t>
  </si>
  <si>
    <t>Chèque</t>
  </si>
  <si>
    <t>Virement</t>
  </si>
  <si>
    <t>compensation</t>
  </si>
  <si>
    <t xml:space="preserve">                                           </t>
  </si>
  <si>
    <t>£</t>
  </si>
  <si>
    <t>LIBELLE OPERATION:</t>
  </si>
  <si>
    <t>TVA</t>
  </si>
  <si>
    <t>Le Souscripteur</t>
  </si>
  <si>
    <t>La caissière</t>
  </si>
  <si>
    <t>The above sum is received only on the account of the depositor, and the Firm is no way committed thereby the acceptance thereof for the purpose offered and nothing connected with the receipt of said sum shall be held to waive default in payment of any premium interest or other sum due.</t>
  </si>
  <si>
    <t>ANY PAYMENT TENDERED OTHERWISE THAN IN CASH IS RECEIVED FOR THE ACCOUNT OF THE DEPOSITOR UNTILACTUAL COLLECTION OF CASH BY FIRM</t>
  </si>
  <si>
    <t>Nom de l'assuré</t>
  </si>
  <si>
    <t>Adresse de l'assuré</t>
  </si>
  <si>
    <t>Profession de l'assuré</t>
  </si>
  <si>
    <t>Marque et type du véhicule</t>
  </si>
  <si>
    <t>Assureur</t>
  </si>
  <si>
    <t>GMC ASSURANCES</t>
  </si>
  <si>
    <t>Adresse de l'assureur</t>
  </si>
  <si>
    <t>Bureau émetteur</t>
  </si>
  <si>
    <t>ORION ASSURANCE</t>
  </si>
  <si>
    <t>Adresse du bureau émetteur</t>
  </si>
  <si>
    <t>police N°</t>
  </si>
  <si>
    <t>Du</t>
  </si>
  <si>
    <t>Au</t>
  </si>
  <si>
    <t>Catégorie du véhicule</t>
  </si>
  <si>
    <t xml:space="preserve">Numéro de chassis ou du </t>
  </si>
  <si>
    <t>Véhicule (marque)</t>
  </si>
  <si>
    <t>Genre (Type) de véhicule</t>
  </si>
  <si>
    <t>Lieu de délivrance</t>
  </si>
  <si>
    <t>Date et heure de délivrance</t>
  </si>
  <si>
    <t>DATE:</t>
  </si>
  <si>
    <t>Encaissement prime police et Vignette</t>
  </si>
  <si>
    <t>ASSURE:</t>
  </si>
  <si>
    <t>N° DE POLICE</t>
  </si>
  <si>
    <t>N° DE CHASSIS</t>
  </si>
  <si>
    <t>Puissance</t>
  </si>
  <si>
    <t>Prime Nette</t>
  </si>
  <si>
    <t>Accessoires</t>
  </si>
  <si>
    <t>Fichier Central</t>
  </si>
  <si>
    <t>Carte Rose</t>
  </si>
  <si>
    <t>DTA/VIGNETTE</t>
  </si>
  <si>
    <t>Total à Payer</t>
  </si>
  <si>
    <t>CV</t>
  </si>
  <si>
    <t>à minuit</t>
  </si>
  <si>
    <t>ACTIVA ASSURANCES</t>
  </si>
  <si>
    <t>AXA ASSURANCES</t>
  </si>
  <si>
    <t>ALLIANZ ASSURANCES</t>
  </si>
  <si>
    <t>CHANAS ASSURANCES</t>
  </si>
  <si>
    <t>SAAR ASSURANCES</t>
  </si>
  <si>
    <t>PRO ASSUR ASSURANCES</t>
  </si>
  <si>
    <t>SAHAM ASSURANCES</t>
  </si>
  <si>
    <t>ECHEANCE</t>
  </si>
  <si>
    <t>vt</t>
  </si>
  <si>
    <t>moto</t>
  </si>
  <si>
    <t>tricycle</t>
  </si>
  <si>
    <t>BP 2868 YAOUNDE</t>
  </si>
  <si>
    <t>BUS</t>
  </si>
  <si>
    <t>VU</t>
  </si>
  <si>
    <t>**</t>
  </si>
  <si>
    <t>Catégorie</t>
  </si>
  <si>
    <t>no</t>
  </si>
  <si>
    <t>remorque</t>
  </si>
  <si>
    <t>engins portuaires</t>
  </si>
  <si>
    <t>engins portuaires/autres engins</t>
  </si>
  <si>
    <t>yes/no</t>
  </si>
  <si>
    <t xml:space="preserve">no </t>
  </si>
  <si>
    <t>sans/avec</t>
  </si>
  <si>
    <t>ENGINS SPECIAUX</t>
  </si>
  <si>
    <t xml:space="preserve">NUMERO DE POLICE </t>
  </si>
  <si>
    <t>MINI-BUS</t>
  </si>
  <si>
    <t>SAAR</t>
  </si>
  <si>
    <t>ORD</t>
  </si>
  <si>
    <t>ORION GMC</t>
  </si>
  <si>
    <t>BONANDJO GMC</t>
  </si>
  <si>
    <t>PERSO GMC</t>
  </si>
  <si>
    <t>ORION SAAR</t>
  </si>
  <si>
    <t>A20</t>
  </si>
  <si>
    <t>A19</t>
  </si>
  <si>
    <t>RESTE A PAYER</t>
  </si>
  <si>
    <t>REDUCTION</t>
  </si>
  <si>
    <t>PROROGATION</t>
  </si>
  <si>
    <t>SEMI REMOR</t>
  </si>
  <si>
    <t>NBRE DE CARTE/ CARD NBER</t>
  </si>
  <si>
    <t>SOUS CATEGORIE</t>
  </si>
  <si>
    <t xml:space="preserve">CHASSIS REMORQU: </t>
  </si>
  <si>
    <t>VEH.CAT.01</t>
  </si>
  <si>
    <t>VEH.CAT.02</t>
  </si>
  <si>
    <t>VEH.CAT.03</t>
  </si>
  <si>
    <t>VEH.CAT.04</t>
  </si>
  <si>
    <t>VEH.CAT.05</t>
  </si>
  <si>
    <t>VEH.CAT.06</t>
  </si>
  <si>
    <t>VEH.CAT.07</t>
  </si>
  <si>
    <t>VEH.CAT.08</t>
  </si>
  <si>
    <t>VEH.CAT.09</t>
  </si>
  <si>
    <t>VEH.CAT.10</t>
  </si>
  <si>
    <t>SCOOTER</t>
  </si>
  <si>
    <t>SCOOTER-REMORQUE</t>
  </si>
  <si>
    <t>CYLD-EN-PUISS</t>
  </si>
  <si>
    <t>DUREE DÉJÀ PRISE</t>
  </si>
  <si>
    <t xml:space="preserve">00CV </t>
  </si>
  <si>
    <t>NBRE CARTE</t>
  </si>
  <si>
    <t>4+</t>
  </si>
  <si>
    <t>2-3 ROUES &lt;50CM3</t>
  </si>
  <si>
    <t>2-3 ROUES &gt;=50 CM3</t>
  </si>
  <si>
    <t>5+</t>
  </si>
  <si>
    <t>VEH.CAT.02&amp;03</t>
  </si>
  <si>
    <t>nbre carte</t>
  </si>
  <si>
    <t>sous cat</t>
  </si>
  <si>
    <t>VEHICULE AVEC DOUBLE COMMANDE</t>
  </si>
  <si>
    <t>VEHICULE SANS  DOUBLE COMMANDE</t>
  </si>
  <si>
    <t>VEHICULE SANS DOUBLE COMMANDE</t>
  </si>
  <si>
    <t>VU&gt;=3,5t</t>
  </si>
  <si>
    <t>VU&lt;3,5t</t>
  </si>
  <si>
    <t>CHARGE UTILE</t>
  </si>
  <si>
    <t xml:space="preserve">SOUS CAT </t>
  </si>
  <si>
    <t xml:space="preserve">TEL ASSURE:                </t>
  </si>
  <si>
    <t>EXTENSION DE GARANTIES</t>
  </si>
  <si>
    <t>RETRAIT FLOTTE</t>
  </si>
  <si>
    <t>RETRAIT GARANTIES</t>
  </si>
  <si>
    <t>ANNULATION</t>
  </si>
  <si>
    <t>CONTRAT ANNUEL</t>
  </si>
  <si>
    <t>cat</t>
  </si>
  <si>
    <t>FCFA</t>
  </si>
  <si>
    <t>Y</t>
  </si>
  <si>
    <t>L</t>
  </si>
  <si>
    <t>K</t>
  </si>
  <si>
    <t>M</t>
  </si>
  <si>
    <t>F</t>
  </si>
  <si>
    <t>G</t>
  </si>
  <si>
    <t>E</t>
  </si>
  <si>
    <t>N</t>
  </si>
  <si>
    <t>MANDJO</t>
  </si>
  <si>
    <t>O</t>
  </si>
  <si>
    <t>T</t>
  </si>
  <si>
    <t>W</t>
  </si>
  <si>
    <t>BU</t>
  </si>
  <si>
    <t>BA</t>
  </si>
  <si>
    <t>LO</t>
  </si>
  <si>
    <t>OR</t>
  </si>
  <si>
    <t>this program had create by Guy Mouafo Tagoukam</t>
  </si>
  <si>
    <t>COUT DE L'AVENANT****</t>
  </si>
  <si>
    <t>Date D'Effet                  Effective Date</t>
  </si>
  <si>
    <t>VALEUR ACC:                 ACCESSORIES: (FCFA)</t>
  </si>
  <si>
    <t>CT</t>
  </si>
  <si>
    <t>COM ACC</t>
  </si>
  <si>
    <t>A  23H59Min</t>
  </si>
  <si>
    <t>CAT 0</t>
  </si>
  <si>
    <t>VT**AUTO-ECOLE</t>
  </si>
  <si>
    <t>VP**AUTO-ECOLE</t>
  </si>
  <si>
    <t>CAMIONS-CITERNES</t>
  </si>
  <si>
    <t>N°POLICE</t>
  </si>
  <si>
    <t>A30</t>
  </si>
  <si>
    <t>A29</t>
  </si>
  <si>
    <t>A28</t>
  </si>
  <si>
    <t>A27</t>
  </si>
  <si>
    <t>A26</t>
  </si>
  <si>
    <t>A25</t>
  </si>
  <si>
    <t>A24</t>
  </si>
  <si>
    <t>A23</t>
  </si>
  <si>
    <t>A22</t>
  </si>
  <si>
    <t>A21</t>
  </si>
  <si>
    <t>this program have created by Guy Mouafo Tagoukam</t>
  </si>
  <si>
    <t>CP</t>
  </si>
  <si>
    <t>*</t>
  </si>
  <si>
    <t>*Frs</t>
  </si>
  <si>
    <t>N° ATT / N° CR</t>
  </si>
  <si>
    <t>CONDITIONS PARTICULIERES</t>
  </si>
  <si>
    <t>INSURANCE POLICY</t>
  </si>
  <si>
    <t>A31</t>
  </si>
  <si>
    <t>ATLANTIQUE ASSURANCES</t>
  </si>
  <si>
    <t>AREA ASSURANCES</t>
  </si>
  <si>
    <t>SUNU ASSURANCES</t>
  </si>
  <si>
    <t>CPA ASSURANCES</t>
  </si>
  <si>
    <t>ZENITH INSURANCE</t>
  </si>
  <si>
    <t>DOUALA</t>
  </si>
  <si>
    <t>Numéro / Number</t>
  </si>
  <si>
    <t>VALIDITE PERMIS</t>
  </si>
  <si>
    <t>DATE  ECHEANCE du CONTRAT</t>
  </si>
  <si>
    <t>MOIS</t>
  </si>
  <si>
    <t>0.0.5</t>
  </si>
  <si>
    <t>PRUDENTIAL BENEFICIAL</t>
  </si>
  <si>
    <t>PH</t>
  </si>
  <si>
    <t>AUTRES</t>
  </si>
  <si>
    <t>NSIA ASSURANCES</t>
  </si>
  <si>
    <t>AGC ASSURANCES</t>
  </si>
  <si>
    <t>CORBILLARD</t>
  </si>
  <si>
    <t>AMBULANCE</t>
  </si>
  <si>
    <t>MW</t>
  </si>
  <si>
    <t>LMB</t>
  </si>
  <si>
    <t>CAT1</t>
  </si>
  <si>
    <t>BP: 8144 Douala-CAMEROUNTél: (+237) 233-477-300</t>
  </si>
  <si>
    <t>YAN CAPITAL</t>
  </si>
  <si>
    <t>BP 8144 DOUALA</t>
  </si>
  <si>
    <t>N° Police  / Policy  N°</t>
  </si>
  <si>
    <r>
      <t xml:space="preserve">ASSURE:                </t>
    </r>
    <r>
      <rPr>
        <i/>
        <sz val="7"/>
        <rFont val="Arial"/>
        <family val="2"/>
      </rPr>
      <t>INSURED:</t>
    </r>
    <r>
      <rPr>
        <sz val="7"/>
        <rFont val="Arial"/>
        <family val="2"/>
      </rPr>
      <t xml:space="preserve"> </t>
    </r>
  </si>
  <si>
    <r>
      <t xml:space="preserve">AGENT </t>
    </r>
    <r>
      <rPr>
        <i/>
        <sz val="7"/>
        <rFont val="Arial"/>
        <family val="2"/>
      </rPr>
      <t>AGENT</t>
    </r>
    <r>
      <rPr>
        <sz val="7"/>
        <rFont val="Arial"/>
        <family val="2"/>
      </rPr>
      <t xml:space="preserve"> </t>
    </r>
  </si>
  <si>
    <r>
      <t xml:space="preserve">DUREE  </t>
    </r>
    <r>
      <rPr>
        <i/>
        <sz val="7"/>
        <rFont val="Times New Roman"/>
        <family val="1"/>
      </rPr>
      <t>DURATION</t>
    </r>
  </si>
  <si>
    <r>
      <t xml:space="preserve">ADRESSE:                                </t>
    </r>
    <r>
      <rPr>
        <i/>
        <sz val="7"/>
        <rFont val="Arial"/>
        <family val="2"/>
      </rPr>
      <t>ADDRESS</t>
    </r>
    <r>
      <rPr>
        <sz val="7"/>
        <rFont val="Arial"/>
        <family val="2"/>
      </rPr>
      <t>:</t>
    </r>
  </si>
  <si>
    <r>
      <t xml:space="preserve">PROFESSION: </t>
    </r>
    <r>
      <rPr>
        <i/>
        <sz val="7"/>
        <rFont val="Arial"/>
        <family val="2"/>
      </rPr>
      <t>PROFESSION</t>
    </r>
    <r>
      <rPr>
        <sz val="7"/>
        <rFont val="Arial"/>
        <family val="2"/>
      </rPr>
      <t>:</t>
    </r>
  </si>
  <si>
    <r>
      <t xml:space="preserve">ECHEANCE:                    </t>
    </r>
    <r>
      <rPr>
        <i/>
        <sz val="7"/>
        <rFont val="Arial"/>
        <family val="2"/>
      </rPr>
      <t>END:</t>
    </r>
  </si>
  <si>
    <r>
      <t xml:space="preserve">SOUSCRIPTEUR: </t>
    </r>
    <r>
      <rPr>
        <i/>
        <sz val="7"/>
        <rFont val="Arial"/>
        <family val="2"/>
      </rPr>
      <t xml:space="preserve">SUBSCRIBER: </t>
    </r>
  </si>
  <si>
    <r>
      <t xml:space="preserve">ASSUREUR:                                  </t>
    </r>
    <r>
      <rPr>
        <i/>
        <sz val="7"/>
        <rFont val="Arial"/>
        <family val="2"/>
      </rPr>
      <t xml:space="preserve"> I N  URER:</t>
    </r>
  </si>
  <si>
    <r>
      <t xml:space="preserve">CONDUCTEUR: </t>
    </r>
    <r>
      <rPr>
        <i/>
        <sz val="7"/>
        <rFont val="Arial"/>
        <family val="2"/>
      </rPr>
      <t>DRIVER:</t>
    </r>
  </si>
  <si>
    <r>
      <t xml:space="preserve">ATTESTATION: </t>
    </r>
    <r>
      <rPr>
        <i/>
        <sz val="7"/>
        <rFont val="Arial"/>
        <family val="2"/>
      </rPr>
      <t>CERTIFICAT:</t>
    </r>
  </si>
  <si>
    <r>
      <t xml:space="preserve">STATUT SOCIO/P      </t>
    </r>
    <r>
      <rPr>
        <i/>
        <sz val="6"/>
        <rFont val="Arial"/>
        <family val="2"/>
      </rPr>
      <t>SOCI/P STATUS:</t>
    </r>
    <r>
      <rPr>
        <sz val="6"/>
        <rFont val="Arial"/>
        <family val="2"/>
      </rPr>
      <t xml:space="preserve"> </t>
    </r>
  </si>
  <si>
    <r>
      <t xml:space="preserve">CAT PERMI/C:             </t>
    </r>
    <r>
      <rPr>
        <i/>
        <sz val="7"/>
        <rFont val="Arial"/>
        <family val="2"/>
      </rPr>
      <t>CAT DRIVNG/L</t>
    </r>
  </si>
  <si>
    <r>
      <t xml:space="preserve">MARQUE / TYPE: </t>
    </r>
    <r>
      <rPr>
        <i/>
        <sz val="8"/>
        <rFont val="Arial"/>
        <family val="2"/>
      </rPr>
      <t>MAKE / MODEL:</t>
    </r>
    <r>
      <rPr>
        <sz val="8"/>
        <rFont val="Arial"/>
        <family val="2"/>
      </rPr>
      <t xml:space="preserve"> </t>
    </r>
  </si>
  <si>
    <r>
      <t xml:space="preserve">PUISSANCE:(CV) </t>
    </r>
    <r>
      <rPr>
        <i/>
        <sz val="7"/>
        <rFont val="Arial"/>
        <family val="2"/>
      </rPr>
      <t>HORSE POWER:(</t>
    </r>
    <r>
      <rPr>
        <i/>
        <sz val="8"/>
        <rFont val="Arial"/>
        <family val="2"/>
      </rPr>
      <t>HP)</t>
    </r>
    <r>
      <rPr>
        <sz val="8"/>
        <rFont val="Arial"/>
        <family val="2"/>
      </rPr>
      <t xml:space="preserve"> </t>
    </r>
  </si>
  <si>
    <r>
      <t xml:space="preserve">ENERGIE:                  </t>
    </r>
    <r>
      <rPr>
        <i/>
        <sz val="7"/>
        <rFont val="Arial"/>
        <family val="2"/>
      </rPr>
      <t>FUEL TYPE:</t>
    </r>
  </si>
  <si>
    <r>
      <t xml:space="preserve">NUMERO DE CHASSIS:                       </t>
    </r>
    <r>
      <rPr>
        <i/>
        <sz val="7"/>
        <rFont val="Arial"/>
        <family val="2"/>
      </rPr>
      <t>CHASSIS: NUMBER:</t>
    </r>
  </si>
  <si>
    <r>
      <t xml:space="preserve">IMMATRI REMORQ: </t>
    </r>
    <r>
      <rPr>
        <i/>
        <sz val="7"/>
        <rFont val="Arial"/>
        <family val="2"/>
      </rPr>
      <t>TRAILER:</t>
    </r>
  </si>
  <si>
    <r>
      <t>CYLINDREE/ ENGINE CAPACITY</t>
    </r>
    <r>
      <rPr>
        <sz val="7"/>
        <rFont val="Arial"/>
        <family val="2"/>
      </rPr>
      <t>(</t>
    </r>
    <r>
      <rPr>
        <sz val="8"/>
        <rFont val="Arial"/>
        <family val="2"/>
      </rPr>
      <t>Cm3)</t>
    </r>
  </si>
  <si>
    <r>
      <t xml:space="preserve">DATE DE P/M/C: </t>
    </r>
    <r>
      <rPr>
        <i/>
        <sz val="7"/>
        <rFont val="Arial"/>
        <family val="2"/>
      </rPr>
      <t>DATE OF F/C:</t>
    </r>
  </si>
  <si>
    <r>
      <t xml:space="preserve">DATE D/V/T: </t>
    </r>
    <r>
      <rPr>
        <i/>
        <sz val="7"/>
        <rFont val="Arial"/>
        <family val="2"/>
      </rPr>
      <t>DATE L/V/T:</t>
    </r>
  </si>
  <si>
    <r>
      <t xml:space="preserve">PIODS T/C:                                </t>
    </r>
    <r>
      <rPr>
        <i/>
        <sz val="7"/>
        <rFont val="Arial"/>
        <family val="2"/>
      </rPr>
      <t>NET WGHT:(</t>
    </r>
    <r>
      <rPr>
        <i/>
        <sz val="8"/>
        <rFont val="Arial"/>
        <family val="2"/>
      </rPr>
      <t xml:space="preserve"> Kg)</t>
    </r>
  </si>
  <si>
    <r>
      <t xml:space="preserve">PLACES: </t>
    </r>
    <r>
      <rPr>
        <i/>
        <sz val="7"/>
        <rFont val="Arial"/>
        <family val="2"/>
      </rPr>
      <t>SEATS:</t>
    </r>
  </si>
  <si>
    <r>
      <t xml:space="preserve">VALEUR NEUF: </t>
    </r>
    <r>
      <rPr>
        <i/>
        <sz val="7"/>
        <rFont val="Arial"/>
        <family val="2"/>
      </rPr>
      <t>COST</t>
    </r>
    <r>
      <rPr>
        <sz val="7"/>
        <rFont val="Arial"/>
        <family val="2"/>
      </rPr>
      <t>:(FCFA)</t>
    </r>
  </si>
  <si>
    <r>
      <t xml:space="preserve">VALEUR VEN: </t>
    </r>
    <r>
      <rPr>
        <i/>
        <sz val="7"/>
        <rFont val="Arial"/>
        <family val="2"/>
      </rPr>
      <t>RISIDUAL</t>
    </r>
    <r>
      <rPr>
        <sz val="7"/>
        <rFont val="Arial"/>
        <family val="2"/>
      </rPr>
      <t>: (FCFA)</t>
    </r>
  </si>
  <si>
    <r>
      <t xml:space="preserve">ZONE: </t>
    </r>
    <r>
      <rPr>
        <i/>
        <sz val="7"/>
        <rFont val="Arial"/>
        <family val="2"/>
      </rPr>
      <t>ZONE:</t>
    </r>
  </si>
  <si>
    <r>
      <t xml:space="preserve">RC &amp; RTI:                                        </t>
    </r>
    <r>
      <rPr>
        <i/>
        <sz val="8"/>
        <rFont val="Arial"/>
        <family val="2"/>
      </rPr>
      <t>Civil Liability &amp; fire:</t>
    </r>
    <r>
      <rPr>
        <sz val="8"/>
        <rFont val="Arial"/>
        <family val="2"/>
      </rPr>
      <t xml:space="preserve">  </t>
    </r>
  </si>
  <si>
    <r>
      <t xml:space="preserve">Dommage par collision:                     </t>
    </r>
    <r>
      <rPr>
        <i/>
        <sz val="8"/>
        <rFont val="Arial"/>
        <family val="2"/>
      </rPr>
      <t>Damage from collision:</t>
    </r>
    <r>
      <rPr>
        <sz val="8"/>
        <rFont val="Arial"/>
        <family val="2"/>
      </rPr>
      <t xml:space="preserve"> </t>
    </r>
  </si>
  <si>
    <r>
      <t xml:space="preserve">Dommage tous accident:                      </t>
    </r>
    <r>
      <rPr>
        <i/>
        <sz val="8"/>
        <rFont val="Arial"/>
        <family val="2"/>
      </rPr>
      <t xml:space="preserve">Damage all accident: </t>
    </r>
  </si>
  <si>
    <r>
      <t xml:space="preserve">Vol - Incendie:                                           </t>
    </r>
    <r>
      <rPr>
        <i/>
        <sz val="8"/>
        <rFont val="Arial"/>
        <family val="2"/>
      </rPr>
      <t xml:space="preserve"> Theft - Fire:</t>
    </r>
  </si>
  <si>
    <r>
      <t xml:space="preserve">Vol Appareil elect:                                          </t>
    </r>
    <r>
      <rPr>
        <i/>
        <sz val="8"/>
        <rFont val="Arial"/>
        <family val="2"/>
      </rPr>
      <t>theft elect. app:</t>
    </r>
  </si>
  <si>
    <r>
      <t xml:space="preserve">Assistance:                  </t>
    </r>
    <r>
      <rPr>
        <i/>
        <sz val="8"/>
        <rFont val="Arial"/>
        <family val="2"/>
      </rPr>
      <t xml:space="preserve"> Assistance:</t>
    </r>
  </si>
  <si>
    <r>
      <t>Bris de glace &amp; parebrise: G</t>
    </r>
    <r>
      <rPr>
        <i/>
        <sz val="8"/>
        <rFont val="Arial"/>
        <family val="2"/>
      </rPr>
      <t>lass &amp; windshield breakage:</t>
    </r>
    <r>
      <rPr>
        <sz val="8"/>
        <rFont val="Arial"/>
        <family val="2"/>
      </rPr>
      <t xml:space="preserve"> </t>
    </r>
  </si>
  <si>
    <r>
      <t xml:space="preserve">Recours defense:                 </t>
    </r>
    <r>
      <rPr>
        <i/>
        <sz val="8"/>
        <rFont val="Arial"/>
        <family val="2"/>
      </rPr>
      <t>Recourse defence:</t>
    </r>
  </si>
  <si>
    <r>
      <t xml:space="preserve">Individuel accid - chauffeur: </t>
    </r>
    <r>
      <rPr>
        <i/>
        <sz val="8"/>
        <rFont val="Arial"/>
        <family val="2"/>
      </rPr>
      <t>Drivers individual accident:</t>
    </r>
  </si>
  <si>
    <r>
      <t xml:space="preserve">IPT:                 </t>
    </r>
    <r>
      <rPr>
        <i/>
        <sz val="8"/>
        <rFont val="Arial"/>
        <family val="2"/>
      </rPr>
      <t xml:space="preserve">cover  for passengers : </t>
    </r>
  </si>
  <si>
    <t>ADVANCE 150,000 FCFA BALANCE 26,299 FCFA</t>
  </si>
  <si>
    <t>ALEMNGE CYPRIAN</t>
  </si>
  <si>
    <t xml:space="preserve">NISSAN </t>
  </si>
  <si>
    <t>JN8AR05Y7WW275240</t>
  </si>
  <si>
    <t>SW 859 BB</t>
  </si>
  <si>
    <t>111*A*0155939-17243709</t>
  </si>
  <si>
    <t>A2023/1075/CAT1/1110155939</t>
  </si>
  <si>
    <t>680-55-32--82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</si>
</sst>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 _€_-;\-* #,##0.00\ _€_-;_-* &quot;-&quot;??\ _€_-;_-@_-"/>
    <numFmt numFmtId="164" formatCode="_-* #,##0\ _€_-;\-* #,##0\ _€_-;_-* &quot;-&quot;??\ _€_-;_-@_-"/>
    <numFmt numFmtId="165" formatCode="d/m/yy\ h:mm;@"/>
    <numFmt numFmtId="166" formatCode="00000"/>
    <numFmt numFmtId="167" formatCode="dd\-mm\-yyyy;@"/>
    <numFmt numFmtId="168" formatCode="dd\-mm\-yy\ h:mm;@"/>
  </numFmts>
  <fonts count="57">
    <font>
      <sz val="11"/>
      <color theme="1"/>
      <name val="Calibri"/>
      <family val="2"/>
      <scheme val="minor"/>
    </font>
    <font>
      <sz val="10"/>
      <name val="Arial"/>
      <family val="2"/>
    </font>
    <font>
      <b/>
      <sz val="12"/>
      <name val="Arial"/>
      <family val="2"/>
    </font>
    <font>
      <b/>
      <sz val="10"/>
      <name val="Arial"/>
      <family val="2"/>
    </font>
    <font>
      <sz val="10"/>
      <name val="Arial"/>
      <family val="2"/>
    </font>
    <font>
      <b/>
      <sz val="11"/>
      <name val="Arial"/>
      <family val="2"/>
    </font>
    <font>
      <sz val="7"/>
      <name val="Arial"/>
      <family val="2"/>
    </font>
    <font>
      <b/>
      <sz val="8"/>
      <name val="Arial"/>
      <family val="2"/>
    </font>
    <font>
      <sz val="8"/>
      <name val="Arial"/>
      <family val="2"/>
    </font>
    <font>
      <i/>
      <sz val="8"/>
      <name val="Arial"/>
      <family val="2"/>
    </font>
    <font>
      <sz val="9"/>
      <name val="Arial"/>
      <family val="2"/>
    </font>
    <font>
      <sz val="10"/>
      <color rgb="FFFF0000"/>
      <name val="Arial"/>
      <family val="2"/>
    </font>
    <font>
      <sz val="12"/>
      <name val="Arial"/>
      <family val="2"/>
    </font>
    <font>
      <b/>
      <sz val="9"/>
      <name val="Arial"/>
      <family val="2"/>
    </font>
    <font>
      <b/>
      <sz val="20"/>
      <name val="Arial"/>
      <family val="2"/>
    </font>
    <font>
      <b/>
      <i/>
      <u/>
      <sz val="9"/>
      <name val="Arial"/>
      <family val="2"/>
    </font>
    <font>
      <i/>
      <sz val="9"/>
      <name val="Arial"/>
      <family val="2"/>
    </font>
    <font>
      <shadow/>
      <sz val="7"/>
      <name val="Times New Roman"/>
      <family val="1"/>
    </font>
    <font>
      <shadow/>
      <sz val="6"/>
      <name val="Times New Roman"/>
      <family val="1"/>
    </font>
    <font>
      <sz val="10"/>
      <color theme="0"/>
      <name val="Arial"/>
      <family val="2"/>
    </font>
    <font>
      <b/>
      <sz val="10"/>
      <color rgb="FF00B050"/>
      <name val="Arial"/>
      <family val="2"/>
    </font>
    <font>
      <b/>
      <sz val="10"/>
      <color theme="0"/>
      <name val="Arial"/>
      <family val="2"/>
    </font>
    <font>
      <b/>
      <sz val="12"/>
      <color theme="0"/>
      <name val="Arial"/>
      <family val="2"/>
    </font>
    <font>
      <b/>
      <sz val="7"/>
      <color theme="0"/>
      <name val="Arial"/>
      <family val="2"/>
    </font>
    <font>
      <sz val="11"/>
      <color theme="1"/>
      <name val="Calibri"/>
      <family val="2"/>
      <scheme val="minor"/>
    </font>
    <font>
      <b/>
      <sz val="11"/>
      <color theme="0"/>
      <name val="Arial"/>
      <family val="2"/>
    </font>
    <font>
      <sz val="11"/>
      <name val="Calibri"/>
      <family val="2"/>
      <scheme val="minor"/>
    </font>
    <font>
      <b/>
      <sz val="11"/>
      <name val="Calibri"/>
      <family val="2"/>
      <scheme val="minor"/>
    </font>
    <font>
      <sz val="16"/>
      <name val="Calibri"/>
      <family val="2"/>
      <scheme val="minor"/>
    </font>
    <font>
      <u/>
      <sz val="10"/>
      <name val="Arial"/>
      <family val="2"/>
    </font>
    <font>
      <sz val="9"/>
      <color theme="1"/>
      <name val="Arial"/>
      <family val="2"/>
    </font>
    <font>
      <sz val="9"/>
      <color theme="0"/>
      <name val="Arial"/>
      <family val="2"/>
    </font>
    <font>
      <sz val="20"/>
      <name val="Arial"/>
      <family val="2"/>
    </font>
    <font>
      <i/>
      <u/>
      <sz val="9"/>
      <name val="Arial"/>
      <family val="2"/>
    </font>
    <font>
      <sz val="8"/>
      <color theme="0"/>
      <name val="Arial"/>
      <family val="2"/>
    </font>
    <font>
      <b/>
      <sz val="11"/>
      <name val="MS PMincho"/>
      <family val="1"/>
    </font>
    <font>
      <b/>
      <sz val="11"/>
      <color theme="0" tint="-4.9989318521683403E-2"/>
      <name val="Arial"/>
      <family val="2"/>
    </font>
    <font>
      <b/>
      <sz val="11"/>
      <color theme="0"/>
      <name val="Goudy Stout"/>
      <family val="1"/>
    </font>
    <font>
      <sz val="11"/>
      <name val="Arial"/>
      <family val="2"/>
    </font>
    <font>
      <sz val="14"/>
      <name val="Arial"/>
      <family val="2"/>
    </font>
    <font>
      <sz val="8"/>
      <color theme="1"/>
      <name val="Arial"/>
      <family val="2"/>
    </font>
    <font>
      <i/>
      <sz val="7"/>
      <name val="Arial"/>
      <family val="2"/>
    </font>
    <font>
      <sz val="8"/>
      <name val="Times New Roman"/>
      <family val="1"/>
    </font>
    <font>
      <sz val="7"/>
      <name val="Arial Black"/>
      <family val="2"/>
    </font>
    <font>
      <sz val="7"/>
      <name val="Times New Roman"/>
      <family val="1"/>
    </font>
    <font>
      <i/>
      <sz val="7"/>
      <name val="Times New Roman"/>
      <family val="1"/>
    </font>
    <font>
      <sz val="9"/>
      <name val="Times New Roman"/>
      <family val="1"/>
    </font>
    <font>
      <sz val="6"/>
      <name val="Arial"/>
      <family val="2"/>
    </font>
    <font>
      <i/>
      <sz val="6"/>
      <name val="Arial"/>
      <family val="2"/>
    </font>
    <font>
      <sz val="5"/>
      <color theme="0"/>
      <name val="Arial"/>
      <family val="2"/>
    </font>
    <font>
      <sz val="6.5"/>
      <name val="Arial"/>
      <family val="2"/>
    </font>
    <font>
      <sz val="10"/>
      <name val="Times New Roman"/>
      <family val="1"/>
    </font>
    <font>
      <u/>
      <sz val="8"/>
      <name val="Arial"/>
      <family val="2"/>
    </font>
    <font>
      <u/>
      <sz val="7"/>
      <name val="Arial"/>
      <family val="2"/>
    </font>
    <font>
      <sz val="11"/>
      <name val="Times New Roman"/>
      <family val="1"/>
    </font>
    <font>
      <sz val="16"/>
      <name val="Agency FB"/>
      <family val="2"/>
    </font>
    <font>
      <b/>
      <sz val="18"/>
      <name val="Arial"/>
      <family val="2"/>
    </font>
  </fonts>
  <fills count="11">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C000"/>
        <bgColor indexed="64"/>
      </patternFill>
    </fill>
    <fill>
      <patternFill patternType="solid">
        <fgColor indexed="40"/>
        <bgColor indexed="64"/>
      </patternFill>
    </fill>
    <fill>
      <patternFill patternType="solid">
        <fgColor rgb="FF00B050"/>
        <bgColor indexed="64"/>
      </patternFill>
    </fill>
    <fill>
      <patternFill patternType="solid">
        <fgColor rgb="FFFF000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4" tint="0.59999389629810485"/>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s>
  <cellStyleXfs count="6">
    <xf numFmtId="0" fontId="0" fillId="0" borderId="0"/>
    <xf numFmtId="0" fontId="1" fillId="0" borderId="0"/>
    <xf numFmtId="43" fontId="1" fillId="0" borderId="0" applyFont="0" applyFill="0" applyBorder="0" applyAlignment="0" applyProtection="0"/>
    <xf numFmtId="0" fontId="4" fillId="0" borderId="0"/>
    <xf numFmtId="9" fontId="24" fillId="0" borderId="0" applyFont="0" applyFill="0" applyBorder="0" applyAlignment="0" applyProtection="0"/>
    <xf numFmtId="0" fontId="1" fillId="0" borderId="0"/>
  </cellStyleXfs>
  <cellXfs count="545">
    <xf numFmtId="0" fontId="0" fillId="0" borderId="0" xfId="0"/>
    <xf numFmtId="0" fontId="1" fillId="0" borderId="0" xfId="1"/>
    <xf numFmtId="0" fontId="4" fillId="0" borderId="0" xfId="1" applyFont="1"/>
    <xf numFmtId="0" fontId="3" fillId="0" borderId="0" xfId="1" applyFont="1"/>
    <xf numFmtId="3" fontId="1" fillId="0" borderId="0" xfId="1" applyNumberFormat="1" applyBorder="1" applyAlignment="1"/>
    <xf numFmtId="0" fontId="1" fillId="3" borderId="0" xfId="1" applyFill="1" applyBorder="1"/>
    <xf numFmtId="3" fontId="1" fillId="3" borderId="0" xfId="1" applyNumberFormat="1" applyFill="1" applyBorder="1"/>
    <xf numFmtId="9" fontId="1" fillId="3" borderId="0" xfId="1" applyNumberFormat="1" applyFill="1" applyBorder="1"/>
    <xf numFmtId="0" fontId="1" fillId="0" borderId="0" xfId="1" applyBorder="1"/>
    <xf numFmtId="0" fontId="11" fillId="0" borderId="0" xfId="1" applyFont="1"/>
    <xf numFmtId="0" fontId="8" fillId="0" borderId="0" xfId="1" applyFont="1" applyAlignment="1">
      <alignment horizontal="right"/>
    </xf>
    <xf numFmtId="0" fontId="1" fillId="0" borderId="0" xfId="1" applyAlignment="1"/>
    <xf numFmtId="0" fontId="1" fillId="0" borderId="0" xfId="1" applyFont="1"/>
    <xf numFmtId="0" fontId="7" fillId="0" borderId="0" xfId="1" applyFont="1" applyAlignment="1">
      <alignment horizontal="left"/>
    </xf>
    <xf numFmtId="0" fontId="7" fillId="0" borderId="0" xfId="1" applyFont="1"/>
    <xf numFmtId="0" fontId="8" fillId="0" borderId="0" xfId="1" applyFont="1"/>
    <xf numFmtId="0" fontId="19" fillId="0" borderId="0" xfId="1" applyFont="1"/>
    <xf numFmtId="0" fontId="10" fillId="0" borderId="0" xfId="3" applyFont="1"/>
    <xf numFmtId="0" fontId="13" fillId="0" borderId="0" xfId="3" applyFont="1"/>
    <xf numFmtId="0" fontId="14" fillId="0" borderId="0" xfId="3" applyFont="1"/>
    <xf numFmtId="0" fontId="15" fillId="0" borderId="0" xfId="3" applyFont="1"/>
    <xf numFmtId="0" fontId="4" fillId="0" borderId="0" xfId="3"/>
    <xf numFmtId="0" fontId="17" fillId="0" borderId="0" xfId="3" applyFont="1" applyAlignment="1">
      <alignment vertical="center" wrapText="1"/>
    </xf>
    <xf numFmtId="0" fontId="4" fillId="0" borderId="0" xfId="3" applyBorder="1"/>
    <xf numFmtId="0" fontId="13" fillId="0" borderId="0" xfId="1" applyFont="1"/>
    <xf numFmtId="0" fontId="13" fillId="0" borderId="0" xfId="1" applyFont="1" applyAlignment="1">
      <alignment horizontal="right"/>
    </xf>
    <xf numFmtId="14" fontId="13" fillId="0" borderId="0" xfId="1" applyNumberFormat="1" applyFont="1" applyAlignment="1">
      <alignment horizontal="right"/>
    </xf>
    <xf numFmtId="14" fontId="13" fillId="0" borderId="0" xfId="1" applyNumberFormat="1" applyFont="1"/>
    <xf numFmtId="14" fontId="13" fillId="0" borderId="0" xfId="1" applyNumberFormat="1" applyFont="1" applyAlignment="1">
      <alignment horizontal="center"/>
    </xf>
    <xf numFmtId="22" fontId="7" fillId="0" borderId="0" xfId="1" applyNumberFormat="1" applyFont="1"/>
    <xf numFmtId="43" fontId="13" fillId="0" borderId="0" xfId="1" applyNumberFormat="1" applyFont="1" applyAlignment="1">
      <alignment horizontal="center"/>
    </xf>
    <xf numFmtId="43" fontId="13" fillId="0" borderId="0" xfId="1" applyNumberFormat="1" applyFont="1" applyAlignment="1">
      <alignment horizontal="right"/>
    </xf>
    <xf numFmtId="0" fontId="10" fillId="0" borderId="0" xfId="1" applyFont="1"/>
    <xf numFmtId="22" fontId="10" fillId="0" borderId="0" xfId="1" applyNumberFormat="1" applyFont="1" applyAlignment="1">
      <alignment horizontal="left"/>
    </xf>
    <xf numFmtId="22" fontId="10" fillId="0" borderId="0" xfId="1" applyNumberFormat="1" applyFont="1"/>
    <xf numFmtId="0" fontId="14" fillId="0" borderId="0" xfId="1" applyFont="1"/>
    <xf numFmtId="0" fontId="1" fillId="0" borderId="0" xfId="1" applyFont="1" applyAlignment="1">
      <alignment horizontal="center" vertical="center"/>
    </xf>
    <xf numFmtId="0" fontId="1" fillId="0" borderId="0" xfId="3" applyFont="1"/>
    <xf numFmtId="0" fontId="1" fillId="0" borderId="0" xfId="3" applyFont="1" applyAlignment="1">
      <alignment vertical="center"/>
    </xf>
    <xf numFmtId="0" fontId="20" fillId="4" borderId="6" xfId="1" applyFont="1" applyFill="1" applyBorder="1" applyAlignment="1">
      <alignment horizontal="center" vertical="center"/>
    </xf>
    <xf numFmtId="0" fontId="20" fillId="4" borderId="6" xfId="1" applyFont="1" applyFill="1" applyBorder="1" applyAlignment="1">
      <alignment horizontal="center"/>
    </xf>
    <xf numFmtId="0" fontId="19" fillId="0" borderId="0" xfId="1" applyFont="1" applyFill="1"/>
    <xf numFmtId="0" fontId="6" fillId="0" borderId="25" xfId="1" applyFont="1" applyBorder="1" applyAlignment="1">
      <alignment vertical="center" wrapText="1"/>
    </xf>
    <xf numFmtId="0" fontId="19" fillId="0" borderId="0" xfId="1" applyFont="1" applyBorder="1"/>
    <xf numFmtId="14" fontId="1" fillId="0" borderId="0" xfId="1" applyNumberFormat="1" applyFont="1"/>
    <xf numFmtId="3" fontId="19" fillId="0" borderId="0" xfId="1" applyNumberFormat="1" applyFont="1" applyBorder="1" applyAlignment="1"/>
    <xf numFmtId="0" fontId="4" fillId="0" borderId="0" xfId="1" applyFont="1" applyBorder="1"/>
    <xf numFmtId="0" fontId="1" fillId="0" borderId="0" xfId="1" applyFont="1" applyBorder="1"/>
    <xf numFmtId="0" fontId="1" fillId="0" borderId="0" xfId="1" applyAlignment="1">
      <alignment horizontal="center" vertical="center"/>
    </xf>
    <xf numFmtId="0" fontId="23" fillId="3" borderId="0" xfId="1" applyFont="1" applyFill="1" applyBorder="1" applyAlignment="1">
      <alignment horizontal="center" vertical="center" wrapText="1"/>
    </xf>
    <xf numFmtId="0" fontId="21" fillId="3" borderId="0" xfId="1" applyFont="1" applyFill="1" applyBorder="1" applyAlignment="1">
      <alignment horizontal="center" vertical="center"/>
    </xf>
    <xf numFmtId="0" fontId="19" fillId="3" borderId="0" xfId="1" applyFont="1" applyFill="1"/>
    <xf numFmtId="0" fontId="19" fillId="3" borderId="0" xfId="1" applyFont="1" applyFill="1" applyBorder="1"/>
    <xf numFmtId="3" fontId="19" fillId="3" borderId="0" xfId="1" applyNumberFormat="1" applyFont="1" applyFill="1" applyBorder="1"/>
    <xf numFmtId="22" fontId="1" fillId="0" borderId="0" xfId="1" applyNumberFormat="1" applyFont="1" applyAlignment="1">
      <alignment horizontal="left"/>
    </xf>
    <xf numFmtId="168" fontId="10" fillId="0" borderId="0" xfId="3" applyNumberFormat="1" applyFont="1"/>
    <xf numFmtId="0" fontId="3" fillId="3" borderId="0" xfId="1" applyFont="1" applyFill="1" applyBorder="1" applyAlignment="1">
      <alignment horizontal="center"/>
    </xf>
    <xf numFmtId="0" fontId="1" fillId="3" borderId="0" xfId="1" applyFill="1" applyBorder="1" applyAlignment="1">
      <alignment horizontal="center"/>
    </xf>
    <xf numFmtId="0" fontId="12" fillId="3" borderId="0" xfId="1" applyFont="1" applyFill="1" applyBorder="1" applyAlignment="1">
      <alignment vertical="center"/>
    </xf>
    <xf numFmtId="0" fontId="2" fillId="3" borderId="0" xfId="1" applyFont="1" applyFill="1" applyBorder="1"/>
    <xf numFmtId="165" fontId="2" fillId="3" borderId="0" xfId="1" applyNumberFormat="1" applyFont="1" applyFill="1" applyBorder="1"/>
    <xf numFmtId="49" fontId="19" fillId="0" borderId="0" xfId="1" applyNumberFormat="1" applyFont="1"/>
    <xf numFmtId="0" fontId="21" fillId="0" borderId="0" xfId="1" applyFont="1" applyAlignment="1">
      <alignment vertical="center"/>
    </xf>
    <xf numFmtId="0" fontId="21" fillId="0" borderId="0" xfId="1" applyFont="1" applyAlignment="1">
      <alignment horizontal="right" vertical="center"/>
    </xf>
    <xf numFmtId="3" fontId="19" fillId="0" borderId="0" xfId="1" applyNumberFormat="1" applyFont="1"/>
    <xf numFmtId="0" fontId="1" fillId="0" borderId="0" xfId="1" applyFont="1" applyBorder="1" applyAlignment="1"/>
    <xf numFmtId="1" fontId="1" fillId="0" borderId="0" xfId="1" applyNumberFormat="1" applyFont="1"/>
    <xf numFmtId="0" fontId="7" fillId="0" borderId="0" xfId="1" applyFont="1" applyAlignment="1"/>
    <xf numFmtId="3" fontId="21" fillId="0" borderId="0" xfId="1" applyNumberFormat="1" applyFont="1"/>
    <xf numFmtId="0" fontId="21" fillId="3" borderId="0" xfId="1" applyFont="1" applyFill="1" applyBorder="1" applyAlignment="1">
      <alignment horizontal="center" vertical="center"/>
    </xf>
    <xf numFmtId="166" fontId="3" fillId="3" borderId="0" xfId="1" applyNumberFormat="1" applyFont="1" applyFill="1" applyBorder="1" applyAlignment="1">
      <alignment vertical="center"/>
    </xf>
    <xf numFmtId="0" fontId="5" fillId="3" borderId="0" xfId="1" applyFont="1" applyFill="1" applyBorder="1" applyAlignment="1">
      <alignment vertical="center"/>
    </xf>
    <xf numFmtId="3" fontId="5" fillId="3" borderId="0" xfId="4" applyNumberFormat="1" applyFont="1" applyFill="1" applyBorder="1" applyAlignment="1">
      <alignment vertical="center"/>
    </xf>
    <xf numFmtId="0" fontId="26" fillId="0" borderId="0" xfId="0" applyFont="1"/>
    <xf numFmtId="0" fontId="27" fillId="2" borderId="1" xfId="0" applyFont="1" applyFill="1" applyBorder="1" applyAlignment="1">
      <alignment horizontal="center" vertical="center"/>
    </xf>
    <xf numFmtId="0" fontId="27" fillId="0" borderId="0" xfId="0" applyFont="1" applyBorder="1"/>
    <xf numFmtId="0" fontId="27" fillId="2" borderId="0" xfId="0" applyFont="1" applyFill="1" applyBorder="1" applyAlignment="1">
      <alignment horizontal="center"/>
    </xf>
    <xf numFmtId="0" fontId="26" fillId="0" borderId="0" xfId="0" applyFont="1" applyAlignment="1">
      <alignment horizontal="center" vertical="center"/>
    </xf>
    <xf numFmtId="0" fontId="26" fillId="0" borderId="0" xfId="0" applyFont="1" applyAlignment="1">
      <alignment horizontal="center"/>
    </xf>
    <xf numFmtId="3" fontId="26" fillId="0" borderId="0" xfId="0" applyNumberFormat="1" applyFont="1"/>
    <xf numFmtId="0" fontId="26" fillId="0" borderId="0" xfId="0" applyFont="1" applyAlignment="1"/>
    <xf numFmtId="0" fontId="26" fillId="4" borderId="0" xfId="0" applyFont="1" applyFill="1"/>
    <xf numFmtId="0" fontId="26" fillId="3" borderId="0" xfId="0" applyFont="1" applyFill="1" applyBorder="1"/>
    <xf numFmtId="0" fontId="26" fillId="3" borderId="1" xfId="0" applyFont="1" applyFill="1" applyBorder="1"/>
    <xf numFmtId="0" fontId="26" fillId="0" borderId="1" xfId="0" applyFont="1" applyBorder="1"/>
    <xf numFmtId="3" fontId="26" fillId="3" borderId="1" xfId="0" applyNumberFormat="1" applyFont="1" applyFill="1" applyBorder="1"/>
    <xf numFmtId="3" fontId="26" fillId="0" borderId="1" xfId="0" applyNumberFormat="1" applyFont="1" applyBorder="1"/>
    <xf numFmtId="0" fontId="26" fillId="7" borderId="0" xfId="0" applyFont="1" applyFill="1"/>
    <xf numFmtId="0" fontId="26" fillId="0" borderId="1" xfId="0" applyFont="1" applyBorder="1" applyAlignment="1">
      <alignment horizontal="center"/>
    </xf>
    <xf numFmtId="0" fontId="26" fillId="2" borderId="1" xfId="0" applyFont="1" applyFill="1" applyBorder="1"/>
    <xf numFmtId="3" fontId="28" fillId="7" borderId="0" xfId="0" applyNumberFormat="1" applyFont="1" applyFill="1" applyAlignment="1">
      <alignment horizontal="center"/>
    </xf>
    <xf numFmtId="0" fontId="26" fillId="2" borderId="1" xfId="0" applyFont="1" applyFill="1" applyBorder="1" applyAlignment="1">
      <alignment horizontal="center" vertical="center"/>
    </xf>
    <xf numFmtId="0" fontId="26" fillId="2" borderId="0" xfId="0" applyFont="1" applyFill="1" applyBorder="1"/>
    <xf numFmtId="0" fontId="26" fillId="2" borderId="1" xfId="0" applyFont="1" applyFill="1" applyBorder="1" applyAlignment="1">
      <alignment horizontal="center"/>
    </xf>
    <xf numFmtId="0" fontId="27" fillId="0" borderId="1" xfId="0" applyFont="1" applyBorder="1"/>
    <xf numFmtId="0" fontId="27" fillId="0" borderId="2" xfId="0" applyFont="1" applyBorder="1"/>
    <xf numFmtId="0" fontId="27" fillId="0" borderId="2" xfId="0" applyFont="1" applyBorder="1" applyAlignment="1">
      <alignment horizontal="center" vertical="center"/>
    </xf>
    <xf numFmtId="0" fontId="27" fillId="2" borderId="1" xfId="0" applyFont="1" applyFill="1" applyBorder="1"/>
    <xf numFmtId="0" fontId="27" fillId="2" borderId="1" xfId="0" applyFont="1" applyFill="1" applyBorder="1" applyAlignment="1">
      <alignment horizontal="center"/>
    </xf>
    <xf numFmtId="3" fontId="26" fillId="0" borderId="0" xfId="0" applyNumberFormat="1" applyFont="1" applyAlignment="1">
      <alignment vertical="center"/>
    </xf>
    <xf numFmtId="0" fontId="27" fillId="0" borderId="1" xfId="0" applyFont="1" applyBorder="1" applyAlignment="1">
      <alignment horizontal="center" vertical="center"/>
    </xf>
    <xf numFmtId="0" fontId="26" fillId="2" borderId="0" xfId="0" applyFont="1" applyFill="1"/>
    <xf numFmtId="3" fontId="26" fillId="2" borderId="0" xfId="0" applyNumberFormat="1" applyFont="1" applyFill="1"/>
    <xf numFmtId="3" fontId="26" fillId="2" borderId="1" xfId="0" applyNumberFormat="1" applyFont="1" applyFill="1" applyBorder="1"/>
    <xf numFmtId="0" fontId="19" fillId="0" borderId="0" xfId="1" applyFont="1" applyAlignment="1"/>
    <xf numFmtId="3" fontId="1" fillId="0" borderId="0" xfId="1" applyNumberFormat="1" applyFont="1"/>
    <xf numFmtId="0" fontId="19" fillId="0" borderId="0" xfId="1" applyFont="1" applyAlignment="1">
      <alignment horizontal="center" vertical="center"/>
    </xf>
    <xf numFmtId="0" fontId="2" fillId="3" borderId="0" xfId="1" applyFont="1" applyFill="1" applyBorder="1" applyAlignment="1">
      <alignment horizontal="center" vertical="center"/>
    </xf>
    <xf numFmtId="3" fontId="21" fillId="3" borderId="0" xfId="1" applyNumberFormat="1" applyFont="1" applyFill="1" applyBorder="1" applyAlignment="1">
      <alignment horizontal="center" vertical="center"/>
    </xf>
    <xf numFmtId="0" fontId="8" fillId="0" borderId="0" xfId="1" applyFont="1" applyAlignment="1">
      <alignment horizontal="center" vertical="center"/>
    </xf>
    <xf numFmtId="0" fontId="1" fillId="0" borderId="0" xfId="1" applyNumberFormat="1" applyFont="1" applyAlignment="1"/>
    <xf numFmtId="3" fontId="19" fillId="0" borderId="25" xfId="1" applyNumberFormat="1" applyFont="1" applyBorder="1" applyAlignment="1">
      <alignment horizontal="center" vertical="center"/>
    </xf>
    <xf numFmtId="0" fontId="16" fillId="0" borderId="0" xfId="3" applyFont="1" applyAlignment="1"/>
    <xf numFmtId="0" fontId="10" fillId="0" borderId="0" xfId="3" applyFont="1" applyAlignment="1">
      <alignment horizontal="right"/>
    </xf>
    <xf numFmtId="167" fontId="10" fillId="0" borderId="0" xfId="3" applyNumberFormat="1" applyFont="1" applyAlignment="1">
      <alignment horizontal="center"/>
    </xf>
    <xf numFmtId="167" fontId="10" fillId="0" borderId="0" xfId="3" applyNumberFormat="1" applyFont="1"/>
    <xf numFmtId="167" fontId="10" fillId="0" borderId="0" xfId="3" applyNumberFormat="1" applyFont="1" applyAlignment="1">
      <alignment horizontal="right"/>
    </xf>
    <xf numFmtId="22" fontId="8" fillId="0" borderId="0" xfId="3" applyNumberFormat="1" applyFont="1"/>
    <xf numFmtId="167" fontId="8" fillId="0" borderId="0" xfId="1" applyNumberFormat="1" applyFont="1" applyAlignment="1">
      <alignment horizontal="right" vertical="center"/>
    </xf>
    <xf numFmtId="14" fontId="8" fillId="0" borderId="0" xfId="1" applyNumberFormat="1" applyFont="1" applyAlignment="1">
      <alignment horizontal="left"/>
    </xf>
    <xf numFmtId="167" fontId="8" fillId="0" borderId="0" xfId="1" applyNumberFormat="1" applyFont="1" applyAlignment="1">
      <alignment horizontal="left" vertical="center"/>
    </xf>
    <xf numFmtId="167" fontId="8" fillId="0" borderId="0" xfId="1" applyNumberFormat="1" applyFont="1" applyAlignment="1">
      <alignment horizontal="right"/>
    </xf>
    <xf numFmtId="43" fontId="10" fillId="0" borderId="0" xfId="3" applyNumberFormat="1" applyFont="1" applyAlignment="1">
      <alignment horizontal="center"/>
    </xf>
    <xf numFmtId="167" fontId="10" fillId="0" borderId="0" xfId="3" applyNumberFormat="1" applyFont="1" applyAlignment="1">
      <alignment horizontal="left"/>
    </xf>
    <xf numFmtId="167" fontId="10" fillId="0" borderId="0" xfId="3" applyNumberFormat="1" applyFont="1" applyAlignment="1">
      <alignment horizontal="right" vertical="center"/>
    </xf>
    <xf numFmtId="0" fontId="10" fillId="0" borderId="0" xfId="3" applyFont="1" applyAlignment="1"/>
    <xf numFmtId="43" fontId="10" fillId="0" borderId="0" xfId="3" applyNumberFormat="1" applyFont="1" applyAlignment="1">
      <alignment horizontal="right"/>
    </xf>
    <xf numFmtId="168" fontId="13" fillId="0" borderId="0" xfId="3" applyNumberFormat="1" applyFont="1" applyAlignment="1">
      <alignment horizontal="left"/>
    </xf>
    <xf numFmtId="0" fontId="8" fillId="0" borderId="0" xfId="1" applyFont="1" applyAlignment="1">
      <alignment horizontal="left"/>
    </xf>
    <xf numFmtId="0" fontId="8" fillId="0" borderId="0" xfId="1" applyFont="1" applyAlignment="1">
      <alignment horizontal="center"/>
    </xf>
    <xf numFmtId="167" fontId="8" fillId="0" borderId="0" xfId="1" applyNumberFormat="1" applyFont="1" applyAlignment="1">
      <alignment horizontal="center" vertical="center"/>
    </xf>
    <xf numFmtId="43" fontId="8" fillId="0" borderId="0" xfId="1" applyNumberFormat="1" applyFont="1" applyAlignment="1">
      <alignment horizontal="center"/>
    </xf>
    <xf numFmtId="43" fontId="8" fillId="0" borderId="0" xfId="1" applyNumberFormat="1" applyFont="1"/>
    <xf numFmtId="167" fontId="9" fillId="0" borderId="0" xfId="1" applyNumberFormat="1" applyFont="1" applyAlignment="1">
      <alignment horizontal="left" vertical="center"/>
    </xf>
    <xf numFmtId="168" fontId="8" fillId="0" borderId="0" xfId="1" applyNumberFormat="1" applyFont="1" applyAlignment="1">
      <alignment horizontal="left"/>
    </xf>
    <xf numFmtId="0" fontId="8" fillId="0" borderId="0" xfId="1" applyFont="1" applyAlignment="1"/>
    <xf numFmtId="0" fontId="29" fillId="0" borderId="0" xfId="1" applyFont="1"/>
    <xf numFmtId="0" fontId="1" fillId="0" borderId="0" xfId="1" applyAlignment="1">
      <alignment vertical="center"/>
    </xf>
    <xf numFmtId="0" fontId="1" fillId="0" borderId="0" xfId="1" applyFont="1" applyAlignment="1">
      <alignment vertical="center"/>
    </xf>
    <xf numFmtId="3" fontId="1" fillId="0" borderId="0" xfId="1" applyNumberFormat="1" applyFont="1" applyAlignment="1">
      <alignment vertical="center"/>
    </xf>
    <xf numFmtId="3" fontId="19" fillId="0" borderId="0" xfId="1" applyNumberFormat="1" applyFont="1" applyAlignment="1">
      <alignment vertical="center"/>
    </xf>
    <xf numFmtId="164" fontId="26" fillId="0" borderId="0" xfId="2" applyNumberFormat="1" applyFont="1"/>
    <xf numFmtId="0" fontId="1" fillId="0" borderId="0" xfId="1" applyFont="1" applyAlignment="1"/>
    <xf numFmtId="3" fontId="1" fillId="0" borderId="0" xfId="1" applyNumberFormat="1" applyFont="1" applyAlignment="1">
      <alignment horizontal="center" vertical="center"/>
    </xf>
    <xf numFmtId="164" fontId="1" fillId="0" borderId="0" xfId="1" applyNumberFormat="1" applyFont="1"/>
    <xf numFmtId="164" fontId="1" fillId="0" borderId="0" xfId="1" applyNumberFormat="1" applyFont="1" applyAlignment="1">
      <alignment horizontal="center" vertical="center"/>
    </xf>
    <xf numFmtId="164" fontId="1" fillId="8" borderId="0" xfId="1" applyNumberFormat="1" applyFont="1" applyFill="1" applyAlignment="1">
      <alignment horizontal="center" vertical="center"/>
    </xf>
    <xf numFmtId="0" fontId="1" fillId="3" borderId="0" xfId="1" applyFont="1" applyFill="1" applyAlignment="1"/>
    <xf numFmtId="0" fontId="1" fillId="0" borderId="0" xfId="1" applyFont="1" applyAlignment="1">
      <alignment horizontal="center" vertical="center"/>
    </xf>
    <xf numFmtId="0" fontId="1" fillId="0" borderId="0" xfId="1" applyFont="1" applyAlignment="1">
      <alignment horizontal="left" vertical="center"/>
    </xf>
    <xf numFmtId="0" fontId="1" fillId="0" borderId="0" xfId="1" applyFont="1" applyAlignment="1">
      <alignment horizontal="left"/>
    </xf>
    <xf numFmtId="0" fontId="19" fillId="0" borderId="0" xfId="1" applyFont="1" applyBorder="1" applyAlignment="1">
      <alignment horizontal="center"/>
    </xf>
    <xf numFmtId="0" fontId="19" fillId="0" borderId="0" xfId="1" applyFont="1" applyAlignment="1">
      <alignment horizontal="center"/>
    </xf>
    <xf numFmtId="3" fontId="1" fillId="0" borderId="41" xfId="3" applyNumberFormat="1" applyFont="1" applyBorder="1" applyAlignment="1">
      <alignment horizontal="center" vertical="center"/>
    </xf>
    <xf numFmtId="0" fontId="1" fillId="0" borderId="0" xfId="1" applyNumberFormat="1" applyFont="1"/>
    <xf numFmtId="3" fontId="1" fillId="0" borderId="0" xfId="1" applyNumberFormat="1" applyFont="1" applyAlignment="1">
      <alignment horizontal="left"/>
    </xf>
    <xf numFmtId="0" fontId="19" fillId="0" borderId="0" xfId="3" applyFont="1"/>
    <xf numFmtId="0" fontId="10" fillId="0" borderId="0" xfId="5" applyFont="1"/>
    <xf numFmtId="0" fontId="30" fillId="0" borderId="0" xfId="5" applyFont="1"/>
    <xf numFmtId="0" fontId="31" fillId="0" borderId="0" xfId="5" applyFont="1"/>
    <xf numFmtId="0" fontId="32" fillId="0" borderId="0" xfId="5" applyFont="1"/>
    <xf numFmtId="0" fontId="33" fillId="0" borderId="0" xfId="5" applyFont="1"/>
    <xf numFmtId="3" fontId="10" fillId="0" borderId="0" xfId="5" applyNumberFormat="1" applyFont="1"/>
    <xf numFmtId="3" fontId="1" fillId="0" borderId="0" xfId="1" applyNumberFormat="1" applyFont="1" applyAlignment="1">
      <alignment horizontal="center"/>
    </xf>
    <xf numFmtId="0" fontId="19" fillId="0" borderId="0" xfId="1" applyFont="1" applyFill="1" applyBorder="1" applyAlignment="1">
      <alignment horizontal="left" vertical="center" wrapText="1"/>
    </xf>
    <xf numFmtId="0" fontId="26" fillId="0" borderId="0" xfId="0" applyFont="1" applyAlignment="1">
      <alignment horizontal="center"/>
    </xf>
    <xf numFmtId="0" fontId="26" fillId="0" borderId="0" xfId="0" applyFont="1" applyAlignment="1">
      <alignment horizontal="center" vertical="center"/>
    </xf>
    <xf numFmtId="0" fontId="8" fillId="0" borderId="25" xfId="1" applyFont="1" applyBorder="1" applyAlignment="1"/>
    <xf numFmtId="0" fontId="8" fillId="0" borderId="0" xfId="1" applyFont="1" applyBorder="1" applyAlignment="1"/>
    <xf numFmtId="0" fontId="8" fillId="0" borderId="0" xfId="1" applyFont="1" applyBorder="1" applyAlignment="1">
      <alignment horizontal="center"/>
    </xf>
    <xf numFmtId="0" fontId="10" fillId="0" borderId="0" xfId="3" applyFont="1" applyAlignment="1">
      <alignment horizontal="right"/>
    </xf>
    <xf numFmtId="0" fontId="8" fillId="0" borderId="0" xfId="3" applyFont="1" applyAlignment="1">
      <alignment horizontal="left" vertical="center"/>
    </xf>
    <xf numFmtId="0" fontId="10" fillId="0" borderId="0" xfId="3" applyFont="1" applyAlignment="1">
      <alignment horizontal="right" vertical="center"/>
    </xf>
    <xf numFmtId="168" fontId="1" fillId="0" borderId="0" xfId="3" applyNumberFormat="1" applyFont="1" applyAlignment="1"/>
    <xf numFmtId="0" fontId="1" fillId="0" borderId="0" xfId="3" applyFont="1" applyAlignment="1">
      <alignment horizontal="left" vertical="center"/>
    </xf>
    <xf numFmtId="0" fontId="10" fillId="0" borderId="0" xfId="3" applyFont="1" applyAlignment="1">
      <alignment vertical="center"/>
    </xf>
    <xf numFmtId="0" fontId="1" fillId="0" borderId="0" xfId="3" applyFont="1" applyBorder="1" applyAlignment="1">
      <alignment horizontal="left" vertical="center"/>
    </xf>
    <xf numFmtId="3" fontId="1" fillId="0" borderId="0" xfId="3" applyNumberFormat="1" applyFont="1" applyAlignment="1">
      <alignment horizontal="left" vertical="center"/>
    </xf>
    <xf numFmtId="0" fontId="1" fillId="0" borderId="3" xfId="3" applyFont="1" applyBorder="1" applyAlignment="1">
      <alignment horizontal="center" vertical="center" wrapText="1"/>
    </xf>
    <xf numFmtId="0" fontId="8" fillId="0" borderId="6" xfId="3" applyFont="1" applyBorder="1" applyAlignment="1">
      <alignment vertical="center"/>
    </xf>
    <xf numFmtId="0" fontId="1" fillId="0" borderId="6" xfId="3" applyFont="1" applyBorder="1" applyAlignment="1">
      <alignment vertical="center" wrapText="1"/>
    </xf>
    <xf numFmtId="0" fontId="1" fillId="0" borderId="4" xfId="3" applyFont="1" applyBorder="1" applyAlignment="1">
      <alignment horizontal="center" vertical="center"/>
    </xf>
    <xf numFmtId="0" fontId="1" fillId="0" borderId="6" xfId="3" applyFont="1" applyBorder="1" applyAlignment="1">
      <alignment horizontal="center" vertical="center" wrapText="1"/>
    </xf>
    <xf numFmtId="0" fontId="1" fillId="0" borderId="5" xfId="3" applyFont="1" applyBorder="1" applyAlignment="1">
      <alignment horizontal="center" vertical="center" wrapText="1"/>
    </xf>
    <xf numFmtId="0" fontId="10" fillId="0" borderId="5" xfId="3" applyFont="1" applyBorder="1" applyAlignment="1">
      <alignment horizontal="center" vertical="center" wrapText="1"/>
    </xf>
    <xf numFmtId="0" fontId="1" fillId="0" borderId="6" xfId="3" applyFont="1" applyBorder="1" applyAlignment="1">
      <alignment horizontal="center" vertical="center"/>
    </xf>
    <xf numFmtId="3" fontId="1" fillId="0" borderId="39" xfId="3" applyNumberFormat="1" applyFont="1" applyBorder="1" applyAlignment="1">
      <alignment horizontal="center" vertical="center"/>
    </xf>
    <xf numFmtId="0" fontId="1" fillId="0" borderId="22" xfId="3" applyFont="1" applyBorder="1"/>
    <xf numFmtId="168" fontId="1" fillId="0" borderId="0" xfId="3" applyNumberFormat="1" applyFont="1" applyAlignment="1">
      <alignment vertical="center"/>
    </xf>
    <xf numFmtId="0" fontId="1" fillId="0" borderId="0" xfId="3" applyFont="1" applyBorder="1" applyAlignment="1">
      <alignment vertical="center"/>
    </xf>
    <xf numFmtId="3" fontId="1" fillId="0" borderId="0" xfId="3" applyNumberFormat="1" applyFont="1" applyAlignment="1">
      <alignment vertical="center"/>
    </xf>
    <xf numFmtId="0" fontId="1" fillId="0" borderId="4" xfId="3" applyFont="1" applyBorder="1" applyAlignment="1">
      <alignment horizontal="center" vertical="center" wrapText="1"/>
    </xf>
    <xf numFmtId="0" fontId="10" fillId="0" borderId="6" xfId="3" applyFont="1" applyBorder="1" applyAlignment="1">
      <alignment horizontal="center" vertical="center" wrapText="1"/>
    </xf>
    <xf numFmtId="0" fontId="1" fillId="0" borderId="0" xfId="1" applyFont="1" applyAlignment="1">
      <alignment horizontal="center" vertical="center"/>
    </xf>
    <xf numFmtId="0" fontId="19" fillId="0" borderId="0" xfId="1" applyFont="1" applyAlignment="1">
      <alignment vertical="center"/>
    </xf>
    <xf numFmtId="3" fontId="36" fillId="3" borderId="0" xfId="4" applyNumberFormat="1" applyFont="1" applyFill="1" applyBorder="1" applyAlignment="1">
      <alignment horizontal="center" vertical="center"/>
    </xf>
    <xf numFmtId="0" fontId="22" fillId="4" borderId="7" xfId="1" applyFont="1" applyFill="1" applyBorder="1" applyAlignment="1">
      <alignment vertical="center"/>
    </xf>
    <xf numFmtId="0" fontId="22" fillId="4" borderId="43" xfId="1" applyFont="1" applyFill="1" applyBorder="1" applyAlignment="1">
      <alignment vertical="center"/>
    </xf>
    <xf numFmtId="0" fontId="1" fillId="0" borderId="0" xfId="1" applyFont="1" applyAlignment="1">
      <alignment horizontal="center" vertical="center"/>
    </xf>
    <xf numFmtId="0" fontId="3" fillId="3" borderId="0" xfId="1" applyFont="1" applyFill="1" applyBorder="1" applyAlignment="1">
      <alignment horizontal="center" vertical="center"/>
    </xf>
    <xf numFmtId="0" fontId="1" fillId="3" borderId="0" xfId="1" applyFont="1" applyFill="1" applyBorder="1"/>
    <xf numFmtId="3" fontId="5" fillId="3" borderId="0" xfId="4" applyNumberFormat="1" applyFont="1" applyFill="1" applyBorder="1" applyAlignment="1">
      <alignment horizontal="center" vertical="center"/>
    </xf>
    <xf numFmtId="22" fontId="8" fillId="0" borderId="0" xfId="5" applyNumberFormat="1" applyFont="1"/>
    <xf numFmtId="43" fontId="10" fillId="0" borderId="0" xfId="5" applyNumberFormat="1" applyFont="1" applyAlignment="1">
      <alignment horizontal="right"/>
    </xf>
    <xf numFmtId="0" fontId="21" fillId="3" borderId="0" xfId="1" applyFont="1" applyFill="1" applyBorder="1" applyAlignment="1">
      <alignment horizontal="center" vertical="center"/>
    </xf>
    <xf numFmtId="0" fontId="1" fillId="0" borderId="0" xfId="1" applyFont="1" applyBorder="1" applyAlignment="1">
      <alignment horizontal="center"/>
    </xf>
    <xf numFmtId="0" fontId="8" fillId="0" borderId="0" xfId="1" applyFont="1" applyBorder="1" applyAlignment="1">
      <alignment horizontal="center" vertical="center"/>
    </xf>
    <xf numFmtId="0" fontId="6" fillId="0" borderId="0" xfId="1" applyFont="1" applyBorder="1" applyAlignment="1">
      <alignment horizontal="center" vertical="center" wrapText="1"/>
    </xf>
    <xf numFmtId="0" fontId="1" fillId="0" borderId="0" xfId="1" applyFont="1" applyAlignment="1">
      <alignment horizontal="center"/>
    </xf>
    <xf numFmtId="0" fontId="1" fillId="0" borderId="0" xfId="1" applyFont="1" applyAlignment="1">
      <alignment horizontal="center" vertical="center"/>
    </xf>
    <xf numFmtId="0" fontId="3" fillId="0" borderId="0" xfId="1" applyFont="1" applyAlignment="1">
      <alignment horizontal="center"/>
    </xf>
    <xf numFmtId="0" fontId="1" fillId="0" borderId="0" xfId="1" applyFont="1" applyAlignment="1">
      <alignment horizontal="center"/>
    </xf>
    <xf numFmtId="0" fontId="1" fillId="0" borderId="0" xfId="1" applyFont="1" applyAlignment="1">
      <alignment horizontal="center" vertical="center"/>
    </xf>
    <xf numFmtId="0" fontId="1" fillId="0" borderId="0" xfId="1" applyFont="1" applyAlignment="1">
      <alignment horizontal="center" vertical="center"/>
    </xf>
    <xf numFmtId="0" fontId="35" fillId="0" borderId="0" xfId="1" applyFont="1" applyBorder="1" applyAlignment="1">
      <alignment horizontal="center" vertical="center"/>
    </xf>
    <xf numFmtId="0" fontId="22" fillId="3" borderId="0" xfId="1" applyFont="1" applyFill="1" applyBorder="1" applyAlignment="1">
      <alignment horizontal="center" vertical="center"/>
    </xf>
    <xf numFmtId="0" fontId="1" fillId="0" borderId="0" xfId="1" applyFont="1" applyAlignment="1">
      <alignment horizontal="center" vertical="center"/>
    </xf>
    <xf numFmtId="43" fontId="10" fillId="0" borderId="0" xfId="5" applyNumberFormat="1" applyFont="1" applyAlignment="1">
      <alignment horizontal="center"/>
    </xf>
    <xf numFmtId="0" fontId="8" fillId="0" borderId="0" xfId="1" applyFont="1" applyAlignment="1">
      <alignment horizontal="right"/>
    </xf>
    <xf numFmtId="0" fontId="8" fillId="0" borderId="0" xfId="1" applyFont="1" applyAlignment="1">
      <alignment horizontal="center" vertical="center"/>
    </xf>
    <xf numFmtId="0" fontId="8" fillId="0" borderId="0" xfId="1" applyFont="1" applyAlignment="1">
      <alignment horizontal="center"/>
    </xf>
    <xf numFmtId="0" fontId="10" fillId="0" borderId="0" xfId="5" applyFont="1" applyAlignment="1">
      <alignment horizontal="right"/>
    </xf>
    <xf numFmtId="167" fontId="10" fillId="0" borderId="0" xfId="5" applyNumberFormat="1" applyFont="1" applyAlignment="1">
      <alignment horizontal="left"/>
    </xf>
    <xf numFmtId="167" fontId="10" fillId="0" borderId="0" xfId="5" applyNumberFormat="1" applyFont="1"/>
    <xf numFmtId="167" fontId="10" fillId="0" borderId="0" xfId="5" applyNumberFormat="1" applyFont="1" applyAlignment="1">
      <alignment horizontal="right"/>
    </xf>
    <xf numFmtId="3" fontId="10" fillId="0" borderId="0" xfId="5" applyNumberFormat="1" applyFont="1" applyAlignment="1">
      <alignment horizontal="right"/>
    </xf>
    <xf numFmtId="0" fontId="1" fillId="0" borderId="0" xfId="5" applyFont="1"/>
    <xf numFmtId="168" fontId="10" fillId="0" borderId="0" xfId="5" applyNumberFormat="1" applyFont="1" applyAlignment="1">
      <alignment horizontal="left"/>
    </xf>
    <xf numFmtId="14" fontId="8" fillId="0" borderId="0" xfId="1" applyNumberFormat="1" applyFont="1" applyAlignment="1">
      <alignment horizontal="center"/>
    </xf>
    <xf numFmtId="14" fontId="8" fillId="0" borderId="0" xfId="1" applyNumberFormat="1" applyFont="1" applyAlignment="1">
      <alignment horizontal="right"/>
    </xf>
    <xf numFmtId="43" fontId="8" fillId="0" borderId="0" xfId="1" applyNumberFormat="1" applyFont="1" applyAlignment="1">
      <alignment horizontal="right"/>
    </xf>
    <xf numFmtId="0" fontId="8" fillId="0" borderId="0" xfId="1" applyFont="1" applyAlignment="1">
      <alignment vertical="center"/>
    </xf>
    <xf numFmtId="22" fontId="8" fillId="0" borderId="0" xfId="1" applyNumberFormat="1" applyFont="1" applyAlignment="1">
      <alignment horizontal="left"/>
    </xf>
    <xf numFmtId="0" fontId="6" fillId="0" borderId="56" xfId="1" applyFont="1" applyBorder="1" applyAlignment="1">
      <alignment vertical="center" wrapText="1"/>
    </xf>
    <xf numFmtId="0" fontId="42" fillId="3" borderId="51" xfId="1" applyFont="1" applyFill="1" applyBorder="1" applyAlignment="1">
      <alignment horizontal="center" vertical="center"/>
    </xf>
    <xf numFmtId="0" fontId="6" fillId="0" borderId="28" xfId="1" applyFont="1" applyBorder="1" applyAlignment="1">
      <alignment vertical="center" wrapText="1"/>
    </xf>
    <xf numFmtId="0" fontId="42" fillId="3" borderId="15" xfId="1" applyFont="1" applyFill="1" applyBorder="1" applyAlignment="1">
      <alignment horizontal="center" vertical="center"/>
    </xf>
    <xf numFmtId="0" fontId="6" fillId="0" borderId="1" xfId="1" applyFont="1" applyBorder="1" applyAlignment="1">
      <alignment horizontal="left" vertical="center" wrapText="1"/>
    </xf>
    <xf numFmtId="1" fontId="42" fillId="9" borderId="14" xfId="1" applyNumberFormat="1" applyFont="1" applyFill="1" applyBorder="1" applyAlignment="1">
      <alignment horizontal="center" vertical="center"/>
    </xf>
    <xf numFmtId="3" fontId="46" fillId="0" borderId="14" xfId="1" applyNumberFormat="1" applyFont="1" applyBorder="1" applyAlignment="1">
      <alignment horizontal="center" vertical="center" wrapText="1"/>
    </xf>
    <xf numFmtId="0" fontId="6" fillId="0" borderId="12" xfId="1" applyFont="1" applyBorder="1" applyAlignment="1">
      <alignment vertical="center" wrapText="1"/>
    </xf>
    <xf numFmtId="0" fontId="6" fillId="0" borderId="1" xfId="1" applyFont="1" applyBorder="1" applyAlignment="1">
      <alignment horizontal="center" wrapText="1"/>
    </xf>
    <xf numFmtId="0" fontId="6" fillId="0" borderId="1" xfId="1" applyFont="1" applyBorder="1" applyAlignment="1">
      <alignment horizontal="center" vertical="center" wrapText="1"/>
    </xf>
    <xf numFmtId="0" fontId="6" fillId="0" borderId="47" xfId="1" applyFont="1" applyBorder="1" applyAlignment="1">
      <alignment horizontal="center" vertical="center" wrapText="1"/>
    </xf>
    <xf numFmtId="0" fontId="1" fillId="3" borderId="17" xfId="1" applyFont="1" applyFill="1" applyBorder="1"/>
    <xf numFmtId="0" fontId="1" fillId="3" borderId="17" xfId="1" applyFont="1" applyFill="1" applyBorder="1" applyAlignment="1">
      <alignment horizontal="center" vertical="center"/>
    </xf>
    <xf numFmtId="0" fontId="42" fillId="3" borderId="17" xfId="1" applyFont="1" applyFill="1" applyBorder="1" applyAlignment="1">
      <alignment horizontal="left" vertical="center"/>
    </xf>
    <xf numFmtId="0" fontId="6" fillId="0" borderId="9" xfId="1" applyFont="1" applyBorder="1" applyAlignment="1">
      <alignment horizontal="center" vertical="center"/>
    </xf>
    <xf numFmtId="0" fontId="6" fillId="9" borderId="9" xfId="1" applyFont="1" applyFill="1" applyBorder="1" applyAlignment="1">
      <alignment horizontal="center" vertical="center"/>
    </xf>
    <xf numFmtId="3" fontId="42" fillId="9" borderId="1" xfId="1" applyNumberFormat="1" applyFont="1" applyFill="1" applyBorder="1" applyAlignment="1">
      <alignment horizontal="center" vertical="center"/>
    </xf>
    <xf numFmtId="0" fontId="6" fillId="0" borderId="11" xfId="1" applyFont="1" applyFill="1" applyBorder="1" applyAlignment="1">
      <alignment vertical="center" wrapText="1"/>
    </xf>
    <xf numFmtId="0" fontId="42" fillId="9" borderId="1" xfId="1" applyFont="1" applyFill="1" applyBorder="1" applyAlignment="1">
      <alignment horizontal="center" vertical="center"/>
    </xf>
    <xf numFmtId="0" fontId="6" fillId="0" borderId="1" xfId="1" applyFont="1" applyBorder="1" applyAlignment="1">
      <alignment wrapText="1"/>
    </xf>
    <xf numFmtId="0" fontId="6" fillId="0" borderId="1" xfId="1" applyFont="1" applyBorder="1" applyAlignment="1">
      <alignment vertical="center" wrapText="1"/>
    </xf>
    <xf numFmtId="0" fontId="50" fillId="0" borderId="11" xfId="1" applyFont="1" applyFill="1" applyBorder="1" applyAlignment="1">
      <alignment vertical="center" wrapText="1"/>
    </xf>
    <xf numFmtId="0" fontId="47" fillId="0" borderId="1" xfId="1" applyFont="1" applyBorder="1" applyAlignment="1">
      <alignment vertical="center" wrapText="1"/>
    </xf>
    <xf numFmtId="0" fontId="42" fillId="3" borderId="1" xfId="1" applyFont="1" applyFill="1" applyBorder="1" applyAlignment="1">
      <alignment horizontal="center" vertical="center"/>
    </xf>
    <xf numFmtId="167" fontId="42" fillId="9" borderId="1" xfId="1" applyNumberFormat="1" applyFont="1" applyFill="1" applyBorder="1" applyAlignment="1">
      <alignment horizontal="center" vertical="center"/>
    </xf>
    <xf numFmtId="14" fontId="42" fillId="3" borderId="1" xfId="1" applyNumberFormat="1" applyFont="1" applyFill="1" applyBorder="1" applyAlignment="1">
      <alignment horizontal="center" vertical="center"/>
    </xf>
    <xf numFmtId="0" fontId="42" fillId="9" borderId="15" xfId="1" applyFont="1" applyFill="1" applyBorder="1" applyAlignment="1">
      <alignment horizontal="center" vertical="center"/>
    </xf>
    <xf numFmtId="0" fontId="6" fillId="0" borderId="16" xfId="1" applyFont="1" applyFill="1" applyBorder="1" applyAlignment="1">
      <alignment vertical="center" wrapText="1"/>
    </xf>
    <xf numFmtId="3" fontId="51" fillId="3" borderId="17" xfId="1" applyNumberFormat="1" applyFont="1" applyFill="1" applyBorder="1" applyAlignment="1">
      <alignment horizontal="center" vertical="center"/>
    </xf>
    <xf numFmtId="0" fontId="6" fillId="0" borderId="17" xfId="1" applyFont="1" applyBorder="1" applyAlignment="1">
      <alignment vertical="center" wrapText="1"/>
    </xf>
    <xf numFmtId="0" fontId="42" fillId="3" borderId="18" xfId="1" applyFont="1" applyFill="1" applyBorder="1" applyAlignment="1">
      <alignment horizontal="center" vertical="center"/>
    </xf>
    <xf numFmtId="0" fontId="6" fillId="2" borderId="6" xfId="1" applyFont="1" applyFill="1" applyBorder="1" applyAlignment="1">
      <alignment horizontal="left" vertical="center" wrapText="1"/>
    </xf>
    <xf numFmtId="0" fontId="6" fillId="3" borderId="6" xfId="1" applyFont="1" applyFill="1" applyBorder="1" applyAlignment="1">
      <alignment horizontal="center" vertical="center"/>
    </xf>
    <xf numFmtId="0" fontId="8" fillId="0" borderId="0" xfId="1" applyFont="1" applyFill="1" applyBorder="1" applyAlignment="1">
      <alignment wrapText="1"/>
    </xf>
    <xf numFmtId="0" fontId="8" fillId="0" borderId="26" xfId="1" applyFont="1" applyBorder="1" applyAlignment="1">
      <alignment horizontal="center" vertical="center"/>
    </xf>
    <xf numFmtId="0" fontId="8" fillId="0" borderId="26" xfId="1" applyFont="1" applyBorder="1" applyAlignment="1">
      <alignment horizontal="center"/>
    </xf>
    <xf numFmtId="0" fontId="1" fillId="0" borderId="17" xfId="1" applyFont="1" applyBorder="1"/>
    <xf numFmtId="0" fontId="8" fillId="0" borderId="27" xfId="1" applyFont="1" applyBorder="1" applyAlignment="1"/>
    <xf numFmtId="3" fontId="8" fillId="0" borderId="9" xfId="1" applyNumberFormat="1" applyFont="1" applyBorder="1" applyAlignment="1">
      <alignment vertical="center" wrapText="1"/>
    </xf>
    <xf numFmtId="3" fontId="1" fillId="0" borderId="9" xfId="1" applyNumberFormat="1" applyFont="1" applyBorder="1" applyAlignment="1">
      <alignment vertical="center"/>
    </xf>
    <xf numFmtId="0" fontId="1" fillId="0" borderId="9" xfId="1" applyFont="1" applyBorder="1" applyAlignment="1" applyProtection="1">
      <alignment vertical="center"/>
    </xf>
    <xf numFmtId="0" fontId="1" fillId="3" borderId="9" xfId="1" applyFont="1" applyFill="1" applyBorder="1" applyAlignment="1">
      <alignment vertical="center"/>
    </xf>
    <xf numFmtId="3" fontId="1" fillId="3" borderId="9" xfId="1" applyNumberFormat="1" applyFont="1" applyFill="1" applyBorder="1" applyAlignment="1">
      <alignment vertical="center"/>
    </xf>
    <xf numFmtId="3" fontId="1" fillId="0" borderId="10" xfId="1" applyNumberFormat="1" applyFont="1" applyBorder="1" applyAlignment="1">
      <alignment vertical="center"/>
    </xf>
    <xf numFmtId="3" fontId="1" fillId="0" borderId="12" xfId="1" applyNumberFormat="1" applyFont="1" applyBorder="1" applyAlignment="1">
      <alignment vertical="center"/>
    </xf>
    <xf numFmtId="3" fontId="1" fillId="0" borderId="15" xfId="1" applyNumberFormat="1" applyFont="1" applyBorder="1" applyAlignment="1">
      <alignment vertical="center"/>
    </xf>
    <xf numFmtId="3" fontId="1" fillId="3" borderId="12" xfId="1" applyNumberFormat="1" applyFont="1" applyFill="1" applyBorder="1" applyAlignment="1">
      <alignment vertical="center"/>
    </xf>
    <xf numFmtId="0" fontId="6" fillId="0" borderId="1" xfId="1" applyFont="1" applyFill="1" applyBorder="1" applyAlignment="1">
      <alignment horizontal="center" vertical="center"/>
    </xf>
    <xf numFmtId="0" fontId="10" fillId="0" borderId="1" xfId="1" applyFont="1" applyBorder="1" applyAlignment="1">
      <alignment vertical="center" wrapText="1"/>
    </xf>
    <xf numFmtId="0" fontId="1" fillId="0" borderId="29" xfId="1" applyFont="1" applyBorder="1" applyAlignment="1" applyProtection="1">
      <alignment vertical="center"/>
    </xf>
    <xf numFmtId="0" fontId="8" fillId="0" borderId="1" xfId="1" applyFont="1" applyBorder="1"/>
    <xf numFmtId="3" fontId="1" fillId="0" borderId="1" xfId="1" applyNumberFormat="1" applyFont="1" applyBorder="1" applyAlignment="1">
      <alignment vertical="center"/>
    </xf>
    <xf numFmtId="3" fontId="1" fillId="0" borderId="26" xfId="1" applyNumberFormat="1" applyFont="1" applyBorder="1" applyAlignment="1">
      <alignment vertical="center"/>
    </xf>
    <xf numFmtId="0" fontId="8" fillId="0" borderId="17" xfId="1" applyFont="1" applyBorder="1"/>
    <xf numFmtId="3" fontId="1" fillId="0" borderId="17" xfId="1" applyNumberFormat="1" applyFont="1" applyBorder="1" applyAlignment="1">
      <alignment vertical="center"/>
    </xf>
    <xf numFmtId="0" fontId="1" fillId="0" borderId="0" xfId="1" applyFont="1" applyFill="1" applyBorder="1"/>
    <xf numFmtId="0" fontId="52" fillId="0" borderId="0" xfId="1" applyFont="1"/>
    <xf numFmtId="3" fontId="1" fillId="0" borderId="0" xfId="1" applyNumberFormat="1" applyFont="1" applyBorder="1" applyAlignment="1">
      <alignment vertical="center"/>
    </xf>
    <xf numFmtId="3" fontId="19" fillId="0" borderId="0" xfId="1" applyNumberFormat="1" applyFont="1" applyBorder="1" applyAlignment="1">
      <alignment vertical="center"/>
    </xf>
    <xf numFmtId="0" fontId="52" fillId="0" borderId="0" xfId="1" applyFont="1" applyAlignment="1"/>
    <xf numFmtId="0" fontId="19" fillId="0" borderId="0" xfId="1" applyFont="1" applyAlignment="1">
      <alignment horizontal="right"/>
    </xf>
    <xf numFmtId="0" fontId="1" fillId="0" borderId="0" xfId="1" applyFont="1" applyAlignment="1">
      <alignment horizontal="right"/>
    </xf>
    <xf numFmtId="3" fontId="1" fillId="3" borderId="0" xfId="1" applyNumberFormat="1" applyFont="1" applyFill="1" applyBorder="1" applyAlignment="1">
      <alignment horizontal="right"/>
    </xf>
    <xf numFmtId="3" fontId="1" fillId="3" borderId="7" xfId="1" applyNumberFormat="1" applyFont="1" applyFill="1" applyBorder="1" applyAlignment="1">
      <alignment horizontal="right"/>
    </xf>
    <xf numFmtId="0" fontId="53" fillId="0" borderId="0" xfId="1" applyFont="1" applyAlignment="1">
      <alignment horizontal="left"/>
    </xf>
    <xf numFmtId="0" fontId="8" fillId="0" borderId="0" xfId="1" applyFont="1" applyAlignment="1">
      <alignment horizontal="right" vertical="center"/>
    </xf>
    <xf numFmtId="0" fontId="41" fillId="0" borderId="0" xfId="1" applyFont="1" applyAlignment="1">
      <alignment horizontal="left"/>
    </xf>
    <xf numFmtId="0" fontId="41" fillId="0" borderId="0" xfId="1" applyFont="1" applyAlignment="1">
      <alignment horizontal="left" vertical="center"/>
    </xf>
    <xf numFmtId="0" fontId="10" fillId="6" borderId="6" xfId="1" applyFont="1" applyFill="1" applyBorder="1" applyAlignment="1">
      <alignment horizontal="center" vertical="center"/>
    </xf>
    <xf numFmtId="0" fontId="10" fillId="5" borderId="3" xfId="1" applyFont="1" applyFill="1" applyBorder="1" applyAlignment="1">
      <alignment horizontal="center"/>
    </xf>
    <xf numFmtId="3" fontId="10" fillId="5" borderId="6" xfId="1" applyNumberFormat="1" applyFont="1" applyFill="1" applyBorder="1" applyAlignment="1">
      <alignment horizontal="center" vertical="center"/>
    </xf>
    <xf numFmtId="9" fontId="10" fillId="4" borderId="3" xfId="4" applyFont="1" applyFill="1" applyBorder="1" applyAlignment="1">
      <alignment horizontal="center" vertical="center"/>
    </xf>
    <xf numFmtId="0" fontId="8" fillId="5" borderId="3" xfId="1" applyFont="1" applyFill="1" applyBorder="1" applyAlignment="1">
      <alignment horizontal="center" vertical="center" wrapText="1"/>
    </xf>
    <xf numFmtId="3" fontId="10" fillId="4" borderId="6" xfId="1" applyNumberFormat="1" applyFont="1" applyFill="1" applyBorder="1" applyAlignment="1">
      <alignment horizontal="center" vertical="center"/>
    </xf>
    <xf numFmtId="0" fontId="26" fillId="0" borderId="0" xfId="0" applyFont="1" applyAlignment="1">
      <alignment horizontal="center"/>
    </xf>
    <xf numFmtId="3" fontId="26" fillId="0" borderId="0" xfId="0" applyNumberFormat="1" applyFont="1" applyAlignment="1">
      <alignment horizontal="center" vertical="center"/>
    </xf>
    <xf numFmtId="0" fontId="26" fillId="0" borderId="0" xfId="0" applyFont="1" applyAlignment="1">
      <alignment horizontal="center" vertical="center"/>
    </xf>
    <xf numFmtId="0" fontId="26" fillId="0" borderId="3" xfId="0" applyFont="1" applyBorder="1" applyAlignment="1">
      <alignment horizontal="center"/>
    </xf>
    <xf numFmtId="0" fontId="26" fillId="0" borderId="4" xfId="0" applyFont="1" applyBorder="1" applyAlignment="1">
      <alignment horizontal="center"/>
    </xf>
    <xf numFmtId="0" fontId="26" fillId="0" borderId="5" xfId="0" applyFont="1" applyBorder="1" applyAlignment="1">
      <alignment horizontal="center"/>
    </xf>
    <xf numFmtId="0" fontId="26" fillId="0" borderId="0" xfId="0" quotePrefix="1" applyFont="1" applyAlignment="1">
      <alignment horizontal="center" vertical="center"/>
    </xf>
    <xf numFmtId="0" fontId="6" fillId="3" borderId="3" xfId="1" applyFont="1" applyFill="1" applyBorder="1" applyAlignment="1">
      <alignment horizontal="center" vertical="center"/>
    </xf>
    <xf numFmtId="0" fontId="6" fillId="3" borderId="4" xfId="1" applyFont="1" applyFill="1" applyBorder="1" applyAlignment="1">
      <alignment horizontal="center" vertical="center"/>
    </xf>
    <xf numFmtId="0" fontId="47" fillId="0" borderId="57" xfId="1" applyFont="1" applyBorder="1" applyAlignment="1">
      <alignment horizontal="center" vertical="center" wrapText="1"/>
    </xf>
    <xf numFmtId="0" fontId="47" fillId="0" borderId="41" xfId="1" applyFont="1" applyBorder="1" applyAlignment="1">
      <alignment horizontal="center" vertical="center" wrapText="1"/>
    </xf>
    <xf numFmtId="0" fontId="55" fillId="0" borderId="0" xfId="1" applyFont="1" applyBorder="1" applyAlignment="1">
      <alignment horizontal="center" vertical="center" wrapText="1"/>
    </xf>
    <xf numFmtId="0" fontId="10" fillId="0" borderId="0" xfId="1" applyFont="1" applyAlignment="1">
      <alignment horizontal="center"/>
    </xf>
    <xf numFmtId="0" fontId="1" fillId="0" borderId="0" xfId="1" applyFont="1" applyAlignment="1">
      <alignment horizontal="center" vertical="center"/>
    </xf>
    <xf numFmtId="0" fontId="21" fillId="3" borderId="0" xfId="1" applyFont="1" applyFill="1" applyBorder="1" applyAlignment="1">
      <alignment horizontal="center" vertical="center"/>
    </xf>
    <xf numFmtId="0" fontId="6" fillId="0" borderId="0" xfId="1" applyFont="1" applyBorder="1" applyAlignment="1">
      <alignment horizontal="center" vertical="center"/>
    </xf>
    <xf numFmtId="0" fontId="8" fillId="0" borderId="0" xfId="1" applyFont="1" applyBorder="1" applyAlignment="1">
      <alignment horizontal="center" vertical="center"/>
    </xf>
    <xf numFmtId="0" fontId="6" fillId="0" borderId="12" xfId="1" applyFont="1" applyBorder="1" applyAlignment="1">
      <alignment horizontal="left" vertical="center" wrapText="1"/>
    </xf>
    <xf numFmtId="0" fontId="6" fillId="0" borderId="19" xfId="1" applyFont="1" applyBorder="1" applyAlignment="1">
      <alignment horizontal="left" vertical="center" wrapText="1"/>
    </xf>
    <xf numFmtId="0" fontId="6" fillId="0" borderId="17" xfId="1" applyFont="1" applyBorder="1" applyAlignment="1">
      <alignment horizontal="left" vertical="center" wrapText="1"/>
    </xf>
    <xf numFmtId="0" fontId="38" fillId="0" borderId="0" xfId="1" applyFont="1" applyAlignment="1">
      <alignment horizontal="center" vertical="center"/>
    </xf>
    <xf numFmtId="0" fontId="38" fillId="0" borderId="7" xfId="1" applyFont="1" applyBorder="1" applyAlignment="1">
      <alignment horizontal="center" vertical="center"/>
    </xf>
    <xf numFmtId="3" fontId="42" fillId="9" borderId="12" xfId="1" applyNumberFormat="1" applyFont="1" applyFill="1" applyBorder="1" applyAlignment="1">
      <alignment horizontal="center" vertical="center"/>
    </xf>
    <xf numFmtId="3" fontId="42" fillId="9" borderId="19" xfId="1" applyNumberFormat="1" applyFont="1" applyFill="1" applyBorder="1" applyAlignment="1">
      <alignment horizontal="center" vertical="center"/>
    </xf>
    <xf numFmtId="0" fontId="1" fillId="0" borderId="0" xfId="1" applyFont="1" applyBorder="1" applyAlignment="1">
      <alignment horizontal="center"/>
    </xf>
    <xf numFmtId="0" fontId="21" fillId="3" borderId="0" xfId="1" applyFont="1" applyFill="1" applyBorder="1" applyAlignment="1">
      <alignment horizontal="center"/>
    </xf>
    <xf numFmtId="0" fontId="19" fillId="0" borderId="0" xfId="1" applyFont="1" applyBorder="1" applyAlignment="1">
      <alignment vertical="center"/>
    </xf>
    <xf numFmtId="0" fontId="6" fillId="3" borderId="5" xfId="1" applyFont="1" applyFill="1" applyBorder="1" applyAlignment="1">
      <alignment horizontal="center" vertical="center"/>
    </xf>
    <xf numFmtId="0" fontId="42" fillId="3" borderId="12" xfId="1" applyFont="1" applyFill="1" applyBorder="1" applyAlignment="1">
      <alignment horizontal="center" vertical="center"/>
    </xf>
    <xf numFmtId="0" fontId="42" fillId="3" borderId="19" xfId="1" applyFont="1" applyFill="1" applyBorder="1" applyAlignment="1">
      <alignment horizontal="center" vertical="center"/>
    </xf>
    <xf numFmtId="0" fontId="6" fillId="0" borderId="12" xfId="1" applyFont="1" applyBorder="1" applyAlignment="1">
      <alignment horizontal="center" vertical="center" wrapText="1"/>
    </xf>
    <xf numFmtId="0" fontId="6" fillId="0" borderId="19" xfId="1" applyFont="1" applyBorder="1" applyAlignment="1">
      <alignment horizontal="center" vertical="center" wrapText="1"/>
    </xf>
    <xf numFmtId="166" fontId="3" fillId="6" borderId="4" xfId="1" applyNumberFormat="1" applyFont="1" applyFill="1" applyBorder="1" applyAlignment="1">
      <alignment horizontal="center" vertical="center"/>
    </xf>
    <xf numFmtId="166" fontId="3" fillId="6" borderId="5" xfId="1" applyNumberFormat="1" applyFont="1" applyFill="1" applyBorder="1" applyAlignment="1">
      <alignment horizontal="center" vertical="center"/>
    </xf>
    <xf numFmtId="0" fontId="3" fillId="3" borderId="4" xfId="1" applyFont="1" applyFill="1" applyBorder="1" applyAlignment="1">
      <alignment horizontal="center" vertical="center"/>
    </xf>
    <xf numFmtId="0" fontId="3" fillId="3" borderId="5" xfId="1" applyFont="1" applyFill="1" applyBorder="1" applyAlignment="1">
      <alignment horizontal="center" vertical="center"/>
    </xf>
    <xf numFmtId="167" fontId="42" fillId="3" borderId="17" xfId="1" applyNumberFormat="1" applyFont="1" applyFill="1" applyBorder="1" applyAlignment="1">
      <alignment horizontal="center" vertical="center"/>
    </xf>
    <xf numFmtId="167" fontId="42" fillId="3" borderId="18" xfId="1" applyNumberFormat="1" applyFont="1" applyFill="1" applyBorder="1" applyAlignment="1">
      <alignment horizontal="center" vertical="center"/>
    </xf>
    <xf numFmtId="0" fontId="49" fillId="0" borderId="42" xfId="1" applyFont="1" applyBorder="1" applyAlignment="1">
      <alignment horizontal="center" vertical="center"/>
    </xf>
    <xf numFmtId="0" fontId="42" fillId="9" borderId="1" xfId="1" applyFont="1" applyFill="1" applyBorder="1" applyAlignment="1">
      <alignment horizontal="center" vertical="center"/>
    </xf>
    <xf numFmtId="0" fontId="6" fillId="0" borderId="12" xfId="1" applyFont="1" applyBorder="1" applyAlignment="1">
      <alignment horizontal="center" wrapText="1"/>
    </xf>
    <xf numFmtId="0" fontId="6" fillId="0" borderId="19" xfId="1" applyFont="1" applyBorder="1" applyAlignment="1">
      <alignment horizontal="center" wrapText="1"/>
    </xf>
    <xf numFmtId="0" fontId="49" fillId="0" borderId="4" xfId="1" applyFont="1" applyBorder="1" applyAlignment="1">
      <alignment horizontal="center" vertical="center"/>
    </xf>
    <xf numFmtId="0" fontId="49" fillId="0" borderId="5" xfId="1" applyFont="1" applyBorder="1" applyAlignment="1">
      <alignment horizontal="center" vertical="center"/>
    </xf>
    <xf numFmtId="0" fontId="42" fillId="9" borderId="11" xfId="1" applyFont="1" applyFill="1" applyBorder="1" applyAlignment="1">
      <alignment horizontal="center"/>
    </xf>
    <xf numFmtId="0" fontId="42" fillId="9" borderId="1" xfId="1" applyFont="1" applyFill="1" applyBorder="1" applyAlignment="1">
      <alignment horizontal="center"/>
    </xf>
    <xf numFmtId="0" fontId="8" fillId="0" borderId="8" xfId="1" applyFont="1" applyFill="1" applyBorder="1" applyAlignment="1">
      <alignment vertical="center" wrapText="1"/>
    </xf>
    <xf numFmtId="0" fontId="8" fillId="0" borderId="11" xfId="1" applyFont="1" applyFill="1" applyBorder="1" applyAlignment="1">
      <alignment vertical="center" wrapText="1"/>
    </xf>
    <xf numFmtId="0" fontId="42" fillId="9" borderId="9" xfId="1" applyFont="1" applyFill="1" applyBorder="1" applyAlignment="1">
      <alignment horizontal="center" vertical="center"/>
    </xf>
    <xf numFmtId="0" fontId="6" fillId="0" borderId="9" xfId="1" applyFont="1" applyBorder="1" applyAlignment="1">
      <alignment horizontal="center" vertical="center" wrapText="1"/>
    </xf>
    <xf numFmtId="0" fontId="6" fillId="0" borderId="1" xfId="1" applyFont="1" applyBorder="1" applyAlignment="1">
      <alignment horizontal="center" vertical="center" wrapText="1"/>
    </xf>
    <xf numFmtId="3" fontId="42" fillId="9" borderId="9" xfId="1" applyNumberFormat="1" applyFont="1" applyFill="1" applyBorder="1" applyAlignment="1">
      <alignment horizontal="center" vertical="center"/>
    </xf>
    <xf numFmtId="0" fontId="42" fillId="9" borderId="10" xfId="1" applyFont="1" applyFill="1" applyBorder="1" applyAlignment="1">
      <alignment horizontal="center" vertical="center"/>
    </xf>
    <xf numFmtId="0" fontId="42" fillId="9" borderId="15" xfId="1" applyFont="1" applyFill="1" applyBorder="1" applyAlignment="1">
      <alignment horizontal="center" vertical="center"/>
    </xf>
    <xf numFmtId="167" fontId="8" fillId="3" borderId="49" xfId="1" applyNumberFormat="1" applyFont="1" applyFill="1" applyBorder="1" applyAlignment="1">
      <alignment horizontal="center" vertical="center" wrapText="1"/>
    </xf>
    <xf numFmtId="167" fontId="8" fillId="3" borderId="50" xfId="1" applyNumberFormat="1" applyFont="1" applyFill="1" applyBorder="1" applyAlignment="1">
      <alignment horizontal="center" vertical="center" wrapText="1"/>
    </xf>
    <xf numFmtId="0" fontId="55" fillId="10" borderId="0" xfId="1" applyFont="1" applyFill="1" applyBorder="1" applyAlignment="1">
      <alignment horizontal="center" vertical="center"/>
    </xf>
    <xf numFmtId="0" fontId="1" fillId="0" borderId="0" xfId="1" applyFont="1" applyAlignment="1">
      <alignment horizontal="center"/>
    </xf>
    <xf numFmtId="0" fontId="38" fillId="3" borderId="3" xfId="1" applyFont="1" applyFill="1" applyBorder="1" applyAlignment="1">
      <alignment horizontal="center" vertical="center"/>
    </xf>
    <xf numFmtId="0" fontId="38" fillId="3" borderId="4" xfId="1" applyFont="1" applyFill="1" applyBorder="1" applyAlignment="1">
      <alignment horizontal="center" vertical="center"/>
    </xf>
    <xf numFmtId="0" fontId="38" fillId="3" borderId="5" xfId="1" applyFont="1" applyFill="1" applyBorder="1" applyAlignment="1">
      <alignment horizontal="center" vertical="center"/>
    </xf>
    <xf numFmtId="0" fontId="38" fillId="0" borderId="0" xfId="1" applyFont="1" applyBorder="1" applyAlignment="1">
      <alignment horizontal="center" vertical="center" wrapText="1"/>
    </xf>
    <xf numFmtId="0" fontId="38" fillId="0" borderId="7" xfId="1" applyFont="1" applyBorder="1" applyAlignment="1">
      <alignment horizontal="center" vertical="center" wrapText="1"/>
    </xf>
    <xf numFmtId="0" fontId="1" fillId="3" borderId="20" xfId="1" applyFont="1" applyFill="1" applyBorder="1" applyAlignment="1">
      <alignment horizontal="left" vertical="center"/>
    </xf>
    <xf numFmtId="0" fontId="1" fillId="3" borderId="21" xfId="1" applyFont="1" applyFill="1" applyBorder="1" applyAlignment="1">
      <alignment horizontal="left" vertical="center"/>
    </xf>
    <xf numFmtId="0" fontId="1" fillId="3" borderId="40" xfId="1" applyFont="1" applyFill="1" applyBorder="1" applyAlignment="1">
      <alignment horizontal="left" vertical="center"/>
    </xf>
    <xf numFmtId="0" fontId="42" fillId="3" borderId="30" xfId="1" applyFont="1" applyFill="1" applyBorder="1" applyAlignment="1">
      <alignment horizontal="center" vertical="center"/>
    </xf>
    <xf numFmtId="0" fontId="42" fillId="3" borderId="26" xfId="1" applyFont="1" applyFill="1" applyBorder="1" applyAlignment="1">
      <alignment horizontal="center" vertical="center"/>
    </xf>
    <xf numFmtId="167" fontId="42" fillId="9" borderId="12" xfId="1" applyNumberFormat="1" applyFont="1" applyFill="1" applyBorder="1" applyAlignment="1">
      <alignment horizontal="center" vertical="center"/>
    </xf>
    <xf numFmtId="167" fontId="42" fillId="9" borderId="13" xfId="1" applyNumberFormat="1" applyFont="1" applyFill="1" applyBorder="1" applyAlignment="1">
      <alignment horizontal="center" vertical="center"/>
    </xf>
    <xf numFmtId="0" fontId="42" fillId="3" borderId="3" xfId="1" applyFont="1" applyFill="1" applyBorder="1" applyAlignment="1" applyProtection="1">
      <alignment horizontal="center" vertical="center"/>
      <protection locked="0"/>
    </xf>
    <xf numFmtId="0" fontId="42" fillId="3" borderId="4" xfId="1" applyFont="1" applyFill="1" applyBorder="1" applyAlignment="1" applyProtection="1">
      <alignment horizontal="center" vertical="center"/>
      <protection locked="0"/>
    </xf>
    <xf numFmtId="0" fontId="42" fillId="3" borderId="46" xfId="1" applyFont="1" applyFill="1" applyBorder="1" applyAlignment="1" applyProtection="1">
      <alignment horizontal="center" vertical="center"/>
      <protection locked="0"/>
    </xf>
    <xf numFmtId="0" fontId="42" fillId="0" borderId="57" xfId="1" applyFont="1" applyBorder="1" applyAlignment="1">
      <alignment horizontal="center" vertical="center"/>
    </xf>
    <xf numFmtId="0" fontId="42" fillId="0" borderId="41" xfId="1" applyFont="1" applyBorder="1" applyAlignment="1">
      <alignment horizontal="center" vertical="center"/>
    </xf>
    <xf numFmtId="0" fontId="44" fillId="3" borderId="1" xfId="1" applyFont="1" applyFill="1" applyBorder="1" applyAlignment="1" applyProtection="1">
      <alignment horizontal="center" vertical="center" wrapText="1"/>
      <protection locked="0"/>
    </xf>
    <xf numFmtId="0" fontId="44" fillId="3" borderId="13" xfId="1" applyFont="1" applyFill="1" applyBorder="1" applyAlignment="1" applyProtection="1">
      <alignment horizontal="center" vertical="center" wrapText="1"/>
      <protection locked="0"/>
    </xf>
    <xf numFmtId="0" fontId="44" fillId="3" borderId="14" xfId="1" applyFont="1" applyFill="1" applyBorder="1" applyAlignment="1" applyProtection="1">
      <alignment horizontal="center" vertical="center" wrapText="1"/>
      <protection locked="0"/>
    </xf>
    <xf numFmtId="0" fontId="42" fillId="9" borderId="47" xfId="1" applyFont="1" applyFill="1" applyBorder="1" applyAlignment="1" applyProtection="1">
      <alignment horizontal="center" vertical="center" wrapText="1"/>
      <protection locked="0"/>
    </xf>
    <xf numFmtId="0" fontId="42" fillId="9" borderId="48" xfId="1" applyFont="1" applyFill="1" applyBorder="1" applyAlignment="1" applyProtection="1">
      <alignment horizontal="center" vertical="center" wrapText="1"/>
      <protection locked="0"/>
    </xf>
    <xf numFmtId="0" fontId="42" fillId="9" borderId="13" xfId="1" applyFont="1" applyFill="1" applyBorder="1" applyAlignment="1" applyProtection="1">
      <alignment horizontal="center" vertical="center" wrapText="1"/>
      <protection locked="0"/>
    </xf>
    <xf numFmtId="0" fontId="42" fillId="9" borderId="14" xfId="1" applyFont="1" applyFill="1" applyBorder="1" applyAlignment="1" applyProtection="1">
      <alignment horizontal="center" vertical="center" wrapText="1"/>
      <protection locked="0"/>
    </xf>
    <xf numFmtId="0" fontId="6" fillId="0" borderId="52" xfId="1" applyFont="1" applyBorder="1" applyAlignment="1">
      <alignment horizontal="center" vertical="center" wrapText="1"/>
    </xf>
    <xf numFmtId="0" fontId="6" fillId="0" borderId="53" xfId="1" applyFont="1" applyBorder="1" applyAlignment="1">
      <alignment horizontal="center" vertical="center" wrapText="1"/>
    </xf>
    <xf numFmtId="14" fontId="44" fillId="0" borderId="1" xfId="1" applyNumberFormat="1" applyFont="1" applyBorder="1" applyAlignment="1">
      <alignment horizontal="center" vertical="center" wrapText="1"/>
    </xf>
    <xf numFmtId="0" fontId="37" fillId="3" borderId="0" xfId="1" applyFont="1" applyFill="1" applyBorder="1" applyAlignment="1">
      <alignment horizontal="center" vertical="center"/>
    </xf>
    <xf numFmtId="0" fontId="21" fillId="3" borderId="0" xfId="1" applyFont="1" applyFill="1" applyBorder="1" applyAlignment="1"/>
    <xf numFmtId="0" fontId="25" fillId="3" borderId="0" xfId="1" applyFont="1" applyFill="1" applyBorder="1" applyAlignment="1">
      <alignment horizontal="center" vertical="center"/>
    </xf>
    <xf numFmtId="0" fontId="1" fillId="0" borderId="20" xfId="1" applyFont="1" applyFill="1" applyBorder="1" applyAlignment="1">
      <alignment horizontal="center" vertical="center" wrapText="1"/>
    </xf>
    <xf numFmtId="0" fontId="1" fillId="0" borderId="21" xfId="1" applyFont="1" applyFill="1" applyBorder="1" applyAlignment="1">
      <alignment horizontal="center" vertical="center" wrapText="1"/>
    </xf>
    <xf numFmtId="0" fontId="1" fillId="0" borderId="25" xfId="1" applyFont="1" applyFill="1" applyBorder="1" applyAlignment="1">
      <alignment horizontal="center" vertical="center" wrapText="1"/>
    </xf>
    <xf numFmtId="0" fontId="1" fillId="0" borderId="0" xfId="1" applyFont="1" applyFill="1" applyBorder="1" applyAlignment="1">
      <alignment horizontal="center" vertical="center" wrapText="1"/>
    </xf>
    <xf numFmtId="0" fontId="1" fillId="0" borderId="9" xfId="1" applyFont="1" applyBorder="1" applyAlignment="1">
      <alignment horizontal="center" vertical="center"/>
    </xf>
    <xf numFmtId="0" fontId="1" fillId="0" borderId="26" xfId="1" applyFont="1" applyBorder="1" applyAlignment="1">
      <alignment horizontal="center" vertical="center"/>
    </xf>
    <xf numFmtId="0" fontId="1" fillId="0" borderId="44" xfId="1" applyFont="1" applyBorder="1" applyAlignment="1">
      <alignment horizontal="center" vertical="center"/>
    </xf>
    <xf numFmtId="0" fontId="1" fillId="0" borderId="23" xfId="1" applyFont="1" applyBorder="1" applyAlignment="1">
      <alignment horizontal="center" vertical="center"/>
    </xf>
    <xf numFmtId="0" fontId="1" fillId="0" borderId="24" xfId="1" applyFont="1" applyBorder="1" applyAlignment="1">
      <alignment horizontal="center" vertical="center"/>
    </xf>
    <xf numFmtId="0" fontId="8" fillId="0" borderId="8" xfId="1" applyFont="1" applyBorder="1" applyAlignment="1">
      <alignment horizontal="left" vertical="center" wrapText="1"/>
    </xf>
    <xf numFmtId="0" fontId="8" fillId="0" borderId="9" xfId="1" applyFont="1" applyBorder="1" applyAlignment="1">
      <alignment horizontal="left" vertical="center" wrapText="1"/>
    </xf>
    <xf numFmtId="0" fontId="1" fillId="0" borderId="20" xfId="1" applyFont="1" applyBorder="1" applyAlignment="1">
      <alignment horizontal="left"/>
    </xf>
    <xf numFmtId="0" fontId="1" fillId="0" borderId="21" xfId="1" applyFont="1" applyBorder="1" applyAlignment="1">
      <alignment horizontal="left"/>
    </xf>
    <xf numFmtId="0" fontId="8" fillId="0" borderId="11" xfId="1" applyFont="1" applyBorder="1" applyAlignment="1">
      <alignment horizontal="left" vertical="center" wrapText="1"/>
    </xf>
    <xf numFmtId="0" fontId="8" fillId="0" borderId="1" xfId="1" applyFont="1" applyBorder="1" applyAlignment="1">
      <alignment horizontal="left" vertical="center" wrapText="1"/>
    </xf>
    <xf numFmtId="0" fontId="8" fillId="0" borderId="28" xfId="1" applyFont="1" applyBorder="1" applyAlignment="1">
      <alignment horizontal="left" vertical="center" wrapText="1"/>
    </xf>
    <xf numFmtId="0" fontId="8" fillId="0" borderId="19" xfId="1" applyFont="1" applyBorder="1" applyAlignment="1">
      <alignment horizontal="left" vertical="center" wrapText="1"/>
    </xf>
    <xf numFmtId="0" fontId="21" fillId="0" borderId="0" xfId="1" applyFont="1" applyAlignment="1"/>
    <xf numFmtId="9" fontId="1" fillId="4" borderId="3" xfId="4" applyFont="1" applyFill="1" applyBorder="1" applyAlignment="1">
      <alignment horizontal="center" vertical="center"/>
    </xf>
    <xf numFmtId="9" fontId="1" fillId="4" borderId="5" xfId="4" applyFont="1" applyFill="1" applyBorder="1" applyAlignment="1">
      <alignment horizontal="center" vertical="center"/>
    </xf>
    <xf numFmtId="0" fontId="21" fillId="0" borderId="0" xfId="1" applyFont="1" applyAlignment="1">
      <alignment horizontal="left" vertical="center"/>
    </xf>
    <xf numFmtId="0" fontId="19" fillId="0" borderId="0" xfId="1" applyFont="1" applyAlignment="1"/>
    <xf numFmtId="0" fontId="19" fillId="0" borderId="0" xfId="1" applyFont="1" applyAlignment="1">
      <alignment horizontal="left"/>
    </xf>
    <xf numFmtId="0" fontId="1" fillId="6" borderId="3" xfId="1" applyFont="1" applyFill="1" applyBorder="1" applyAlignment="1">
      <alignment horizontal="center"/>
    </xf>
    <xf numFmtId="0" fontId="1" fillId="6" borderId="5" xfId="1" applyFont="1" applyFill="1" applyBorder="1" applyAlignment="1">
      <alignment horizontal="center"/>
    </xf>
    <xf numFmtId="0" fontId="10" fillId="6" borderId="3" xfId="1" applyFont="1" applyFill="1" applyBorder="1" applyAlignment="1">
      <alignment horizontal="center" vertical="center"/>
    </xf>
    <xf numFmtId="0" fontId="10" fillId="6" borderId="5" xfId="1" applyFont="1" applyFill="1" applyBorder="1" applyAlignment="1">
      <alignment horizontal="center" vertical="center"/>
    </xf>
    <xf numFmtId="3" fontId="10" fillId="4" borderId="3" xfId="1" applyNumberFormat="1" applyFont="1" applyFill="1" applyBorder="1" applyAlignment="1">
      <alignment horizontal="center" vertical="center"/>
    </xf>
    <xf numFmtId="3" fontId="10" fillId="4" borderId="5" xfId="1" applyNumberFormat="1" applyFont="1" applyFill="1" applyBorder="1" applyAlignment="1">
      <alignment horizontal="center" vertical="center"/>
    </xf>
    <xf numFmtId="0" fontId="42" fillId="9" borderId="56" xfId="1" applyFont="1" applyFill="1" applyBorder="1" applyAlignment="1" applyProtection="1">
      <alignment horizontal="center" vertical="center"/>
      <protection locked="0"/>
    </xf>
    <xf numFmtId="0" fontId="42" fillId="9" borderId="23" xfId="1" applyFont="1" applyFill="1" applyBorder="1" applyAlignment="1" applyProtection="1">
      <alignment horizontal="center" vertical="center"/>
      <protection locked="0"/>
    </xf>
    <xf numFmtId="0" fontId="42" fillId="9" borderId="45" xfId="1" applyFont="1" applyFill="1" applyBorder="1" applyAlignment="1" applyProtection="1">
      <alignment horizontal="center" vertical="center"/>
      <protection locked="0"/>
    </xf>
    <xf numFmtId="0" fontId="42" fillId="3" borderId="8" xfId="1" applyFont="1" applyFill="1" applyBorder="1" applyAlignment="1" applyProtection="1">
      <alignment horizontal="center" vertical="center"/>
      <protection locked="0"/>
    </xf>
    <xf numFmtId="0" fontId="42" fillId="3" borderId="9" xfId="1" applyFont="1" applyFill="1" applyBorder="1" applyAlignment="1" applyProtection="1">
      <alignment horizontal="center" vertical="center"/>
      <protection locked="0"/>
    </xf>
    <xf numFmtId="0" fontId="42" fillId="9" borderId="12" xfId="1" applyFont="1" applyFill="1" applyBorder="1" applyAlignment="1">
      <alignment horizontal="center" vertical="center"/>
    </xf>
    <xf numFmtId="0" fontId="42" fillId="9" borderId="13" xfId="1" applyFont="1" applyFill="1" applyBorder="1" applyAlignment="1">
      <alignment horizontal="center" vertical="center"/>
    </xf>
    <xf numFmtId="0" fontId="42" fillId="9" borderId="14" xfId="1" applyFont="1" applyFill="1" applyBorder="1" applyAlignment="1">
      <alignment horizontal="center" vertical="center"/>
    </xf>
    <xf numFmtId="0" fontId="34" fillId="0" borderId="0" xfId="1" applyFont="1" applyBorder="1" applyAlignment="1">
      <alignment horizontal="center" vertical="center"/>
    </xf>
    <xf numFmtId="0" fontId="42" fillId="3" borderId="56" xfId="1" applyFont="1" applyFill="1" applyBorder="1" applyAlignment="1" applyProtection="1">
      <alignment horizontal="center" vertical="center"/>
      <protection locked="0"/>
    </xf>
    <xf numFmtId="0" fontId="42" fillId="3" borderId="23" xfId="1" applyFont="1" applyFill="1" applyBorder="1" applyAlignment="1" applyProtection="1">
      <alignment horizontal="center" vertical="center"/>
      <protection locked="0"/>
    </xf>
    <xf numFmtId="0" fontId="42" fillId="3" borderId="45" xfId="1" applyFont="1" applyFill="1" applyBorder="1" applyAlignment="1" applyProtection="1">
      <alignment horizontal="center" vertical="center"/>
      <protection locked="0"/>
    </xf>
    <xf numFmtId="167" fontId="42" fillId="3" borderId="12" xfId="1" applyNumberFormat="1" applyFont="1" applyFill="1" applyBorder="1" applyAlignment="1">
      <alignment horizontal="center" vertical="center"/>
    </xf>
    <xf numFmtId="167" fontId="42" fillId="3" borderId="13" xfId="1" applyNumberFormat="1" applyFont="1" applyFill="1" applyBorder="1" applyAlignment="1">
      <alignment horizontal="center" vertical="center"/>
    </xf>
    <xf numFmtId="166" fontId="3" fillId="6" borderId="3" xfId="1" applyNumberFormat="1" applyFont="1" applyFill="1" applyBorder="1" applyAlignment="1">
      <alignment horizontal="center" vertical="center"/>
    </xf>
    <xf numFmtId="3" fontId="13" fillId="4" borderId="3" xfId="1" applyNumberFormat="1" applyFont="1" applyFill="1" applyBorder="1" applyAlignment="1">
      <alignment horizontal="center" vertical="center"/>
    </xf>
    <xf numFmtId="3" fontId="13" fillId="4" borderId="4" xfId="1" applyNumberFormat="1" applyFont="1" applyFill="1" applyBorder="1" applyAlignment="1">
      <alignment horizontal="center" vertical="center"/>
    </xf>
    <xf numFmtId="3" fontId="13" fillId="4" borderId="5" xfId="1" applyNumberFormat="1" applyFont="1" applyFill="1" applyBorder="1" applyAlignment="1">
      <alignment horizontal="center" vertical="center"/>
    </xf>
    <xf numFmtId="0" fontId="6" fillId="9" borderId="9" xfId="1" applyFont="1" applyFill="1" applyBorder="1" applyAlignment="1">
      <alignment horizontal="center" vertical="center" wrapText="1"/>
    </xf>
    <xf numFmtId="0" fontId="43" fillId="9" borderId="54" xfId="1" applyFont="1" applyFill="1" applyBorder="1" applyAlignment="1" applyProtection="1">
      <alignment horizontal="center" vertical="center"/>
    </xf>
    <xf numFmtId="0" fontId="43" fillId="9" borderId="22" xfId="1" applyFont="1" applyFill="1" applyBorder="1" applyAlignment="1" applyProtection="1">
      <alignment horizontal="center" vertical="center"/>
    </xf>
    <xf numFmtId="0" fontId="43" fillId="9" borderId="55" xfId="1" applyFont="1" applyFill="1" applyBorder="1" applyAlignment="1" applyProtection="1">
      <alignment horizontal="center" vertical="center"/>
    </xf>
    <xf numFmtId="0" fontId="12" fillId="3" borderId="0" xfId="1" applyFont="1" applyFill="1" applyBorder="1" applyAlignment="1">
      <alignment horizontal="center" vertical="center"/>
    </xf>
    <xf numFmtId="3" fontId="2" fillId="3" borderId="0" xfId="1" applyNumberFormat="1" applyFont="1" applyFill="1" applyBorder="1" applyAlignment="1">
      <alignment horizontal="center"/>
    </xf>
    <xf numFmtId="0" fontId="2" fillId="3" borderId="0" xfId="1" applyFont="1" applyFill="1" applyBorder="1" applyAlignment="1">
      <alignment horizontal="center"/>
    </xf>
    <xf numFmtId="3" fontId="1" fillId="0" borderId="0" xfId="1" applyNumberFormat="1" applyFont="1" applyBorder="1" applyAlignment="1">
      <alignment horizontal="right"/>
    </xf>
    <xf numFmtId="3" fontId="1" fillId="0" borderId="7" xfId="1" applyNumberFormat="1" applyFont="1" applyBorder="1" applyAlignment="1">
      <alignment horizontal="right"/>
    </xf>
    <xf numFmtId="0" fontId="1" fillId="0" borderId="25" xfId="1" applyFont="1" applyBorder="1" applyAlignment="1">
      <alignment horizontal="left"/>
    </xf>
    <xf numFmtId="0" fontId="1" fillId="0" borderId="0" xfId="1" applyFont="1" applyBorder="1" applyAlignment="1">
      <alignment horizontal="left"/>
    </xf>
    <xf numFmtId="0" fontId="54" fillId="0" borderId="0" xfId="1" applyFont="1" applyAlignment="1">
      <alignment horizontal="right" vertical="center"/>
    </xf>
    <xf numFmtId="168" fontId="42" fillId="0" borderId="0" xfId="1" applyNumberFormat="1" applyFont="1" applyAlignment="1">
      <alignment horizontal="left"/>
    </xf>
    <xf numFmtId="3" fontId="1" fillId="3" borderId="0" xfId="1" applyNumberFormat="1" applyFont="1" applyFill="1" applyBorder="1" applyAlignment="1">
      <alignment horizontal="right"/>
    </xf>
    <xf numFmtId="3" fontId="1" fillId="3" borderId="7" xfId="1" applyNumberFormat="1" applyFont="1" applyFill="1" applyBorder="1" applyAlignment="1">
      <alignment horizontal="right"/>
    </xf>
    <xf numFmtId="0" fontId="1" fillId="0" borderId="41" xfId="1" applyFont="1" applyBorder="1" applyAlignment="1">
      <alignment horizontal="left"/>
    </xf>
    <xf numFmtId="0" fontId="1" fillId="0" borderId="42" xfId="1" applyFont="1" applyBorder="1" applyAlignment="1">
      <alignment horizontal="left"/>
    </xf>
    <xf numFmtId="3" fontId="1" fillId="0" borderId="42" xfId="1" applyNumberFormat="1" applyFont="1" applyBorder="1" applyAlignment="1">
      <alignment horizontal="right"/>
    </xf>
    <xf numFmtId="3" fontId="1" fillId="0" borderId="43" xfId="1" applyNumberFormat="1" applyFont="1" applyBorder="1" applyAlignment="1">
      <alignment horizontal="right"/>
    </xf>
    <xf numFmtId="3" fontId="21" fillId="3" borderId="0" xfId="1" applyNumberFormat="1" applyFont="1" applyFill="1" applyBorder="1" applyAlignment="1">
      <alignment horizontal="center" vertical="center"/>
    </xf>
    <xf numFmtId="0" fontId="1" fillId="0" borderId="26" xfId="1" applyFont="1" applyBorder="1" applyAlignment="1">
      <alignment vertical="center"/>
    </xf>
    <xf numFmtId="0" fontId="1" fillId="0" borderId="33" xfId="1" applyFont="1" applyBorder="1" applyAlignment="1">
      <alignment vertical="center"/>
    </xf>
    <xf numFmtId="0" fontId="1" fillId="0" borderId="37" xfId="1" applyFont="1" applyBorder="1" applyAlignment="1">
      <alignment vertical="center"/>
    </xf>
    <xf numFmtId="3" fontId="1" fillId="0" borderId="27" xfId="1" applyNumberFormat="1" applyFont="1" applyBorder="1" applyAlignment="1">
      <alignment vertical="center"/>
    </xf>
    <xf numFmtId="0" fontId="1" fillId="0" borderId="34" xfId="1" applyFont="1" applyBorder="1" applyAlignment="1">
      <alignment vertical="center"/>
    </xf>
    <xf numFmtId="0" fontId="1" fillId="0" borderId="38" xfId="1" applyFont="1" applyBorder="1" applyAlignment="1">
      <alignment vertical="center"/>
    </xf>
    <xf numFmtId="0" fontId="10" fillId="0" borderId="0" xfId="1" applyFont="1" applyBorder="1" applyAlignment="1">
      <alignment horizontal="center"/>
    </xf>
    <xf numFmtId="0" fontId="10" fillId="0" borderId="7" xfId="1" applyFont="1" applyBorder="1" applyAlignment="1">
      <alignment horizontal="center"/>
    </xf>
    <xf numFmtId="0" fontId="10" fillId="0" borderId="25" xfId="1" applyFont="1" applyBorder="1" applyAlignment="1">
      <alignment horizontal="left"/>
    </xf>
    <xf numFmtId="0" fontId="10" fillId="0" borderId="0" xfId="1" applyFont="1" applyBorder="1" applyAlignment="1">
      <alignment horizontal="left"/>
    </xf>
    <xf numFmtId="0" fontId="1" fillId="0" borderId="1" xfId="1" applyFont="1" applyBorder="1" applyAlignment="1" applyProtection="1">
      <alignment vertical="center"/>
    </xf>
    <xf numFmtId="0" fontId="1" fillId="0" borderId="17" xfId="1" applyFont="1" applyBorder="1" applyAlignment="1" applyProtection="1">
      <alignment vertical="center"/>
    </xf>
    <xf numFmtId="0" fontId="1" fillId="0" borderId="26" xfId="1" applyFont="1" applyBorder="1" applyAlignment="1">
      <alignment vertical="center" wrapText="1"/>
    </xf>
    <xf numFmtId="0" fontId="1" fillId="0" borderId="33" xfId="1" applyFont="1" applyBorder="1" applyAlignment="1">
      <alignment vertical="center" wrapText="1"/>
    </xf>
    <xf numFmtId="0" fontId="1" fillId="0" borderId="37" xfId="1" applyFont="1" applyBorder="1" applyAlignment="1">
      <alignment vertical="center" wrapText="1"/>
    </xf>
    <xf numFmtId="3" fontId="19" fillId="0" borderId="0" xfId="1" applyNumberFormat="1" applyFont="1" applyBorder="1" applyAlignment="1">
      <alignment horizontal="right"/>
    </xf>
    <xf numFmtId="3" fontId="1" fillId="0" borderId="21" xfId="1" applyNumberFormat="1" applyFont="1" applyBorder="1" applyAlignment="1">
      <alignment horizontal="right"/>
    </xf>
    <xf numFmtId="3" fontId="1" fillId="0" borderId="40" xfId="1" applyNumberFormat="1" applyFont="1" applyBorder="1" applyAlignment="1">
      <alignment horizontal="right"/>
    </xf>
    <xf numFmtId="0" fontId="8" fillId="0" borderId="30" xfId="1" applyFont="1" applyBorder="1" applyAlignment="1">
      <alignment horizontal="center" vertical="center" wrapText="1"/>
    </xf>
    <xf numFmtId="0" fontId="8" fillId="0" borderId="32" xfId="1" applyFont="1" applyBorder="1" applyAlignment="1">
      <alignment horizontal="center" vertical="center" wrapText="1"/>
    </xf>
    <xf numFmtId="0" fontId="8" fillId="0" borderId="36" xfId="1" applyFont="1" applyBorder="1" applyAlignment="1">
      <alignment horizontal="center" vertical="center" wrapText="1"/>
    </xf>
    <xf numFmtId="0" fontId="20" fillId="4" borderId="31" xfId="1" applyFont="1" applyFill="1" applyBorder="1" applyAlignment="1">
      <alignment horizontal="center" vertical="center"/>
    </xf>
    <xf numFmtId="0" fontId="20" fillId="4" borderId="35" xfId="1" applyFont="1" applyFill="1" applyBorder="1" applyAlignment="1">
      <alignment horizontal="center" vertical="center"/>
    </xf>
    <xf numFmtId="0" fontId="20" fillId="4" borderId="39" xfId="1" applyFont="1" applyFill="1" applyBorder="1" applyAlignment="1">
      <alignment horizontal="center" vertical="center"/>
    </xf>
    <xf numFmtId="0" fontId="1" fillId="0" borderId="3" xfId="3" applyFont="1" applyBorder="1" applyAlignment="1">
      <alignment horizontal="center"/>
    </xf>
    <xf numFmtId="0" fontId="1" fillId="0" borderId="5" xfId="3" applyFont="1" applyBorder="1" applyAlignment="1">
      <alignment horizontal="center"/>
    </xf>
    <xf numFmtId="0" fontId="29" fillId="0" borderId="0" xfId="3" applyFont="1" applyAlignment="1">
      <alignment horizontal="center" vertical="center"/>
    </xf>
    <xf numFmtId="0" fontId="1" fillId="0" borderId="0" xfId="3" applyFont="1" applyAlignment="1">
      <alignment horizontal="center"/>
    </xf>
    <xf numFmtId="0" fontId="29" fillId="0" borderId="0" xfId="3" applyFont="1" applyAlignment="1">
      <alignment horizontal="center"/>
    </xf>
    <xf numFmtId="0" fontId="1" fillId="0" borderId="20" xfId="3" applyFont="1" applyBorder="1" applyAlignment="1">
      <alignment horizontal="center" vertical="center"/>
    </xf>
    <xf numFmtId="0" fontId="1" fillId="0" borderId="40" xfId="3" applyFont="1" applyBorder="1" applyAlignment="1">
      <alignment horizontal="center" vertical="center"/>
    </xf>
    <xf numFmtId="0" fontId="1" fillId="0" borderId="3" xfId="3" applyFont="1" applyBorder="1" applyAlignment="1">
      <alignment horizontal="center" vertical="center"/>
    </xf>
    <xf numFmtId="0" fontId="1" fillId="0" borderId="5" xfId="3" applyFont="1" applyBorder="1" applyAlignment="1">
      <alignment horizontal="center" vertical="center"/>
    </xf>
    <xf numFmtId="0" fontId="1" fillId="0" borderId="21" xfId="3" applyFont="1" applyBorder="1" applyAlignment="1">
      <alignment horizontal="center" vertical="center"/>
    </xf>
    <xf numFmtId="0" fontId="56" fillId="0" borderId="0" xfId="3" applyFont="1" applyAlignment="1">
      <alignment horizontal="center" vertical="center"/>
    </xf>
    <xf numFmtId="14" fontId="1" fillId="0" borderId="0" xfId="3" applyNumberFormat="1" applyFont="1" applyAlignment="1">
      <alignment horizontal="center"/>
    </xf>
    <xf numFmtId="0" fontId="1" fillId="0" borderId="3" xfId="3" applyFont="1" applyBorder="1" applyAlignment="1">
      <alignment vertical="center"/>
    </xf>
    <xf numFmtId="0" fontId="1" fillId="0" borderId="4" xfId="3" applyFont="1" applyBorder="1" applyAlignment="1">
      <alignment vertical="center"/>
    </xf>
    <xf numFmtId="0" fontId="1" fillId="0" borderId="5" xfId="3" applyFont="1" applyBorder="1" applyAlignment="1">
      <alignment vertical="center"/>
    </xf>
    <xf numFmtId="0" fontId="1" fillId="0" borderId="21" xfId="3" applyFont="1" applyBorder="1" applyAlignment="1">
      <alignment horizontal="center"/>
    </xf>
    <xf numFmtId="0" fontId="1" fillId="0" borderId="41" xfId="3" applyFont="1" applyBorder="1" applyAlignment="1">
      <alignment horizontal="center"/>
    </xf>
    <xf numFmtId="0" fontId="1" fillId="0" borderId="43" xfId="3" applyFont="1" applyBorder="1" applyAlignment="1">
      <alignment horizontal="center"/>
    </xf>
    <xf numFmtId="0" fontId="17" fillId="0" borderId="0" xfId="3" applyFont="1" applyAlignment="1">
      <alignment horizontal="justify" vertical="center"/>
    </xf>
    <xf numFmtId="0" fontId="6" fillId="0" borderId="0" xfId="3" applyFont="1" applyAlignment="1">
      <alignment vertical="center"/>
    </xf>
    <xf numFmtId="0" fontId="18" fillId="0" borderId="0" xfId="3" applyFont="1" applyAlignment="1">
      <alignment horizontal="left" vertical="center"/>
    </xf>
    <xf numFmtId="0" fontId="1" fillId="0" borderId="0" xfId="3" applyFont="1" applyAlignment="1">
      <alignment horizontal="left" vertical="center"/>
    </xf>
    <xf numFmtId="0" fontId="17" fillId="0" borderId="0" xfId="3" applyFont="1" applyAlignment="1">
      <alignment horizontal="left" vertical="center" wrapText="1"/>
    </xf>
    <xf numFmtId="0" fontId="18" fillId="0" borderId="0" xfId="3" applyFont="1" applyAlignment="1">
      <alignment horizontal="left" vertical="center" wrapText="1"/>
    </xf>
    <xf numFmtId="0" fontId="16" fillId="0" borderId="0" xfId="3" applyFont="1" applyAlignment="1">
      <alignment horizontal="center" vertical="center"/>
    </xf>
    <xf numFmtId="0" fontId="1" fillId="0" borderId="0" xfId="3" applyFont="1" applyAlignment="1">
      <alignment horizontal="center" vertical="center"/>
    </xf>
    <xf numFmtId="0" fontId="1" fillId="0" borderId="0" xfId="3" applyFont="1" applyAlignment="1">
      <alignment vertical="center"/>
    </xf>
    <xf numFmtId="167" fontId="1" fillId="0" borderId="41" xfId="3" applyNumberFormat="1" applyFont="1" applyBorder="1" applyAlignment="1">
      <alignment horizontal="center" vertical="center"/>
    </xf>
    <xf numFmtId="167" fontId="1" fillId="0" borderId="43" xfId="3" applyNumberFormat="1" applyFont="1" applyBorder="1" applyAlignment="1">
      <alignment horizontal="center" vertical="center"/>
    </xf>
    <xf numFmtId="167" fontId="1" fillId="0" borderId="3" xfId="3" applyNumberFormat="1" applyFont="1" applyBorder="1" applyAlignment="1">
      <alignment horizontal="center"/>
    </xf>
    <xf numFmtId="167" fontId="1" fillId="0" borderId="5" xfId="3" applyNumberFormat="1" applyFont="1" applyBorder="1" applyAlignment="1">
      <alignment horizontal="center"/>
    </xf>
    <xf numFmtId="0" fontId="56" fillId="0" borderId="0" xfId="3" applyFont="1" applyAlignment="1">
      <alignment horizontal="center"/>
    </xf>
    <xf numFmtId="0" fontId="16" fillId="0" borderId="0" xfId="3" applyFont="1" applyAlignment="1">
      <alignment horizontal="center"/>
    </xf>
    <xf numFmtId="0" fontId="1" fillId="0" borderId="42" xfId="3" applyFont="1" applyBorder="1" applyAlignment="1">
      <alignment vertical="center"/>
    </xf>
    <xf numFmtId="167" fontId="1" fillId="0" borderId="41" xfId="3" applyNumberFormat="1" applyFont="1" applyBorder="1" applyAlignment="1">
      <alignment horizontal="center"/>
    </xf>
    <xf numFmtId="167" fontId="1" fillId="0" borderId="43" xfId="3" applyNumberFormat="1" applyFont="1" applyBorder="1" applyAlignment="1">
      <alignment horizontal="center"/>
    </xf>
    <xf numFmtId="0" fontId="8" fillId="0" borderId="3" xfId="3" applyFont="1" applyBorder="1" applyAlignment="1">
      <alignment horizontal="center" vertical="center"/>
    </xf>
    <xf numFmtId="0" fontId="8" fillId="0" borderId="5" xfId="3" applyFont="1" applyBorder="1" applyAlignment="1">
      <alignment horizontal="center" vertical="center"/>
    </xf>
    <xf numFmtId="43" fontId="10" fillId="0" borderId="0" xfId="5" applyNumberFormat="1" applyFont="1" applyAlignment="1">
      <alignment horizontal="center"/>
    </xf>
    <xf numFmtId="0" fontId="10" fillId="0" borderId="0" xfId="5" applyFont="1" applyAlignment="1">
      <alignment horizontal="right"/>
    </xf>
    <xf numFmtId="0" fontId="10" fillId="0" borderId="0" xfId="5" applyFont="1" applyAlignment="1">
      <alignment horizontal="center"/>
    </xf>
    <xf numFmtId="0" fontId="38" fillId="0" borderId="0" xfId="5" applyFont="1" applyAlignment="1">
      <alignment horizontal="left"/>
    </xf>
    <xf numFmtId="0" fontId="39" fillId="0" borderId="0" xfId="5" applyFont="1" applyAlignment="1">
      <alignment horizontal="right"/>
    </xf>
    <xf numFmtId="0" fontId="39" fillId="0" borderId="0" xfId="5" applyFont="1" applyAlignment="1">
      <alignment horizontal="center"/>
    </xf>
    <xf numFmtId="0" fontId="10" fillId="0" borderId="0" xfId="5" applyFont="1" applyAlignment="1">
      <alignment horizontal="left"/>
    </xf>
    <xf numFmtId="0" fontId="10" fillId="0" borderId="0" xfId="3" applyFont="1" applyAlignment="1">
      <alignment horizontal="center"/>
    </xf>
    <xf numFmtId="43" fontId="10" fillId="0" borderId="0" xfId="3" applyNumberFormat="1" applyFont="1" applyAlignment="1">
      <alignment horizontal="center"/>
    </xf>
    <xf numFmtId="0" fontId="10" fillId="0" borderId="0" xfId="3" applyFont="1" applyAlignment="1">
      <alignment horizontal="right"/>
    </xf>
    <xf numFmtId="167" fontId="10" fillId="0" borderId="0" xfId="3" applyNumberFormat="1" applyFont="1" applyAlignment="1">
      <alignment horizontal="center" vertical="center"/>
    </xf>
    <xf numFmtId="0" fontId="10" fillId="0" borderId="0" xfId="3" applyFont="1" applyAlignment="1">
      <alignment horizontal="left"/>
    </xf>
    <xf numFmtId="0" fontId="8" fillId="0" borderId="0" xfId="1" applyFont="1" applyAlignment="1">
      <alignment horizontal="right"/>
    </xf>
    <xf numFmtId="0" fontId="8" fillId="0" borderId="0" xfId="1" applyFont="1" applyAlignment="1">
      <alignment horizontal="center" vertical="center"/>
    </xf>
    <xf numFmtId="0" fontId="8" fillId="0" borderId="0" xfId="1" applyFont="1" applyAlignment="1">
      <alignment horizontal="center"/>
    </xf>
    <xf numFmtId="0" fontId="40" fillId="0" borderId="0" xfId="1" applyFont="1" applyAlignment="1">
      <alignment horizontal="center"/>
    </xf>
    <xf numFmtId="0" fontId="13" fillId="0" borderId="0" xfId="1" applyFont="1" applyAlignment="1">
      <alignment horizontal="center"/>
    </xf>
    <xf numFmtId="0" fontId="13" fillId="0" borderId="0" xfId="1" applyFont="1" applyAlignment="1"/>
    <xf numFmtId="43" fontId="13" fillId="0" borderId="0" xfId="1" applyNumberFormat="1" applyFont="1" applyAlignment="1">
      <alignment horizontal="center"/>
    </xf>
    <xf numFmtId="43" fontId="13" fillId="0" borderId="0" xfId="1" applyNumberFormat="1" applyFont="1" applyAlignment="1">
      <alignment horizontal="right"/>
    </xf>
    <xf numFmtId="0" fontId="13" fillId="0" borderId="0" xfId="1" applyFont="1" applyAlignment="1">
      <alignment horizontal="right"/>
    </xf>
  </cellXfs>
  <cellStyles count="6">
    <cellStyle name="Milliers 2" xfId="2"/>
    <cellStyle name="Normal" xfId="0" builtinId="0"/>
    <cellStyle name="Normal 2" xfId="1"/>
    <cellStyle name="Normal 3" xfId="3"/>
    <cellStyle name="Normal 3 2" xfId="5"/>
    <cellStyle name="Percent" xfId="4" builtinId="5"/>
  </cellStyles>
  <dxfs count="0"/>
  <tableStyles count="0" defaultTableStyle="TableStyleMedium9" defaultPivotStyle="PivotStyleLight16"/>
  <colors>
    <mruColors>
      <color rgb="FFFD6B6E"/>
      <color rgb="FFFEAC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2.xml"/><Relationship Id="rId18" Type="http://schemas.openxmlformats.org/officeDocument/2006/relationships/worksheet" Target="worksheets/sheet17.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0.xml"/><Relationship Id="rId7" Type="http://schemas.openxmlformats.org/officeDocument/2006/relationships/worksheet" Target="worksheets/sheet7.xml"/><Relationship Id="rId12" Type="http://schemas.openxmlformats.org/officeDocument/2006/relationships/chartsheet" Target="chartsheets/sheet1.xml"/><Relationship Id="rId17" Type="http://schemas.openxmlformats.org/officeDocument/2006/relationships/worksheet" Target="worksheets/sheet16.xml"/><Relationship Id="rId25" Type="http://schemas.openxmlformats.org/officeDocument/2006/relationships/worksheet" Target="worksheets/sheet24.xml"/><Relationship Id="rId2" Type="http://schemas.openxmlformats.org/officeDocument/2006/relationships/worksheet" Target="worksheets/sheet2.xml"/><Relationship Id="rId16" Type="http://schemas.openxmlformats.org/officeDocument/2006/relationships/worksheet" Target="worksheets/sheet15.xml"/><Relationship Id="rId20" Type="http://schemas.openxmlformats.org/officeDocument/2006/relationships/worksheet" Target="worksheets/sheet19.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3.xml"/><Relationship Id="rId5" Type="http://schemas.openxmlformats.org/officeDocument/2006/relationships/worksheet" Target="worksheets/sheet5.xml"/><Relationship Id="rId15" Type="http://schemas.openxmlformats.org/officeDocument/2006/relationships/worksheet" Target="worksheets/sheet14.xml"/><Relationship Id="rId23" Type="http://schemas.openxmlformats.org/officeDocument/2006/relationships/worksheet" Target="worksheets/sheet22.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3.xml"/><Relationship Id="rId22" Type="http://schemas.openxmlformats.org/officeDocument/2006/relationships/worksheet" Target="worksheets/sheet21.xml"/><Relationship Id="rId27" Type="http://schemas.openxmlformats.org/officeDocument/2006/relationships/theme" Target="theme/theme1.xml"/><Relationship Id="rId30"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CONTRATS!$A$26:$G$26</c:f>
              <c:strCache>
                <c:ptCount val="7"/>
                <c:pt idx="0">
                  <c:v>MATIERE INFLAMMABLE</c:v>
                </c:pt>
                <c:pt idx="1">
                  <c:v>GARANTIES </c:v>
                </c:pt>
                <c:pt idx="2">
                  <c:v>SANS REMORQUE</c:v>
                </c:pt>
                <c:pt idx="3">
                  <c:v>CAPITAUX </c:v>
                </c:pt>
                <c:pt idx="4">
                  <c:v>ANNUELLE</c:v>
                </c:pt>
                <c:pt idx="5">
                  <c:v>%</c:v>
                </c:pt>
                <c:pt idx="6">
                  <c:v>NETTE</c:v>
                </c:pt>
              </c:strCache>
            </c:strRef>
          </c:tx>
          <c:invertIfNegative val="0"/>
          <c:cat>
            <c:multiLvlStrRef>
              <c:f>CONTRATS!$H$1:$AE$25</c:f>
              <c:multiLvlStrCache>
                <c:ptCount val="21"/>
                <c:lvl>
                  <c:pt idx="4">
                    <c:v>9</c:v>
                  </c:pt>
                  <c:pt idx="9">
                    <c:v>engins portuaires/autres engins</c:v>
                  </c:pt>
                </c:lvl>
                <c:lvl>
                  <c:pt idx="4">
                    <c:v>5</c:v>
                  </c:pt>
                  <c:pt idx="9">
                    <c:v>0</c:v>
                  </c:pt>
                </c:lvl>
                <c:lvl>
                  <c:pt idx="0">
                    <c:v>ZONE: ZONE:</c:v>
                  </c:pt>
                  <c:pt idx="2">
                    <c:v>C</c:v>
                  </c:pt>
                  <c:pt idx="4">
                    <c:v>4</c:v>
                  </c:pt>
                  <c:pt idx="9">
                    <c:v>0</c:v>
                  </c:pt>
                </c:lvl>
                <c:lvl>
                  <c:pt idx="0">
                    <c:v>PLACES: SEATS:</c:v>
                  </c:pt>
                  <c:pt idx="2">
                    <c:v>5</c:v>
                  </c:pt>
                  <c:pt idx="4">
                    <c:v>2,3</c:v>
                  </c:pt>
                  <c:pt idx="9">
                    <c:v>0</c:v>
                  </c:pt>
                </c:lvl>
                <c:lvl>
                  <c:pt idx="0">
                    <c:v>CHASSIS REMORQU: </c:v>
                  </c:pt>
                </c:lvl>
                <c:lvl>
                  <c:pt idx="0">
                    <c:v>IMMATRI REMORQ: TRAILER:</c:v>
                  </c:pt>
                  <c:pt idx="4">
                    <c:v>1</c:v>
                  </c:pt>
                  <c:pt idx="9">
                    <c:v>0</c:v>
                  </c:pt>
                </c:lvl>
                <c:lvl>
                  <c:pt idx="4">
                    <c:v>CATEGORIE</c:v>
                  </c:pt>
                  <c:pt idx="9">
                    <c:v>engins portuaires</c:v>
                  </c:pt>
                </c:lvl>
                <c:lvl>
                  <c:pt idx="0">
                    <c:v>SW 859 BB</c:v>
                  </c:pt>
                </c:lvl>
                <c:lvl>
                  <c:pt idx="0">
                    <c:v>DATE  ECHEANCE du CONTRAT</c:v>
                  </c:pt>
                </c:lvl>
                <c:lvl>
                  <c:pt idx="2">
                    <c:v>0</c:v>
                  </c:pt>
                  <c:pt idx="3">
                    <c:v>0</c:v>
                  </c:pt>
                </c:lvl>
                <c:lvl>
                  <c:pt idx="2">
                    <c:v>60</c:v>
                  </c:pt>
                  <c:pt idx="3">
                    <c:v>0</c:v>
                  </c:pt>
                  <c:pt idx="5">
                    <c:v>19</c:v>
                  </c:pt>
                </c:lvl>
                <c:lvl>
                  <c:pt idx="0">
                    <c:v>DUREE  DURATION</c:v>
                  </c:pt>
                  <c:pt idx="2">
                    <c:v>2MOIS</c:v>
                  </c:pt>
                  <c:pt idx="3">
                    <c:v>DUREE DÉJÀ PRISE</c:v>
                  </c:pt>
                  <c:pt idx="5">
                    <c:v>CYLD-EN-PUISS</c:v>
                  </c:pt>
                  <c:pt idx="8">
                    <c:v>30182012200859</c:v>
                  </c:pt>
                  <c:pt idx="10">
                    <c:v>PRUDENTIAL BENEFICIAL</c:v>
                  </c:pt>
                  <c:pt idx="11">
                    <c:v>3018</c:v>
                  </c:pt>
                  <c:pt idx="12">
                    <c:v>201</c:v>
                  </c:pt>
                  <c:pt idx="13">
                    <c:v>22</c:v>
                  </c:pt>
                  <c:pt idx="18">
                    <c:v>0</c:v>
                  </c:pt>
                  <c:pt idx="19">
                    <c:v>0</c:v>
                  </c:pt>
                  <c:pt idx="20">
                    <c:v>8</c:v>
                  </c:pt>
                </c:lvl>
                <c:lvl>
                  <c:pt idx="0">
                    <c:v>AGENT AGENT </c:v>
                  </c:pt>
                  <c:pt idx="2">
                    <c:v>0.0.5</c:v>
                  </c:pt>
                  <c:pt idx="5">
                    <c:v>WM2012200859</c:v>
                  </c:pt>
                  <c:pt idx="10">
                    <c:v>CPA ASSURANCES</c:v>
                  </c:pt>
                  <c:pt idx="11">
                    <c:v>W</c:v>
                  </c:pt>
                  <c:pt idx="12">
                    <c:v>M</c:v>
                  </c:pt>
                  <c:pt idx="13">
                    <c:v>20</c:v>
                  </c:pt>
                  <c:pt idx="14">
                    <c:v>1</c:v>
                  </c:pt>
                  <c:pt idx="15">
                    <c:v>2</c:v>
                  </c:pt>
                  <c:pt idx="16">
                    <c:v>20</c:v>
                  </c:pt>
                  <c:pt idx="17">
                    <c:v>0</c:v>
                  </c:pt>
                  <c:pt idx="18">
                    <c:v>8</c:v>
                  </c:pt>
                  <c:pt idx="19">
                    <c:v>5</c:v>
                  </c:pt>
                  <c:pt idx="20">
                    <c:v>9</c:v>
                  </c:pt>
                </c:lvl>
                <c:lvl>
                  <c:pt idx="0">
                    <c:v>NOUVELLE AFFAIRE</c:v>
                  </c:pt>
                  <c:pt idx="3">
                    <c:v>0</c:v>
                  </c:pt>
                  <c:pt idx="5">
                    <c:v>A23ORLSAAR0100859</c:v>
                  </c:pt>
                  <c:pt idx="10">
                    <c:v>ORION SAAR</c:v>
                  </c:pt>
                  <c:pt idx="11">
                    <c:v>A23</c:v>
                  </c:pt>
                  <c:pt idx="12">
                    <c:v>OR</c:v>
                  </c:pt>
                  <c:pt idx="13">
                    <c:v>SAAR</c:v>
                  </c:pt>
                  <c:pt idx="14">
                    <c:v>0</c:v>
                  </c:pt>
                  <c:pt idx="15">
                    <c:v>1</c:v>
                  </c:pt>
                  <c:pt idx="16">
                    <c:v>0</c:v>
                  </c:pt>
                  <c:pt idx="17">
                    <c:v>0</c:v>
                  </c:pt>
                  <c:pt idx="18">
                    <c:v>8</c:v>
                  </c:pt>
                  <c:pt idx="19">
                    <c:v>5</c:v>
                  </c:pt>
                  <c:pt idx="20">
                    <c:v>9</c:v>
                  </c:pt>
                </c:lvl>
                <c:lvl>
                  <c:pt idx="0">
                    <c:v>AVENANT</c:v>
                  </c:pt>
                  <c:pt idx="5">
                    <c:v>PH1047005010922859</c:v>
                  </c:pt>
                  <c:pt idx="10">
                    <c:v>PERSO GMC</c:v>
                  </c:pt>
                  <c:pt idx="11">
                    <c:v>PH</c:v>
                  </c:pt>
                  <c:pt idx="12">
                    <c:v>10470050</c:v>
                  </c:pt>
                  <c:pt idx="13">
                    <c:v>10</c:v>
                  </c:pt>
                  <c:pt idx="14">
                    <c:v>9</c:v>
                  </c:pt>
                  <c:pt idx="15">
                    <c:v>22</c:v>
                  </c:pt>
                  <c:pt idx="16">
                    <c:v>8</c:v>
                  </c:pt>
                  <c:pt idx="17">
                    <c:v>5</c:v>
                  </c:pt>
                  <c:pt idx="18">
                    <c:v>9</c:v>
                  </c:pt>
                </c:lvl>
                <c:lvl>
                  <c:pt idx="5">
                    <c:v>MW23201LMB0859</c:v>
                  </c:pt>
                  <c:pt idx="10">
                    <c:v>BONANDJO GMC</c:v>
                  </c:pt>
                  <c:pt idx="11">
                    <c:v>MW</c:v>
                  </c:pt>
                  <c:pt idx="12">
                    <c:v>23</c:v>
                  </c:pt>
                  <c:pt idx="13">
                    <c:v>20</c:v>
                  </c:pt>
                  <c:pt idx="14">
                    <c:v>1</c:v>
                  </c:pt>
                  <c:pt idx="15">
                    <c:v>LMB</c:v>
                  </c:pt>
                  <c:pt idx="16">
                    <c:v>0</c:v>
                  </c:pt>
                  <c:pt idx="17">
                    <c:v>8</c:v>
                  </c:pt>
                  <c:pt idx="18">
                    <c:v>5</c:v>
                  </c:pt>
                  <c:pt idx="19">
                    <c:v>9</c:v>
                  </c:pt>
                </c:lvl>
                <c:lvl>
                  <c:pt idx="3">
                    <c:v>BONANDJO GMC</c:v>
                  </c:pt>
                  <c:pt idx="5">
                    <c:v>A2312301ORL00859</c:v>
                  </c:pt>
                  <c:pt idx="10">
                    <c:v>ORION GMC</c:v>
                  </c:pt>
                  <c:pt idx="11">
                    <c:v>A23</c:v>
                  </c:pt>
                  <c:pt idx="12">
                    <c:v>123</c:v>
                  </c:pt>
                  <c:pt idx="13">
                    <c:v>0</c:v>
                  </c:pt>
                  <c:pt idx="14">
                    <c:v>1</c:v>
                  </c:pt>
                  <c:pt idx="15">
                    <c:v>OR</c:v>
                  </c:pt>
                  <c:pt idx="16">
                    <c:v>0</c:v>
                  </c:pt>
                  <c:pt idx="17">
                    <c:v>0</c:v>
                  </c:pt>
                  <c:pt idx="18">
                    <c:v>8</c:v>
                  </c:pt>
                  <c:pt idx="19">
                    <c:v>5</c:v>
                  </c:pt>
                  <c:pt idx="20">
                    <c:v>9</c:v>
                  </c:pt>
                </c:lvl>
                <c:lvl>
                  <c:pt idx="3">
                    <c:v>A23</c:v>
                  </c:pt>
                  <c:pt idx="5">
                    <c:v>0</c:v>
                  </c:pt>
                  <c:pt idx="6">
                    <c:v>0</c:v>
                  </c:pt>
                  <c:pt idx="7">
                    <c:v>8</c:v>
                  </c:pt>
                  <c:pt idx="8">
                    <c:v>5</c:v>
                  </c:pt>
                  <c:pt idx="9">
                    <c:v>9</c:v>
                  </c:pt>
                </c:lvl>
                <c:lvl>
                  <c:pt idx="3">
                    <c:v>NUMERO DE POLICE </c:v>
                  </c:pt>
                </c:lvl>
                <c:lvl>
                  <c:pt idx="0">
                    <c:v>SAAR</c:v>
                  </c:pt>
                  <c:pt idx="2">
                    <c:v>ORD</c:v>
                  </c:pt>
                  <c:pt idx="4">
                    <c:v>1</c:v>
                  </c:pt>
                  <c:pt idx="5">
                    <c:v>1000</c:v>
                  </c:pt>
                  <c:pt idx="8">
                    <c:v>A23ORDSAAR00859</c:v>
                  </c:pt>
                  <c:pt idx="11">
                    <c:v>/</c:v>
                  </c:pt>
                  <c:pt idx="12">
                    <c:v>1</c:v>
                  </c:pt>
                </c:lvl>
              </c:multiLvlStrCache>
            </c:multiLvlStrRef>
          </c:cat>
          <c:val>
            <c:numRef>
              <c:f>CONTRATS!$H$26:$AE$26</c:f>
              <c:numCache>
                <c:formatCode>General</c:formatCode>
                <c:ptCount val="21"/>
                <c:pt idx="0">
                  <c:v>0</c:v>
                </c:pt>
                <c:pt idx="1">
                  <c:v>0</c:v>
                </c:pt>
                <c:pt idx="2">
                  <c:v>0</c:v>
                </c:pt>
                <c:pt idx="4">
                  <c:v>10</c:v>
                </c:pt>
                <c:pt idx="9">
                  <c:v>0</c:v>
                </c:pt>
              </c:numCache>
            </c:numRef>
          </c:val>
          <c:extLst>
            <c:ext xmlns:c16="http://schemas.microsoft.com/office/drawing/2014/chart" uri="{C3380CC4-5D6E-409C-BE32-E72D297353CC}">
              <c16:uniqueId val="{00000000-AF2F-40F1-8F63-71F25A0CA744}"/>
            </c:ext>
          </c:extLst>
        </c:ser>
        <c:ser>
          <c:idx val="1"/>
          <c:order val="1"/>
          <c:tx>
            <c:strRef>
              <c:f>CONTRATS!$A$27:$G$27</c:f>
              <c:strCache>
                <c:ptCount val="7"/>
                <c:pt idx="0">
                  <c:v>MATIERE INFLAMMABLE</c:v>
                </c:pt>
                <c:pt idx="1">
                  <c:v>RC &amp; RTI:                                        Civil Liability &amp; fire:  </c:v>
                </c:pt>
                <c:pt idx="2">
                  <c:v>SANS REMORQUE</c:v>
                </c:pt>
                <c:pt idx="3">
                  <c:v>Illimité D.Corp               500000000Dm</c:v>
                </c:pt>
                <c:pt idx="4">
                  <c:v>107 951</c:v>
                </c:pt>
                <c:pt idx="5">
                  <c:v>20</c:v>
                </c:pt>
                <c:pt idx="6">
                  <c:v>21 590</c:v>
                </c:pt>
              </c:strCache>
            </c:strRef>
          </c:tx>
          <c:invertIfNegative val="0"/>
          <c:cat>
            <c:multiLvlStrRef>
              <c:f>CONTRATS!$H$1:$AE$25</c:f>
              <c:multiLvlStrCache>
                <c:ptCount val="21"/>
                <c:lvl>
                  <c:pt idx="4">
                    <c:v>9</c:v>
                  </c:pt>
                  <c:pt idx="9">
                    <c:v>engins portuaires/autres engins</c:v>
                  </c:pt>
                </c:lvl>
                <c:lvl>
                  <c:pt idx="4">
                    <c:v>5</c:v>
                  </c:pt>
                  <c:pt idx="9">
                    <c:v>0</c:v>
                  </c:pt>
                </c:lvl>
                <c:lvl>
                  <c:pt idx="0">
                    <c:v>ZONE: ZONE:</c:v>
                  </c:pt>
                  <c:pt idx="2">
                    <c:v>C</c:v>
                  </c:pt>
                  <c:pt idx="4">
                    <c:v>4</c:v>
                  </c:pt>
                  <c:pt idx="9">
                    <c:v>0</c:v>
                  </c:pt>
                </c:lvl>
                <c:lvl>
                  <c:pt idx="0">
                    <c:v>PLACES: SEATS:</c:v>
                  </c:pt>
                  <c:pt idx="2">
                    <c:v>5</c:v>
                  </c:pt>
                  <c:pt idx="4">
                    <c:v>2,3</c:v>
                  </c:pt>
                  <c:pt idx="9">
                    <c:v>0</c:v>
                  </c:pt>
                </c:lvl>
                <c:lvl>
                  <c:pt idx="0">
                    <c:v>CHASSIS REMORQU: </c:v>
                  </c:pt>
                </c:lvl>
                <c:lvl>
                  <c:pt idx="0">
                    <c:v>IMMATRI REMORQ: TRAILER:</c:v>
                  </c:pt>
                  <c:pt idx="4">
                    <c:v>1</c:v>
                  </c:pt>
                  <c:pt idx="9">
                    <c:v>0</c:v>
                  </c:pt>
                </c:lvl>
                <c:lvl>
                  <c:pt idx="4">
                    <c:v>CATEGORIE</c:v>
                  </c:pt>
                  <c:pt idx="9">
                    <c:v>engins portuaires</c:v>
                  </c:pt>
                </c:lvl>
                <c:lvl>
                  <c:pt idx="0">
                    <c:v>SW 859 BB</c:v>
                  </c:pt>
                </c:lvl>
                <c:lvl>
                  <c:pt idx="0">
                    <c:v>DATE  ECHEANCE du CONTRAT</c:v>
                  </c:pt>
                </c:lvl>
                <c:lvl>
                  <c:pt idx="2">
                    <c:v>0</c:v>
                  </c:pt>
                  <c:pt idx="3">
                    <c:v>0</c:v>
                  </c:pt>
                </c:lvl>
                <c:lvl>
                  <c:pt idx="2">
                    <c:v>60</c:v>
                  </c:pt>
                  <c:pt idx="3">
                    <c:v>0</c:v>
                  </c:pt>
                  <c:pt idx="5">
                    <c:v>19</c:v>
                  </c:pt>
                </c:lvl>
                <c:lvl>
                  <c:pt idx="0">
                    <c:v>DUREE  DURATION</c:v>
                  </c:pt>
                  <c:pt idx="2">
                    <c:v>2MOIS</c:v>
                  </c:pt>
                  <c:pt idx="3">
                    <c:v>DUREE DÉJÀ PRISE</c:v>
                  </c:pt>
                  <c:pt idx="5">
                    <c:v>CYLD-EN-PUISS</c:v>
                  </c:pt>
                  <c:pt idx="8">
                    <c:v>30182012200859</c:v>
                  </c:pt>
                  <c:pt idx="10">
                    <c:v>PRUDENTIAL BENEFICIAL</c:v>
                  </c:pt>
                  <c:pt idx="11">
                    <c:v>3018</c:v>
                  </c:pt>
                  <c:pt idx="12">
                    <c:v>201</c:v>
                  </c:pt>
                  <c:pt idx="13">
                    <c:v>22</c:v>
                  </c:pt>
                  <c:pt idx="18">
                    <c:v>0</c:v>
                  </c:pt>
                  <c:pt idx="19">
                    <c:v>0</c:v>
                  </c:pt>
                  <c:pt idx="20">
                    <c:v>8</c:v>
                  </c:pt>
                </c:lvl>
                <c:lvl>
                  <c:pt idx="0">
                    <c:v>AGENT AGENT </c:v>
                  </c:pt>
                  <c:pt idx="2">
                    <c:v>0.0.5</c:v>
                  </c:pt>
                  <c:pt idx="5">
                    <c:v>WM2012200859</c:v>
                  </c:pt>
                  <c:pt idx="10">
                    <c:v>CPA ASSURANCES</c:v>
                  </c:pt>
                  <c:pt idx="11">
                    <c:v>W</c:v>
                  </c:pt>
                  <c:pt idx="12">
                    <c:v>M</c:v>
                  </c:pt>
                  <c:pt idx="13">
                    <c:v>20</c:v>
                  </c:pt>
                  <c:pt idx="14">
                    <c:v>1</c:v>
                  </c:pt>
                  <c:pt idx="15">
                    <c:v>2</c:v>
                  </c:pt>
                  <c:pt idx="16">
                    <c:v>20</c:v>
                  </c:pt>
                  <c:pt idx="17">
                    <c:v>0</c:v>
                  </c:pt>
                  <c:pt idx="18">
                    <c:v>8</c:v>
                  </c:pt>
                  <c:pt idx="19">
                    <c:v>5</c:v>
                  </c:pt>
                  <c:pt idx="20">
                    <c:v>9</c:v>
                  </c:pt>
                </c:lvl>
                <c:lvl>
                  <c:pt idx="0">
                    <c:v>NOUVELLE AFFAIRE</c:v>
                  </c:pt>
                  <c:pt idx="3">
                    <c:v>0</c:v>
                  </c:pt>
                  <c:pt idx="5">
                    <c:v>A23ORLSAAR0100859</c:v>
                  </c:pt>
                  <c:pt idx="10">
                    <c:v>ORION SAAR</c:v>
                  </c:pt>
                  <c:pt idx="11">
                    <c:v>A23</c:v>
                  </c:pt>
                  <c:pt idx="12">
                    <c:v>OR</c:v>
                  </c:pt>
                  <c:pt idx="13">
                    <c:v>SAAR</c:v>
                  </c:pt>
                  <c:pt idx="14">
                    <c:v>0</c:v>
                  </c:pt>
                  <c:pt idx="15">
                    <c:v>1</c:v>
                  </c:pt>
                  <c:pt idx="16">
                    <c:v>0</c:v>
                  </c:pt>
                  <c:pt idx="17">
                    <c:v>0</c:v>
                  </c:pt>
                  <c:pt idx="18">
                    <c:v>8</c:v>
                  </c:pt>
                  <c:pt idx="19">
                    <c:v>5</c:v>
                  </c:pt>
                  <c:pt idx="20">
                    <c:v>9</c:v>
                  </c:pt>
                </c:lvl>
                <c:lvl>
                  <c:pt idx="0">
                    <c:v>AVENANT</c:v>
                  </c:pt>
                  <c:pt idx="5">
                    <c:v>PH1047005010922859</c:v>
                  </c:pt>
                  <c:pt idx="10">
                    <c:v>PERSO GMC</c:v>
                  </c:pt>
                  <c:pt idx="11">
                    <c:v>PH</c:v>
                  </c:pt>
                  <c:pt idx="12">
                    <c:v>10470050</c:v>
                  </c:pt>
                  <c:pt idx="13">
                    <c:v>10</c:v>
                  </c:pt>
                  <c:pt idx="14">
                    <c:v>9</c:v>
                  </c:pt>
                  <c:pt idx="15">
                    <c:v>22</c:v>
                  </c:pt>
                  <c:pt idx="16">
                    <c:v>8</c:v>
                  </c:pt>
                  <c:pt idx="17">
                    <c:v>5</c:v>
                  </c:pt>
                  <c:pt idx="18">
                    <c:v>9</c:v>
                  </c:pt>
                </c:lvl>
                <c:lvl>
                  <c:pt idx="5">
                    <c:v>MW23201LMB0859</c:v>
                  </c:pt>
                  <c:pt idx="10">
                    <c:v>BONANDJO GMC</c:v>
                  </c:pt>
                  <c:pt idx="11">
                    <c:v>MW</c:v>
                  </c:pt>
                  <c:pt idx="12">
                    <c:v>23</c:v>
                  </c:pt>
                  <c:pt idx="13">
                    <c:v>20</c:v>
                  </c:pt>
                  <c:pt idx="14">
                    <c:v>1</c:v>
                  </c:pt>
                  <c:pt idx="15">
                    <c:v>LMB</c:v>
                  </c:pt>
                  <c:pt idx="16">
                    <c:v>0</c:v>
                  </c:pt>
                  <c:pt idx="17">
                    <c:v>8</c:v>
                  </c:pt>
                  <c:pt idx="18">
                    <c:v>5</c:v>
                  </c:pt>
                  <c:pt idx="19">
                    <c:v>9</c:v>
                  </c:pt>
                </c:lvl>
                <c:lvl>
                  <c:pt idx="3">
                    <c:v>BONANDJO GMC</c:v>
                  </c:pt>
                  <c:pt idx="5">
                    <c:v>A2312301ORL00859</c:v>
                  </c:pt>
                  <c:pt idx="10">
                    <c:v>ORION GMC</c:v>
                  </c:pt>
                  <c:pt idx="11">
                    <c:v>A23</c:v>
                  </c:pt>
                  <c:pt idx="12">
                    <c:v>123</c:v>
                  </c:pt>
                  <c:pt idx="13">
                    <c:v>0</c:v>
                  </c:pt>
                  <c:pt idx="14">
                    <c:v>1</c:v>
                  </c:pt>
                  <c:pt idx="15">
                    <c:v>OR</c:v>
                  </c:pt>
                  <c:pt idx="16">
                    <c:v>0</c:v>
                  </c:pt>
                  <c:pt idx="17">
                    <c:v>0</c:v>
                  </c:pt>
                  <c:pt idx="18">
                    <c:v>8</c:v>
                  </c:pt>
                  <c:pt idx="19">
                    <c:v>5</c:v>
                  </c:pt>
                  <c:pt idx="20">
                    <c:v>9</c:v>
                  </c:pt>
                </c:lvl>
                <c:lvl>
                  <c:pt idx="3">
                    <c:v>A23</c:v>
                  </c:pt>
                  <c:pt idx="5">
                    <c:v>0</c:v>
                  </c:pt>
                  <c:pt idx="6">
                    <c:v>0</c:v>
                  </c:pt>
                  <c:pt idx="7">
                    <c:v>8</c:v>
                  </c:pt>
                  <c:pt idx="8">
                    <c:v>5</c:v>
                  </c:pt>
                  <c:pt idx="9">
                    <c:v>9</c:v>
                  </c:pt>
                </c:lvl>
                <c:lvl>
                  <c:pt idx="3">
                    <c:v>NUMERO DE POLICE </c:v>
                  </c:pt>
                </c:lvl>
                <c:lvl>
                  <c:pt idx="0">
                    <c:v>SAAR</c:v>
                  </c:pt>
                  <c:pt idx="2">
                    <c:v>ORD</c:v>
                  </c:pt>
                  <c:pt idx="4">
                    <c:v>1</c:v>
                  </c:pt>
                  <c:pt idx="5">
                    <c:v>1000</c:v>
                  </c:pt>
                  <c:pt idx="8">
                    <c:v>A23ORDSAAR00859</c:v>
                  </c:pt>
                  <c:pt idx="11">
                    <c:v>/</c:v>
                  </c:pt>
                  <c:pt idx="12">
                    <c:v>1</c:v>
                  </c:pt>
                </c:lvl>
              </c:multiLvlStrCache>
            </c:multiLvlStrRef>
          </c:cat>
          <c:val>
            <c:numRef>
              <c:f>CONTRATS!$H$27:$AE$27</c:f>
              <c:numCache>
                <c:formatCode>#,##0</c:formatCode>
                <c:ptCount val="21"/>
                <c:pt idx="0" formatCode="General">
                  <c:v>0</c:v>
                </c:pt>
                <c:pt idx="1">
                  <c:v>0</c:v>
                </c:pt>
                <c:pt idx="2">
                  <c:v>21590.2</c:v>
                </c:pt>
                <c:pt idx="4" formatCode="General">
                  <c:v>0</c:v>
                </c:pt>
              </c:numCache>
            </c:numRef>
          </c:val>
          <c:extLst>
            <c:ext xmlns:c16="http://schemas.microsoft.com/office/drawing/2014/chart" uri="{C3380CC4-5D6E-409C-BE32-E72D297353CC}">
              <c16:uniqueId val="{00000001-AF2F-40F1-8F63-71F25A0CA744}"/>
            </c:ext>
          </c:extLst>
        </c:ser>
        <c:ser>
          <c:idx val="2"/>
          <c:order val="2"/>
          <c:tx>
            <c:strRef>
              <c:f>CONTRATS!$A$28:$G$28</c:f>
              <c:strCache>
                <c:ptCount val="7"/>
                <c:pt idx="0">
                  <c:v>MATIERE INFLAMMABLE</c:v>
                </c:pt>
                <c:pt idx="1">
                  <c:v>Dommage par collision:                     Damage from collision: </c:v>
                </c:pt>
                <c:pt idx="2">
                  <c:v>SANS REMORQUE</c:v>
                </c:pt>
                <c:pt idx="3">
                  <c:v>Franchise:10%                  Min-300 000F </c:v>
                </c:pt>
                <c:pt idx="4">
                  <c:v>0</c:v>
                </c:pt>
                <c:pt idx="5">
                  <c:v>0</c:v>
                </c:pt>
                <c:pt idx="6">
                  <c:v>0</c:v>
                </c:pt>
              </c:strCache>
            </c:strRef>
          </c:tx>
          <c:invertIfNegative val="0"/>
          <c:cat>
            <c:multiLvlStrRef>
              <c:f>CONTRATS!$H$1:$AE$25</c:f>
              <c:multiLvlStrCache>
                <c:ptCount val="21"/>
                <c:lvl>
                  <c:pt idx="4">
                    <c:v>9</c:v>
                  </c:pt>
                  <c:pt idx="9">
                    <c:v>engins portuaires/autres engins</c:v>
                  </c:pt>
                </c:lvl>
                <c:lvl>
                  <c:pt idx="4">
                    <c:v>5</c:v>
                  </c:pt>
                  <c:pt idx="9">
                    <c:v>0</c:v>
                  </c:pt>
                </c:lvl>
                <c:lvl>
                  <c:pt idx="0">
                    <c:v>ZONE: ZONE:</c:v>
                  </c:pt>
                  <c:pt idx="2">
                    <c:v>C</c:v>
                  </c:pt>
                  <c:pt idx="4">
                    <c:v>4</c:v>
                  </c:pt>
                  <c:pt idx="9">
                    <c:v>0</c:v>
                  </c:pt>
                </c:lvl>
                <c:lvl>
                  <c:pt idx="0">
                    <c:v>PLACES: SEATS:</c:v>
                  </c:pt>
                  <c:pt idx="2">
                    <c:v>5</c:v>
                  </c:pt>
                  <c:pt idx="4">
                    <c:v>2,3</c:v>
                  </c:pt>
                  <c:pt idx="9">
                    <c:v>0</c:v>
                  </c:pt>
                </c:lvl>
                <c:lvl>
                  <c:pt idx="0">
                    <c:v>CHASSIS REMORQU: </c:v>
                  </c:pt>
                </c:lvl>
                <c:lvl>
                  <c:pt idx="0">
                    <c:v>IMMATRI REMORQ: TRAILER:</c:v>
                  </c:pt>
                  <c:pt idx="4">
                    <c:v>1</c:v>
                  </c:pt>
                  <c:pt idx="9">
                    <c:v>0</c:v>
                  </c:pt>
                </c:lvl>
                <c:lvl>
                  <c:pt idx="4">
                    <c:v>CATEGORIE</c:v>
                  </c:pt>
                  <c:pt idx="9">
                    <c:v>engins portuaires</c:v>
                  </c:pt>
                </c:lvl>
                <c:lvl>
                  <c:pt idx="0">
                    <c:v>SW 859 BB</c:v>
                  </c:pt>
                </c:lvl>
                <c:lvl>
                  <c:pt idx="0">
                    <c:v>DATE  ECHEANCE du CONTRAT</c:v>
                  </c:pt>
                </c:lvl>
                <c:lvl>
                  <c:pt idx="2">
                    <c:v>0</c:v>
                  </c:pt>
                  <c:pt idx="3">
                    <c:v>0</c:v>
                  </c:pt>
                </c:lvl>
                <c:lvl>
                  <c:pt idx="2">
                    <c:v>60</c:v>
                  </c:pt>
                  <c:pt idx="3">
                    <c:v>0</c:v>
                  </c:pt>
                  <c:pt idx="5">
                    <c:v>19</c:v>
                  </c:pt>
                </c:lvl>
                <c:lvl>
                  <c:pt idx="0">
                    <c:v>DUREE  DURATION</c:v>
                  </c:pt>
                  <c:pt idx="2">
                    <c:v>2MOIS</c:v>
                  </c:pt>
                  <c:pt idx="3">
                    <c:v>DUREE DÉJÀ PRISE</c:v>
                  </c:pt>
                  <c:pt idx="5">
                    <c:v>CYLD-EN-PUISS</c:v>
                  </c:pt>
                  <c:pt idx="8">
                    <c:v>30182012200859</c:v>
                  </c:pt>
                  <c:pt idx="10">
                    <c:v>PRUDENTIAL BENEFICIAL</c:v>
                  </c:pt>
                  <c:pt idx="11">
                    <c:v>3018</c:v>
                  </c:pt>
                  <c:pt idx="12">
                    <c:v>201</c:v>
                  </c:pt>
                  <c:pt idx="13">
                    <c:v>22</c:v>
                  </c:pt>
                  <c:pt idx="18">
                    <c:v>0</c:v>
                  </c:pt>
                  <c:pt idx="19">
                    <c:v>0</c:v>
                  </c:pt>
                  <c:pt idx="20">
                    <c:v>8</c:v>
                  </c:pt>
                </c:lvl>
                <c:lvl>
                  <c:pt idx="0">
                    <c:v>AGENT AGENT </c:v>
                  </c:pt>
                  <c:pt idx="2">
                    <c:v>0.0.5</c:v>
                  </c:pt>
                  <c:pt idx="5">
                    <c:v>WM2012200859</c:v>
                  </c:pt>
                  <c:pt idx="10">
                    <c:v>CPA ASSURANCES</c:v>
                  </c:pt>
                  <c:pt idx="11">
                    <c:v>W</c:v>
                  </c:pt>
                  <c:pt idx="12">
                    <c:v>M</c:v>
                  </c:pt>
                  <c:pt idx="13">
                    <c:v>20</c:v>
                  </c:pt>
                  <c:pt idx="14">
                    <c:v>1</c:v>
                  </c:pt>
                  <c:pt idx="15">
                    <c:v>2</c:v>
                  </c:pt>
                  <c:pt idx="16">
                    <c:v>20</c:v>
                  </c:pt>
                  <c:pt idx="17">
                    <c:v>0</c:v>
                  </c:pt>
                  <c:pt idx="18">
                    <c:v>8</c:v>
                  </c:pt>
                  <c:pt idx="19">
                    <c:v>5</c:v>
                  </c:pt>
                  <c:pt idx="20">
                    <c:v>9</c:v>
                  </c:pt>
                </c:lvl>
                <c:lvl>
                  <c:pt idx="0">
                    <c:v>NOUVELLE AFFAIRE</c:v>
                  </c:pt>
                  <c:pt idx="3">
                    <c:v>0</c:v>
                  </c:pt>
                  <c:pt idx="5">
                    <c:v>A23ORLSAAR0100859</c:v>
                  </c:pt>
                  <c:pt idx="10">
                    <c:v>ORION SAAR</c:v>
                  </c:pt>
                  <c:pt idx="11">
                    <c:v>A23</c:v>
                  </c:pt>
                  <c:pt idx="12">
                    <c:v>OR</c:v>
                  </c:pt>
                  <c:pt idx="13">
                    <c:v>SAAR</c:v>
                  </c:pt>
                  <c:pt idx="14">
                    <c:v>0</c:v>
                  </c:pt>
                  <c:pt idx="15">
                    <c:v>1</c:v>
                  </c:pt>
                  <c:pt idx="16">
                    <c:v>0</c:v>
                  </c:pt>
                  <c:pt idx="17">
                    <c:v>0</c:v>
                  </c:pt>
                  <c:pt idx="18">
                    <c:v>8</c:v>
                  </c:pt>
                  <c:pt idx="19">
                    <c:v>5</c:v>
                  </c:pt>
                  <c:pt idx="20">
                    <c:v>9</c:v>
                  </c:pt>
                </c:lvl>
                <c:lvl>
                  <c:pt idx="0">
                    <c:v>AVENANT</c:v>
                  </c:pt>
                  <c:pt idx="5">
                    <c:v>PH1047005010922859</c:v>
                  </c:pt>
                  <c:pt idx="10">
                    <c:v>PERSO GMC</c:v>
                  </c:pt>
                  <c:pt idx="11">
                    <c:v>PH</c:v>
                  </c:pt>
                  <c:pt idx="12">
                    <c:v>10470050</c:v>
                  </c:pt>
                  <c:pt idx="13">
                    <c:v>10</c:v>
                  </c:pt>
                  <c:pt idx="14">
                    <c:v>9</c:v>
                  </c:pt>
                  <c:pt idx="15">
                    <c:v>22</c:v>
                  </c:pt>
                  <c:pt idx="16">
                    <c:v>8</c:v>
                  </c:pt>
                  <c:pt idx="17">
                    <c:v>5</c:v>
                  </c:pt>
                  <c:pt idx="18">
                    <c:v>9</c:v>
                  </c:pt>
                </c:lvl>
                <c:lvl>
                  <c:pt idx="5">
                    <c:v>MW23201LMB0859</c:v>
                  </c:pt>
                  <c:pt idx="10">
                    <c:v>BONANDJO GMC</c:v>
                  </c:pt>
                  <c:pt idx="11">
                    <c:v>MW</c:v>
                  </c:pt>
                  <c:pt idx="12">
                    <c:v>23</c:v>
                  </c:pt>
                  <c:pt idx="13">
                    <c:v>20</c:v>
                  </c:pt>
                  <c:pt idx="14">
                    <c:v>1</c:v>
                  </c:pt>
                  <c:pt idx="15">
                    <c:v>LMB</c:v>
                  </c:pt>
                  <c:pt idx="16">
                    <c:v>0</c:v>
                  </c:pt>
                  <c:pt idx="17">
                    <c:v>8</c:v>
                  </c:pt>
                  <c:pt idx="18">
                    <c:v>5</c:v>
                  </c:pt>
                  <c:pt idx="19">
                    <c:v>9</c:v>
                  </c:pt>
                </c:lvl>
                <c:lvl>
                  <c:pt idx="3">
                    <c:v>BONANDJO GMC</c:v>
                  </c:pt>
                  <c:pt idx="5">
                    <c:v>A2312301ORL00859</c:v>
                  </c:pt>
                  <c:pt idx="10">
                    <c:v>ORION GMC</c:v>
                  </c:pt>
                  <c:pt idx="11">
                    <c:v>A23</c:v>
                  </c:pt>
                  <c:pt idx="12">
                    <c:v>123</c:v>
                  </c:pt>
                  <c:pt idx="13">
                    <c:v>0</c:v>
                  </c:pt>
                  <c:pt idx="14">
                    <c:v>1</c:v>
                  </c:pt>
                  <c:pt idx="15">
                    <c:v>OR</c:v>
                  </c:pt>
                  <c:pt idx="16">
                    <c:v>0</c:v>
                  </c:pt>
                  <c:pt idx="17">
                    <c:v>0</c:v>
                  </c:pt>
                  <c:pt idx="18">
                    <c:v>8</c:v>
                  </c:pt>
                  <c:pt idx="19">
                    <c:v>5</c:v>
                  </c:pt>
                  <c:pt idx="20">
                    <c:v>9</c:v>
                  </c:pt>
                </c:lvl>
                <c:lvl>
                  <c:pt idx="3">
                    <c:v>A23</c:v>
                  </c:pt>
                  <c:pt idx="5">
                    <c:v>0</c:v>
                  </c:pt>
                  <c:pt idx="6">
                    <c:v>0</c:v>
                  </c:pt>
                  <c:pt idx="7">
                    <c:v>8</c:v>
                  </c:pt>
                  <c:pt idx="8">
                    <c:v>5</c:v>
                  </c:pt>
                  <c:pt idx="9">
                    <c:v>9</c:v>
                  </c:pt>
                </c:lvl>
                <c:lvl>
                  <c:pt idx="3">
                    <c:v>NUMERO DE POLICE </c:v>
                  </c:pt>
                </c:lvl>
                <c:lvl>
                  <c:pt idx="0">
                    <c:v>SAAR</c:v>
                  </c:pt>
                  <c:pt idx="2">
                    <c:v>ORD</c:v>
                  </c:pt>
                  <c:pt idx="4">
                    <c:v>1</c:v>
                  </c:pt>
                  <c:pt idx="5">
                    <c:v>1000</c:v>
                  </c:pt>
                  <c:pt idx="8">
                    <c:v>A23ORDSAAR00859</c:v>
                  </c:pt>
                  <c:pt idx="11">
                    <c:v>/</c:v>
                  </c:pt>
                  <c:pt idx="12">
                    <c:v>1</c:v>
                  </c:pt>
                </c:lvl>
              </c:multiLvlStrCache>
            </c:multiLvlStrRef>
          </c:cat>
          <c:val>
            <c:numRef>
              <c:f>CONTRATS!$H$28:$AE$28</c:f>
              <c:numCache>
                <c:formatCode>#,##0</c:formatCode>
                <c:ptCount val="21"/>
                <c:pt idx="1">
                  <c:v>0</c:v>
                </c:pt>
                <c:pt idx="2">
                  <c:v>0</c:v>
                </c:pt>
                <c:pt idx="3" formatCode="General">
                  <c:v>0</c:v>
                </c:pt>
                <c:pt idx="4" formatCode="General">
                  <c:v>0</c:v>
                </c:pt>
              </c:numCache>
            </c:numRef>
          </c:val>
          <c:extLst>
            <c:ext xmlns:c16="http://schemas.microsoft.com/office/drawing/2014/chart" uri="{C3380CC4-5D6E-409C-BE32-E72D297353CC}">
              <c16:uniqueId val="{00000002-AF2F-40F1-8F63-71F25A0CA744}"/>
            </c:ext>
          </c:extLst>
        </c:ser>
        <c:ser>
          <c:idx val="3"/>
          <c:order val="3"/>
          <c:tx>
            <c:strRef>
              <c:f>CONTRATS!$A$29:$G$29</c:f>
              <c:strCache>
                <c:ptCount val="7"/>
                <c:pt idx="0">
                  <c:v>MATIERE INFLAMMABLE</c:v>
                </c:pt>
                <c:pt idx="1">
                  <c:v>Dommage tous accident:                      Damage all accident: </c:v>
                </c:pt>
                <c:pt idx="2">
                  <c:v>SANS REMORQUE</c:v>
                </c:pt>
                <c:pt idx="3">
                  <c:v>Franchise:5%                   Min-100 000F </c:v>
                </c:pt>
                <c:pt idx="4">
                  <c:v>0</c:v>
                </c:pt>
                <c:pt idx="5">
                  <c:v>0</c:v>
                </c:pt>
                <c:pt idx="6">
                  <c:v>0</c:v>
                </c:pt>
              </c:strCache>
            </c:strRef>
          </c:tx>
          <c:invertIfNegative val="0"/>
          <c:cat>
            <c:multiLvlStrRef>
              <c:f>CONTRATS!$H$1:$AE$25</c:f>
              <c:multiLvlStrCache>
                <c:ptCount val="21"/>
                <c:lvl>
                  <c:pt idx="4">
                    <c:v>9</c:v>
                  </c:pt>
                  <c:pt idx="9">
                    <c:v>engins portuaires/autres engins</c:v>
                  </c:pt>
                </c:lvl>
                <c:lvl>
                  <c:pt idx="4">
                    <c:v>5</c:v>
                  </c:pt>
                  <c:pt idx="9">
                    <c:v>0</c:v>
                  </c:pt>
                </c:lvl>
                <c:lvl>
                  <c:pt idx="0">
                    <c:v>ZONE: ZONE:</c:v>
                  </c:pt>
                  <c:pt idx="2">
                    <c:v>C</c:v>
                  </c:pt>
                  <c:pt idx="4">
                    <c:v>4</c:v>
                  </c:pt>
                  <c:pt idx="9">
                    <c:v>0</c:v>
                  </c:pt>
                </c:lvl>
                <c:lvl>
                  <c:pt idx="0">
                    <c:v>PLACES: SEATS:</c:v>
                  </c:pt>
                  <c:pt idx="2">
                    <c:v>5</c:v>
                  </c:pt>
                  <c:pt idx="4">
                    <c:v>2,3</c:v>
                  </c:pt>
                  <c:pt idx="9">
                    <c:v>0</c:v>
                  </c:pt>
                </c:lvl>
                <c:lvl>
                  <c:pt idx="0">
                    <c:v>CHASSIS REMORQU: </c:v>
                  </c:pt>
                </c:lvl>
                <c:lvl>
                  <c:pt idx="0">
                    <c:v>IMMATRI REMORQ: TRAILER:</c:v>
                  </c:pt>
                  <c:pt idx="4">
                    <c:v>1</c:v>
                  </c:pt>
                  <c:pt idx="9">
                    <c:v>0</c:v>
                  </c:pt>
                </c:lvl>
                <c:lvl>
                  <c:pt idx="4">
                    <c:v>CATEGORIE</c:v>
                  </c:pt>
                  <c:pt idx="9">
                    <c:v>engins portuaires</c:v>
                  </c:pt>
                </c:lvl>
                <c:lvl>
                  <c:pt idx="0">
                    <c:v>SW 859 BB</c:v>
                  </c:pt>
                </c:lvl>
                <c:lvl>
                  <c:pt idx="0">
                    <c:v>DATE  ECHEANCE du CONTRAT</c:v>
                  </c:pt>
                </c:lvl>
                <c:lvl>
                  <c:pt idx="2">
                    <c:v>0</c:v>
                  </c:pt>
                  <c:pt idx="3">
                    <c:v>0</c:v>
                  </c:pt>
                </c:lvl>
                <c:lvl>
                  <c:pt idx="2">
                    <c:v>60</c:v>
                  </c:pt>
                  <c:pt idx="3">
                    <c:v>0</c:v>
                  </c:pt>
                  <c:pt idx="5">
                    <c:v>19</c:v>
                  </c:pt>
                </c:lvl>
                <c:lvl>
                  <c:pt idx="0">
                    <c:v>DUREE  DURATION</c:v>
                  </c:pt>
                  <c:pt idx="2">
                    <c:v>2MOIS</c:v>
                  </c:pt>
                  <c:pt idx="3">
                    <c:v>DUREE DÉJÀ PRISE</c:v>
                  </c:pt>
                  <c:pt idx="5">
                    <c:v>CYLD-EN-PUISS</c:v>
                  </c:pt>
                  <c:pt idx="8">
                    <c:v>30182012200859</c:v>
                  </c:pt>
                  <c:pt idx="10">
                    <c:v>PRUDENTIAL BENEFICIAL</c:v>
                  </c:pt>
                  <c:pt idx="11">
                    <c:v>3018</c:v>
                  </c:pt>
                  <c:pt idx="12">
                    <c:v>201</c:v>
                  </c:pt>
                  <c:pt idx="13">
                    <c:v>22</c:v>
                  </c:pt>
                  <c:pt idx="18">
                    <c:v>0</c:v>
                  </c:pt>
                  <c:pt idx="19">
                    <c:v>0</c:v>
                  </c:pt>
                  <c:pt idx="20">
                    <c:v>8</c:v>
                  </c:pt>
                </c:lvl>
                <c:lvl>
                  <c:pt idx="0">
                    <c:v>AGENT AGENT </c:v>
                  </c:pt>
                  <c:pt idx="2">
                    <c:v>0.0.5</c:v>
                  </c:pt>
                  <c:pt idx="5">
                    <c:v>WM2012200859</c:v>
                  </c:pt>
                  <c:pt idx="10">
                    <c:v>CPA ASSURANCES</c:v>
                  </c:pt>
                  <c:pt idx="11">
                    <c:v>W</c:v>
                  </c:pt>
                  <c:pt idx="12">
                    <c:v>M</c:v>
                  </c:pt>
                  <c:pt idx="13">
                    <c:v>20</c:v>
                  </c:pt>
                  <c:pt idx="14">
                    <c:v>1</c:v>
                  </c:pt>
                  <c:pt idx="15">
                    <c:v>2</c:v>
                  </c:pt>
                  <c:pt idx="16">
                    <c:v>20</c:v>
                  </c:pt>
                  <c:pt idx="17">
                    <c:v>0</c:v>
                  </c:pt>
                  <c:pt idx="18">
                    <c:v>8</c:v>
                  </c:pt>
                  <c:pt idx="19">
                    <c:v>5</c:v>
                  </c:pt>
                  <c:pt idx="20">
                    <c:v>9</c:v>
                  </c:pt>
                </c:lvl>
                <c:lvl>
                  <c:pt idx="0">
                    <c:v>NOUVELLE AFFAIRE</c:v>
                  </c:pt>
                  <c:pt idx="3">
                    <c:v>0</c:v>
                  </c:pt>
                  <c:pt idx="5">
                    <c:v>A23ORLSAAR0100859</c:v>
                  </c:pt>
                  <c:pt idx="10">
                    <c:v>ORION SAAR</c:v>
                  </c:pt>
                  <c:pt idx="11">
                    <c:v>A23</c:v>
                  </c:pt>
                  <c:pt idx="12">
                    <c:v>OR</c:v>
                  </c:pt>
                  <c:pt idx="13">
                    <c:v>SAAR</c:v>
                  </c:pt>
                  <c:pt idx="14">
                    <c:v>0</c:v>
                  </c:pt>
                  <c:pt idx="15">
                    <c:v>1</c:v>
                  </c:pt>
                  <c:pt idx="16">
                    <c:v>0</c:v>
                  </c:pt>
                  <c:pt idx="17">
                    <c:v>0</c:v>
                  </c:pt>
                  <c:pt idx="18">
                    <c:v>8</c:v>
                  </c:pt>
                  <c:pt idx="19">
                    <c:v>5</c:v>
                  </c:pt>
                  <c:pt idx="20">
                    <c:v>9</c:v>
                  </c:pt>
                </c:lvl>
                <c:lvl>
                  <c:pt idx="0">
                    <c:v>AVENANT</c:v>
                  </c:pt>
                  <c:pt idx="5">
                    <c:v>PH1047005010922859</c:v>
                  </c:pt>
                  <c:pt idx="10">
                    <c:v>PERSO GMC</c:v>
                  </c:pt>
                  <c:pt idx="11">
                    <c:v>PH</c:v>
                  </c:pt>
                  <c:pt idx="12">
                    <c:v>10470050</c:v>
                  </c:pt>
                  <c:pt idx="13">
                    <c:v>10</c:v>
                  </c:pt>
                  <c:pt idx="14">
                    <c:v>9</c:v>
                  </c:pt>
                  <c:pt idx="15">
                    <c:v>22</c:v>
                  </c:pt>
                  <c:pt idx="16">
                    <c:v>8</c:v>
                  </c:pt>
                  <c:pt idx="17">
                    <c:v>5</c:v>
                  </c:pt>
                  <c:pt idx="18">
                    <c:v>9</c:v>
                  </c:pt>
                </c:lvl>
                <c:lvl>
                  <c:pt idx="5">
                    <c:v>MW23201LMB0859</c:v>
                  </c:pt>
                  <c:pt idx="10">
                    <c:v>BONANDJO GMC</c:v>
                  </c:pt>
                  <c:pt idx="11">
                    <c:v>MW</c:v>
                  </c:pt>
                  <c:pt idx="12">
                    <c:v>23</c:v>
                  </c:pt>
                  <c:pt idx="13">
                    <c:v>20</c:v>
                  </c:pt>
                  <c:pt idx="14">
                    <c:v>1</c:v>
                  </c:pt>
                  <c:pt idx="15">
                    <c:v>LMB</c:v>
                  </c:pt>
                  <c:pt idx="16">
                    <c:v>0</c:v>
                  </c:pt>
                  <c:pt idx="17">
                    <c:v>8</c:v>
                  </c:pt>
                  <c:pt idx="18">
                    <c:v>5</c:v>
                  </c:pt>
                  <c:pt idx="19">
                    <c:v>9</c:v>
                  </c:pt>
                </c:lvl>
                <c:lvl>
                  <c:pt idx="3">
                    <c:v>BONANDJO GMC</c:v>
                  </c:pt>
                  <c:pt idx="5">
                    <c:v>A2312301ORL00859</c:v>
                  </c:pt>
                  <c:pt idx="10">
                    <c:v>ORION GMC</c:v>
                  </c:pt>
                  <c:pt idx="11">
                    <c:v>A23</c:v>
                  </c:pt>
                  <c:pt idx="12">
                    <c:v>123</c:v>
                  </c:pt>
                  <c:pt idx="13">
                    <c:v>0</c:v>
                  </c:pt>
                  <c:pt idx="14">
                    <c:v>1</c:v>
                  </c:pt>
                  <c:pt idx="15">
                    <c:v>OR</c:v>
                  </c:pt>
                  <c:pt idx="16">
                    <c:v>0</c:v>
                  </c:pt>
                  <c:pt idx="17">
                    <c:v>0</c:v>
                  </c:pt>
                  <c:pt idx="18">
                    <c:v>8</c:v>
                  </c:pt>
                  <c:pt idx="19">
                    <c:v>5</c:v>
                  </c:pt>
                  <c:pt idx="20">
                    <c:v>9</c:v>
                  </c:pt>
                </c:lvl>
                <c:lvl>
                  <c:pt idx="3">
                    <c:v>A23</c:v>
                  </c:pt>
                  <c:pt idx="5">
                    <c:v>0</c:v>
                  </c:pt>
                  <c:pt idx="6">
                    <c:v>0</c:v>
                  </c:pt>
                  <c:pt idx="7">
                    <c:v>8</c:v>
                  </c:pt>
                  <c:pt idx="8">
                    <c:v>5</c:v>
                  </c:pt>
                  <c:pt idx="9">
                    <c:v>9</c:v>
                  </c:pt>
                </c:lvl>
                <c:lvl>
                  <c:pt idx="3">
                    <c:v>NUMERO DE POLICE </c:v>
                  </c:pt>
                </c:lvl>
                <c:lvl>
                  <c:pt idx="0">
                    <c:v>SAAR</c:v>
                  </c:pt>
                  <c:pt idx="2">
                    <c:v>ORD</c:v>
                  </c:pt>
                  <c:pt idx="4">
                    <c:v>1</c:v>
                  </c:pt>
                  <c:pt idx="5">
                    <c:v>1000</c:v>
                  </c:pt>
                  <c:pt idx="8">
                    <c:v>A23ORDSAAR00859</c:v>
                  </c:pt>
                  <c:pt idx="11">
                    <c:v>/</c:v>
                  </c:pt>
                  <c:pt idx="12">
                    <c:v>1</c:v>
                  </c:pt>
                </c:lvl>
              </c:multiLvlStrCache>
            </c:multiLvlStrRef>
          </c:cat>
          <c:val>
            <c:numRef>
              <c:f>CONTRATS!$H$29:$AE$29</c:f>
              <c:numCache>
                <c:formatCode>#,##0</c:formatCode>
                <c:ptCount val="21"/>
                <c:pt idx="1">
                  <c:v>0</c:v>
                </c:pt>
                <c:pt idx="2">
                  <c:v>0</c:v>
                </c:pt>
                <c:pt idx="3" formatCode="General">
                  <c:v>0</c:v>
                </c:pt>
                <c:pt idx="4" formatCode="General">
                  <c:v>0</c:v>
                </c:pt>
              </c:numCache>
            </c:numRef>
          </c:val>
          <c:extLst>
            <c:ext xmlns:c16="http://schemas.microsoft.com/office/drawing/2014/chart" uri="{C3380CC4-5D6E-409C-BE32-E72D297353CC}">
              <c16:uniqueId val="{00000003-AF2F-40F1-8F63-71F25A0CA744}"/>
            </c:ext>
          </c:extLst>
        </c:ser>
        <c:ser>
          <c:idx val="4"/>
          <c:order val="4"/>
          <c:tx>
            <c:strRef>
              <c:f>CONTRATS!$A$30:$G$30</c:f>
              <c:strCache>
                <c:ptCount val="7"/>
                <c:pt idx="0">
                  <c:v>MATIERE INFLAMMABLE</c:v>
                </c:pt>
                <c:pt idx="1">
                  <c:v>Vol - Incendie:                                            Theft - Fire:</c:v>
                </c:pt>
                <c:pt idx="2">
                  <c:v>SANS REMORQUE</c:v>
                </c:pt>
                <c:pt idx="3">
                  <c:v>Franchise:15%                   Min-100 000F </c:v>
                </c:pt>
                <c:pt idx="4">
                  <c:v>0</c:v>
                </c:pt>
                <c:pt idx="5">
                  <c:v>0</c:v>
                </c:pt>
                <c:pt idx="6">
                  <c:v>0</c:v>
                </c:pt>
              </c:strCache>
            </c:strRef>
          </c:tx>
          <c:invertIfNegative val="0"/>
          <c:cat>
            <c:multiLvlStrRef>
              <c:f>CONTRATS!$H$1:$AE$25</c:f>
              <c:multiLvlStrCache>
                <c:ptCount val="21"/>
                <c:lvl>
                  <c:pt idx="4">
                    <c:v>9</c:v>
                  </c:pt>
                  <c:pt idx="9">
                    <c:v>engins portuaires/autres engins</c:v>
                  </c:pt>
                </c:lvl>
                <c:lvl>
                  <c:pt idx="4">
                    <c:v>5</c:v>
                  </c:pt>
                  <c:pt idx="9">
                    <c:v>0</c:v>
                  </c:pt>
                </c:lvl>
                <c:lvl>
                  <c:pt idx="0">
                    <c:v>ZONE: ZONE:</c:v>
                  </c:pt>
                  <c:pt idx="2">
                    <c:v>C</c:v>
                  </c:pt>
                  <c:pt idx="4">
                    <c:v>4</c:v>
                  </c:pt>
                  <c:pt idx="9">
                    <c:v>0</c:v>
                  </c:pt>
                </c:lvl>
                <c:lvl>
                  <c:pt idx="0">
                    <c:v>PLACES: SEATS:</c:v>
                  </c:pt>
                  <c:pt idx="2">
                    <c:v>5</c:v>
                  </c:pt>
                  <c:pt idx="4">
                    <c:v>2,3</c:v>
                  </c:pt>
                  <c:pt idx="9">
                    <c:v>0</c:v>
                  </c:pt>
                </c:lvl>
                <c:lvl>
                  <c:pt idx="0">
                    <c:v>CHASSIS REMORQU: </c:v>
                  </c:pt>
                </c:lvl>
                <c:lvl>
                  <c:pt idx="0">
                    <c:v>IMMATRI REMORQ: TRAILER:</c:v>
                  </c:pt>
                  <c:pt idx="4">
                    <c:v>1</c:v>
                  </c:pt>
                  <c:pt idx="9">
                    <c:v>0</c:v>
                  </c:pt>
                </c:lvl>
                <c:lvl>
                  <c:pt idx="4">
                    <c:v>CATEGORIE</c:v>
                  </c:pt>
                  <c:pt idx="9">
                    <c:v>engins portuaires</c:v>
                  </c:pt>
                </c:lvl>
                <c:lvl>
                  <c:pt idx="0">
                    <c:v>SW 859 BB</c:v>
                  </c:pt>
                </c:lvl>
                <c:lvl>
                  <c:pt idx="0">
                    <c:v>DATE  ECHEANCE du CONTRAT</c:v>
                  </c:pt>
                </c:lvl>
                <c:lvl>
                  <c:pt idx="2">
                    <c:v>0</c:v>
                  </c:pt>
                  <c:pt idx="3">
                    <c:v>0</c:v>
                  </c:pt>
                </c:lvl>
                <c:lvl>
                  <c:pt idx="2">
                    <c:v>60</c:v>
                  </c:pt>
                  <c:pt idx="3">
                    <c:v>0</c:v>
                  </c:pt>
                  <c:pt idx="5">
                    <c:v>19</c:v>
                  </c:pt>
                </c:lvl>
                <c:lvl>
                  <c:pt idx="0">
                    <c:v>DUREE  DURATION</c:v>
                  </c:pt>
                  <c:pt idx="2">
                    <c:v>2MOIS</c:v>
                  </c:pt>
                  <c:pt idx="3">
                    <c:v>DUREE DÉJÀ PRISE</c:v>
                  </c:pt>
                  <c:pt idx="5">
                    <c:v>CYLD-EN-PUISS</c:v>
                  </c:pt>
                  <c:pt idx="8">
                    <c:v>30182012200859</c:v>
                  </c:pt>
                  <c:pt idx="10">
                    <c:v>PRUDENTIAL BENEFICIAL</c:v>
                  </c:pt>
                  <c:pt idx="11">
                    <c:v>3018</c:v>
                  </c:pt>
                  <c:pt idx="12">
                    <c:v>201</c:v>
                  </c:pt>
                  <c:pt idx="13">
                    <c:v>22</c:v>
                  </c:pt>
                  <c:pt idx="18">
                    <c:v>0</c:v>
                  </c:pt>
                  <c:pt idx="19">
                    <c:v>0</c:v>
                  </c:pt>
                  <c:pt idx="20">
                    <c:v>8</c:v>
                  </c:pt>
                </c:lvl>
                <c:lvl>
                  <c:pt idx="0">
                    <c:v>AGENT AGENT </c:v>
                  </c:pt>
                  <c:pt idx="2">
                    <c:v>0.0.5</c:v>
                  </c:pt>
                  <c:pt idx="5">
                    <c:v>WM2012200859</c:v>
                  </c:pt>
                  <c:pt idx="10">
                    <c:v>CPA ASSURANCES</c:v>
                  </c:pt>
                  <c:pt idx="11">
                    <c:v>W</c:v>
                  </c:pt>
                  <c:pt idx="12">
                    <c:v>M</c:v>
                  </c:pt>
                  <c:pt idx="13">
                    <c:v>20</c:v>
                  </c:pt>
                  <c:pt idx="14">
                    <c:v>1</c:v>
                  </c:pt>
                  <c:pt idx="15">
                    <c:v>2</c:v>
                  </c:pt>
                  <c:pt idx="16">
                    <c:v>20</c:v>
                  </c:pt>
                  <c:pt idx="17">
                    <c:v>0</c:v>
                  </c:pt>
                  <c:pt idx="18">
                    <c:v>8</c:v>
                  </c:pt>
                  <c:pt idx="19">
                    <c:v>5</c:v>
                  </c:pt>
                  <c:pt idx="20">
                    <c:v>9</c:v>
                  </c:pt>
                </c:lvl>
                <c:lvl>
                  <c:pt idx="0">
                    <c:v>NOUVELLE AFFAIRE</c:v>
                  </c:pt>
                  <c:pt idx="3">
                    <c:v>0</c:v>
                  </c:pt>
                  <c:pt idx="5">
                    <c:v>A23ORLSAAR0100859</c:v>
                  </c:pt>
                  <c:pt idx="10">
                    <c:v>ORION SAAR</c:v>
                  </c:pt>
                  <c:pt idx="11">
                    <c:v>A23</c:v>
                  </c:pt>
                  <c:pt idx="12">
                    <c:v>OR</c:v>
                  </c:pt>
                  <c:pt idx="13">
                    <c:v>SAAR</c:v>
                  </c:pt>
                  <c:pt idx="14">
                    <c:v>0</c:v>
                  </c:pt>
                  <c:pt idx="15">
                    <c:v>1</c:v>
                  </c:pt>
                  <c:pt idx="16">
                    <c:v>0</c:v>
                  </c:pt>
                  <c:pt idx="17">
                    <c:v>0</c:v>
                  </c:pt>
                  <c:pt idx="18">
                    <c:v>8</c:v>
                  </c:pt>
                  <c:pt idx="19">
                    <c:v>5</c:v>
                  </c:pt>
                  <c:pt idx="20">
                    <c:v>9</c:v>
                  </c:pt>
                </c:lvl>
                <c:lvl>
                  <c:pt idx="0">
                    <c:v>AVENANT</c:v>
                  </c:pt>
                  <c:pt idx="5">
                    <c:v>PH1047005010922859</c:v>
                  </c:pt>
                  <c:pt idx="10">
                    <c:v>PERSO GMC</c:v>
                  </c:pt>
                  <c:pt idx="11">
                    <c:v>PH</c:v>
                  </c:pt>
                  <c:pt idx="12">
                    <c:v>10470050</c:v>
                  </c:pt>
                  <c:pt idx="13">
                    <c:v>10</c:v>
                  </c:pt>
                  <c:pt idx="14">
                    <c:v>9</c:v>
                  </c:pt>
                  <c:pt idx="15">
                    <c:v>22</c:v>
                  </c:pt>
                  <c:pt idx="16">
                    <c:v>8</c:v>
                  </c:pt>
                  <c:pt idx="17">
                    <c:v>5</c:v>
                  </c:pt>
                  <c:pt idx="18">
                    <c:v>9</c:v>
                  </c:pt>
                </c:lvl>
                <c:lvl>
                  <c:pt idx="5">
                    <c:v>MW23201LMB0859</c:v>
                  </c:pt>
                  <c:pt idx="10">
                    <c:v>BONANDJO GMC</c:v>
                  </c:pt>
                  <c:pt idx="11">
                    <c:v>MW</c:v>
                  </c:pt>
                  <c:pt idx="12">
                    <c:v>23</c:v>
                  </c:pt>
                  <c:pt idx="13">
                    <c:v>20</c:v>
                  </c:pt>
                  <c:pt idx="14">
                    <c:v>1</c:v>
                  </c:pt>
                  <c:pt idx="15">
                    <c:v>LMB</c:v>
                  </c:pt>
                  <c:pt idx="16">
                    <c:v>0</c:v>
                  </c:pt>
                  <c:pt idx="17">
                    <c:v>8</c:v>
                  </c:pt>
                  <c:pt idx="18">
                    <c:v>5</c:v>
                  </c:pt>
                  <c:pt idx="19">
                    <c:v>9</c:v>
                  </c:pt>
                </c:lvl>
                <c:lvl>
                  <c:pt idx="3">
                    <c:v>BONANDJO GMC</c:v>
                  </c:pt>
                  <c:pt idx="5">
                    <c:v>A2312301ORL00859</c:v>
                  </c:pt>
                  <c:pt idx="10">
                    <c:v>ORION GMC</c:v>
                  </c:pt>
                  <c:pt idx="11">
                    <c:v>A23</c:v>
                  </c:pt>
                  <c:pt idx="12">
                    <c:v>123</c:v>
                  </c:pt>
                  <c:pt idx="13">
                    <c:v>0</c:v>
                  </c:pt>
                  <c:pt idx="14">
                    <c:v>1</c:v>
                  </c:pt>
                  <c:pt idx="15">
                    <c:v>OR</c:v>
                  </c:pt>
                  <c:pt idx="16">
                    <c:v>0</c:v>
                  </c:pt>
                  <c:pt idx="17">
                    <c:v>0</c:v>
                  </c:pt>
                  <c:pt idx="18">
                    <c:v>8</c:v>
                  </c:pt>
                  <c:pt idx="19">
                    <c:v>5</c:v>
                  </c:pt>
                  <c:pt idx="20">
                    <c:v>9</c:v>
                  </c:pt>
                </c:lvl>
                <c:lvl>
                  <c:pt idx="3">
                    <c:v>A23</c:v>
                  </c:pt>
                  <c:pt idx="5">
                    <c:v>0</c:v>
                  </c:pt>
                  <c:pt idx="6">
                    <c:v>0</c:v>
                  </c:pt>
                  <c:pt idx="7">
                    <c:v>8</c:v>
                  </c:pt>
                  <c:pt idx="8">
                    <c:v>5</c:v>
                  </c:pt>
                  <c:pt idx="9">
                    <c:v>9</c:v>
                  </c:pt>
                </c:lvl>
                <c:lvl>
                  <c:pt idx="3">
                    <c:v>NUMERO DE POLICE </c:v>
                  </c:pt>
                </c:lvl>
                <c:lvl>
                  <c:pt idx="0">
                    <c:v>SAAR</c:v>
                  </c:pt>
                  <c:pt idx="2">
                    <c:v>ORD</c:v>
                  </c:pt>
                  <c:pt idx="4">
                    <c:v>1</c:v>
                  </c:pt>
                  <c:pt idx="5">
                    <c:v>1000</c:v>
                  </c:pt>
                  <c:pt idx="8">
                    <c:v>A23ORDSAAR00859</c:v>
                  </c:pt>
                  <c:pt idx="11">
                    <c:v>/</c:v>
                  </c:pt>
                  <c:pt idx="12">
                    <c:v>1</c:v>
                  </c:pt>
                </c:lvl>
              </c:multiLvlStrCache>
            </c:multiLvlStrRef>
          </c:cat>
          <c:val>
            <c:numRef>
              <c:f>CONTRATS!$H$30:$AE$30</c:f>
              <c:numCache>
                <c:formatCode>#,##0</c:formatCode>
                <c:ptCount val="21"/>
                <c:pt idx="1">
                  <c:v>0</c:v>
                </c:pt>
                <c:pt idx="2">
                  <c:v>0</c:v>
                </c:pt>
                <c:pt idx="3" formatCode="General">
                  <c:v>0</c:v>
                </c:pt>
              </c:numCache>
            </c:numRef>
          </c:val>
          <c:extLst>
            <c:ext xmlns:c16="http://schemas.microsoft.com/office/drawing/2014/chart" uri="{C3380CC4-5D6E-409C-BE32-E72D297353CC}">
              <c16:uniqueId val="{00000004-AF2F-40F1-8F63-71F25A0CA744}"/>
            </c:ext>
          </c:extLst>
        </c:ser>
        <c:ser>
          <c:idx val="5"/>
          <c:order val="5"/>
          <c:tx>
            <c:strRef>
              <c:f>CONTRATS!$A$31:$G$31</c:f>
              <c:strCache>
                <c:ptCount val="7"/>
                <c:pt idx="0">
                  <c:v>MATIERE INFLAMMABLE</c:v>
                </c:pt>
                <c:pt idx="1">
                  <c:v>Vol Appareil elect:                                          theft elect. app:</c:v>
                </c:pt>
                <c:pt idx="2">
                  <c:v>SANS REMORQUE</c:v>
                </c:pt>
                <c:pt idx="3">
                  <c:v>Franchise:5%                   Min-25 000F </c:v>
                </c:pt>
                <c:pt idx="4">
                  <c:v>0</c:v>
                </c:pt>
                <c:pt idx="5">
                  <c:v>0</c:v>
                </c:pt>
                <c:pt idx="6">
                  <c:v>0</c:v>
                </c:pt>
              </c:strCache>
            </c:strRef>
          </c:tx>
          <c:invertIfNegative val="0"/>
          <c:cat>
            <c:multiLvlStrRef>
              <c:f>CONTRATS!$H$1:$AE$25</c:f>
              <c:multiLvlStrCache>
                <c:ptCount val="21"/>
                <c:lvl>
                  <c:pt idx="4">
                    <c:v>9</c:v>
                  </c:pt>
                  <c:pt idx="9">
                    <c:v>engins portuaires/autres engins</c:v>
                  </c:pt>
                </c:lvl>
                <c:lvl>
                  <c:pt idx="4">
                    <c:v>5</c:v>
                  </c:pt>
                  <c:pt idx="9">
                    <c:v>0</c:v>
                  </c:pt>
                </c:lvl>
                <c:lvl>
                  <c:pt idx="0">
                    <c:v>ZONE: ZONE:</c:v>
                  </c:pt>
                  <c:pt idx="2">
                    <c:v>C</c:v>
                  </c:pt>
                  <c:pt idx="4">
                    <c:v>4</c:v>
                  </c:pt>
                  <c:pt idx="9">
                    <c:v>0</c:v>
                  </c:pt>
                </c:lvl>
                <c:lvl>
                  <c:pt idx="0">
                    <c:v>PLACES: SEATS:</c:v>
                  </c:pt>
                  <c:pt idx="2">
                    <c:v>5</c:v>
                  </c:pt>
                  <c:pt idx="4">
                    <c:v>2,3</c:v>
                  </c:pt>
                  <c:pt idx="9">
                    <c:v>0</c:v>
                  </c:pt>
                </c:lvl>
                <c:lvl>
                  <c:pt idx="0">
                    <c:v>CHASSIS REMORQU: </c:v>
                  </c:pt>
                </c:lvl>
                <c:lvl>
                  <c:pt idx="0">
                    <c:v>IMMATRI REMORQ: TRAILER:</c:v>
                  </c:pt>
                  <c:pt idx="4">
                    <c:v>1</c:v>
                  </c:pt>
                  <c:pt idx="9">
                    <c:v>0</c:v>
                  </c:pt>
                </c:lvl>
                <c:lvl>
                  <c:pt idx="4">
                    <c:v>CATEGORIE</c:v>
                  </c:pt>
                  <c:pt idx="9">
                    <c:v>engins portuaires</c:v>
                  </c:pt>
                </c:lvl>
                <c:lvl>
                  <c:pt idx="0">
                    <c:v>SW 859 BB</c:v>
                  </c:pt>
                </c:lvl>
                <c:lvl>
                  <c:pt idx="0">
                    <c:v>DATE  ECHEANCE du CONTRAT</c:v>
                  </c:pt>
                </c:lvl>
                <c:lvl>
                  <c:pt idx="2">
                    <c:v>0</c:v>
                  </c:pt>
                  <c:pt idx="3">
                    <c:v>0</c:v>
                  </c:pt>
                </c:lvl>
                <c:lvl>
                  <c:pt idx="2">
                    <c:v>60</c:v>
                  </c:pt>
                  <c:pt idx="3">
                    <c:v>0</c:v>
                  </c:pt>
                  <c:pt idx="5">
                    <c:v>19</c:v>
                  </c:pt>
                </c:lvl>
                <c:lvl>
                  <c:pt idx="0">
                    <c:v>DUREE  DURATION</c:v>
                  </c:pt>
                  <c:pt idx="2">
                    <c:v>2MOIS</c:v>
                  </c:pt>
                  <c:pt idx="3">
                    <c:v>DUREE DÉJÀ PRISE</c:v>
                  </c:pt>
                  <c:pt idx="5">
                    <c:v>CYLD-EN-PUISS</c:v>
                  </c:pt>
                  <c:pt idx="8">
                    <c:v>30182012200859</c:v>
                  </c:pt>
                  <c:pt idx="10">
                    <c:v>PRUDENTIAL BENEFICIAL</c:v>
                  </c:pt>
                  <c:pt idx="11">
                    <c:v>3018</c:v>
                  </c:pt>
                  <c:pt idx="12">
                    <c:v>201</c:v>
                  </c:pt>
                  <c:pt idx="13">
                    <c:v>22</c:v>
                  </c:pt>
                  <c:pt idx="18">
                    <c:v>0</c:v>
                  </c:pt>
                  <c:pt idx="19">
                    <c:v>0</c:v>
                  </c:pt>
                  <c:pt idx="20">
                    <c:v>8</c:v>
                  </c:pt>
                </c:lvl>
                <c:lvl>
                  <c:pt idx="0">
                    <c:v>AGENT AGENT </c:v>
                  </c:pt>
                  <c:pt idx="2">
                    <c:v>0.0.5</c:v>
                  </c:pt>
                  <c:pt idx="5">
                    <c:v>WM2012200859</c:v>
                  </c:pt>
                  <c:pt idx="10">
                    <c:v>CPA ASSURANCES</c:v>
                  </c:pt>
                  <c:pt idx="11">
                    <c:v>W</c:v>
                  </c:pt>
                  <c:pt idx="12">
                    <c:v>M</c:v>
                  </c:pt>
                  <c:pt idx="13">
                    <c:v>20</c:v>
                  </c:pt>
                  <c:pt idx="14">
                    <c:v>1</c:v>
                  </c:pt>
                  <c:pt idx="15">
                    <c:v>2</c:v>
                  </c:pt>
                  <c:pt idx="16">
                    <c:v>20</c:v>
                  </c:pt>
                  <c:pt idx="17">
                    <c:v>0</c:v>
                  </c:pt>
                  <c:pt idx="18">
                    <c:v>8</c:v>
                  </c:pt>
                  <c:pt idx="19">
                    <c:v>5</c:v>
                  </c:pt>
                  <c:pt idx="20">
                    <c:v>9</c:v>
                  </c:pt>
                </c:lvl>
                <c:lvl>
                  <c:pt idx="0">
                    <c:v>NOUVELLE AFFAIRE</c:v>
                  </c:pt>
                  <c:pt idx="3">
                    <c:v>0</c:v>
                  </c:pt>
                  <c:pt idx="5">
                    <c:v>A23ORLSAAR0100859</c:v>
                  </c:pt>
                  <c:pt idx="10">
                    <c:v>ORION SAAR</c:v>
                  </c:pt>
                  <c:pt idx="11">
                    <c:v>A23</c:v>
                  </c:pt>
                  <c:pt idx="12">
                    <c:v>OR</c:v>
                  </c:pt>
                  <c:pt idx="13">
                    <c:v>SAAR</c:v>
                  </c:pt>
                  <c:pt idx="14">
                    <c:v>0</c:v>
                  </c:pt>
                  <c:pt idx="15">
                    <c:v>1</c:v>
                  </c:pt>
                  <c:pt idx="16">
                    <c:v>0</c:v>
                  </c:pt>
                  <c:pt idx="17">
                    <c:v>0</c:v>
                  </c:pt>
                  <c:pt idx="18">
                    <c:v>8</c:v>
                  </c:pt>
                  <c:pt idx="19">
                    <c:v>5</c:v>
                  </c:pt>
                  <c:pt idx="20">
                    <c:v>9</c:v>
                  </c:pt>
                </c:lvl>
                <c:lvl>
                  <c:pt idx="0">
                    <c:v>AVENANT</c:v>
                  </c:pt>
                  <c:pt idx="5">
                    <c:v>PH1047005010922859</c:v>
                  </c:pt>
                  <c:pt idx="10">
                    <c:v>PERSO GMC</c:v>
                  </c:pt>
                  <c:pt idx="11">
                    <c:v>PH</c:v>
                  </c:pt>
                  <c:pt idx="12">
                    <c:v>10470050</c:v>
                  </c:pt>
                  <c:pt idx="13">
                    <c:v>10</c:v>
                  </c:pt>
                  <c:pt idx="14">
                    <c:v>9</c:v>
                  </c:pt>
                  <c:pt idx="15">
                    <c:v>22</c:v>
                  </c:pt>
                  <c:pt idx="16">
                    <c:v>8</c:v>
                  </c:pt>
                  <c:pt idx="17">
                    <c:v>5</c:v>
                  </c:pt>
                  <c:pt idx="18">
                    <c:v>9</c:v>
                  </c:pt>
                </c:lvl>
                <c:lvl>
                  <c:pt idx="5">
                    <c:v>MW23201LMB0859</c:v>
                  </c:pt>
                  <c:pt idx="10">
                    <c:v>BONANDJO GMC</c:v>
                  </c:pt>
                  <c:pt idx="11">
                    <c:v>MW</c:v>
                  </c:pt>
                  <c:pt idx="12">
                    <c:v>23</c:v>
                  </c:pt>
                  <c:pt idx="13">
                    <c:v>20</c:v>
                  </c:pt>
                  <c:pt idx="14">
                    <c:v>1</c:v>
                  </c:pt>
                  <c:pt idx="15">
                    <c:v>LMB</c:v>
                  </c:pt>
                  <c:pt idx="16">
                    <c:v>0</c:v>
                  </c:pt>
                  <c:pt idx="17">
                    <c:v>8</c:v>
                  </c:pt>
                  <c:pt idx="18">
                    <c:v>5</c:v>
                  </c:pt>
                  <c:pt idx="19">
                    <c:v>9</c:v>
                  </c:pt>
                </c:lvl>
                <c:lvl>
                  <c:pt idx="3">
                    <c:v>BONANDJO GMC</c:v>
                  </c:pt>
                  <c:pt idx="5">
                    <c:v>A2312301ORL00859</c:v>
                  </c:pt>
                  <c:pt idx="10">
                    <c:v>ORION GMC</c:v>
                  </c:pt>
                  <c:pt idx="11">
                    <c:v>A23</c:v>
                  </c:pt>
                  <c:pt idx="12">
                    <c:v>123</c:v>
                  </c:pt>
                  <c:pt idx="13">
                    <c:v>0</c:v>
                  </c:pt>
                  <c:pt idx="14">
                    <c:v>1</c:v>
                  </c:pt>
                  <c:pt idx="15">
                    <c:v>OR</c:v>
                  </c:pt>
                  <c:pt idx="16">
                    <c:v>0</c:v>
                  </c:pt>
                  <c:pt idx="17">
                    <c:v>0</c:v>
                  </c:pt>
                  <c:pt idx="18">
                    <c:v>8</c:v>
                  </c:pt>
                  <c:pt idx="19">
                    <c:v>5</c:v>
                  </c:pt>
                  <c:pt idx="20">
                    <c:v>9</c:v>
                  </c:pt>
                </c:lvl>
                <c:lvl>
                  <c:pt idx="3">
                    <c:v>A23</c:v>
                  </c:pt>
                  <c:pt idx="5">
                    <c:v>0</c:v>
                  </c:pt>
                  <c:pt idx="6">
                    <c:v>0</c:v>
                  </c:pt>
                  <c:pt idx="7">
                    <c:v>8</c:v>
                  </c:pt>
                  <c:pt idx="8">
                    <c:v>5</c:v>
                  </c:pt>
                  <c:pt idx="9">
                    <c:v>9</c:v>
                  </c:pt>
                </c:lvl>
                <c:lvl>
                  <c:pt idx="3">
                    <c:v>NUMERO DE POLICE </c:v>
                  </c:pt>
                </c:lvl>
                <c:lvl>
                  <c:pt idx="0">
                    <c:v>SAAR</c:v>
                  </c:pt>
                  <c:pt idx="2">
                    <c:v>ORD</c:v>
                  </c:pt>
                  <c:pt idx="4">
                    <c:v>1</c:v>
                  </c:pt>
                  <c:pt idx="5">
                    <c:v>1000</c:v>
                  </c:pt>
                  <c:pt idx="8">
                    <c:v>A23ORDSAAR00859</c:v>
                  </c:pt>
                  <c:pt idx="11">
                    <c:v>/</c:v>
                  </c:pt>
                  <c:pt idx="12">
                    <c:v>1</c:v>
                  </c:pt>
                </c:lvl>
              </c:multiLvlStrCache>
            </c:multiLvlStrRef>
          </c:cat>
          <c:val>
            <c:numRef>
              <c:f>CONTRATS!$H$31:$AE$31</c:f>
              <c:numCache>
                <c:formatCode>#,##0</c:formatCode>
                <c:ptCount val="21"/>
                <c:pt idx="1">
                  <c:v>0</c:v>
                </c:pt>
                <c:pt idx="2">
                  <c:v>0</c:v>
                </c:pt>
                <c:pt idx="3" formatCode="General">
                  <c:v>0</c:v>
                </c:pt>
              </c:numCache>
            </c:numRef>
          </c:val>
          <c:extLst>
            <c:ext xmlns:c16="http://schemas.microsoft.com/office/drawing/2014/chart" uri="{C3380CC4-5D6E-409C-BE32-E72D297353CC}">
              <c16:uniqueId val="{00000005-AF2F-40F1-8F63-71F25A0CA744}"/>
            </c:ext>
          </c:extLst>
        </c:ser>
        <c:ser>
          <c:idx val="6"/>
          <c:order val="6"/>
          <c:tx>
            <c:strRef>
              <c:f>CONTRATS!$A$32:$G$32</c:f>
              <c:strCache>
                <c:ptCount val="7"/>
                <c:pt idx="0">
                  <c:v>MATIERE INFLAMMABLE</c:v>
                </c:pt>
                <c:pt idx="1">
                  <c:v>Avance sur recours  /  Advance before recourse</c:v>
                </c:pt>
                <c:pt idx="2">
                  <c:v>SANS REMORQUE</c:v>
                </c:pt>
                <c:pt idx="3">
                  <c:v>Franchise:10%                  Min-100 000F </c:v>
                </c:pt>
                <c:pt idx="4">
                  <c:v>0</c:v>
                </c:pt>
                <c:pt idx="5">
                  <c:v>0</c:v>
                </c:pt>
                <c:pt idx="6">
                  <c:v>0</c:v>
                </c:pt>
              </c:strCache>
            </c:strRef>
          </c:tx>
          <c:invertIfNegative val="0"/>
          <c:cat>
            <c:multiLvlStrRef>
              <c:f>CONTRATS!$H$1:$AE$25</c:f>
              <c:multiLvlStrCache>
                <c:ptCount val="21"/>
                <c:lvl>
                  <c:pt idx="4">
                    <c:v>9</c:v>
                  </c:pt>
                  <c:pt idx="9">
                    <c:v>engins portuaires/autres engins</c:v>
                  </c:pt>
                </c:lvl>
                <c:lvl>
                  <c:pt idx="4">
                    <c:v>5</c:v>
                  </c:pt>
                  <c:pt idx="9">
                    <c:v>0</c:v>
                  </c:pt>
                </c:lvl>
                <c:lvl>
                  <c:pt idx="0">
                    <c:v>ZONE: ZONE:</c:v>
                  </c:pt>
                  <c:pt idx="2">
                    <c:v>C</c:v>
                  </c:pt>
                  <c:pt idx="4">
                    <c:v>4</c:v>
                  </c:pt>
                  <c:pt idx="9">
                    <c:v>0</c:v>
                  </c:pt>
                </c:lvl>
                <c:lvl>
                  <c:pt idx="0">
                    <c:v>PLACES: SEATS:</c:v>
                  </c:pt>
                  <c:pt idx="2">
                    <c:v>5</c:v>
                  </c:pt>
                  <c:pt idx="4">
                    <c:v>2,3</c:v>
                  </c:pt>
                  <c:pt idx="9">
                    <c:v>0</c:v>
                  </c:pt>
                </c:lvl>
                <c:lvl>
                  <c:pt idx="0">
                    <c:v>CHASSIS REMORQU: </c:v>
                  </c:pt>
                </c:lvl>
                <c:lvl>
                  <c:pt idx="0">
                    <c:v>IMMATRI REMORQ: TRAILER:</c:v>
                  </c:pt>
                  <c:pt idx="4">
                    <c:v>1</c:v>
                  </c:pt>
                  <c:pt idx="9">
                    <c:v>0</c:v>
                  </c:pt>
                </c:lvl>
                <c:lvl>
                  <c:pt idx="4">
                    <c:v>CATEGORIE</c:v>
                  </c:pt>
                  <c:pt idx="9">
                    <c:v>engins portuaires</c:v>
                  </c:pt>
                </c:lvl>
                <c:lvl>
                  <c:pt idx="0">
                    <c:v>SW 859 BB</c:v>
                  </c:pt>
                </c:lvl>
                <c:lvl>
                  <c:pt idx="0">
                    <c:v>DATE  ECHEANCE du CONTRAT</c:v>
                  </c:pt>
                </c:lvl>
                <c:lvl>
                  <c:pt idx="2">
                    <c:v>0</c:v>
                  </c:pt>
                  <c:pt idx="3">
                    <c:v>0</c:v>
                  </c:pt>
                </c:lvl>
                <c:lvl>
                  <c:pt idx="2">
                    <c:v>60</c:v>
                  </c:pt>
                  <c:pt idx="3">
                    <c:v>0</c:v>
                  </c:pt>
                  <c:pt idx="5">
                    <c:v>19</c:v>
                  </c:pt>
                </c:lvl>
                <c:lvl>
                  <c:pt idx="0">
                    <c:v>DUREE  DURATION</c:v>
                  </c:pt>
                  <c:pt idx="2">
                    <c:v>2MOIS</c:v>
                  </c:pt>
                  <c:pt idx="3">
                    <c:v>DUREE DÉJÀ PRISE</c:v>
                  </c:pt>
                  <c:pt idx="5">
                    <c:v>CYLD-EN-PUISS</c:v>
                  </c:pt>
                  <c:pt idx="8">
                    <c:v>30182012200859</c:v>
                  </c:pt>
                  <c:pt idx="10">
                    <c:v>PRUDENTIAL BENEFICIAL</c:v>
                  </c:pt>
                  <c:pt idx="11">
                    <c:v>3018</c:v>
                  </c:pt>
                  <c:pt idx="12">
                    <c:v>201</c:v>
                  </c:pt>
                  <c:pt idx="13">
                    <c:v>22</c:v>
                  </c:pt>
                  <c:pt idx="18">
                    <c:v>0</c:v>
                  </c:pt>
                  <c:pt idx="19">
                    <c:v>0</c:v>
                  </c:pt>
                  <c:pt idx="20">
                    <c:v>8</c:v>
                  </c:pt>
                </c:lvl>
                <c:lvl>
                  <c:pt idx="0">
                    <c:v>AGENT AGENT </c:v>
                  </c:pt>
                  <c:pt idx="2">
                    <c:v>0.0.5</c:v>
                  </c:pt>
                  <c:pt idx="5">
                    <c:v>WM2012200859</c:v>
                  </c:pt>
                  <c:pt idx="10">
                    <c:v>CPA ASSURANCES</c:v>
                  </c:pt>
                  <c:pt idx="11">
                    <c:v>W</c:v>
                  </c:pt>
                  <c:pt idx="12">
                    <c:v>M</c:v>
                  </c:pt>
                  <c:pt idx="13">
                    <c:v>20</c:v>
                  </c:pt>
                  <c:pt idx="14">
                    <c:v>1</c:v>
                  </c:pt>
                  <c:pt idx="15">
                    <c:v>2</c:v>
                  </c:pt>
                  <c:pt idx="16">
                    <c:v>20</c:v>
                  </c:pt>
                  <c:pt idx="17">
                    <c:v>0</c:v>
                  </c:pt>
                  <c:pt idx="18">
                    <c:v>8</c:v>
                  </c:pt>
                  <c:pt idx="19">
                    <c:v>5</c:v>
                  </c:pt>
                  <c:pt idx="20">
                    <c:v>9</c:v>
                  </c:pt>
                </c:lvl>
                <c:lvl>
                  <c:pt idx="0">
                    <c:v>NOUVELLE AFFAIRE</c:v>
                  </c:pt>
                  <c:pt idx="3">
                    <c:v>0</c:v>
                  </c:pt>
                  <c:pt idx="5">
                    <c:v>A23ORLSAAR0100859</c:v>
                  </c:pt>
                  <c:pt idx="10">
                    <c:v>ORION SAAR</c:v>
                  </c:pt>
                  <c:pt idx="11">
                    <c:v>A23</c:v>
                  </c:pt>
                  <c:pt idx="12">
                    <c:v>OR</c:v>
                  </c:pt>
                  <c:pt idx="13">
                    <c:v>SAAR</c:v>
                  </c:pt>
                  <c:pt idx="14">
                    <c:v>0</c:v>
                  </c:pt>
                  <c:pt idx="15">
                    <c:v>1</c:v>
                  </c:pt>
                  <c:pt idx="16">
                    <c:v>0</c:v>
                  </c:pt>
                  <c:pt idx="17">
                    <c:v>0</c:v>
                  </c:pt>
                  <c:pt idx="18">
                    <c:v>8</c:v>
                  </c:pt>
                  <c:pt idx="19">
                    <c:v>5</c:v>
                  </c:pt>
                  <c:pt idx="20">
                    <c:v>9</c:v>
                  </c:pt>
                </c:lvl>
                <c:lvl>
                  <c:pt idx="0">
                    <c:v>AVENANT</c:v>
                  </c:pt>
                  <c:pt idx="5">
                    <c:v>PH1047005010922859</c:v>
                  </c:pt>
                  <c:pt idx="10">
                    <c:v>PERSO GMC</c:v>
                  </c:pt>
                  <c:pt idx="11">
                    <c:v>PH</c:v>
                  </c:pt>
                  <c:pt idx="12">
                    <c:v>10470050</c:v>
                  </c:pt>
                  <c:pt idx="13">
                    <c:v>10</c:v>
                  </c:pt>
                  <c:pt idx="14">
                    <c:v>9</c:v>
                  </c:pt>
                  <c:pt idx="15">
                    <c:v>22</c:v>
                  </c:pt>
                  <c:pt idx="16">
                    <c:v>8</c:v>
                  </c:pt>
                  <c:pt idx="17">
                    <c:v>5</c:v>
                  </c:pt>
                  <c:pt idx="18">
                    <c:v>9</c:v>
                  </c:pt>
                </c:lvl>
                <c:lvl>
                  <c:pt idx="5">
                    <c:v>MW23201LMB0859</c:v>
                  </c:pt>
                  <c:pt idx="10">
                    <c:v>BONANDJO GMC</c:v>
                  </c:pt>
                  <c:pt idx="11">
                    <c:v>MW</c:v>
                  </c:pt>
                  <c:pt idx="12">
                    <c:v>23</c:v>
                  </c:pt>
                  <c:pt idx="13">
                    <c:v>20</c:v>
                  </c:pt>
                  <c:pt idx="14">
                    <c:v>1</c:v>
                  </c:pt>
                  <c:pt idx="15">
                    <c:v>LMB</c:v>
                  </c:pt>
                  <c:pt idx="16">
                    <c:v>0</c:v>
                  </c:pt>
                  <c:pt idx="17">
                    <c:v>8</c:v>
                  </c:pt>
                  <c:pt idx="18">
                    <c:v>5</c:v>
                  </c:pt>
                  <c:pt idx="19">
                    <c:v>9</c:v>
                  </c:pt>
                </c:lvl>
                <c:lvl>
                  <c:pt idx="3">
                    <c:v>BONANDJO GMC</c:v>
                  </c:pt>
                  <c:pt idx="5">
                    <c:v>A2312301ORL00859</c:v>
                  </c:pt>
                  <c:pt idx="10">
                    <c:v>ORION GMC</c:v>
                  </c:pt>
                  <c:pt idx="11">
                    <c:v>A23</c:v>
                  </c:pt>
                  <c:pt idx="12">
                    <c:v>123</c:v>
                  </c:pt>
                  <c:pt idx="13">
                    <c:v>0</c:v>
                  </c:pt>
                  <c:pt idx="14">
                    <c:v>1</c:v>
                  </c:pt>
                  <c:pt idx="15">
                    <c:v>OR</c:v>
                  </c:pt>
                  <c:pt idx="16">
                    <c:v>0</c:v>
                  </c:pt>
                  <c:pt idx="17">
                    <c:v>0</c:v>
                  </c:pt>
                  <c:pt idx="18">
                    <c:v>8</c:v>
                  </c:pt>
                  <c:pt idx="19">
                    <c:v>5</c:v>
                  </c:pt>
                  <c:pt idx="20">
                    <c:v>9</c:v>
                  </c:pt>
                </c:lvl>
                <c:lvl>
                  <c:pt idx="3">
                    <c:v>A23</c:v>
                  </c:pt>
                  <c:pt idx="5">
                    <c:v>0</c:v>
                  </c:pt>
                  <c:pt idx="6">
                    <c:v>0</c:v>
                  </c:pt>
                  <c:pt idx="7">
                    <c:v>8</c:v>
                  </c:pt>
                  <c:pt idx="8">
                    <c:v>5</c:v>
                  </c:pt>
                  <c:pt idx="9">
                    <c:v>9</c:v>
                  </c:pt>
                </c:lvl>
                <c:lvl>
                  <c:pt idx="3">
                    <c:v>NUMERO DE POLICE </c:v>
                  </c:pt>
                </c:lvl>
                <c:lvl>
                  <c:pt idx="0">
                    <c:v>SAAR</c:v>
                  </c:pt>
                  <c:pt idx="2">
                    <c:v>ORD</c:v>
                  </c:pt>
                  <c:pt idx="4">
                    <c:v>1</c:v>
                  </c:pt>
                  <c:pt idx="5">
                    <c:v>1000</c:v>
                  </c:pt>
                  <c:pt idx="8">
                    <c:v>A23ORDSAAR00859</c:v>
                  </c:pt>
                  <c:pt idx="11">
                    <c:v>/</c:v>
                  </c:pt>
                  <c:pt idx="12">
                    <c:v>1</c:v>
                  </c:pt>
                </c:lvl>
              </c:multiLvlStrCache>
            </c:multiLvlStrRef>
          </c:cat>
          <c:val>
            <c:numRef>
              <c:f>CONTRATS!$H$32:$AE$32</c:f>
              <c:numCache>
                <c:formatCode>#,##0</c:formatCode>
                <c:ptCount val="21"/>
                <c:pt idx="1">
                  <c:v>0</c:v>
                </c:pt>
                <c:pt idx="2">
                  <c:v>0</c:v>
                </c:pt>
                <c:pt idx="3" formatCode="General">
                  <c:v>0</c:v>
                </c:pt>
              </c:numCache>
            </c:numRef>
          </c:val>
          <c:extLst>
            <c:ext xmlns:c16="http://schemas.microsoft.com/office/drawing/2014/chart" uri="{C3380CC4-5D6E-409C-BE32-E72D297353CC}">
              <c16:uniqueId val="{00000006-AF2F-40F1-8F63-71F25A0CA744}"/>
            </c:ext>
          </c:extLst>
        </c:ser>
        <c:ser>
          <c:idx val="7"/>
          <c:order val="7"/>
          <c:tx>
            <c:strRef>
              <c:f>CONTRATS!$A$33:$G$33</c:f>
              <c:strCache>
                <c:ptCount val="7"/>
                <c:pt idx="0">
                  <c:v>MATIERE INFLAMMABLE</c:v>
                </c:pt>
                <c:pt idx="1">
                  <c:v>Assistance:                   Assistance:</c:v>
                </c:pt>
                <c:pt idx="2">
                  <c:v>SANS REMORQUE</c:v>
                </c:pt>
                <c:pt idx="3">
                  <c:v>2 000 000 FCFA Franchise:</c:v>
                </c:pt>
                <c:pt idx="4">
                  <c:v>0</c:v>
                </c:pt>
                <c:pt idx="5">
                  <c:v>0</c:v>
                </c:pt>
                <c:pt idx="6">
                  <c:v>0</c:v>
                </c:pt>
              </c:strCache>
            </c:strRef>
          </c:tx>
          <c:invertIfNegative val="0"/>
          <c:cat>
            <c:multiLvlStrRef>
              <c:f>CONTRATS!$H$1:$AE$25</c:f>
              <c:multiLvlStrCache>
                <c:ptCount val="21"/>
                <c:lvl>
                  <c:pt idx="4">
                    <c:v>9</c:v>
                  </c:pt>
                  <c:pt idx="9">
                    <c:v>engins portuaires/autres engins</c:v>
                  </c:pt>
                </c:lvl>
                <c:lvl>
                  <c:pt idx="4">
                    <c:v>5</c:v>
                  </c:pt>
                  <c:pt idx="9">
                    <c:v>0</c:v>
                  </c:pt>
                </c:lvl>
                <c:lvl>
                  <c:pt idx="0">
                    <c:v>ZONE: ZONE:</c:v>
                  </c:pt>
                  <c:pt idx="2">
                    <c:v>C</c:v>
                  </c:pt>
                  <c:pt idx="4">
                    <c:v>4</c:v>
                  </c:pt>
                  <c:pt idx="9">
                    <c:v>0</c:v>
                  </c:pt>
                </c:lvl>
                <c:lvl>
                  <c:pt idx="0">
                    <c:v>PLACES: SEATS:</c:v>
                  </c:pt>
                  <c:pt idx="2">
                    <c:v>5</c:v>
                  </c:pt>
                  <c:pt idx="4">
                    <c:v>2,3</c:v>
                  </c:pt>
                  <c:pt idx="9">
                    <c:v>0</c:v>
                  </c:pt>
                </c:lvl>
                <c:lvl>
                  <c:pt idx="0">
                    <c:v>CHASSIS REMORQU: </c:v>
                  </c:pt>
                </c:lvl>
                <c:lvl>
                  <c:pt idx="0">
                    <c:v>IMMATRI REMORQ: TRAILER:</c:v>
                  </c:pt>
                  <c:pt idx="4">
                    <c:v>1</c:v>
                  </c:pt>
                  <c:pt idx="9">
                    <c:v>0</c:v>
                  </c:pt>
                </c:lvl>
                <c:lvl>
                  <c:pt idx="4">
                    <c:v>CATEGORIE</c:v>
                  </c:pt>
                  <c:pt idx="9">
                    <c:v>engins portuaires</c:v>
                  </c:pt>
                </c:lvl>
                <c:lvl>
                  <c:pt idx="0">
                    <c:v>SW 859 BB</c:v>
                  </c:pt>
                </c:lvl>
                <c:lvl>
                  <c:pt idx="0">
                    <c:v>DATE  ECHEANCE du CONTRAT</c:v>
                  </c:pt>
                </c:lvl>
                <c:lvl>
                  <c:pt idx="2">
                    <c:v>0</c:v>
                  </c:pt>
                  <c:pt idx="3">
                    <c:v>0</c:v>
                  </c:pt>
                </c:lvl>
                <c:lvl>
                  <c:pt idx="2">
                    <c:v>60</c:v>
                  </c:pt>
                  <c:pt idx="3">
                    <c:v>0</c:v>
                  </c:pt>
                  <c:pt idx="5">
                    <c:v>19</c:v>
                  </c:pt>
                </c:lvl>
                <c:lvl>
                  <c:pt idx="0">
                    <c:v>DUREE  DURATION</c:v>
                  </c:pt>
                  <c:pt idx="2">
                    <c:v>2MOIS</c:v>
                  </c:pt>
                  <c:pt idx="3">
                    <c:v>DUREE DÉJÀ PRISE</c:v>
                  </c:pt>
                  <c:pt idx="5">
                    <c:v>CYLD-EN-PUISS</c:v>
                  </c:pt>
                  <c:pt idx="8">
                    <c:v>30182012200859</c:v>
                  </c:pt>
                  <c:pt idx="10">
                    <c:v>PRUDENTIAL BENEFICIAL</c:v>
                  </c:pt>
                  <c:pt idx="11">
                    <c:v>3018</c:v>
                  </c:pt>
                  <c:pt idx="12">
                    <c:v>201</c:v>
                  </c:pt>
                  <c:pt idx="13">
                    <c:v>22</c:v>
                  </c:pt>
                  <c:pt idx="18">
                    <c:v>0</c:v>
                  </c:pt>
                  <c:pt idx="19">
                    <c:v>0</c:v>
                  </c:pt>
                  <c:pt idx="20">
                    <c:v>8</c:v>
                  </c:pt>
                </c:lvl>
                <c:lvl>
                  <c:pt idx="0">
                    <c:v>AGENT AGENT </c:v>
                  </c:pt>
                  <c:pt idx="2">
                    <c:v>0.0.5</c:v>
                  </c:pt>
                  <c:pt idx="5">
                    <c:v>WM2012200859</c:v>
                  </c:pt>
                  <c:pt idx="10">
                    <c:v>CPA ASSURANCES</c:v>
                  </c:pt>
                  <c:pt idx="11">
                    <c:v>W</c:v>
                  </c:pt>
                  <c:pt idx="12">
                    <c:v>M</c:v>
                  </c:pt>
                  <c:pt idx="13">
                    <c:v>20</c:v>
                  </c:pt>
                  <c:pt idx="14">
                    <c:v>1</c:v>
                  </c:pt>
                  <c:pt idx="15">
                    <c:v>2</c:v>
                  </c:pt>
                  <c:pt idx="16">
                    <c:v>20</c:v>
                  </c:pt>
                  <c:pt idx="17">
                    <c:v>0</c:v>
                  </c:pt>
                  <c:pt idx="18">
                    <c:v>8</c:v>
                  </c:pt>
                  <c:pt idx="19">
                    <c:v>5</c:v>
                  </c:pt>
                  <c:pt idx="20">
                    <c:v>9</c:v>
                  </c:pt>
                </c:lvl>
                <c:lvl>
                  <c:pt idx="0">
                    <c:v>NOUVELLE AFFAIRE</c:v>
                  </c:pt>
                  <c:pt idx="3">
                    <c:v>0</c:v>
                  </c:pt>
                  <c:pt idx="5">
                    <c:v>A23ORLSAAR0100859</c:v>
                  </c:pt>
                  <c:pt idx="10">
                    <c:v>ORION SAAR</c:v>
                  </c:pt>
                  <c:pt idx="11">
                    <c:v>A23</c:v>
                  </c:pt>
                  <c:pt idx="12">
                    <c:v>OR</c:v>
                  </c:pt>
                  <c:pt idx="13">
                    <c:v>SAAR</c:v>
                  </c:pt>
                  <c:pt idx="14">
                    <c:v>0</c:v>
                  </c:pt>
                  <c:pt idx="15">
                    <c:v>1</c:v>
                  </c:pt>
                  <c:pt idx="16">
                    <c:v>0</c:v>
                  </c:pt>
                  <c:pt idx="17">
                    <c:v>0</c:v>
                  </c:pt>
                  <c:pt idx="18">
                    <c:v>8</c:v>
                  </c:pt>
                  <c:pt idx="19">
                    <c:v>5</c:v>
                  </c:pt>
                  <c:pt idx="20">
                    <c:v>9</c:v>
                  </c:pt>
                </c:lvl>
                <c:lvl>
                  <c:pt idx="0">
                    <c:v>AVENANT</c:v>
                  </c:pt>
                  <c:pt idx="5">
                    <c:v>PH1047005010922859</c:v>
                  </c:pt>
                  <c:pt idx="10">
                    <c:v>PERSO GMC</c:v>
                  </c:pt>
                  <c:pt idx="11">
                    <c:v>PH</c:v>
                  </c:pt>
                  <c:pt idx="12">
                    <c:v>10470050</c:v>
                  </c:pt>
                  <c:pt idx="13">
                    <c:v>10</c:v>
                  </c:pt>
                  <c:pt idx="14">
                    <c:v>9</c:v>
                  </c:pt>
                  <c:pt idx="15">
                    <c:v>22</c:v>
                  </c:pt>
                  <c:pt idx="16">
                    <c:v>8</c:v>
                  </c:pt>
                  <c:pt idx="17">
                    <c:v>5</c:v>
                  </c:pt>
                  <c:pt idx="18">
                    <c:v>9</c:v>
                  </c:pt>
                </c:lvl>
                <c:lvl>
                  <c:pt idx="5">
                    <c:v>MW23201LMB0859</c:v>
                  </c:pt>
                  <c:pt idx="10">
                    <c:v>BONANDJO GMC</c:v>
                  </c:pt>
                  <c:pt idx="11">
                    <c:v>MW</c:v>
                  </c:pt>
                  <c:pt idx="12">
                    <c:v>23</c:v>
                  </c:pt>
                  <c:pt idx="13">
                    <c:v>20</c:v>
                  </c:pt>
                  <c:pt idx="14">
                    <c:v>1</c:v>
                  </c:pt>
                  <c:pt idx="15">
                    <c:v>LMB</c:v>
                  </c:pt>
                  <c:pt idx="16">
                    <c:v>0</c:v>
                  </c:pt>
                  <c:pt idx="17">
                    <c:v>8</c:v>
                  </c:pt>
                  <c:pt idx="18">
                    <c:v>5</c:v>
                  </c:pt>
                  <c:pt idx="19">
                    <c:v>9</c:v>
                  </c:pt>
                </c:lvl>
                <c:lvl>
                  <c:pt idx="3">
                    <c:v>BONANDJO GMC</c:v>
                  </c:pt>
                  <c:pt idx="5">
                    <c:v>A2312301ORL00859</c:v>
                  </c:pt>
                  <c:pt idx="10">
                    <c:v>ORION GMC</c:v>
                  </c:pt>
                  <c:pt idx="11">
                    <c:v>A23</c:v>
                  </c:pt>
                  <c:pt idx="12">
                    <c:v>123</c:v>
                  </c:pt>
                  <c:pt idx="13">
                    <c:v>0</c:v>
                  </c:pt>
                  <c:pt idx="14">
                    <c:v>1</c:v>
                  </c:pt>
                  <c:pt idx="15">
                    <c:v>OR</c:v>
                  </c:pt>
                  <c:pt idx="16">
                    <c:v>0</c:v>
                  </c:pt>
                  <c:pt idx="17">
                    <c:v>0</c:v>
                  </c:pt>
                  <c:pt idx="18">
                    <c:v>8</c:v>
                  </c:pt>
                  <c:pt idx="19">
                    <c:v>5</c:v>
                  </c:pt>
                  <c:pt idx="20">
                    <c:v>9</c:v>
                  </c:pt>
                </c:lvl>
                <c:lvl>
                  <c:pt idx="3">
                    <c:v>A23</c:v>
                  </c:pt>
                  <c:pt idx="5">
                    <c:v>0</c:v>
                  </c:pt>
                  <c:pt idx="6">
                    <c:v>0</c:v>
                  </c:pt>
                  <c:pt idx="7">
                    <c:v>8</c:v>
                  </c:pt>
                  <c:pt idx="8">
                    <c:v>5</c:v>
                  </c:pt>
                  <c:pt idx="9">
                    <c:v>9</c:v>
                  </c:pt>
                </c:lvl>
                <c:lvl>
                  <c:pt idx="3">
                    <c:v>NUMERO DE POLICE </c:v>
                  </c:pt>
                </c:lvl>
                <c:lvl>
                  <c:pt idx="0">
                    <c:v>SAAR</c:v>
                  </c:pt>
                  <c:pt idx="2">
                    <c:v>ORD</c:v>
                  </c:pt>
                  <c:pt idx="4">
                    <c:v>1</c:v>
                  </c:pt>
                  <c:pt idx="5">
                    <c:v>1000</c:v>
                  </c:pt>
                  <c:pt idx="8">
                    <c:v>A23ORDSAAR00859</c:v>
                  </c:pt>
                  <c:pt idx="11">
                    <c:v>/</c:v>
                  </c:pt>
                  <c:pt idx="12">
                    <c:v>1</c:v>
                  </c:pt>
                </c:lvl>
              </c:multiLvlStrCache>
            </c:multiLvlStrRef>
          </c:cat>
          <c:val>
            <c:numRef>
              <c:f>CONTRATS!$H$33:$AE$33</c:f>
              <c:numCache>
                <c:formatCode>#,##0</c:formatCode>
                <c:ptCount val="21"/>
                <c:pt idx="1">
                  <c:v>0</c:v>
                </c:pt>
                <c:pt idx="2">
                  <c:v>0</c:v>
                </c:pt>
                <c:pt idx="3" formatCode="General">
                  <c:v>0</c:v>
                </c:pt>
              </c:numCache>
            </c:numRef>
          </c:val>
          <c:extLst>
            <c:ext xmlns:c16="http://schemas.microsoft.com/office/drawing/2014/chart" uri="{C3380CC4-5D6E-409C-BE32-E72D297353CC}">
              <c16:uniqueId val="{00000007-AF2F-40F1-8F63-71F25A0CA744}"/>
            </c:ext>
          </c:extLst>
        </c:ser>
        <c:ser>
          <c:idx val="8"/>
          <c:order val="8"/>
          <c:tx>
            <c:strRef>
              <c:f>CONTRATS!$A$34:$G$34</c:f>
              <c:strCache>
                <c:ptCount val="7"/>
                <c:pt idx="0">
                  <c:v>MATIERE INFLAMMABLE</c:v>
                </c:pt>
                <c:pt idx="1">
                  <c:v>Bris de glace &amp; parebrise: Glass &amp; windshield breakage: </c:v>
                </c:pt>
                <c:pt idx="2">
                  <c:v>SANS REMORQUE</c:v>
                </c:pt>
                <c:pt idx="3">
                  <c:v>Franchise:5%                   Min-20 000F </c:v>
                </c:pt>
                <c:pt idx="4">
                  <c:v>0</c:v>
                </c:pt>
                <c:pt idx="5">
                  <c:v>0</c:v>
                </c:pt>
                <c:pt idx="6">
                  <c:v>0</c:v>
                </c:pt>
              </c:strCache>
            </c:strRef>
          </c:tx>
          <c:invertIfNegative val="0"/>
          <c:cat>
            <c:multiLvlStrRef>
              <c:f>CONTRATS!$H$1:$AE$25</c:f>
              <c:multiLvlStrCache>
                <c:ptCount val="21"/>
                <c:lvl>
                  <c:pt idx="4">
                    <c:v>9</c:v>
                  </c:pt>
                  <c:pt idx="9">
                    <c:v>engins portuaires/autres engins</c:v>
                  </c:pt>
                </c:lvl>
                <c:lvl>
                  <c:pt idx="4">
                    <c:v>5</c:v>
                  </c:pt>
                  <c:pt idx="9">
                    <c:v>0</c:v>
                  </c:pt>
                </c:lvl>
                <c:lvl>
                  <c:pt idx="0">
                    <c:v>ZONE: ZONE:</c:v>
                  </c:pt>
                  <c:pt idx="2">
                    <c:v>C</c:v>
                  </c:pt>
                  <c:pt idx="4">
                    <c:v>4</c:v>
                  </c:pt>
                  <c:pt idx="9">
                    <c:v>0</c:v>
                  </c:pt>
                </c:lvl>
                <c:lvl>
                  <c:pt idx="0">
                    <c:v>PLACES: SEATS:</c:v>
                  </c:pt>
                  <c:pt idx="2">
                    <c:v>5</c:v>
                  </c:pt>
                  <c:pt idx="4">
                    <c:v>2,3</c:v>
                  </c:pt>
                  <c:pt idx="9">
                    <c:v>0</c:v>
                  </c:pt>
                </c:lvl>
                <c:lvl>
                  <c:pt idx="0">
                    <c:v>CHASSIS REMORQU: </c:v>
                  </c:pt>
                </c:lvl>
                <c:lvl>
                  <c:pt idx="0">
                    <c:v>IMMATRI REMORQ: TRAILER:</c:v>
                  </c:pt>
                  <c:pt idx="4">
                    <c:v>1</c:v>
                  </c:pt>
                  <c:pt idx="9">
                    <c:v>0</c:v>
                  </c:pt>
                </c:lvl>
                <c:lvl>
                  <c:pt idx="4">
                    <c:v>CATEGORIE</c:v>
                  </c:pt>
                  <c:pt idx="9">
                    <c:v>engins portuaires</c:v>
                  </c:pt>
                </c:lvl>
                <c:lvl>
                  <c:pt idx="0">
                    <c:v>SW 859 BB</c:v>
                  </c:pt>
                </c:lvl>
                <c:lvl>
                  <c:pt idx="0">
                    <c:v>DATE  ECHEANCE du CONTRAT</c:v>
                  </c:pt>
                </c:lvl>
                <c:lvl>
                  <c:pt idx="2">
                    <c:v>0</c:v>
                  </c:pt>
                  <c:pt idx="3">
                    <c:v>0</c:v>
                  </c:pt>
                </c:lvl>
                <c:lvl>
                  <c:pt idx="2">
                    <c:v>60</c:v>
                  </c:pt>
                  <c:pt idx="3">
                    <c:v>0</c:v>
                  </c:pt>
                  <c:pt idx="5">
                    <c:v>19</c:v>
                  </c:pt>
                </c:lvl>
                <c:lvl>
                  <c:pt idx="0">
                    <c:v>DUREE  DURATION</c:v>
                  </c:pt>
                  <c:pt idx="2">
                    <c:v>2MOIS</c:v>
                  </c:pt>
                  <c:pt idx="3">
                    <c:v>DUREE DÉJÀ PRISE</c:v>
                  </c:pt>
                  <c:pt idx="5">
                    <c:v>CYLD-EN-PUISS</c:v>
                  </c:pt>
                  <c:pt idx="8">
                    <c:v>30182012200859</c:v>
                  </c:pt>
                  <c:pt idx="10">
                    <c:v>PRUDENTIAL BENEFICIAL</c:v>
                  </c:pt>
                  <c:pt idx="11">
                    <c:v>3018</c:v>
                  </c:pt>
                  <c:pt idx="12">
                    <c:v>201</c:v>
                  </c:pt>
                  <c:pt idx="13">
                    <c:v>22</c:v>
                  </c:pt>
                  <c:pt idx="18">
                    <c:v>0</c:v>
                  </c:pt>
                  <c:pt idx="19">
                    <c:v>0</c:v>
                  </c:pt>
                  <c:pt idx="20">
                    <c:v>8</c:v>
                  </c:pt>
                </c:lvl>
                <c:lvl>
                  <c:pt idx="0">
                    <c:v>AGENT AGENT </c:v>
                  </c:pt>
                  <c:pt idx="2">
                    <c:v>0.0.5</c:v>
                  </c:pt>
                  <c:pt idx="5">
                    <c:v>WM2012200859</c:v>
                  </c:pt>
                  <c:pt idx="10">
                    <c:v>CPA ASSURANCES</c:v>
                  </c:pt>
                  <c:pt idx="11">
                    <c:v>W</c:v>
                  </c:pt>
                  <c:pt idx="12">
                    <c:v>M</c:v>
                  </c:pt>
                  <c:pt idx="13">
                    <c:v>20</c:v>
                  </c:pt>
                  <c:pt idx="14">
                    <c:v>1</c:v>
                  </c:pt>
                  <c:pt idx="15">
                    <c:v>2</c:v>
                  </c:pt>
                  <c:pt idx="16">
                    <c:v>20</c:v>
                  </c:pt>
                  <c:pt idx="17">
                    <c:v>0</c:v>
                  </c:pt>
                  <c:pt idx="18">
                    <c:v>8</c:v>
                  </c:pt>
                  <c:pt idx="19">
                    <c:v>5</c:v>
                  </c:pt>
                  <c:pt idx="20">
                    <c:v>9</c:v>
                  </c:pt>
                </c:lvl>
                <c:lvl>
                  <c:pt idx="0">
                    <c:v>NOUVELLE AFFAIRE</c:v>
                  </c:pt>
                  <c:pt idx="3">
                    <c:v>0</c:v>
                  </c:pt>
                  <c:pt idx="5">
                    <c:v>A23ORLSAAR0100859</c:v>
                  </c:pt>
                  <c:pt idx="10">
                    <c:v>ORION SAAR</c:v>
                  </c:pt>
                  <c:pt idx="11">
                    <c:v>A23</c:v>
                  </c:pt>
                  <c:pt idx="12">
                    <c:v>OR</c:v>
                  </c:pt>
                  <c:pt idx="13">
                    <c:v>SAAR</c:v>
                  </c:pt>
                  <c:pt idx="14">
                    <c:v>0</c:v>
                  </c:pt>
                  <c:pt idx="15">
                    <c:v>1</c:v>
                  </c:pt>
                  <c:pt idx="16">
                    <c:v>0</c:v>
                  </c:pt>
                  <c:pt idx="17">
                    <c:v>0</c:v>
                  </c:pt>
                  <c:pt idx="18">
                    <c:v>8</c:v>
                  </c:pt>
                  <c:pt idx="19">
                    <c:v>5</c:v>
                  </c:pt>
                  <c:pt idx="20">
                    <c:v>9</c:v>
                  </c:pt>
                </c:lvl>
                <c:lvl>
                  <c:pt idx="0">
                    <c:v>AVENANT</c:v>
                  </c:pt>
                  <c:pt idx="5">
                    <c:v>PH1047005010922859</c:v>
                  </c:pt>
                  <c:pt idx="10">
                    <c:v>PERSO GMC</c:v>
                  </c:pt>
                  <c:pt idx="11">
                    <c:v>PH</c:v>
                  </c:pt>
                  <c:pt idx="12">
                    <c:v>10470050</c:v>
                  </c:pt>
                  <c:pt idx="13">
                    <c:v>10</c:v>
                  </c:pt>
                  <c:pt idx="14">
                    <c:v>9</c:v>
                  </c:pt>
                  <c:pt idx="15">
                    <c:v>22</c:v>
                  </c:pt>
                  <c:pt idx="16">
                    <c:v>8</c:v>
                  </c:pt>
                  <c:pt idx="17">
                    <c:v>5</c:v>
                  </c:pt>
                  <c:pt idx="18">
                    <c:v>9</c:v>
                  </c:pt>
                </c:lvl>
                <c:lvl>
                  <c:pt idx="5">
                    <c:v>MW23201LMB0859</c:v>
                  </c:pt>
                  <c:pt idx="10">
                    <c:v>BONANDJO GMC</c:v>
                  </c:pt>
                  <c:pt idx="11">
                    <c:v>MW</c:v>
                  </c:pt>
                  <c:pt idx="12">
                    <c:v>23</c:v>
                  </c:pt>
                  <c:pt idx="13">
                    <c:v>20</c:v>
                  </c:pt>
                  <c:pt idx="14">
                    <c:v>1</c:v>
                  </c:pt>
                  <c:pt idx="15">
                    <c:v>LMB</c:v>
                  </c:pt>
                  <c:pt idx="16">
                    <c:v>0</c:v>
                  </c:pt>
                  <c:pt idx="17">
                    <c:v>8</c:v>
                  </c:pt>
                  <c:pt idx="18">
                    <c:v>5</c:v>
                  </c:pt>
                  <c:pt idx="19">
                    <c:v>9</c:v>
                  </c:pt>
                </c:lvl>
                <c:lvl>
                  <c:pt idx="3">
                    <c:v>BONANDJO GMC</c:v>
                  </c:pt>
                  <c:pt idx="5">
                    <c:v>A2312301ORL00859</c:v>
                  </c:pt>
                  <c:pt idx="10">
                    <c:v>ORION GMC</c:v>
                  </c:pt>
                  <c:pt idx="11">
                    <c:v>A23</c:v>
                  </c:pt>
                  <c:pt idx="12">
                    <c:v>123</c:v>
                  </c:pt>
                  <c:pt idx="13">
                    <c:v>0</c:v>
                  </c:pt>
                  <c:pt idx="14">
                    <c:v>1</c:v>
                  </c:pt>
                  <c:pt idx="15">
                    <c:v>OR</c:v>
                  </c:pt>
                  <c:pt idx="16">
                    <c:v>0</c:v>
                  </c:pt>
                  <c:pt idx="17">
                    <c:v>0</c:v>
                  </c:pt>
                  <c:pt idx="18">
                    <c:v>8</c:v>
                  </c:pt>
                  <c:pt idx="19">
                    <c:v>5</c:v>
                  </c:pt>
                  <c:pt idx="20">
                    <c:v>9</c:v>
                  </c:pt>
                </c:lvl>
                <c:lvl>
                  <c:pt idx="3">
                    <c:v>A23</c:v>
                  </c:pt>
                  <c:pt idx="5">
                    <c:v>0</c:v>
                  </c:pt>
                  <c:pt idx="6">
                    <c:v>0</c:v>
                  </c:pt>
                  <c:pt idx="7">
                    <c:v>8</c:v>
                  </c:pt>
                  <c:pt idx="8">
                    <c:v>5</c:v>
                  </c:pt>
                  <c:pt idx="9">
                    <c:v>9</c:v>
                  </c:pt>
                </c:lvl>
                <c:lvl>
                  <c:pt idx="3">
                    <c:v>NUMERO DE POLICE </c:v>
                  </c:pt>
                </c:lvl>
                <c:lvl>
                  <c:pt idx="0">
                    <c:v>SAAR</c:v>
                  </c:pt>
                  <c:pt idx="2">
                    <c:v>ORD</c:v>
                  </c:pt>
                  <c:pt idx="4">
                    <c:v>1</c:v>
                  </c:pt>
                  <c:pt idx="5">
                    <c:v>1000</c:v>
                  </c:pt>
                  <c:pt idx="8">
                    <c:v>A23ORDSAAR00859</c:v>
                  </c:pt>
                  <c:pt idx="11">
                    <c:v>/</c:v>
                  </c:pt>
                  <c:pt idx="12">
                    <c:v>1</c:v>
                  </c:pt>
                </c:lvl>
              </c:multiLvlStrCache>
            </c:multiLvlStrRef>
          </c:cat>
          <c:val>
            <c:numRef>
              <c:f>CONTRATS!$H$34:$AE$34</c:f>
              <c:numCache>
                <c:formatCode>#,##0</c:formatCode>
                <c:ptCount val="21"/>
                <c:pt idx="1">
                  <c:v>0</c:v>
                </c:pt>
                <c:pt idx="2">
                  <c:v>0</c:v>
                </c:pt>
                <c:pt idx="3" formatCode="General">
                  <c:v>0</c:v>
                </c:pt>
              </c:numCache>
            </c:numRef>
          </c:val>
          <c:extLst>
            <c:ext xmlns:c16="http://schemas.microsoft.com/office/drawing/2014/chart" uri="{C3380CC4-5D6E-409C-BE32-E72D297353CC}">
              <c16:uniqueId val="{00000008-AF2F-40F1-8F63-71F25A0CA744}"/>
            </c:ext>
          </c:extLst>
        </c:ser>
        <c:ser>
          <c:idx val="9"/>
          <c:order val="9"/>
          <c:tx>
            <c:strRef>
              <c:f>CONTRATS!$A$35:$G$35</c:f>
              <c:strCache>
                <c:ptCount val="7"/>
                <c:pt idx="0">
                  <c:v>MATIERE INFLAMMABLE</c:v>
                </c:pt>
                <c:pt idx="1">
                  <c:v>Recours defense:                 Recourse defence:</c:v>
                </c:pt>
                <c:pt idx="2">
                  <c:v>SANS REMORQUE</c:v>
                </c:pt>
                <c:pt idx="3">
                  <c:v>ILLIMITEE</c:v>
                </c:pt>
                <c:pt idx="4">
                  <c:v>0</c:v>
                </c:pt>
                <c:pt idx="5">
                  <c:v>0</c:v>
                </c:pt>
                <c:pt idx="6">
                  <c:v>0</c:v>
                </c:pt>
              </c:strCache>
            </c:strRef>
          </c:tx>
          <c:invertIfNegative val="0"/>
          <c:cat>
            <c:multiLvlStrRef>
              <c:f>CONTRATS!$H$1:$AE$25</c:f>
              <c:multiLvlStrCache>
                <c:ptCount val="21"/>
                <c:lvl>
                  <c:pt idx="4">
                    <c:v>9</c:v>
                  </c:pt>
                  <c:pt idx="9">
                    <c:v>engins portuaires/autres engins</c:v>
                  </c:pt>
                </c:lvl>
                <c:lvl>
                  <c:pt idx="4">
                    <c:v>5</c:v>
                  </c:pt>
                  <c:pt idx="9">
                    <c:v>0</c:v>
                  </c:pt>
                </c:lvl>
                <c:lvl>
                  <c:pt idx="0">
                    <c:v>ZONE: ZONE:</c:v>
                  </c:pt>
                  <c:pt idx="2">
                    <c:v>C</c:v>
                  </c:pt>
                  <c:pt idx="4">
                    <c:v>4</c:v>
                  </c:pt>
                  <c:pt idx="9">
                    <c:v>0</c:v>
                  </c:pt>
                </c:lvl>
                <c:lvl>
                  <c:pt idx="0">
                    <c:v>PLACES: SEATS:</c:v>
                  </c:pt>
                  <c:pt idx="2">
                    <c:v>5</c:v>
                  </c:pt>
                  <c:pt idx="4">
                    <c:v>2,3</c:v>
                  </c:pt>
                  <c:pt idx="9">
                    <c:v>0</c:v>
                  </c:pt>
                </c:lvl>
                <c:lvl>
                  <c:pt idx="0">
                    <c:v>CHASSIS REMORQU: </c:v>
                  </c:pt>
                </c:lvl>
                <c:lvl>
                  <c:pt idx="0">
                    <c:v>IMMATRI REMORQ: TRAILER:</c:v>
                  </c:pt>
                  <c:pt idx="4">
                    <c:v>1</c:v>
                  </c:pt>
                  <c:pt idx="9">
                    <c:v>0</c:v>
                  </c:pt>
                </c:lvl>
                <c:lvl>
                  <c:pt idx="4">
                    <c:v>CATEGORIE</c:v>
                  </c:pt>
                  <c:pt idx="9">
                    <c:v>engins portuaires</c:v>
                  </c:pt>
                </c:lvl>
                <c:lvl>
                  <c:pt idx="0">
                    <c:v>SW 859 BB</c:v>
                  </c:pt>
                </c:lvl>
                <c:lvl>
                  <c:pt idx="0">
                    <c:v>DATE  ECHEANCE du CONTRAT</c:v>
                  </c:pt>
                </c:lvl>
                <c:lvl>
                  <c:pt idx="2">
                    <c:v>0</c:v>
                  </c:pt>
                  <c:pt idx="3">
                    <c:v>0</c:v>
                  </c:pt>
                </c:lvl>
                <c:lvl>
                  <c:pt idx="2">
                    <c:v>60</c:v>
                  </c:pt>
                  <c:pt idx="3">
                    <c:v>0</c:v>
                  </c:pt>
                  <c:pt idx="5">
                    <c:v>19</c:v>
                  </c:pt>
                </c:lvl>
                <c:lvl>
                  <c:pt idx="0">
                    <c:v>DUREE  DURATION</c:v>
                  </c:pt>
                  <c:pt idx="2">
                    <c:v>2MOIS</c:v>
                  </c:pt>
                  <c:pt idx="3">
                    <c:v>DUREE DÉJÀ PRISE</c:v>
                  </c:pt>
                  <c:pt idx="5">
                    <c:v>CYLD-EN-PUISS</c:v>
                  </c:pt>
                  <c:pt idx="8">
                    <c:v>30182012200859</c:v>
                  </c:pt>
                  <c:pt idx="10">
                    <c:v>PRUDENTIAL BENEFICIAL</c:v>
                  </c:pt>
                  <c:pt idx="11">
                    <c:v>3018</c:v>
                  </c:pt>
                  <c:pt idx="12">
                    <c:v>201</c:v>
                  </c:pt>
                  <c:pt idx="13">
                    <c:v>22</c:v>
                  </c:pt>
                  <c:pt idx="18">
                    <c:v>0</c:v>
                  </c:pt>
                  <c:pt idx="19">
                    <c:v>0</c:v>
                  </c:pt>
                  <c:pt idx="20">
                    <c:v>8</c:v>
                  </c:pt>
                </c:lvl>
                <c:lvl>
                  <c:pt idx="0">
                    <c:v>AGENT AGENT </c:v>
                  </c:pt>
                  <c:pt idx="2">
                    <c:v>0.0.5</c:v>
                  </c:pt>
                  <c:pt idx="5">
                    <c:v>WM2012200859</c:v>
                  </c:pt>
                  <c:pt idx="10">
                    <c:v>CPA ASSURANCES</c:v>
                  </c:pt>
                  <c:pt idx="11">
                    <c:v>W</c:v>
                  </c:pt>
                  <c:pt idx="12">
                    <c:v>M</c:v>
                  </c:pt>
                  <c:pt idx="13">
                    <c:v>20</c:v>
                  </c:pt>
                  <c:pt idx="14">
                    <c:v>1</c:v>
                  </c:pt>
                  <c:pt idx="15">
                    <c:v>2</c:v>
                  </c:pt>
                  <c:pt idx="16">
                    <c:v>20</c:v>
                  </c:pt>
                  <c:pt idx="17">
                    <c:v>0</c:v>
                  </c:pt>
                  <c:pt idx="18">
                    <c:v>8</c:v>
                  </c:pt>
                  <c:pt idx="19">
                    <c:v>5</c:v>
                  </c:pt>
                  <c:pt idx="20">
                    <c:v>9</c:v>
                  </c:pt>
                </c:lvl>
                <c:lvl>
                  <c:pt idx="0">
                    <c:v>NOUVELLE AFFAIRE</c:v>
                  </c:pt>
                  <c:pt idx="3">
                    <c:v>0</c:v>
                  </c:pt>
                  <c:pt idx="5">
                    <c:v>A23ORLSAAR0100859</c:v>
                  </c:pt>
                  <c:pt idx="10">
                    <c:v>ORION SAAR</c:v>
                  </c:pt>
                  <c:pt idx="11">
                    <c:v>A23</c:v>
                  </c:pt>
                  <c:pt idx="12">
                    <c:v>OR</c:v>
                  </c:pt>
                  <c:pt idx="13">
                    <c:v>SAAR</c:v>
                  </c:pt>
                  <c:pt idx="14">
                    <c:v>0</c:v>
                  </c:pt>
                  <c:pt idx="15">
                    <c:v>1</c:v>
                  </c:pt>
                  <c:pt idx="16">
                    <c:v>0</c:v>
                  </c:pt>
                  <c:pt idx="17">
                    <c:v>0</c:v>
                  </c:pt>
                  <c:pt idx="18">
                    <c:v>8</c:v>
                  </c:pt>
                  <c:pt idx="19">
                    <c:v>5</c:v>
                  </c:pt>
                  <c:pt idx="20">
                    <c:v>9</c:v>
                  </c:pt>
                </c:lvl>
                <c:lvl>
                  <c:pt idx="0">
                    <c:v>AVENANT</c:v>
                  </c:pt>
                  <c:pt idx="5">
                    <c:v>PH1047005010922859</c:v>
                  </c:pt>
                  <c:pt idx="10">
                    <c:v>PERSO GMC</c:v>
                  </c:pt>
                  <c:pt idx="11">
                    <c:v>PH</c:v>
                  </c:pt>
                  <c:pt idx="12">
                    <c:v>10470050</c:v>
                  </c:pt>
                  <c:pt idx="13">
                    <c:v>10</c:v>
                  </c:pt>
                  <c:pt idx="14">
                    <c:v>9</c:v>
                  </c:pt>
                  <c:pt idx="15">
                    <c:v>22</c:v>
                  </c:pt>
                  <c:pt idx="16">
                    <c:v>8</c:v>
                  </c:pt>
                  <c:pt idx="17">
                    <c:v>5</c:v>
                  </c:pt>
                  <c:pt idx="18">
                    <c:v>9</c:v>
                  </c:pt>
                </c:lvl>
                <c:lvl>
                  <c:pt idx="5">
                    <c:v>MW23201LMB0859</c:v>
                  </c:pt>
                  <c:pt idx="10">
                    <c:v>BONANDJO GMC</c:v>
                  </c:pt>
                  <c:pt idx="11">
                    <c:v>MW</c:v>
                  </c:pt>
                  <c:pt idx="12">
                    <c:v>23</c:v>
                  </c:pt>
                  <c:pt idx="13">
                    <c:v>20</c:v>
                  </c:pt>
                  <c:pt idx="14">
                    <c:v>1</c:v>
                  </c:pt>
                  <c:pt idx="15">
                    <c:v>LMB</c:v>
                  </c:pt>
                  <c:pt idx="16">
                    <c:v>0</c:v>
                  </c:pt>
                  <c:pt idx="17">
                    <c:v>8</c:v>
                  </c:pt>
                  <c:pt idx="18">
                    <c:v>5</c:v>
                  </c:pt>
                  <c:pt idx="19">
                    <c:v>9</c:v>
                  </c:pt>
                </c:lvl>
                <c:lvl>
                  <c:pt idx="3">
                    <c:v>BONANDJO GMC</c:v>
                  </c:pt>
                  <c:pt idx="5">
                    <c:v>A2312301ORL00859</c:v>
                  </c:pt>
                  <c:pt idx="10">
                    <c:v>ORION GMC</c:v>
                  </c:pt>
                  <c:pt idx="11">
                    <c:v>A23</c:v>
                  </c:pt>
                  <c:pt idx="12">
                    <c:v>123</c:v>
                  </c:pt>
                  <c:pt idx="13">
                    <c:v>0</c:v>
                  </c:pt>
                  <c:pt idx="14">
                    <c:v>1</c:v>
                  </c:pt>
                  <c:pt idx="15">
                    <c:v>OR</c:v>
                  </c:pt>
                  <c:pt idx="16">
                    <c:v>0</c:v>
                  </c:pt>
                  <c:pt idx="17">
                    <c:v>0</c:v>
                  </c:pt>
                  <c:pt idx="18">
                    <c:v>8</c:v>
                  </c:pt>
                  <c:pt idx="19">
                    <c:v>5</c:v>
                  </c:pt>
                  <c:pt idx="20">
                    <c:v>9</c:v>
                  </c:pt>
                </c:lvl>
                <c:lvl>
                  <c:pt idx="3">
                    <c:v>A23</c:v>
                  </c:pt>
                  <c:pt idx="5">
                    <c:v>0</c:v>
                  </c:pt>
                  <c:pt idx="6">
                    <c:v>0</c:v>
                  </c:pt>
                  <c:pt idx="7">
                    <c:v>8</c:v>
                  </c:pt>
                  <c:pt idx="8">
                    <c:v>5</c:v>
                  </c:pt>
                  <c:pt idx="9">
                    <c:v>9</c:v>
                  </c:pt>
                </c:lvl>
                <c:lvl>
                  <c:pt idx="3">
                    <c:v>NUMERO DE POLICE </c:v>
                  </c:pt>
                </c:lvl>
                <c:lvl>
                  <c:pt idx="0">
                    <c:v>SAAR</c:v>
                  </c:pt>
                  <c:pt idx="2">
                    <c:v>ORD</c:v>
                  </c:pt>
                  <c:pt idx="4">
                    <c:v>1</c:v>
                  </c:pt>
                  <c:pt idx="5">
                    <c:v>1000</c:v>
                  </c:pt>
                  <c:pt idx="8">
                    <c:v>A23ORDSAAR00859</c:v>
                  </c:pt>
                  <c:pt idx="11">
                    <c:v>/</c:v>
                  </c:pt>
                  <c:pt idx="12">
                    <c:v>1</c:v>
                  </c:pt>
                </c:lvl>
              </c:multiLvlStrCache>
            </c:multiLvlStrRef>
          </c:cat>
          <c:val>
            <c:numRef>
              <c:f>CONTRATS!$H$35:$AE$35</c:f>
              <c:numCache>
                <c:formatCode>#,##0</c:formatCode>
                <c:ptCount val="21"/>
                <c:pt idx="0" formatCode="General">
                  <c:v>0</c:v>
                </c:pt>
                <c:pt idx="1">
                  <c:v>0</c:v>
                </c:pt>
                <c:pt idx="2">
                  <c:v>0</c:v>
                </c:pt>
                <c:pt idx="3" formatCode="General">
                  <c:v>0</c:v>
                </c:pt>
              </c:numCache>
            </c:numRef>
          </c:val>
          <c:extLst>
            <c:ext xmlns:c16="http://schemas.microsoft.com/office/drawing/2014/chart" uri="{C3380CC4-5D6E-409C-BE32-E72D297353CC}">
              <c16:uniqueId val="{00000009-AF2F-40F1-8F63-71F25A0CA744}"/>
            </c:ext>
          </c:extLst>
        </c:ser>
        <c:ser>
          <c:idx val="10"/>
          <c:order val="10"/>
          <c:tx>
            <c:strRef>
              <c:f>CONTRATS!$A$36:$G$36</c:f>
              <c:strCache>
                <c:ptCount val="7"/>
                <c:pt idx="0">
                  <c:v>MATIERE INFLAMMABLE</c:v>
                </c:pt>
                <c:pt idx="1">
                  <c:v>Individuel accid - chauffeur: Drivers individual accident:</c:v>
                </c:pt>
                <c:pt idx="2">
                  <c:v>SANS REMORQUE</c:v>
                </c:pt>
                <c:pt idx="3">
                  <c:v>Sans franchise</c:v>
                </c:pt>
                <c:pt idx="4">
                  <c:v>0</c:v>
                </c:pt>
                <c:pt idx="5">
                  <c:v>0</c:v>
                </c:pt>
                <c:pt idx="6">
                  <c:v>0</c:v>
                </c:pt>
              </c:strCache>
            </c:strRef>
          </c:tx>
          <c:invertIfNegative val="0"/>
          <c:cat>
            <c:multiLvlStrRef>
              <c:f>CONTRATS!$H$1:$AE$25</c:f>
              <c:multiLvlStrCache>
                <c:ptCount val="21"/>
                <c:lvl>
                  <c:pt idx="4">
                    <c:v>9</c:v>
                  </c:pt>
                  <c:pt idx="9">
                    <c:v>engins portuaires/autres engins</c:v>
                  </c:pt>
                </c:lvl>
                <c:lvl>
                  <c:pt idx="4">
                    <c:v>5</c:v>
                  </c:pt>
                  <c:pt idx="9">
                    <c:v>0</c:v>
                  </c:pt>
                </c:lvl>
                <c:lvl>
                  <c:pt idx="0">
                    <c:v>ZONE: ZONE:</c:v>
                  </c:pt>
                  <c:pt idx="2">
                    <c:v>C</c:v>
                  </c:pt>
                  <c:pt idx="4">
                    <c:v>4</c:v>
                  </c:pt>
                  <c:pt idx="9">
                    <c:v>0</c:v>
                  </c:pt>
                </c:lvl>
                <c:lvl>
                  <c:pt idx="0">
                    <c:v>PLACES: SEATS:</c:v>
                  </c:pt>
                  <c:pt idx="2">
                    <c:v>5</c:v>
                  </c:pt>
                  <c:pt idx="4">
                    <c:v>2,3</c:v>
                  </c:pt>
                  <c:pt idx="9">
                    <c:v>0</c:v>
                  </c:pt>
                </c:lvl>
                <c:lvl>
                  <c:pt idx="0">
                    <c:v>CHASSIS REMORQU: </c:v>
                  </c:pt>
                </c:lvl>
                <c:lvl>
                  <c:pt idx="0">
                    <c:v>IMMATRI REMORQ: TRAILER:</c:v>
                  </c:pt>
                  <c:pt idx="4">
                    <c:v>1</c:v>
                  </c:pt>
                  <c:pt idx="9">
                    <c:v>0</c:v>
                  </c:pt>
                </c:lvl>
                <c:lvl>
                  <c:pt idx="4">
                    <c:v>CATEGORIE</c:v>
                  </c:pt>
                  <c:pt idx="9">
                    <c:v>engins portuaires</c:v>
                  </c:pt>
                </c:lvl>
                <c:lvl>
                  <c:pt idx="0">
                    <c:v>SW 859 BB</c:v>
                  </c:pt>
                </c:lvl>
                <c:lvl>
                  <c:pt idx="0">
                    <c:v>DATE  ECHEANCE du CONTRAT</c:v>
                  </c:pt>
                </c:lvl>
                <c:lvl>
                  <c:pt idx="2">
                    <c:v>0</c:v>
                  </c:pt>
                  <c:pt idx="3">
                    <c:v>0</c:v>
                  </c:pt>
                </c:lvl>
                <c:lvl>
                  <c:pt idx="2">
                    <c:v>60</c:v>
                  </c:pt>
                  <c:pt idx="3">
                    <c:v>0</c:v>
                  </c:pt>
                  <c:pt idx="5">
                    <c:v>19</c:v>
                  </c:pt>
                </c:lvl>
                <c:lvl>
                  <c:pt idx="0">
                    <c:v>DUREE  DURATION</c:v>
                  </c:pt>
                  <c:pt idx="2">
                    <c:v>2MOIS</c:v>
                  </c:pt>
                  <c:pt idx="3">
                    <c:v>DUREE DÉJÀ PRISE</c:v>
                  </c:pt>
                  <c:pt idx="5">
                    <c:v>CYLD-EN-PUISS</c:v>
                  </c:pt>
                  <c:pt idx="8">
                    <c:v>30182012200859</c:v>
                  </c:pt>
                  <c:pt idx="10">
                    <c:v>PRUDENTIAL BENEFICIAL</c:v>
                  </c:pt>
                  <c:pt idx="11">
                    <c:v>3018</c:v>
                  </c:pt>
                  <c:pt idx="12">
                    <c:v>201</c:v>
                  </c:pt>
                  <c:pt idx="13">
                    <c:v>22</c:v>
                  </c:pt>
                  <c:pt idx="18">
                    <c:v>0</c:v>
                  </c:pt>
                  <c:pt idx="19">
                    <c:v>0</c:v>
                  </c:pt>
                  <c:pt idx="20">
                    <c:v>8</c:v>
                  </c:pt>
                </c:lvl>
                <c:lvl>
                  <c:pt idx="0">
                    <c:v>AGENT AGENT </c:v>
                  </c:pt>
                  <c:pt idx="2">
                    <c:v>0.0.5</c:v>
                  </c:pt>
                  <c:pt idx="5">
                    <c:v>WM2012200859</c:v>
                  </c:pt>
                  <c:pt idx="10">
                    <c:v>CPA ASSURANCES</c:v>
                  </c:pt>
                  <c:pt idx="11">
                    <c:v>W</c:v>
                  </c:pt>
                  <c:pt idx="12">
                    <c:v>M</c:v>
                  </c:pt>
                  <c:pt idx="13">
                    <c:v>20</c:v>
                  </c:pt>
                  <c:pt idx="14">
                    <c:v>1</c:v>
                  </c:pt>
                  <c:pt idx="15">
                    <c:v>2</c:v>
                  </c:pt>
                  <c:pt idx="16">
                    <c:v>20</c:v>
                  </c:pt>
                  <c:pt idx="17">
                    <c:v>0</c:v>
                  </c:pt>
                  <c:pt idx="18">
                    <c:v>8</c:v>
                  </c:pt>
                  <c:pt idx="19">
                    <c:v>5</c:v>
                  </c:pt>
                  <c:pt idx="20">
                    <c:v>9</c:v>
                  </c:pt>
                </c:lvl>
                <c:lvl>
                  <c:pt idx="0">
                    <c:v>NOUVELLE AFFAIRE</c:v>
                  </c:pt>
                  <c:pt idx="3">
                    <c:v>0</c:v>
                  </c:pt>
                  <c:pt idx="5">
                    <c:v>A23ORLSAAR0100859</c:v>
                  </c:pt>
                  <c:pt idx="10">
                    <c:v>ORION SAAR</c:v>
                  </c:pt>
                  <c:pt idx="11">
                    <c:v>A23</c:v>
                  </c:pt>
                  <c:pt idx="12">
                    <c:v>OR</c:v>
                  </c:pt>
                  <c:pt idx="13">
                    <c:v>SAAR</c:v>
                  </c:pt>
                  <c:pt idx="14">
                    <c:v>0</c:v>
                  </c:pt>
                  <c:pt idx="15">
                    <c:v>1</c:v>
                  </c:pt>
                  <c:pt idx="16">
                    <c:v>0</c:v>
                  </c:pt>
                  <c:pt idx="17">
                    <c:v>0</c:v>
                  </c:pt>
                  <c:pt idx="18">
                    <c:v>8</c:v>
                  </c:pt>
                  <c:pt idx="19">
                    <c:v>5</c:v>
                  </c:pt>
                  <c:pt idx="20">
                    <c:v>9</c:v>
                  </c:pt>
                </c:lvl>
                <c:lvl>
                  <c:pt idx="0">
                    <c:v>AVENANT</c:v>
                  </c:pt>
                  <c:pt idx="5">
                    <c:v>PH1047005010922859</c:v>
                  </c:pt>
                  <c:pt idx="10">
                    <c:v>PERSO GMC</c:v>
                  </c:pt>
                  <c:pt idx="11">
                    <c:v>PH</c:v>
                  </c:pt>
                  <c:pt idx="12">
                    <c:v>10470050</c:v>
                  </c:pt>
                  <c:pt idx="13">
                    <c:v>10</c:v>
                  </c:pt>
                  <c:pt idx="14">
                    <c:v>9</c:v>
                  </c:pt>
                  <c:pt idx="15">
                    <c:v>22</c:v>
                  </c:pt>
                  <c:pt idx="16">
                    <c:v>8</c:v>
                  </c:pt>
                  <c:pt idx="17">
                    <c:v>5</c:v>
                  </c:pt>
                  <c:pt idx="18">
                    <c:v>9</c:v>
                  </c:pt>
                </c:lvl>
                <c:lvl>
                  <c:pt idx="5">
                    <c:v>MW23201LMB0859</c:v>
                  </c:pt>
                  <c:pt idx="10">
                    <c:v>BONANDJO GMC</c:v>
                  </c:pt>
                  <c:pt idx="11">
                    <c:v>MW</c:v>
                  </c:pt>
                  <c:pt idx="12">
                    <c:v>23</c:v>
                  </c:pt>
                  <c:pt idx="13">
                    <c:v>20</c:v>
                  </c:pt>
                  <c:pt idx="14">
                    <c:v>1</c:v>
                  </c:pt>
                  <c:pt idx="15">
                    <c:v>LMB</c:v>
                  </c:pt>
                  <c:pt idx="16">
                    <c:v>0</c:v>
                  </c:pt>
                  <c:pt idx="17">
                    <c:v>8</c:v>
                  </c:pt>
                  <c:pt idx="18">
                    <c:v>5</c:v>
                  </c:pt>
                  <c:pt idx="19">
                    <c:v>9</c:v>
                  </c:pt>
                </c:lvl>
                <c:lvl>
                  <c:pt idx="3">
                    <c:v>BONANDJO GMC</c:v>
                  </c:pt>
                  <c:pt idx="5">
                    <c:v>A2312301ORL00859</c:v>
                  </c:pt>
                  <c:pt idx="10">
                    <c:v>ORION GMC</c:v>
                  </c:pt>
                  <c:pt idx="11">
                    <c:v>A23</c:v>
                  </c:pt>
                  <c:pt idx="12">
                    <c:v>123</c:v>
                  </c:pt>
                  <c:pt idx="13">
                    <c:v>0</c:v>
                  </c:pt>
                  <c:pt idx="14">
                    <c:v>1</c:v>
                  </c:pt>
                  <c:pt idx="15">
                    <c:v>OR</c:v>
                  </c:pt>
                  <c:pt idx="16">
                    <c:v>0</c:v>
                  </c:pt>
                  <c:pt idx="17">
                    <c:v>0</c:v>
                  </c:pt>
                  <c:pt idx="18">
                    <c:v>8</c:v>
                  </c:pt>
                  <c:pt idx="19">
                    <c:v>5</c:v>
                  </c:pt>
                  <c:pt idx="20">
                    <c:v>9</c:v>
                  </c:pt>
                </c:lvl>
                <c:lvl>
                  <c:pt idx="3">
                    <c:v>A23</c:v>
                  </c:pt>
                  <c:pt idx="5">
                    <c:v>0</c:v>
                  </c:pt>
                  <c:pt idx="6">
                    <c:v>0</c:v>
                  </c:pt>
                  <c:pt idx="7">
                    <c:v>8</c:v>
                  </c:pt>
                  <c:pt idx="8">
                    <c:v>5</c:v>
                  </c:pt>
                  <c:pt idx="9">
                    <c:v>9</c:v>
                  </c:pt>
                </c:lvl>
                <c:lvl>
                  <c:pt idx="3">
                    <c:v>NUMERO DE POLICE </c:v>
                  </c:pt>
                </c:lvl>
                <c:lvl>
                  <c:pt idx="0">
                    <c:v>SAAR</c:v>
                  </c:pt>
                  <c:pt idx="2">
                    <c:v>ORD</c:v>
                  </c:pt>
                  <c:pt idx="4">
                    <c:v>1</c:v>
                  </c:pt>
                  <c:pt idx="5">
                    <c:v>1000</c:v>
                  </c:pt>
                  <c:pt idx="8">
                    <c:v>A23ORDSAAR00859</c:v>
                  </c:pt>
                  <c:pt idx="11">
                    <c:v>/</c:v>
                  </c:pt>
                  <c:pt idx="12">
                    <c:v>1</c:v>
                  </c:pt>
                </c:lvl>
              </c:multiLvlStrCache>
            </c:multiLvlStrRef>
          </c:cat>
          <c:val>
            <c:numRef>
              <c:f>CONTRATS!$H$36:$AE$36</c:f>
              <c:numCache>
                <c:formatCode>#,##0</c:formatCode>
                <c:ptCount val="21"/>
                <c:pt idx="0" formatCode="General">
                  <c:v>0</c:v>
                </c:pt>
                <c:pt idx="1">
                  <c:v>0</c:v>
                </c:pt>
                <c:pt idx="2">
                  <c:v>0</c:v>
                </c:pt>
                <c:pt idx="3" formatCode="General">
                  <c:v>0</c:v>
                </c:pt>
              </c:numCache>
            </c:numRef>
          </c:val>
          <c:extLst>
            <c:ext xmlns:c16="http://schemas.microsoft.com/office/drawing/2014/chart" uri="{C3380CC4-5D6E-409C-BE32-E72D297353CC}">
              <c16:uniqueId val="{0000000A-AF2F-40F1-8F63-71F25A0CA744}"/>
            </c:ext>
          </c:extLst>
        </c:ser>
        <c:ser>
          <c:idx val="11"/>
          <c:order val="11"/>
          <c:tx>
            <c:strRef>
              <c:f>CONTRATS!$A$37:$G$37</c:f>
              <c:strCache>
                <c:ptCount val="7"/>
                <c:pt idx="0">
                  <c:v>MATIERE INFLAMMABLE</c:v>
                </c:pt>
                <c:pt idx="1">
                  <c:v>IPT:                 cover  for passengers : </c:v>
                </c:pt>
                <c:pt idx="2">
                  <c:v>décès / death</c:v>
                </c:pt>
                <c:pt idx="3">
                  <c:v>1 000 000</c:v>
                </c:pt>
                <c:pt idx="4">
                  <c:v>0</c:v>
                </c:pt>
                <c:pt idx="5">
                  <c:v>0</c:v>
                </c:pt>
                <c:pt idx="6">
                  <c:v>0</c:v>
                </c:pt>
              </c:strCache>
            </c:strRef>
          </c:tx>
          <c:invertIfNegative val="0"/>
          <c:cat>
            <c:multiLvlStrRef>
              <c:f>CONTRATS!$H$1:$AE$25</c:f>
              <c:multiLvlStrCache>
                <c:ptCount val="21"/>
                <c:lvl>
                  <c:pt idx="4">
                    <c:v>9</c:v>
                  </c:pt>
                  <c:pt idx="9">
                    <c:v>engins portuaires/autres engins</c:v>
                  </c:pt>
                </c:lvl>
                <c:lvl>
                  <c:pt idx="4">
                    <c:v>5</c:v>
                  </c:pt>
                  <c:pt idx="9">
                    <c:v>0</c:v>
                  </c:pt>
                </c:lvl>
                <c:lvl>
                  <c:pt idx="0">
                    <c:v>ZONE: ZONE:</c:v>
                  </c:pt>
                  <c:pt idx="2">
                    <c:v>C</c:v>
                  </c:pt>
                  <c:pt idx="4">
                    <c:v>4</c:v>
                  </c:pt>
                  <c:pt idx="9">
                    <c:v>0</c:v>
                  </c:pt>
                </c:lvl>
                <c:lvl>
                  <c:pt idx="0">
                    <c:v>PLACES: SEATS:</c:v>
                  </c:pt>
                  <c:pt idx="2">
                    <c:v>5</c:v>
                  </c:pt>
                  <c:pt idx="4">
                    <c:v>2,3</c:v>
                  </c:pt>
                  <c:pt idx="9">
                    <c:v>0</c:v>
                  </c:pt>
                </c:lvl>
                <c:lvl>
                  <c:pt idx="0">
                    <c:v>CHASSIS REMORQU: </c:v>
                  </c:pt>
                </c:lvl>
                <c:lvl>
                  <c:pt idx="0">
                    <c:v>IMMATRI REMORQ: TRAILER:</c:v>
                  </c:pt>
                  <c:pt idx="4">
                    <c:v>1</c:v>
                  </c:pt>
                  <c:pt idx="9">
                    <c:v>0</c:v>
                  </c:pt>
                </c:lvl>
                <c:lvl>
                  <c:pt idx="4">
                    <c:v>CATEGORIE</c:v>
                  </c:pt>
                  <c:pt idx="9">
                    <c:v>engins portuaires</c:v>
                  </c:pt>
                </c:lvl>
                <c:lvl>
                  <c:pt idx="0">
                    <c:v>SW 859 BB</c:v>
                  </c:pt>
                </c:lvl>
                <c:lvl>
                  <c:pt idx="0">
                    <c:v>DATE  ECHEANCE du CONTRAT</c:v>
                  </c:pt>
                </c:lvl>
                <c:lvl>
                  <c:pt idx="2">
                    <c:v>0</c:v>
                  </c:pt>
                  <c:pt idx="3">
                    <c:v>0</c:v>
                  </c:pt>
                </c:lvl>
                <c:lvl>
                  <c:pt idx="2">
                    <c:v>60</c:v>
                  </c:pt>
                  <c:pt idx="3">
                    <c:v>0</c:v>
                  </c:pt>
                  <c:pt idx="5">
                    <c:v>19</c:v>
                  </c:pt>
                </c:lvl>
                <c:lvl>
                  <c:pt idx="0">
                    <c:v>DUREE  DURATION</c:v>
                  </c:pt>
                  <c:pt idx="2">
                    <c:v>2MOIS</c:v>
                  </c:pt>
                  <c:pt idx="3">
                    <c:v>DUREE DÉJÀ PRISE</c:v>
                  </c:pt>
                  <c:pt idx="5">
                    <c:v>CYLD-EN-PUISS</c:v>
                  </c:pt>
                  <c:pt idx="8">
                    <c:v>30182012200859</c:v>
                  </c:pt>
                  <c:pt idx="10">
                    <c:v>PRUDENTIAL BENEFICIAL</c:v>
                  </c:pt>
                  <c:pt idx="11">
                    <c:v>3018</c:v>
                  </c:pt>
                  <c:pt idx="12">
                    <c:v>201</c:v>
                  </c:pt>
                  <c:pt idx="13">
                    <c:v>22</c:v>
                  </c:pt>
                  <c:pt idx="18">
                    <c:v>0</c:v>
                  </c:pt>
                  <c:pt idx="19">
                    <c:v>0</c:v>
                  </c:pt>
                  <c:pt idx="20">
                    <c:v>8</c:v>
                  </c:pt>
                </c:lvl>
                <c:lvl>
                  <c:pt idx="0">
                    <c:v>AGENT AGENT </c:v>
                  </c:pt>
                  <c:pt idx="2">
                    <c:v>0.0.5</c:v>
                  </c:pt>
                  <c:pt idx="5">
                    <c:v>WM2012200859</c:v>
                  </c:pt>
                  <c:pt idx="10">
                    <c:v>CPA ASSURANCES</c:v>
                  </c:pt>
                  <c:pt idx="11">
                    <c:v>W</c:v>
                  </c:pt>
                  <c:pt idx="12">
                    <c:v>M</c:v>
                  </c:pt>
                  <c:pt idx="13">
                    <c:v>20</c:v>
                  </c:pt>
                  <c:pt idx="14">
                    <c:v>1</c:v>
                  </c:pt>
                  <c:pt idx="15">
                    <c:v>2</c:v>
                  </c:pt>
                  <c:pt idx="16">
                    <c:v>20</c:v>
                  </c:pt>
                  <c:pt idx="17">
                    <c:v>0</c:v>
                  </c:pt>
                  <c:pt idx="18">
                    <c:v>8</c:v>
                  </c:pt>
                  <c:pt idx="19">
                    <c:v>5</c:v>
                  </c:pt>
                  <c:pt idx="20">
                    <c:v>9</c:v>
                  </c:pt>
                </c:lvl>
                <c:lvl>
                  <c:pt idx="0">
                    <c:v>NOUVELLE AFFAIRE</c:v>
                  </c:pt>
                  <c:pt idx="3">
                    <c:v>0</c:v>
                  </c:pt>
                  <c:pt idx="5">
                    <c:v>A23ORLSAAR0100859</c:v>
                  </c:pt>
                  <c:pt idx="10">
                    <c:v>ORION SAAR</c:v>
                  </c:pt>
                  <c:pt idx="11">
                    <c:v>A23</c:v>
                  </c:pt>
                  <c:pt idx="12">
                    <c:v>OR</c:v>
                  </c:pt>
                  <c:pt idx="13">
                    <c:v>SAAR</c:v>
                  </c:pt>
                  <c:pt idx="14">
                    <c:v>0</c:v>
                  </c:pt>
                  <c:pt idx="15">
                    <c:v>1</c:v>
                  </c:pt>
                  <c:pt idx="16">
                    <c:v>0</c:v>
                  </c:pt>
                  <c:pt idx="17">
                    <c:v>0</c:v>
                  </c:pt>
                  <c:pt idx="18">
                    <c:v>8</c:v>
                  </c:pt>
                  <c:pt idx="19">
                    <c:v>5</c:v>
                  </c:pt>
                  <c:pt idx="20">
                    <c:v>9</c:v>
                  </c:pt>
                </c:lvl>
                <c:lvl>
                  <c:pt idx="0">
                    <c:v>AVENANT</c:v>
                  </c:pt>
                  <c:pt idx="5">
                    <c:v>PH1047005010922859</c:v>
                  </c:pt>
                  <c:pt idx="10">
                    <c:v>PERSO GMC</c:v>
                  </c:pt>
                  <c:pt idx="11">
                    <c:v>PH</c:v>
                  </c:pt>
                  <c:pt idx="12">
                    <c:v>10470050</c:v>
                  </c:pt>
                  <c:pt idx="13">
                    <c:v>10</c:v>
                  </c:pt>
                  <c:pt idx="14">
                    <c:v>9</c:v>
                  </c:pt>
                  <c:pt idx="15">
                    <c:v>22</c:v>
                  </c:pt>
                  <c:pt idx="16">
                    <c:v>8</c:v>
                  </c:pt>
                  <c:pt idx="17">
                    <c:v>5</c:v>
                  </c:pt>
                  <c:pt idx="18">
                    <c:v>9</c:v>
                  </c:pt>
                </c:lvl>
                <c:lvl>
                  <c:pt idx="5">
                    <c:v>MW23201LMB0859</c:v>
                  </c:pt>
                  <c:pt idx="10">
                    <c:v>BONANDJO GMC</c:v>
                  </c:pt>
                  <c:pt idx="11">
                    <c:v>MW</c:v>
                  </c:pt>
                  <c:pt idx="12">
                    <c:v>23</c:v>
                  </c:pt>
                  <c:pt idx="13">
                    <c:v>20</c:v>
                  </c:pt>
                  <c:pt idx="14">
                    <c:v>1</c:v>
                  </c:pt>
                  <c:pt idx="15">
                    <c:v>LMB</c:v>
                  </c:pt>
                  <c:pt idx="16">
                    <c:v>0</c:v>
                  </c:pt>
                  <c:pt idx="17">
                    <c:v>8</c:v>
                  </c:pt>
                  <c:pt idx="18">
                    <c:v>5</c:v>
                  </c:pt>
                  <c:pt idx="19">
                    <c:v>9</c:v>
                  </c:pt>
                </c:lvl>
                <c:lvl>
                  <c:pt idx="3">
                    <c:v>BONANDJO GMC</c:v>
                  </c:pt>
                  <c:pt idx="5">
                    <c:v>A2312301ORL00859</c:v>
                  </c:pt>
                  <c:pt idx="10">
                    <c:v>ORION GMC</c:v>
                  </c:pt>
                  <c:pt idx="11">
                    <c:v>A23</c:v>
                  </c:pt>
                  <c:pt idx="12">
                    <c:v>123</c:v>
                  </c:pt>
                  <c:pt idx="13">
                    <c:v>0</c:v>
                  </c:pt>
                  <c:pt idx="14">
                    <c:v>1</c:v>
                  </c:pt>
                  <c:pt idx="15">
                    <c:v>OR</c:v>
                  </c:pt>
                  <c:pt idx="16">
                    <c:v>0</c:v>
                  </c:pt>
                  <c:pt idx="17">
                    <c:v>0</c:v>
                  </c:pt>
                  <c:pt idx="18">
                    <c:v>8</c:v>
                  </c:pt>
                  <c:pt idx="19">
                    <c:v>5</c:v>
                  </c:pt>
                  <c:pt idx="20">
                    <c:v>9</c:v>
                  </c:pt>
                </c:lvl>
                <c:lvl>
                  <c:pt idx="3">
                    <c:v>A23</c:v>
                  </c:pt>
                  <c:pt idx="5">
                    <c:v>0</c:v>
                  </c:pt>
                  <c:pt idx="6">
                    <c:v>0</c:v>
                  </c:pt>
                  <c:pt idx="7">
                    <c:v>8</c:v>
                  </c:pt>
                  <c:pt idx="8">
                    <c:v>5</c:v>
                  </c:pt>
                  <c:pt idx="9">
                    <c:v>9</c:v>
                  </c:pt>
                </c:lvl>
                <c:lvl>
                  <c:pt idx="3">
                    <c:v>NUMERO DE POLICE </c:v>
                  </c:pt>
                </c:lvl>
                <c:lvl>
                  <c:pt idx="0">
                    <c:v>SAAR</c:v>
                  </c:pt>
                  <c:pt idx="2">
                    <c:v>ORD</c:v>
                  </c:pt>
                  <c:pt idx="4">
                    <c:v>1</c:v>
                  </c:pt>
                  <c:pt idx="5">
                    <c:v>1000</c:v>
                  </c:pt>
                  <c:pt idx="8">
                    <c:v>A23ORDSAAR00859</c:v>
                  </c:pt>
                  <c:pt idx="11">
                    <c:v>/</c:v>
                  </c:pt>
                  <c:pt idx="12">
                    <c:v>1</c:v>
                  </c:pt>
                </c:lvl>
              </c:multiLvlStrCache>
            </c:multiLvlStrRef>
          </c:cat>
          <c:val>
            <c:numRef>
              <c:f>CONTRATS!$H$37:$AE$37</c:f>
              <c:numCache>
                <c:formatCode>General</c:formatCode>
                <c:ptCount val="21"/>
                <c:pt idx="0">
                  <c:v>0</c:v>
                </c:pt>
                <c:pt idx="1">
                  <c:v>5</c:v>
                </c:pt>
                <c:pt idx="2" formatCode="#,##0">
                  <c:v>0</c:v>
                </c:pt>
                <c:pt idx="3">
                  <c:v>0</c:v>
                </c:pt>
              </c:numCache>
            </c:numRef>
          </c:val>
          <c:extLst>
            <c:ext xmlns:c16="http://schemas.microsoft.com/office/drawing/2014/chart" uri="{C3380CC4-5D6E-409C-BE32-E72D297353CC}">
              <c16:uniqueId val="{0000000B-AF2F-40F1-8F63-71F25A0CA744}"/>
            </c:ext>
          </c:extLst>
        </c:ser>
        <c:ser>
          <c:idx val="12"/>
          <c:order val="12"/>
          <c:tx>
            <c:strRef>
              <c:f>CONTRATS!$A$38:$G$38</c:f>
              <c:strCache>
                <c:ptCount val="7"/>
                <c:pt idx="0">
                  <c:v>MATIERE INFLAMMABLE</c:v>
                </c:pt>
                <c:pt idx="1">
                  <c:v>IPT:                 cover  for passengers : </c:v>
                </c:pt>
                <c:pt idx="2">
                  <c:v>invalidite</c:v>
                </c:pt>
                <c:pt idx="3">
                  <c:v>1 000 000</c:v>
                </c:pt>
                <c:pt idx="4">
                  <c:v>0</c:v>
                </c:pt>
                <c:pt idx="5">
                  <c:v>0</c:v>
                </c:pt>
                <c:pt idx="6">
                  <c:v>0</c:v>
                </c:pt>
              </c:strCache>
            </c:strRef>
          </c:tx>
          <c:invertIfNegative val="0"/>
          <c:cat>
            <c:multiLvlStrRef>
              <c:f>CONTRATS!$H$1:$AE$25</c:f>
              <c:multiLvlStrCache>
                <c:ptCount val="21"/>
                <c:lvl>
                  <c:pt idx="4">
                    <c:v>9</c:v>
                  </c:pt>
                  <c:pt idx="9">
                    <c:v>engins portuaires/autres engins</c:v>
                  </c:pt>
                </c:lvl>
                <c:lvl>
                  <c:pt idx="4">
                    <c:v>5</c:v>
                  </c:pt>
                  <c:pt idx="9">
                    <c:v>0</c:v>
                  </c:pt>
                </c:lvl>
                <c:lvl>
                  <c:pt idx="0">
                    <c:v>ZONE: ZONE:</c:v>
                  </c:pt>
                  <c:pt idx="2">
                    <c:v>C</c:v>
                  </c:pt>
                  <c:pt idx="4">
                    <c:v>4</c:v>
                  </c:pt>
                  <c:pt idx="9">
                    <c:v>0</c:v>
                  </c:pt>
                </c:lvl>
                <c:lvl>
                  <c:pt idx="0">
                    <c:v>PLACES: SEATS:</c:v>
                  </c:pt>
                  <c:pt idx="2">
                    <c:v>5</c:v>
                  </c:pt>
                  <c:pt idx="4">
                    <c:v>2,3</c:v>
                  </c:pt>
                  <c:pt idx="9">
                    <c:v>0</c:v>
                  </c:pt>
                </c:lvl>
                <c:lvl>
                  <c:pt idx="0">
                    <c:v>CHASSIS REMORQU: </c:v>
                  </c:pt>
                </c:lvl>
                <c:lvl>
                  <c:pt idx="0">
                    <c:v>IMMATRI REMORQ: TRAILER:</c:v>
                  </c:pt>
                  <c:pt idx="4">
                    <c:v>1</c:v>
                  </c:pt>
                  <c:pt idx="9">
                    <c:v>0</c:v>
                  </c:pt>
                </c:lvl>
                <c:lvl>
                  <c:pt idx="4">
                    <c:v>CATEGORIE</c:v>
                  </c:pt>
                  <c:pt idx="9">
                    <c:v>engins portuaires</c:v>
                  </c:pt>
                </c:lvl>
                <c:lvl>
                  <c:pt idx="0">
                    <c:v>SW 859 BB</c:v>
                  </c:pt>
                </c:lvl>
                <c:lvl>
                  <c:pt idx="0">
                    <c:v>DATE  ECHEANCE du CONTRAT</c:v>
                  </c:pt>
                </c:lvl>
                <c:lvl>
                  <c:pt idx="2">
                    <c:v>0</c:v>
                  </c:pt>
                  <c:pt idx="3">
                    <c:v>0</c:v>
                  </c:pt>
                </c:lvl>
                <c:lvl>
                  <c:pt idx="2">
                    <c:v>60</c:v>
                  </c:pt>
                  <c:pt idx="3">
                    <c:v>0</c:v>
                  </c:pt>
                  <c:pt idx="5">
                    <c:v>19</c:v>
                  </c:pt>
                </c:lvl>
                <c:lvl>
                  <c:pt idx="0">
                    <c:v>DUREE  DURATION</c:v>
                  </c:pt>
                  <c:pt idx="2">
                    <c:v>2MOIS</c:v>
                  </c:pt>
                  <c:pt idx="3">
                    <c:v>DUREE DÉJÀ PRISE</c:v>
                  </c:pt>
                  <c:pt idx="5">
                    <c:v>CYLD-EN-PUISS</c:v>
                  </c:pt>
                  <c:pt idx="8">
                    <c:v>30182012200859</c:v>
                  </c:pt>
                  <c:pt idx="10">
                    <c:v>PRUDENTIAL BENEFICIAL</c:v>
                  </c:pt>
                  <c:pt idx="11">
                    <c:v>3018</c:v>
                  </c:pt>
                  <c:pt idx="12">
                    <c:v>201</c:v>
                  </c:pt>
                  <c:pt idx="13">
                    <c:v>22</c:v>
                  </c:pt>
                  <c:pt idx="18">
                    <c:v>0</c:v>
                  </c:pt>
                  <c:pt idx="19">
                    <c:v>0</c:v>
                  </c:pt>
                  <c:pt idx="20">
                    <c:v>8</c:v>
                  </c:pt>
                </c:lvl>
                <c:lvl>
                  <c:pt idx="0">
                    <c:v>AGENT AGENT </c:v>
                  </c:pt>
                  <c:pt idx="2">
                    <c:v>0.0.5</c:v>
                  </c:pt>
                  <c:pt idx="5">
                    <c:v>WM2012200859</c:v>
                  </c:pt>
                  <c:pt idx="10">
                    <c:v>CPA ASSURANCES</c:v>
                  </c:pt>
                  <c:pt idx="11">
                    <c:v>W</c:v>
                  </c:pt>
                  <c:pt idx="12">
                    <c:v>M</c:v>
                  </c:pt>
                  <c:pt idx="13">
                    <c:v>20</c:v>
                  </c:pt>
                  <c:pt idx="14">
                    <c:v>1</c:v>
                  </c:pt>
                  <c:pt idx="15">
                    <c:v>2</c:v>
                  </c:pt>
                  <c:pt idx="16">
                    <c:v>20</c:v>
                  </c:pt>
                  <c:pt idx="17">
                    <c:v>0</c:v>
                  </c:pt>
                  <c:pt idx="18">
                    <c:v>8</c:v>
                  </c:pt>
                  <c:pt idx="19">
                    <c:v>5</c:v>
                  </c:pt>
                  <c:pt idx="20">
                    <c:v>9</c:v>
                  </c:pt>
                </c:lvl>
                <c:lvl>
                  <c:pt idx="0">
                    <c:v>NOUVELLE AFFAIRE</c:v>
                  </c:pt>
                  <c:pt idx="3">
                    <c:v>0</c:v>
                  </c:pt>
                  <c:pt idx="5">
                    <c:v>A23ORLSAAR0100859</c:v>
                  </c:pt>
                  <c:pt idx="10">
                    <c:v>ORION SAAR</c:v>
                  </c:pt>
                  <c:pt idx="11">
                    <c:v>A23</c:v>
                  </c:pt>
                  <c:pt idx="12">
                    <c:v>OR</c:v>
                  </c:pt>
                  <c:pt idx="13">
                    <c:v>SAAR</c:v>
                  </c:pt>
                  <c:pt idx="14">
                    <c:v>0</c:v>
                  </c:pt>
                  <c:pt idx="15">
                    <c:v>1</c:v>
                  </c:pt>
                  <c:pt idx="16">
                    <c:v>0</c:v>
                  </c:pt>
                  <c:pt idx="17">
                    <c:v>0</c:v>
                  </c:pt>
                  <c:pt idx="18">
                    <c:v>8</c:v>
                  </c:pt>
                  <c:pt idx="19">
                    <c:v>5</c:v>
                  </c:pt>
                  <c:pt idx="20">
                    <c:v>9</c:v>
                  </c:pt>
                </c:lvl>
                <c:lvl>
                  <c:pt idx="0">
                    <c:v>AVENANT</c:v>
                  </c:pt>
                  <c:pt idx="5">
                    <c:v>PH1047005010922859</c:v>
                  </c:pt>
                  <c:pt idx="10">
                    <c:v>PERSO GMC</c:v>
                  </c:pt>
                  <c:pt idx="11">
                    <c:v>PH</c:v>
                  </c:pt>
                  <c:pt idx="12">
                    <c:v>10470050</c:v>
                  </c:pt>
                  <c:pt idx="13">
                    <c:v>10</c:v>
                  </c:pt>
                  <c:pt idx="14">
                    <c:v>9</c:v>
                  </c:pt>
                  <c:pt idx="15">
                    <c:v>22</c:v>
                  </c:pt>
                  <c:pt idx="16">
                    <c:v>8</c:v>
                  </c:pt>
                  <c:pt idx="17">
                    <c:v>5</c:v>
                  </c:pt>
                  <c:pt idx="18">
                    <c:v>9</c:v>
                  </c:pt>
                </c:lvl>
                <c:lvl>
                  <c:pt idx="5">
                    <c:v>MW23201LMB0859</c:v>
                  </c:pt>
                  <c:pt idx="10">
                    <c:v>BONANDJO GMC</c:v>
                  </c:pt>
                  <c:pt idx="11">
                    <c:v>MW</c:v>
                  </c:pt>
                  <c:pt idx="12">
                    <c:v>23</c:v>
                  </c:pt>
                  <c:pt idx="13">
                    <c:v>20</c:v>
                  </c:pt>
                  <c:pt idx="14">
                    <c:v>1</c:v>
                  </c:pt>
                  <c:pt idx="15">
                    <c:v>LMB</c:v>
                  </c:pt>
                  <c:pt idx="16">
                    <c:v>0</c:v>
                  </c:pt>
                  <c:pt idx="17">
                    <c:v>8</c:v>
                  </c:pt>
                  <c:pt idx="18">
                    <c:v>5</c:v>
                  </c:pt>
                  <c:pt idx="19">
                    <c:v>9</c:v>
                  </c:pt>
                </c:lvl>
                <c:lvl>
                  <c:pt idx="3">
                    <c:v>BONANDJO GMC</c:v>
                  </c:pt>
                  <c:pt idx="5">
                    <c:v>A2312301ORL00859</c:v>
                  </c:pt>
                  <c:pt idx="10">
                    <c:v>ORION GMC</c:v>
                  </c:pt>
                  <c:pt idx="11">
                    <c:v>A23</c:v>
                  </c:pt>
                  <c:pt idx="12">
                    <c:v>123</c:v>
                  </c:pt>
                  <c:pt idx="13">
                    <c:v>0</c:v>
                  </c:pt>
                  <c:pt idx="14">
                    <c:v>1</c:v>
                  </c:pt>
                  <c:pt idx="15">
                    <c:v>OR</c:v>
                  </c:pt>
                  <c:pt idx="16">
                    <c:v>0</c:v>
                  </c:pt>
                  <c:pt idx="17">
                    <c:v>0</c:v>
                  </c:pt>
                  <c:pt idx="18">
                    <c:v>8</c:v>
                  </c:pt>
                  <c:pt idx="19">
                    <c:v>5</c:v>
                  </c:pt>
                  <c:pt idx="20">
                    <c:v>9</c:v>
                  </c:pt>
                </c:lvl>
                <c:lvl>
                  <c:pt idx="3">
                    <c:v>A23</c:v>
                  </c:pt>
                  <c:pt idx="5">
                    <c:v>0</c:v>
                  </c:pt>
                  <c:pt idx="6">
                    <c:v>0</c:v>
                  </c:pt>
                  <c:pt idx="7">
                    <c:v>8</c:v>
                  </c:pt>
                  <c:pt idx="8">
                    <c:v>5</c:v>
                  </c:pt>
                  <c:pt idx="9">
                    <c:v>9</c:v>
                  </c:pt>
                </c:lvl>
                <c:lvl>
                  <c:pt idx="3">
                    <c:v>NUMERO DE POLICE </c:v>
                  </c:pt>
                </c:lvl>
                <c:lvl>
                  <c:pt idx="0">
                    <c:v>SAAR</c:v>
                  </c:pt>
                  <c:pt idx="2">
                    <c:v>ORD</c:v>
                  </c:pt>
                  <c:pt idx="4">
                    <c:v>1</c:v>
                  </c:pt>
                  <c:pt idx="5">
                    <c:v>1000</c:v>
                  </c:pt>
                  <c:pt idx="8">
                    <c:v>A23ORDSAAR00859</c:v>
                  </c:pt>
                  <c:pt idx="11">
                    <c:v>/</c:v>
                  </c:pt>
                  <c:pt idx="12">
                    <c:v>1</c:v>
                  </c:pt>
                </c:lvl>
              </c:multiLvlStrCache>
            </c:multiLvlStrRef>
          </c:cat>
          <c:val>
            <c:numRef>
              <c:f>CONTRATS!$H$38:$AE$38</c:f>
              <c:numCache>
                <c:formatCode>General</c:formatCode>
                <c:ptCount val="21"/>
              </c:numCache>
            </c:numRef>
          </c:val>
          <c:extLst>
            <c:ext xmlns:c16="http://schemas.microsoft.com/office/drawing/2014/chart" uri="{C3380CC4-5D6E-409C-BE32-E72D297353CC}">
              <c16:uniqueId val="{0000000C-AF2F-40F1-8F63-71F25A0CA744}"/>
            </c:ext>
          </c:extLst>
        </c:ser>
        <c:ser>
          <c:idx val="13"/>
          <c:order val="13"/>
          <c:tx>
            <c:strRef>
              <c:f>CONTRATS!$A$39:$G$39</c:f>
              <c:strCache>
                <c:ptCount val="7"/>
                <c:pt idx="0">
                  <c:v>MATIERE INFLAMMABLE</c:v>
                </c:pt>
                <c:pt idx="1">
                  <c:v>IPT:                 cover  for passengers : </c:v>
                </c:pt>
                <c:pt idx="2">
                  <c:v>FMPH</c:v>
                </c:pt>
                <c:pt idx="3">
                  <c:v>100 000</c:v>
                </c:pt>
                <c:pt idx="4">
                  <c:v>0</c:v>
                </c:pt>
                <c:pt idx="5">
                  <c:v>0</c:v>
                </c:pt>
                <c:pt idx="6">
                  <c:v>0</c:v>
                </c:pt>
              </c:strCache>
            </c:strRef>
          </c:tx>
          <c:invertIfNegative val="0"/>
          <c:cat>
            <c:multiLvlStrRef>
              <c:f>CONTRATS!$H$1:$AE$25</c:f>
              <c:multiLvlStrCache>
                <c:ptCount val="21"/>
                <c:lvl>
                  <c:pt idx="4">
                    <c:v>9</c:v>
                  </c:pt>
                  <c:pt idx="9">
                    <c:v>engins portuaires/autres engins</c:v>
                  </c:pt>
                </c:lvl>
                <c:lvl>
                  <c:pt idx="4">
                    <c:v>5</c:v>
                  </c:pt>
                  <c:pt idx="9">
                    <c:v>0</c:v>
                  </c:pt>
                </c:lvl>
                <c:lvl>
                  <c:pt idx="0">
                    <c:v>ZONE: ZONE:</c:v>
                  </c:pt>
                  <c:pt idx="2">
                    <c:v>C</c:v>
                  </c:pt>
                  <c:pt idx="4">
                    <c:v>4</c:v>
                  </c:pt>
                  <c:pt idx="9">
                    <c:v>0</c:v>
                  </c:pt>
                </c:lvl>
                <c:lvl>
                  <c:pt idx="0">
                    <c:v>PLACES: SEATS:</c:v>
                  </c:pt>
                  <c:pt idx="2">
                    <c:v>5</c:v>
                  </c:pt>
                  <c:pt idx="4">
                    <c:v>2,3</c:v>
                  </c:pt>
                  <c:pt idx="9">
                    <c:v>0</c:v>
                  </c:pt>
                </c:lvl>
                <c:lvl>
                  <c:pt idx="0">
                    <c:v>CHASSIS REMORQU: </c:v>
                  </c:pt>
                </c:lvl>
                <c:lvl>
                  <c:pt idx="0">
                    <c:v>IMMATRI REMORQ: TRAILER:</c:v>
                  </c:pt>
                  <c:pt idx="4">
                    <c:v>1</c:v>
                  </c:pt>
                  <c:pt idx="9">
                    <c:v>0</c:v>
                  </c:pt>
                </c:lvl>
                <c:lvl>
                  <c:pt idx="4">
                    <c:v>CATEGORIE</c:v>
                  </c:pt>
                  <c:pt idx="9">
                    <c:v>engins portuaires</c:v>
                  </c:pt>
                </c:lvl>
                <c:lvl>
                  <c:pt idx="0">
                    <c:v>SW 859 BB</c:v>
                  </c:pt>
                </c:lvl>
                <c:lvl>
                  <c:pt idx="0">
                    <c:v>DATE  ECHEANCE du CONTRAT</c:v>
                  </c:pt>
                </c:lvl>
                <c:lvl>
                  <c:pt idx="2">
                    <c:v>0</c:v>
                  </c:pt>
                  <c:pt idx="3">
                    <c:v>0</c:v>
                  </c:pt>
                </c:lvl>
                <c:lvl>
                  <c:pt idx="2">
                    <c:v>60</c:v>
                  </c:pt>
                  <c:pt idx="3">
                    <c:v>0</c:v>
                  </c:pt>
                  <c:pt idx="5">
                    <c:v>19</c:v>
                  </c:pt>
                </c:lvl>
                <c:lvl>
                  <c:pt idx="0">
                    <c:v>DUREE  DURATION</c:v>
                  </c:pt>
                  <c:pt idx="2">
                    <c:v>2MOIS</c:v>
                  </c:pt>
                  <c:pt idx="3">
                    <c:v>DUREE DÉJÀ PRISE</c:v>
                  </c:pt>
                  <c:pt idx="5">
                    <c:v>CYLD-EN-PUISS</c:v>
                  </c:pt>
                  <c:pt idx="8">
                    <c:v>30182012200859</c:v>
                  </c:pt>
                  <c:pt idx="10">
                    <c:v>PRUDENTIAL BENEFICIAL</c:v>
                  </c:pt>
                  <c:pt idx="11">
                    <c:v>3018</c:v>
                  </c:pt>
                  <c:pt idx="12">
                    <c:v>201</c:v>
                  </c:pt>
                  <c:pt idx="13">
                    <c:v>22</c:v>
                  </c:pt>
                  <c:pt idx="18">
                    <c:v>0</c:v>
                  </c:pt>
                  <c:pt idx="19">
                    <c:v>0</c:v>
                  </c:pt>
                  <c:pt idx="20">
                    <c:v>8</c:v>
                  </c:pt>
                </c:lvl>
                <c:lvl>
                  <c:pt idx="0">
                    <c:v>AGENT AGENT </c:v>
                  </c:pt>
                  <c:pt idx="2">
                    <c:v>0.0.5</c:v>
                  </c:pt>
                  <c:pt idx="5">
                    <c:v>WM2012200859</c:v>
                  </c:pt>
                  <c:pt idx="10">
                    <c:v>CPA ASSURANCES</c:v>
                  </c:pt>
                  <c:pt idx="11">
                    <c:v>W</c:v>
                  </c:pt>
                  <c:pt idx="12">
                    <c:v>M</c:v>
                  </c:pt>
                  <c:pt idx="13">
                    <c:v>20</c:v>
                  </c:pt>
                  <c:pt idx="14">
                    <c:v>1</c:v>
                  </c:pt>
                  <c:pt idx="15">
                    <c:v>2</c:v>
                  </c:pt>
                  <c:pt idx="16">
                    <c:v>20</c:v>
                  </c:pt>
                  <c:pt idx="17">
                    <c:v>0</c:v>
                  </c:pt>
                  <c:pt idx="18">
                    <c:v>8</c:v>
                  </c:pt>
                  <c:pt idx="19">
                    <c:v>5</c:v>
                  </c:pt>
                  <c:pt idx="20">
                    <c:v>9</c:v>
                  </c:pt>
                </c:lvl>
                <c:lvl>
                  <c:pt idx="0">
                    <c:v>NOUVELLE AFFAIRE</c:v>
                  </c:pt>
                  <c:pt idx="3">
                    <c:v>0</c:v>
                  </c:pt>
                  <c:pt idx="5">
                    <c:v>A23ORLSAAR0100859</c:v>
                  </c:pt>
                  <c:pt idx="10">
                    <c:v>ORION SAAR</c:v>
                  </c:pt>
                  <c:pt idx="11">
                    <c:v>A23</c:v>
                  </c:pt>
                  <c:pt idx="12">
                    <c:v>OR</c:v>
                  </c:pt>
                  <c:pt idx="13">
                    <c:v>SAAR</c:v>
                  </c:pt>
                  <c:pt idx="14">
                    <c:v>0</c:v>
                  </c:pt>
                  <c:pt idx="15">
                    <c:v>1</c:v>
                  </c:pt>
                  <c:pt idx="16">
                    <c:v>0</c:v>
                  </c:pt>
                  <c:pt idx="17">
                    <c:v>0</c:v>
                  </c:pt>
                  <c:pt idx="18">
                    <c:v>8</c:v>
                  </c:pt>
                  <c:pt idx="19">
                    <c:v>5</c:v>
                  </c:pt>
                  <c:pt idx="20">
                    <c:v>9</c:v>
                  </c:pt>
                </c:lvl>
                <c:lvl>
                  <c:pt idx="0">
                    <c:v>AVENANT</c:v>
                  </c:pt>
                  <c:pt idx="5">
                    <c:v>PH1047005010922859</c:v>
                  </c:pt>
                  <c:pt idx="10">
                    <c:v>PERSO GMC</c:v>
                  </c:pt>
                  <c:pt idx="11">
                    <c:v>PH</c:v>
                  </c:pt>
                  <c:pt idx="12">
                    <c:v>10470050</c:v>
                  </c:pt>
                  <c:pt idx="13">
                    <c:v>10</c:v>
                  </c:pt>
                  <c:pt idx="14">
                    <c:v>9</c:v>
                  </c:pt>
                  <c:pt idx="15">
                    <c:v>22</c:v>
                  </c:pt>
                  <c:pt idx="16">
                    <c:v>8</c:v>
                  </c:pt>
                  <c:pt idx="17">
                    <c:v>5</c:v>
                  </c:pt>
                  <c:pt idx="18">
                    <c:v>9</c:v>
                  </c:pt>
                </c:lvl>
                <c:lvl>
                  <c:pt idx="5">
                    <c:v>MW23201LMB0859</c:v>
                  </c:pt>
                  <c:pt idx="10">
                    <c:v>BONANDJO GMC</c:v>
                  </c:pt>
                  <c:pt idx="11">
                    <c:v>MW</c:v>
                  </c:pt>
                  <c:pt idx="12">
                    <c:v>23</c:v>
                  </c:pt>
                  <c:pt idx="13">
                    <c:v>20</c:v>
                  </c:pt>
                  <c:pt idx="14">
                    <c:v>1</c:v>
                  </c:pt>
                  <c:pt idx="15">
                    <c:v>LMB</c:v>
                  </c:pt>
                  <c:pt idx="16">
                    <c:v>0</c:v>
                  </c:pt>
                  <c:pt idx="17">
                    <c:v>8</c:v>
                  </c:pt>
                  <c:pt idx="18">
                    <c:v>5</c:v>
                  </c:pt>
                  <c:pt idx="19">
                    <c:v>9</c:v>
                  </c:pt>
                </c:lvl>
                <c:lvl>
                  <c:pt idx="3">
                    <c:v>BONANDJO GMC</c:v>
                  </c:pt>
                  <c:pt idx="5">
                    <c:v>A2312301ORL00859</c:v>
                  </c:pt>
                  <c:pt idx="10">
                    <c:v>ORION GMC</c:v>
                  </c:pt>
                  <c:pt idx="11">
                    <c:v>A23</c:v>
                  </c:pt>
                  <c:pt idx="12">
                    <c:v>123</c:v>
                  </c:pt>
                  <c:pt idx="13">
                    <c:v>0</c:v>
                  </c:pt>
                  <c:pt idx="14">
                    <c:v>1</c:v>
                  </c:pt>
                  <c:pt idx="15">
                    <c:v>OR</c:v>
                  </c:pt>
                  <c:pt idx="16">
                    <c:v>0</c:v>
                  </c:pt>
                  <c:pt idx="17">
                    <c:v>0</c:v>
                  </c:pt>
                  <c:pt idx="18">
                    <c:v>8</c:v>
                  </c:pt>
                  <c:pt idx="19">
                    <c:v>5</c:v>
                  </c:pt>
                  <c:pt idx="20">
                    <c:v>9</c:v>
                  </c:pt>
                </c:lvl>
                <c:lvl>
                  <c:pt idx="3">
                    <c:v>A23</c:v>
                  </c:pt>
                  <c:pt idx="5">
                    <c:v>0</c:v>
                  </c:pt>
                  <c:pt idx="6">
                    <c:v>0</c:v>
                  </c:pt>
                  <c:pt idx="7">
                    <c:v>8</c:v>
                  </c:pt>
                  <c:pt idx="8">
                    <c:v>5</c:v>
                  </c:pt>
                  <c:pt idx="9">
                    <c:v>9</c:v>
                  </c:pt>
                </c:lvl>
                <c:lvl>
                  <c:pt idx="3">
                    <c:v>NUMERO DE POLICE </c:v>
                  </c:pt>
                </c:lvl>
                <c:lvl>
                  <c:pt idx="0">
                    <c:v>SAAR</c:v>
                  </c:pt>
                  <c:pt idx="2">
                    <c:v>ORD</c:v>
                  </c:pt>
                  <c:pt idx="4">
                    <c:v>1</c:v>
                  </c:pt>
                  <c:pt idx="5">
                    <c:v>1000</c:v>
                  </c:pt>
                  <c:pt idx="8">
                    <c:v>A23ORDSAAR00859</c:v>
                  </c:pt>
                  <c:pt idx="11">
                    <c:v>/</c:v>
                  </c:pt>
                  <c:pt idx="12">
                    <c:v>1</c:v>
                  </c:pt>
                </c:lvl>
              </c:multiLvlStrCache>
            </c:multiLvlStrRef>
          </c:cat>
          <c:val>
            <c:numRef>
              <c:f>CONTRATS!$H$39:$AE$39</c:f>
              <c:numCache>
                <c:formatCode>General</c:formatCode>
                <c:ptCount val="21"/>
              </c:numCache>
            </c:numRef>
          </c:val>
          <c:extLst>
            <c:ext xmlns:c16="http://schemas.microsoft.com/office/drawing/2014/chart" uri="{C3380CC4-5D6E-409C-BE32-E72D297353CC}">
              <c16:uniqueId val="{0000000D-AF2F-40F1-8F63-71F25A0CA744}"/>
            </c:ext>
          </c:extLst>
        </c:ser>
        <c:dLbls>
          <c:showLegendKey val="0"/>
          <c:showVal val="0"/>
          <c:showCatName val="0"/>
          <c:showSerName val="0"/>
          <c:showPercent val="0"/>
          <c:showBubbleSize val="0"/>
        </c:dLbls>
        <c:gapWidth val="150"/>
        <c:axId val="337267776"/>
        <c:axId val="337268168"/>
      </c:barChart>
      <c:catAx>
        <c:axId val="337267776"/>
        <c:scaling>
          <c:orientation val="minMax"/>
        </c:scaling>
        <c:delete val="0"/>
        <c:axPos val="b"/>
        <c:numFmt formatCode="General" sourceLinked="0"/>
        <c:majorTickMark val="out"/>
        <c:minorTickMark val="none"/>
        <c:tickLblPos val="nextTo"/>
        <c:crossAx val="337268168"/>
        <c:crosses val="autoZero"/>
        <c:auto val="1"/>
        <c:lblAlgn val="ctr"/>
        <c:lblOffset val="100"/>
        <c:noMultiLvlLbl val="0"/>
      </c:catAx>
      <c:valAx>
        <c:axId val="337268168"/>
        <c:scaling>
          <c:orientation val="minMax"/>
        </c:scaling>
        <c:delete val="0"/>
        <c:axPos val="l"/>
        <c:majorGridlines/>
        <c:numFmt formatCode="General" sourceLinked="1"/>
        <c:majorTickMark val="out"/>
        <c:minorTickMark val="none"/>
        <c:tickLblPos val="nextTo"/>
        <c:crossAx val="337267776"/>
        <c:crosses val="autoZero"/>
        <c:crossBetween val="between"/>
      </c:valAx>
    </c:plotArea>
    <c:legend>
      <c:legendPos val="r"/>
      <c:overlay val="0"/>
    </c:legend>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codeName="Chart12"/>
  <sheetViews>
    <sheetView zoomScale="116"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absoluteAnchor>
    <xdr:pos x="0" y="0"/>
    <xdr:ext cx="8662823" cy="628978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editAs="oneCell">
    <xdr:from>
      <xdr:col>0</xdr:col>
      <xdr:colOff>23813</xdr:colOff>
      <xdr:row>0</xdr:row>
      <xdr:rowOff>23813</xdr:rowOff>
    </xdr:from>
    <xdr:to>
      <xdr:col>2</xdr:col>
      <xdr:colOff>471765</xdr:colOff>
      <xdr:row>5</xdr:row>
      <xdr:rowOff>152884</xdr:rowOff>
    </xdr:to>
    <xdr:pic>
      <xdr:nvPicPr>
        <xdr:cNvPr id="5" name="Image 1" descr="E:\logo yan capital.jpg"/>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3805" t="6028" r="4575" b="34240"/>
        <a:stretch/>
      </xdr:blipFill>
      <xdr:spPr bwMode="auto">
        <a:xfrm>
          <a:off x="23813" y="23813"/>
          <a:ext cx="1987827" cy="1002196"/>
        </a:xfrm>
        <a:prstGeom prst="rect">
          <a:avLst/>
        </a:prstGeom>
        <a:noFill/>
        <a:ln>
          <a:noFill/>
        </a:ln>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409576</xdr:colOff>
      <xdr:row>29</xdr:row>
      <xdr:rowOff>83891</xdr:rowOff>
    </xdr:from>
    <xdr:to>
      <xdr:col>8</xdr:col>
      <xdr:colOff>314326</xdr:colOff>
      <xdr:row>32</xdr:row>
      <xdr:rowOff>114300</xdr:rowOff>
    </xdr:to>
    <xdr:sp macro="" textlink="">
      <xdr:nvSpPr>
        <xdr:cNvPr id="6" name="Text Box 1"/>
        <xdr:cNvSpPr txBox="1">
          <a:spLocks noChangeArrowheads="1"/>
        </xdr:cNvSpPr>
      </xdr:nvSpPr>
      <xdr:spPr bwMode="auto">
        <a:xfrm>
          <a:off x="4314826" y="5656016"/>
          <a:ext cx="1905000" cy="573334"/>
        </a:xfrm>
        <a:prstGeom prst="rect">
          <a:avLst/>
        </a:prstGeom>
        <a:noFill/>
        <a:ln w="9525">
          <a:noFill/>
          <a:miter lim="800000"/>
          <a:headEnd/>
          <a:tailEnd/>
        </a:ln>
      </xdr:spPr>
      <xdr:txBody>
        <a:bodyPr wrap="square" lIns="91440" tIns="45720" rIns="91440" bIns="45720" anchor="t" upright="1">
          <a:noAutofit/>
        </a:bodyPr>
        <a:lstStyle/>
        <a:p>
          <a:pPr algn="l" rtl="1">
            <a:defRPr sz="1000"/>
          </a:pPr>
          <a:r>
            <a:rPr lang="fr-FR" sz="800" b="0" i="0" strike="noStrike">
              <a:solidFill>
                <a:srgbClr val="0066FF"/>
              </a:solidFill>
              <a:latin typeface="Calibri"/>
            </a:rPr>
            <a:t>.</a:t>
          </a:r>
        </a:p>
        <a:p>
          <a:pPr algn="l" rtl="1">
            <a:defRPr sz="1000"/>
          </a:pPr>
          <a:endParaRPr lang="fr-FR" sz="800" b="0" i="0" strike="noStrike">
            <a:solidFill>
              <a:srgbClr val="0066FF"/>
            </a:solidFill>
            <a:latin typeface="Calibri"/>
          </a:endParaRPr>
        </a:p>
      </xdr:txBody>
    </xdr:sp>
    <xdr:clientData/>
  </xdr:twoCellAnchor>
  <xdr:twoCellAnchor editAs="oneCell">
    <xdr:from>
      <xdr:col>0</xdr:col>
      <xdr:colOff>0</xdr:colOff>
      <xdr:row>0</xdr:row>
      <xdr:rowOff>0</xdr:rowOff>
    </xdr:from>
    <xdr:to>
      <xdr:col>2</xdr:col>
      <xdr:colOff>340002</xdr:colOff>
      <xdr:row>6</xdr:row>
      <xdr:rowOff>30646</xdr:rowOff>
    </xdr:to>
    <xdr:pic>
      <xdr:nvPicPr>
        <xdr:cNvPr id="8" name="Image 1" descr="E:\logo yan capital.jpg"/>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3805" t="6028" r="4575" b="34240"/>
        <a:stretch/>
      </xdr:blipFill>
      <xdr:spPr bwMode="auto">
        <a:xfrm>
          <a:off x="0" y="0"/>
          <a:ext cx="1987827" cy="1002196"/>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0</xdr:col>
      <xdr:colOff>0</xdr:colOff>
      <xdr:row>27</xdr:row>
      <xdr:rowOff>0</xdr:rowOff>
    </xdr:from>
    <xdr:to>
      <xdr:col>2</xdr:col>
      <xdr:colOff>340002</xdr:colOff>
      <xdr:row>32</xdr:row>
      <xdr:rowOff>135421</xdr:rowOff>
    </xdr:to>
    <xdr:pic>
      <xdr:nvPicPr>
        <xdr:cNvPr id="9" name="Image 1" descr="E:\logo yan capital.jpg"/>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3805" t="6028" r="4575" b="34240"/>
        <a:stretch/>
      </xdr:blipFill>
      <xdr:spPr bwMode="auto">
        <a:xfrm>
          <a:off x="0" y="5467350"/>
          <a:ext cx="1987827" cy="1002196"/>
        </a:xfrm>
        <a:prstGeom prst="rect">
          <a:avLst/>
        </a:prstGeom>
        <a:noFill/>
        <a:ln>
          <a:noFill/>
        </a:ln>
        <a:extLst>
          <a:ext uri="{53640926-AAD7-44D8-BBD7-CCE9431645EC}">
            <a14:shadowObscured xmlns:a14="http://schemas.microsoft.com/office/drawing/2010/main"/>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uments%20and%20Settings\Administrateur\Application%20Data\Microsoft\Excel\Contrat%20GMC%20Enregistr&#233;%20automatiqueme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ATS"/>
      <sheetName val="carte rose"/>
      <sheetName val="Att Pers"/>
      <sheetName val="RECU"/>
    </sheetNames>
    <sheetDataSet>
      <sheetData sheetId="0" refreshError="1">
        <row r="9">
          <cell r="F9" t="str">
            <v>A1712304ORD 0619</v>
          </cell>
        </row>
        <row r="21">
          <cell r="B21" t="str">
            <v>NO</v>
          </cell>
          <cell r="C21" t="str">
            <v>SANS REMORQUE</v>
          </cell>
          <cell r="E21" t="str">
            <v>ENGINS PORTUAIRES ET DE MANUTENTION</v>
          </cell>
        </row>
      </sheetData>
      <sheetData sheetId="1" refreshError="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S34"/>
  <sheetViews>
    <sheetView topLeftCell="AK1" workbookViewId="0">
      <selection sqref="A1:AJ1048576"/>
    </sheetView>
  </sheetViews>
  <sheetFormatPr defaultColWidth="11.42578125" defaultRowHeight="15"/>
  <cols>
    <col min="1" max="1" width="0" style="73" hidden="1" customWidth="1"/>
    <col min="2" max="2" width="16.42578125" style="73" hidden="1" customWidth="1"/>
    <col min="3" max="14" width="16.85546875" style="73" hidden="1" customWidth="1"/>
    <col min="15" max="16" width="0" style="73" hidden="1" customWidth="1"/>
    <col min="17" max="18" width="16.85546875" style="73" hidden="1" customWidth="1"/>
    <col min="19" max="36" width="0" style="73" hidden="1" customWidth="1"/>
    <col min="37" max="16384" width="11.42578125" style="73"/>
  </cols>
  <sheetData>
    <row r="1" spans="1:19">
      <c r="Q1" s="73" t="s">
        <v>15</v>
      </c>
      <c r="R1" s="73" t="s">
        <v>16</v>
      </c>
      <c r="S1" s="73" t="s">
        <v>17</v>
      </c>
    </row>
    <row r="2" spans="1:19">
      <c r="G2" s="73" t="s">
        <v>0</v>
      </c>
      <c r="H2" s="73" t="s">
        <v>1</v>
      </c>
      <c r="I2" s="73" t="s">
        <v>20</v>
      </c>
      <c r="J2" s="73" t="s">
        <v>2</v>
      </c>
    </row>
    <row r="3" spans="1:19">
      <c r="A3" s="89"/>
      <c r="B3" s="89"/>
      <c r="C3" s="91" t="s">
        <v>21</v>
      </c>
      <c r="D3" s="89" t="s">
        <v>22</v>
      </c>
      <c r="E3" s="92"/>
    </row>
    <row r="4" spans="1:19">
      <c r="A4" s="89" t="str">
        <f>'CAT 3'!A4</f>
        <v>ZONE C</v>
      </c>
      <c r="B4" s="89" t="str">
        <f>'CAT 3'!B4</f>
        <v>SANS REMORQUE</v>
      </c>
      <c r="C4" s="93">
        <f>'CAT 3'!C4</f>
        <v>19</v>
      </c>
      <c r="D4" s="89" t="str">
        <f>'CAT 3'!D4</f>
        <v>ESSENCE</v>
      </c>
      <c r="E4" s="92"/>
      <c r="F4" s="73" t="str">
        <f>CONTRATS!E17</f>
        <v>VT</v>
      </c>
      <c r="P4" s="73" t="s">
        <v>15</v>
      </c>
    </row>
    <row r="6" spans="1:19">
      <c r="A6" s="73" t="s">
        <v>0</v>
      </c>
      <c r="B6" s="73" t="s">
        <v>1</v>
      </c>
      <c r="C6" s="73" t="str">
        <f>[1]CONTRATS!$C$21</f>
        <v>SANS REMORQUE</v>
      </c>
      <c r="D6" s="73" t="s">
        <v>2</v>
      </c>
      <c r="E6" s="77" t="s">
        <v>112</v>
      </c>
      <c r="I6" s="307" t="s">
        <v>18</v>
      </c>
      <c r="J6" s="307"/>
      <c r="K6" s="307"/>
      <c r="M6" s="77" t="s">
        <v>112</v>
      </c>
      <c r="N6" s="77"/>
      <c r="O6" s="73" t="s">
        <v>0</v>
      </c>
      <c r="P6" s="73" t="s">
        <v>1</v>
      </c>
      <c r="Q6" s="73" t="s">
        <v>3</v>
      </c>
      <c r="R6" s="73" t="s">
        <v>2</v>
      </c>
    </row>
    <row r="7" spans="1:19">
      <c r="A7" s="73" t="s">
        <v>9</v>
      </c>
      <c r="B7" s="73" t="s">
        <v>9</v>
      </c>
      <c r="C7" s="79">
        <f>IF(A4="ZONE A",Q7,IF(A4="ZONE B",Q18,IF(A4="ZONE C",Q29,0)))</f>
        <v>48124</v>
      </c>
      <c r="D7" s="79">
        <f>IF(A4="ZONE A",R7,IF(A4="ZONE B",R18,IF(A4="ZONE C",R29,0)))</f>
        <v>52935</v>
      </c>
      <c r="E7" s="79">
        <f t="shared" ref="E7:E12" si="0">D7-C7</f>
        <v>4811</v>
      </c>
      <c r="F7" s="79">
        <f>IF(B4="SANS REMORQUE",1,0)</f>
        <v>1</v>
      </c>
      <c r="G7" s="79">
        <f>IF(B4="SANS REMORQUE",0,1)</f>
        <v>0</v>
      </c>
      <c r="H7" s="79">
        <f t="shared" ref="H7:H12" si="1">C7*F7+D7*G7</f>
        <v>48124</v>
      </c>
      <c r="I7" s="79">
        <f>IF(C4&gt;0,1,0)</f>
        <v>1</v>
      </c>
      <c r="J7" s="79">
        <f>IF(C4&lt;=2,1,0)</f>
        <v>0</v>
      </c>
      <c r="K7" s="79">
        <f t="shared" ref="K7:K12" si="2">I7*J7</f>
        <v>0</v>
      </c>
      <c r="L7" s="73">
        <f>K7*H7</f>
        <v>0</v>
      </c>
      <c r="M7" s="79">
        <f t="shared" ref="M7:M12" si="3">E7*K7</f>
        <v>0</v>
      </c>
      <c r="N7" s="79"/>
      <c r="O7" s="73" t="s">
        <v>9</v>
      </c>
      <c r="P7" s="73" t="s">
        <v>9</v>
      </c>
      <c r="Q7" s="79">
        <v>52499</v>
      </c>
      <c r="R7" s="79">
        <v>57748</v>
      </c>
    </row>
    <row r="8" spans="1:19">
      <c r="A8" s="73" t="s">
        <v>4</v>
      </c>
      <c r="B8" s="73" t="s">
        <v>10</v>
      </c>
      <c r="C8" s="79">
        <f>IF(A4="ZONE A",Q8,IF(A4="ZONE B",Q19,IF(A4="ZONE C",Q30,0)))</f>
        <v>58468</v>
      </c>
      <c r="D8" s="79">
        <f>IF(A4="ZONE A",R8,IF(A4="ZONE B",R19,IF(A4="ZONE C",R30,0)))</f>
        <v>64315</v>
      </c>
      <c r="E8" s="79">
        <f t="shared" si="0"/>
        <v>5847</v>
      </c>
      <c r="F8" s="79">
        <f t="shared" ref="F8:G12" si="4">F7</f>
        <v>1</v>
      </c>
      <c r="G8" s="79">
        <f t="shared" si="4"/>
        <v>0</v>
      </c>
      <c r="H8" s="79">
        <f t="shared" si="1"/>
        <v>58468</v>
      </c>
      <c r="I8" s="79">
        <f>IF(C4&gt;2,1,0)</f>
        <v>1</v>
      </c>
      <c r="J8" s="79">
        <f>IF(C4&lt;7,1,0)</f>
        <v>0</v>
      </c>
      <c r="K8" s="79">
        <f t="shared" si="2"/>
        <v>0</v>
      </c>
      <c r="L8" s="73">
        <f t="shared" ref="L8:L19" si="5">K8*H8</f>
        <v>0</v>
      </c>
      <c r="M8" s="79">
        <f t="shared" si="3"/>
        <v>0</v>
      </c>
      <c r="N8" s="79"/>
      <c r="O8" s="73" t="s">
        <v>4</v>
      </c>
      <c r="P8" s="73" t="s">
        <v>10</v>
      </c>
      <c r="Q8" s="79">
        <v>63784</v>
      </c>
      <c r="R8" s="79">
        <v>70162</v>
      </c>
    </row>
    <row r="9" spans="1:19">
      <c r="A9" s="73" t="s">
        <v>5</v>
      </c>
      <c r="B9" s="73" t="s">
        <v>11</v>
      </c>
      <c r="C9" s="79">
        <f>IF(A4="ZONE A",Q9,IF(A4="ZONE B",Q20,IF(A4="ZONE C",Q31,0)))</f>
        <v>64970</v>
      </c>
      <c r="D9" s="79">
        <f>IF(A4="ZONE A",R9,IF(A4="ZONE B",R20,IF(A4="ZONE C",R31,0)))</f>
        <v>71467</v>
      </c>
      <c r="E9" s="79">
        <f t="shared" si="0"/>
        <v>6497</v>
      </c>
      <c r="F9" s="79">
        <f t="shared" si="4"/>
        <v>1</v>
      </c>
      <c r="G9" s="79">
        <f t="shared" si="4"/>
        <v>0</v>
      </c>
      <c r="H9" s="79">
        <f t="shared" si="1"/>
        <v>64970</v>
      </c>
      <c r="I9" s="79">
        <f>IF(C4&gt;6,1,0)</f>
        <v>1</v>
      </c>
      <c r="J9" s="79">
        <f>IF(C4&lt;11,1,0)</f>
        <v>0</v>
      </c>
      <c r="K9" s="79">
        <f t="shared" si="2"/>
        <v>0</v>
      </c>
      <c r="L9" s="73">
        <f t="shared" si="5"/>
        <v>0</v>
      </c>
      <c r="M9" s="79">
        <f t="shared" si="3"/>
        <v>0</v>
      </c>
      <c r="N9" s="79"/>
      <c r="O9" s="73" t="s">
        <v>5</v>
      </c>
      <c r="P9" s="73" t="s">
        <v>11</v>
      </c>
      <c r="Q9" s="79">
        <v>70877</v>
      </c>
      <c r="R9" s="79">
        <v>77964</v>
      </c>
    </row>
    <row r="10" spans="1:19">
      <c r="A10" s="73" t="s">
        <v>6</v>
      </c>
      <c r="B10" s="73" t="s">
        <v>12</v>
      </c>
      <c r="C10" s="79">
        <f>IF(A4="ZONE A",Q10,IF(A4="ZONE B",Q21,IF(A4="ZONE C",Q32,0)))</f>
        <v>84789</v>
      </c>
      <c r="D10" s="79">
        <f>IF(A4="ZONE A",R10,IF(A4="ZONE B",R21,IF(A4="ZONE C",R32,0)))</f>
        <v>93268</v>
      </c>
      <c r="E10" s="79">
        <f t="shared" si="0"/>
        <v>8479</v>
      </c>
      <c r="F10" s="79">
        <f t="shared" si="4"/>
        <v>1</v>
      </c>
      <c r="G10" s="79">
        <f t="shared" si="4"/>
        <v>0</v>
      </c>
      <c r="H10" s="79">
        <f t="shared" si="1"/>
        <v>84789</v>
      </c>
      <c r="I10" s="79">
        <f>IF(C4&gt;10,1,0)</f>
        <v>1</v>
      </c>
      <c r="J10" s="79">
        <f>IF(C4&lt;15,1,0)</f>
        <v>0</v>
      </c>
      <c r="K10" s="79">
        <f t="shared" si="2"/>
        <v>0</v>
      </c>
      <c r="L10" s="73">
        <f t="shared" si="5"/>
        <v>0</v>
      </c>
      <c r="M10" s="79">
        <f t="shared" si="3"/>
        <v>0</v>
      </c>
      <c r="N10" s="79"/>
      <c r="O10" s="73" t="s">
        <v>6</v>
      </c>
      <c r="P10" s="73" t="s">
        <v>12</v>
      </c>
      <c r="Q10" s="79">
        <v>92497</v>
      </c>
      <c r="R10" s="79">
        <v>101747</v>
      </c>
    </row>
    <row r="11" spans="1:19">
      <c r="A11" s="73" t="s">
        <v>7</v>
      </c>
      <c r="B11" s="73" t="s">
        <v>13</v>
      </c>
      <c r="C11" s="79">
        <f>IF(A4="ZONE A",Q11,IF(A4="ZONE B",Q22,IF(A4="ZONE C",Q33,0)))</f>
        <v>107951</v>
      </c>
      <c r="D11" s="79">
        <f>IF(A4="ZONE A",R11,IF(A4="ZONE B",R22,IF(A4="ZONE C",R33,0)))</f>
        <v>118746</v>
      </c>
      <c r="E11" s="79">
        <f t="shared" si="0"/>
        <v>10795</v>
      </c>
      <c r="F11" s="79">
        <f t="shared" si="4"/>
        <v>1</v>
      </c>
      <c r="G11" s="79">
        <f t="shared" si="4"/>
        <v>0</v>
      </c>
      <c r="H11" s="79">
        <f t="shared" si="1"/>
        <v>107951</v>
      </c>
      <c r="I11" s="79">
        <f>IF(C4&gt;14,1,0)</f>
        <v>1</v>
      </c>
      <c r="J11" s="79">
        <f>IF(C4&lt;24,1,0)</f>
        <v>1</v>
      </c>
      <c r="K11" s="79">
        <f t="shared" si="2"/>
        <v>1</v>
      </c>
      <c r="L11" s="73">
        <f t="shared" si="5"/>
        <v>107951</v>
      </c>
      <c r="M11" s="79">
        <f t="shared" si="3"/>
        <v>10795</v>
      </c>
      <c r="N11" s="79"/>
      <c r="O11" s="73" t="s">
        <v>38</v>
      </c>
      <c r="P11" s="73" t="s">
        <v>13</v>
      </c>
      <c r="Q11" s="79">
        <v>117764</v>
      </c>
      <c r="R11" s="79">
        <v>129541</v>
      </c>
    </row>
    <row r="12" spans="1:19">
      <c r="A12" s="73" t="s">
        <v>8</v>
      </c>
      <c r="B12" s="73" t="s">
        <v>14</v>
      </c>
      <c r="C12" s="79">
        <f>IF(A4="ZONE A",Q12,IF(A4="ZONE B",Q23,IF(A4="ZONE C",Q34,0)))</f>
        <v>127291</v>
      </c>
      <c r="D12" s="79">
        <f>IF(A4="ZONE A",R12,IF(A4="ZONE B",R23,IF(A4="ZONE C",R34,0)))</f>
        <v>140020</v>
      </c>
      <c r="E12" s="79">
        <f t="shared" si="0"/>
        <v>12729</v>
      </c>
      <c r="F12" s="79">
        <f t="shared" si="4"/>
        <v>1</v>
      </c>
      <c r="G12" s="79">
        <f t="shared" si="4"/>
        <v>0</v>
      </c>
      <c r="H12" s="79">
        <f t="shared" si="1"/>
        <v>127291</v>
      </c>
      <c r="I12" s="79">
        <f>IF(C4&gt;23,1,0)</f>
        <v>0</v>
      </c>
      <c r="J12" s="79">
        <f>IF(C4&lt;9999999999,1,0)</f>
        <v>1</v>
      </c>
      <c r="K12" s="79">
        <f t="shared" si="2"/>
        <v>0</v>
      </c>
      <c r="L12" s="73">
        <f t="shared" si="5"/>
        <v>0</v>
      </c>
      <c r="M12" s="79">
        <f t="shared" si="3"/>
        <v>0</v>
      </c>
      <c r="N12" s="79"/>
      <c r="O12" s="73" t="s">
        <v>8</v>
      </c>
      <c r="P12" s="73" t="s">
        <v>14</v>
      </c>
      <c r="Q12" s="79">
        <v>138863</v>
      </c>
      <c r="R12" s="79">
        <v>152749</v>
      </c>
    </row>
    <row r="13" spans="1:19">
      <c r="I13" s="307" t="s">
        <v>19</v>
      </c>
      <c r="J13" s="307"/>
      <c r="K13" s="307"/>
      <c r="L13" s="73">
        <f>SUM(L7:L12)</f>
        <v>107951</v>
      </c>
      <c r="M13" s="79">
        <f>SUM(M7:M12)</f>
        <v>10795</v>
      </c>
      <c r="N13" s="79"/>
    </row>
    <row r="14" spans="1:19">
      <c r="E14" s="79">
        <f t="shared" ref="E14:E19" si="6">E7</f>
        <v>4811</v>
      </c>
      <c r="F14" s="79">
        <f>IF(B4="SANS REMORQUE",1,0)</f>
        <v>1</v>
      </c>
      <c r="G14" s="79">
        <f>IF(B4="SANS REMORQUE",0,1)</f>
        <v>0</v>
      </c>
      <c r="H14" s="79">
        <f t="shared" ref="H14:H19" si="7">C7*F14+D7*G14</f>
        <v>48124</v>
      </c>
      <c r="I14" s="79">
        <f>IF(C4&gt;0,1,0)</f>
        <v>1</v>
      </c>
      <c r="J14" s="79">
        <f>IF(C4&lt;=1,1,0)</f>
        <v>0</v>
      </c>
      <c r="K14" s="79">
        <f t="shared" ref="K14:K19" si="8">I14*J14</f>
        <v>0</v>
      </c>
      <c r="L14" s="73">
        <f t="shared" si="5"/>
        <v>0</v>
      </c>
      <c r="M14" s="79">
        <f t="shared" ref="M14:M19" si="9">K14*E14</f>
        <v>0</v>
      </c>
      <c r="N14" s="79"/>
    </row>
    <row r="15" spans="1:19">
      <c r="E15" s="79">
        <f t="shared" si="6"/>
        <v>5847</v>
      </c>
      <c r="F15" s="79">
        <f>F14</f>
        <v>1</v>
      </c>
      <c r="G15" s="79">
        <f>G14</f>
        <v>0</v>
      </c>
      <c r="H15" s="79">
        <f t="shared" si="7"/>
        <v>58468</v>
      </c>
      <c r="I15" s="79">
        <f>IF(C4&gt;1,1,0)</f>
        <v>1</v>
      </c>
      <c r="J15" s="79">
        <f>IF(C4&lt;5,1,0)</f>
        <v>0</v>
      </c>
      <c r="K15" s="79">
        <f t="shared" si="8"/>
        <v>0</v>
      </c>
      <c r="L15" s="73">
        <f t="shared" si="5"/>
        <v>0</v>
      </c>
      <c r="M15" s="79">
        <f t="shared" si="9"/>
        <v>0</v>
      </c>
      <c r="N15" s="79"/>
      <c r="P15" s="73" t="s">
        <v>16</v>
      </c>
    </row>
    <row r="16" spans="1:19">
      <c r="A16" s="78"/>
      <c r="B16" s="308">
        <f>IF(D4="ESSENCE",M13,M20)*IF(F4="SEMI-REMORQUE",1,0)</f>
        <v>0</v>
      </c>
      <c r="C16" s="308">
        <f>IF(D4="ESSENCE",L13,L20)*IF(CONTRATS!C24=0,0,1)*IF(CONTRATS!E24=0,1,0)*IF(CONTRATS!B24="NO",1,0)*IF(F4="SEMI-REMORQUE",0,1)+B16</f>
        <v>107951</v>
      </c>
      <c r="D16" s="308"/>
      <c r="E16" s="79">
        <f t="shared" si="6"/>
        <v>6497</v>
      </c>
      <c r="F16" s="79">
        <f t="shared" ref="F16:G19" si="10">F15</f>
        <v>1</v>
      </c>
      <c r="G16" s="79">
        <f t="shared" si="10"/>
        <v>0</v>
      </c>
      <c r="H16" s="79">
        <f t="shared" si="7"/>
        <v>64970</v>
      </c>
      <c r="I16" s="79">
        <f>IF(C4&gt;4,1,0)</f>
        <v>1</v>
      </c>
      <c r="J16" s="79">
        <f>IF(C4&lt;8,1,0)</f>
        <v>0</v>
      </c>
      <c r="K16" s="79">
        <f t="shared" si="8"/>
        <v>0</v>
      </c>
      <c r="L16" s="73">
        <f t="shared" si="5"/>
        <v>0</v>
      </c>
      <c r="M16" s="79">
        <f t="shared" si="9"/>
        <v>0</v>
      </c>
      <c r="N16" s="79"/>
    </row>
    <row r="17" spans="2:18">
      <c r="B17" s="308"/>
      <c r="C17" s="308"/>
      <c r="D17" s="308"/>
      <c r="E17" s="79">
        <f t="shared" si="6"/>
        <v>8479</v>
      </c>
      <c r="F17" s="79">
        <f t="shared" si="10"/>
        <v>1</v>
      </c>
      <c r="G17" s="79">
        <f t="shared" si="10"/>
        <v>0</v>
      </c>
      <c r="H17" s="79">
        <f t="shared" si="7"/>
        <v>84789</v>
      </c>
      <c r="I17" s="79">
        <f>IF(C4&gt;7,1,0)</f>
        <v>1</v>
      </c>
      <c r="J17" s="79">
        <f>IF(C4&lt;11,1,0)</f>
        <v>0</v>
      </c>
      <c r="K17" s="79">
        <f t="shared" si="8"/>
        <v>0</v>
      </c>
      <c r="L17" s="73">
        <f t="shared" si="5"/>
        <v>0</v>
      </c>
      <c r="M17" s="79">
        <f t="shared" si="9"/>
        <v>0</v>
      </c>
      <c r="N17" s="79"/>
      <c r="O17" s="73" t="s">
        <v>0</v>
      </c>
      <c r="P17" s="73" t="s">
        <v>1</v>
      </c>
      <c r="Q17" s="73" t="str">
        <f>Q6</f>
        <v xml:space="preserve">SANS REMORQUE </v>
      </c>
      <c r="R17" s="73" t="str">
        <f>R6</f>
        <v xml:space="preserve">AVEC REMORQUE </v>
      </c>
    </row>
    <row r="18" spans="2:18">
      <c r="E18" s="79">
        <f t="shared" si="6"/>
        <v>10795</v>
      </c>
      <c r="F18" s="79">
        <f t="shared" si="10"/>
        <v>1</v>
      </c>
      <c r="G18" s="79">
        <f t="shared" si="10"/>
        <v>0</v>
      </c>
      <c r="H18" s="79">
        <f t="shared" si="7"/>
        <v>107951</v>
      </c>
      <c r="I18" s="79">
        <f>IF(C4&gt;10,1,0)</f>
        <v>1</v>
      </c>
      <c r="J18" s="79">
        <f>IF(C4&lt;17,1,0)</f>
        <v>0</v>
      </c>
      <c r="K18" s="79">
        <f t="shared" si="8"/>
        <v>0</v>
      </c>
      <c r="L18" s="73">
        <f t="shared" si="5"/>
        <v>0</v>
      </c>
      <c r="M18" s="79">
        <f t="shared" si="9"/>
        <v>0</v>
      </c>
      <c r="N18" s="79"/>
      <c r="O18" s="73" t="s">
        <v>9</v>
      </c>
      <c r="P18" s="73" t="s">
        <v>9</v>
      </c>
      <c r="Q18" s="79">
        <v>50311</v>
      </c>
      <c r="R18" s="79">
        <v>55341</v>
      </c>
    </row>
    <row r="19" spans="2:18">
      <c r="E19" s="79">
        <f t="shared" si="6"/>
        <v>12729</v>
      </c>
      <c r="F19" s="79">
        <f t="shared" si="10"/>
        <v>1</v>
      </c>
      <c r="G19" s="79">
        <f t="shared" si="10"/>
        <v>0</v>
      </c>
      <c r="H19" s="79">
        <f t="shared" si="7"/>
        <v>127291</v>
      </c>
      <c r="I19" s="79">
        <f>IF(C4&gt;16,1,0)</f>
        <v>1</v>
      </c>
      <c r="J19" s="79">
        <f>IF(C4&lt;9999999999,1,0)</f>
        <v>1</v>
      </c>
      <c r="K19" s="79">
        <f t="shared" si="8"/>
        <v>1</v>
      </c>
      <c r="L19" s="73">
        <f t="shared" si="5"/>
        <v>127291</v>
      </c>
      <c r="M19" s="79">
        <f t="shared" si="9"/>
        <v>12729</v>
      </c>
      <c r="N19" s="79"/>
      <c r="O19" s="73" t="s">
        <v>4</v>
      </c>
      <c r="P19" s="73" t="s">
        <v>10</v>
      </c>
      <c r="Q19" s="79">
        <v>61126</v>
      </c>
      <c r="R19" s="79">
        <v>67238</v>
      </c>
    </row>
    <row r="20" spans="2:18">
      <c r="L20" s="73">
        <f>SUM(L14:L19)</f>
        <v>127291</v>
      </c>
      <c r="M20" s="79">
        <f>SUM(M14:M19)</f>
        <v>12729</v>
      </c>
      <c r="N20" s="79"/>
      <c r="O20" s="73" t="s">
        <v>5</v>
      </c>
      <c r="P20" s="73" t="s">
        <v>11</v>
      </c>
      <c r="Q20" s="79">
        <v>67924</v>
      </c>
      <c r="R20" s="79">
        <v>74716</v>
      </c>
    </row>
    <row r="21" spans="2:18">
      <c r="O21" s="73" t="s">
        <v>6</v>
      </c>
      <c r="P21" s="73" t="s">
        <v>12</v>
      </c>
      <c r="Q21" s="79">
        <v>88643</v>
      </c>
      <c r="R21" s="79">
        <v>97507</v>
      </c>
    </row>
    <row r="22" spans="2:18">
      <c r="O22" s="73" t="s">
        <v>7</v>
      </c>
      <c r="P22" s="73" t="s">
        <v>13</v>
      </c>
      <c r="Q22" s="79">
        <v>112858</v>
      </c>
      <c r="R22" s="79">
        <v>124144</v>
      </c>
    </row>
    <row r="23" spans="2:18">
      <c r="O23" s="73" t="s">
        <v>8</v>
      </c>
      <c r="P23" s="73" t="s">
        <v>14</v>
      </c>
      <c r="Q23" s="79">
        <v>133077</v>
      </c>
      <c r="R23" s="79">
        <v>146385</v>
      </c>
    </row>
    <row r="26" spans="2:18">
      <c r="P26" s="73" t="s">
        <v>17</v>
      </c>
    </row>
    <row r="28" spans="2:18">
      <c r="O28" s="73" t="s">
        <v>0</v>
      </c>
      <c r="P28" s="73" t="s">
        <v>1</v>
      </c>
      <c r="Q28" s="73" t="str">
        <f>Q17</f>
        <v xml:space="preserve">SANS REMORQUE </v>
      </c>
      <c r="R28" s="73" t="str">
        <f>R17</f>
        <v xml:space="preserve">AVEC REMORQUE </v>
      </c>
    </row>
    <row r="29" spans="2:18">
      <c r="O29" s="73" t="s">
        <v>9</v>
      </c>
      <c r="P29" s="73" t="s">
        <v>9</v>
      </c>
      <c r="Q29" s="79">
        <v>48124</v>
      </c>
      <c r="R29" s="79">
        <v>52935</v>
      </c>
    </row>
    <row r="30" spans="2:18">
      <c r="O30" s="73" t="s">
        <v>4</v>
      </c>
      <c r="P30" s="73" t="s">
        <v>10</v>
      </c>
      <c r="Q30" s="79">
        <v>58468</v>
      </c>
      <c r="R30" s="79">
        <v>64315</v>
      </c>
    </row>
    <row r="31" spans="2:18">
      <c r="O31" s="73" t="s">
        <v>5</v>
      </c>
      <c r="P31" s="73" t="s">
        <v>11</v>
      </c>
      <c r="Q31" s="79">
        <v>64970</v>
      </c>
      <c r="R31" s="79">
        <v>71467</v>
      </c>
    </row>
    <row r="32" spans="2:18">
      <c r="O32" s="73" t="s">
        <v>6</v>
      </c>
      <c r="P32" s="73" t="s">
        <v>12</v>
      </c>
      <c r="Q32" s="79">
        <v>84789</v>
      </c>
      <c r="R32" s="79">
        <v>93268</v>
      </c>
    </row>
    <row r="33" spans="15:18">
      <c r="O33" s="73" t="s">
        <v>7</v>
      </c>
      <c r="P33" s="73" t="s">
        <v>13</v>
      </c>
      <c r="Q33" s="79">
        <v>107951</v>
      </c>
      <c r="R33" s="79">
        <v>118746</v>
      </c>
    </row>
    <row r="34" spans="15:18">
      <c r="O34" s="73" t="s">
        <v>8</v>
      </c>
      <c r="P34" s="73" t="s">
        <v>14</v>
      </c>
      <c r="Q34" s="79">
        <v>127291</v>
      </c>
      <c r="R34" s="79">
        <v>140020</v>
      </c>
    </row>
  </sheetData>
  <sheetProtection password="D373" sheet="1" objects="1" scenarios="1"/>
  <mergeCells count="4">
    <mergeCell ref="I6:K6"/>
    <mergeCell ref="I13:K13"/>
    <mergeCell ref="C16:D17"/>
    <mergeCell ref="B16:B17"/>
  </mergeCells>
  <dataValidations count="1">
    <dataValidation type="list" allowBlank="1" showInputMessage="1" showErrorMessage="1" sqref="A4">
      <formula1>$Q$1:$S$1</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Y103"/>
  <sheetViews>
    <sheetView workbookViewId="0">
      <selection activeCell="F4" sqref="F4"/>
    </sheetView>
  </sheetViews>
  <sheetFormatPr defaultColWidth="11.42578125" defaultRowHeight="15"/>
  <cols>
    <col min="1" max="1" width="17.42578125" customWidth="1"/>
    <col min="2" max="2" width="24.85546875" customWidth="1"/>
    <col min="3" max="3" width="25.28515625" customWidth="1"/>
    <col min="4" max="4" width="23" customWidth="1"/>
    <col min="5" max="5" width="18.5703125" customWidth="1"/>
    <col min="6" max="6" width="12.85546875" customWidth="1"/>
    <col min="7" max="7" width="14.85546875" customWidth="1"/>
    <col min="8" max="8" width="15.85546875" customWidth="1"/>
    <col min="9" max="9" width="14.7109375" customWidth="1"/>
    <col min="10" max="11" width="16.140625" customWidth="1"/>
    <col min="12" max="12" width="16.42578125" customWidth="1"/>
    <col min="13" max="13" width="15.42578125" customWidth="1"/>
    <col min="14" max="14" width="15" customWidth="1"/>
    <col min="15" max="15" width="13.5703125" customWidth="1"/>
    <col min="16" max="16" width="17.5703125" customWidth="1"/>
    <col min="17" max="17" width="20.42578125" customWidth="1"/>
    <col min="18" max="18" width="18.42578125" customWidth="1"/>
    <col min="19" max="19" width="17.28515625" customWidth="1"/>
    <col min="20" max="20" width="15" customWidth="1"/>
    <col min="21" max="21" width="13.140625" customWidth="1"/>
    <col min="22" max="22" width="14.140625" customWidth="1"/>
    <col min="23" max="23" width="15.5703125" customWidth="1"/>
    <col min="24" max="24" width="16.28515625" customWidth="1"/>
    <col min="25" max="25" width="15.7109375" customWidth="1"/>
    <col min="26" max="26" width="11.7109375" customWidth="1"/>
    <col min="27" max="27" width="15.7109375" customWidth="1"/>
    <col min="28" max="28" width="16" customWidth="1"/>
    <col min="29" max="29" width="14" customWidth="1"/>
    <col min="30" max="30" width="15.7109375" customWidth="1"/>
    <col min="31" max="31" width="16.7109375" customWidth="1"/>
    <col min="32" max="32" width="14.140625" customWidth="1"/>
    <col min="33" max="33" width="18.28515625" customWidth="1"/>
    <col min="34" max="34" width="13.28515625" customWidth="1"/>
    <col min="35" max="35" width="15.42578125" customWidth="1"/>
    <col min="36" max="36" width="11.85546875" customWidth="1"/>
    <col min="37" max="37" width="16.7109375" customWidth="1"/>
    <col min="38" max="38" width="16.85546875" customWidth="1"/>
    <col min="39" max="39" width="14.85546875" customWidth="1"/>
    <col min="40" max="40" width="12.140625" customWidth="1"/>
    <col min="41" max="41" width="15.85546875" customWidth="1"/>
    <col min="42" max="42" width="15.5703125" customWidth="1"/>
    <col min="43" max="43" width="16.42578125" customWidth="1"/>
    <col min="44" max="44" width="18.7109375" customWidth="1"/>
  </cols>
  <sheetData>
    <row r="1" spans="1:21" s="73" customFormat="1"/>
    <row r="2" spans="1:21" s="73" customFormat="1"/>
    <row r="3" spans="1:21" s="73" customFormat="1">
      <c r="B3" s="94"/>
      <c r="C3" s="95"/>
      <c r="D3" s="96" t="s">
        <v>21</v>
      </c>
      <c r="E3" s="95" t="s">
        <v>22</v>
      </c>
      <c r="F3" s="73" t="s">
        <v>40</v>
      </c>
    </row>
    <row r="4" spans="1:21" s="73" customFormat="1">
      <c r="B4" s="97" t="str">
        <f>'CAT 3'!A4</f>
        <v>ZONE C</v>
      </c>
      <c r="C4" s="97" t="str">
        <f>'CAT 3'!B4</f>
        <v>SANS REMORQUE</v>
      </c>
      <c r="D4" s="98">
        <f>'CAT 3'!C4</f>
        <v>19</v>
      </c>
      <c r="E4" s="97" t="str">
        <f>'CAT 3'!D4</f>
        <v>ESSENCE</v>
      </c>
      <c r="F4" s="98">
        <f>CONTRATS!J21</f>
        <v>5</v>
      </c>
      <c r="U4" s="73" t="s">
        <v>15</v>
      </c>
    </row>
    <row r="5" spans="1:21" s="73" customFormat="1"/>
    <row r="6" spans="1:21" s="73" customFormat="1">
      <c r="B6" s="73" t="s">
        <v>0</v>
      </c>
      <c r="C6" s="73" t="s">
        <v>5</v>
      </c>
      <c r="D6" s="73" t="s">
        <v>6</v>
      </c>
      <c r="E6" s="73" t="s">
        <v>38</v>
      </c>
      <c r="F6" s="73" t="s">
        <v>8</v>
      </c>
    </row>
    <row r="7" spans="1:21" s="73" customFormat="1">
      <c r="A7" s="73" t="s">
        <v>39</v>
      </c>
      <c r="B7" s="73" t="s">
        <v>1</v>
      </c>
      <c r="C7" s="73" t="s">
        <v>11</v>
      </c>
      <c r="D7" s="73" t="s">
        <v>12</v>
      </c>
      <c r="E7" s="73" t="s">
        <v>13</v>
      </c>
      <c r="F7" s="73" t="s">
        <v>14</v>
      </c>
    </row>
    <row r="8" spans="1:21" s="73" customFormat="1">
      <c r="A8" s="78" t="s">
        <v>41</v>
      </c>
      <c r="C8" s="79">
        <v>364614</v>
      </c>
      <c r="D8" s="79">
        <v>453331</v>
      </c>
      <c r="E8" s="79">
        <v>528690</v>
      </c>
      <c r="F8" s="79">
        <v>584748</v>
      </c>
      <c r="G8" s="79">
        <f>IF(F4&gt;=9,1,0)</f>
        <v>0</v>
      </c>
      <c r="H8" s="79">
        <f>IF(F4&lt;=19,1,0)</f>
        <v>1</v>
      </c>
      <c r="I8" s="101">
        <f>G8*H8</f>
        <v>0</v>
      </c>
      <c r="J8" s="79">
        <f>I8*C8</f>
        <v>0</v>
      </c>
      <c r="K8" s="79">
        <f>I8*D8</f>
        <v>0</v>
      </c>
      <c r="L8" s="79">
        <f>I8*E8</f>
        <v>0</v>
      </c>
      <c r="M8" s="79">
        <f>I8*F8</f>
        <v>0</v>
      </c>
      <c r="N8" s="79"/>
      <c r="O8" s="79"/>
    </row>
    <row r="9" spans="1:21" s="73" customFormat="1">
      <c r="A9" s="78">
        <v>20</v>
      </c>
      <c r="C9" s="79">
        <v>368248</v>
      </c>
      <c r="D9" s="79">
        <v>457085</v>
      </c>
      <c r="E9" s="79">
        <v>532324</v>
      </c>
      <c r="F9" s="79">
        <v>588382</v>
      </c>
      <c r="G9" s="79">
        <f>IF(F4=A9,1,0)</f>
        <v>0</v>
      </c>
      <c r="H9" s="79"/>
      <c r="I9" s="102">
        <f>G9</f>
        <v>0</v>
      </c>
      <c r="J9" s="79">
        <f t="shared" ref="J9:J30" si="0">I9*C9</f>
        <v>0</v>
      </c>
      <c r="K9" s="79">
        <f t="shared" ref="K9:K30" si="1">I9*D9</f>
        <v>0</v>
      </c>
      <c r="L9" s="79">
        <f t="shared" ref="L9:L30" si="2">I9*E9</f>
        <v>0</v>
      </c>
      <c r="M9" s="79">
        <f t="shared" ref="M9:M30" si="3">I9*F9</f>
        <v>0</v>
      </c>
      <c r="N9" s="79"/>
      <c r="O9" s="79"/>
    </row>
    <row r="10" spans="1:21" s="73" customFormat="1">
      <c r="A10" s="78">
        <v>21</v>
      </c>
      <c r="C10" s="79">
        <v>377381</v>
      </c>
      <c r="D10" s="79">
        <v>466098</v>
      </c>
      <c r="E10" s="79">
        <v>541457</v>
      </c>
      <c r="F10" s="79">
        <v>597515</v>
      </c>
      <c r="G10" s="79">
        <f>IF(F4=A10,1,0)</f>
        <v>0</v>
      </c>
      <c r="H10" s="79"/>
      <c r="I10" s="102">
        <f t="shared" ref="I10:I30" si="4">G10</f>
        <v>0</v>
      </c>
      <c r="J10" s="79">
        <f t="shared" si="0"/>
        <v>0</v>
      </c>
      <c r="K10" s="79">
        <f t="shared" si="1"/>
        <v>0</v>
      </c>
      <c r="L10" s="79">
        <f t="shared" si="2"/>
        <v>0</v>
      </c>
      <c r="M10" s="79">
        <f t="shared" si="3"/>
        <v>0</v>
      </c>
      <c r="N10" s="79"/>
      <c r="O10" s="79"/>
    </row>
    <row r="11" spans="1:21" s="73" customFormat="1">
      <c r="A11" s="78">
        <v>22</v>
      </c>
      <c r="C11" s="79">
        <v>398514</v>
      </c>
      <c r="D11" s="79">
        <v>475231</v>
      </c>
      <c r="E11" s="79">
        <v>550590</v>
      </c>
      <c r="F11" s="79">
        <v>606648</v>
      </c>
      <c r="G11" s="79">
        <f>IF(F4=A11,1,0)</f>
        <v>0</v>
      </c>
      <c r="H11" s="79"/>
      <c r="I11" s="102">
        <f t="shared" si="4"/>
        <v>0</v>
      </c>
      <c r="J11" s="79">
        <f t="shared" si="0"/>
        <v>0</v>
      </c>
      <c r="K11" s="79">
        <f t="shared" si="1"/>
        <v>0</v>
      </c>
      <c r="L11" s="79">
        <f t="shared" si="2"/>
        <v>0</v>
      </c>
      <c r="M11" s="79">
        <f t="shared" si="3"/>
        <v>0</v>
      </c>
      <c r="N11" s="79"/>
      <c r="O11" s="79"/>
    </row>
    <row r="12" spans="1:21" s="73" customFormat="1">
      <c r="A12" s="78">
        <v>23</v>
      </c>
      <c r="C12" s="79">
        <v>395646</v>
      </c>
      <c r="D12" s="79">
        <v>484364</v>
      </c>
      <c r="E12" s="79">
        <v>559723</v>
      </c>
      <c r="F12" s="79">
        <v>615781</v>
      </c>
      <c r="G12" s="79">
        <f>IF(F4=A12,1,0)</f>
        <v>0</v>
      </c>
      <c r="H12" s="79"/>
      <c r="I12" s="102">
        <f t="shared" si="4"/>
        <v>0</v>
      </c>
      <c r="J12" s="79">
        <f t="shared" si="0"/>
        <v>0</v>
      </c>
      <c r="K12" s="79">
        <f t="shared" si="1"/>
        <v>0</v>
      </c>
      <c r="L12" s="79">
        <f t="shared" si="2"/>
        <v>0</v>
      </c>
      <c r="M12" s="79">
        <f t="shared" si="3"/>
        <v>0</v>
      </c>
      <c r="N12" s="79"/>
      <c r="O12" s="79"/>
    </row>
    <row r="13" spans="1:21" s="73" customFormat="1">
      <c r="A13" s="78">
        <v>24</v>
      </c>
      <c r="C13" s="79">
        <v>404780</v>
      </c>
      <c r="D13" s="79">
        <v>493498</v>
      </c>
      <c r="E13" s="79">
        <v>568856</v>
      </c>
      <c r="F13" s="79">
        <v>624914</v>
      </c>
      <c r="G13" s="79">
        <f>IF(F4=A13,1,0)</f>
        <v>0</v>
      </c>
      <c r="H13" s="79"/>
      <c r="I13" s="102">
        <f t="shared" si="4"/>
        <v>0</v>
      </c>
      <c r="J13" s="79">
        <f t="shared" si="0"/>
        <v>0</v>
      </c>
      <c r="K13" s="79">
        <f t="shared" si="1"/>
        <v>0</v>
      </c>
      <c r="L13" s="79">
        <f t="shared" si="2"/>
        <v>0</v>
      </c>
      <c r="M13" s="79">
        <f t="shared" si="3"/>
        <v>0</v>
      </c>
      <c r="N13" s="79"/>
      <c r="O13" s="79"/>
    </row>
    <row r="14" spans="1:21" s="73" customFormat="1">
      <c r="A14" s="78">
        <v>25</v>
      </c>
      <c r="C14" s="79">
        <v>413914</v>
      </c>
      <c r="D14" s="79">
        <v>502631</v>
      </c>
      <c r="E14" s="79">
        <v>577990</v>
      </c>
      <c r="F14" s="79">
        <v>634048</v>
      </c>
      <c r="G14" s="79">
        <f>IF(F4=A14,1,0)</f>
        <v>0</v>
      </c>
      <c r="H14" s="79"/>
      <c r="I14" s="102">
        <f t="shared" si="4"/>
        <v>0</v>
      </c>
      <c r="J14" s="79">
        <f t="shared" si="0"/>
        <v>0</v>
      </c>
      <c r="K14" s="79">
        <f t="shared" si="1"/>
        <v>0</v>
      </c>
      <c r="L14" s="79">
        <f t="shared" si="2"/>
        <v>0</v>
      </c>
      <c r="M14" s="79">
        <f t="shared" si="3"/>
        <v>0</v>
      </c>
      <c r="N14" s="79"/>
      <c r="O14" s="79"/>
    </row>
    <row r="15" spans="1:21" s="73" customFormat="1">
      <c r="A15" s="78">
        <v>26</v>
      </c>
      <c r="C15" s="79">
        <v>423047</v>
      </c>
      <c r="D15" s="79">
        <v>511764</v>
      </c>
      <c r="E15" s="79">
        <v>587123</v>
      </c>
      <c r="F15" s="79">
        <v>643181</v>
      </c>
      <c r="G15" s="79">
        <f>IF(F4=A15,1,0)</f>
        <v>0</v>
      </c>
      <c r="H15" s="79"/>
      <c r="I15" s="102">
        <f t="shared" si="4"/>
        <v>0</v>
      </c>
      <c r="J15" s="79">
        <f t="shared" si="0"/>
        <v>0</v>
      </c>
      <c r="K15" s="79">
        <f t="shared" si="1"/>
        <v>0</v>
      </c>
      <c r="L15" s="79">
        <f t="shared" si="2"/>
        <v>0</v>
      </c>
      <c r="M15" s="79">
        <f t="shared" si="3"/>
        <v>0</v>
      </c>
      <c r="N15" s="79"/>
      <c r="O15" s="79"/>
    </row>
    <row r="16" spans="1:21" s="73" customFormat="1">
      <c r="A16" s="78">
        <v>27</v>
      </c>
      <c r="C16" s="79">
        <v>432180</v>
      </c>
      <c r="D16" s="79">
        <v>520896</v>
      </c>
      <c r="E16" s="79">
        <v>596256</v>
      </c>
      <c r="F16" s="79">
        <v>652314</v>
      </c>
      <c r="G16" s="79">
        <f>IF(F4=A16,1,0)</f>
        <v>0</v>
      </c>
      <c r="H16" s="80"/>
      <c r="I16" s="102">
        <f t="shared" si="4"/>
        <v>0</v>
      </c>
      <c r="J16" s="79">
        <f t="shared" si="0"/>
        <v>0</v>
      </c>
      <c r="K16" s="79">
        <f t="shared" si="1"/>
        <v>0</v>
      </c>
      <c r="L16" s="79">
        <f t="shared" si="2"/>
        <v>0</v>
      </c>
      <c r="M16" s="79">
        <f t="shared" si="3"/>
        <v>0</v>
      </c>
    </row>
    <row r="17" spans="1:20" s="73" customFormat="1">
      <c r="A17" s="78">
        <v>28</v>
      </c>
      <c r="C17" s="79">
        <v>441313</v>
      </c>
      <c r="D17" s="79">
        <v>530030</v>
      </c>
      <c r="E17" s="79">
        <v>605389</v>
      </c>
      <c r="F17" s="79">
        <v>661447</v>
      </c>
      <c r="G17" s="79">
        <f>IF(F4=A17,1,0)</f>
        <v>0</v>
      </c>
      <c r="H17" s="79"/>
      <c r="I17" s="102">
        <f t="shared" si="4"/>
        <v>0</v>
      </c>
      <c r="J17" s="79">
        <f t="shared" si="0"/>
        <v>0</v>
      </c>
      <c r="K17" s="79">
        <f t="shared" si="1"/>
        <v>0</v>
      </c>
      <c r="L17" s="79">
        <f t="shared" si="2"/>
        <v>0</v>
      </c>
      <c r="M17" s="79">
        <f t="shared" si="3"/>
        <v>0</v>
      </c>
    </row>
    <row r="18" spans="1:20" s="73" customFormat="1">
      <c r="A18" s="78">
        <v>29</v>
      </c>
      <c r="C18" s="79">
        <v>450446</v>
      </c>
      <c r="D18" s="79">
        <v>539164</v>
      </c>
      <c r="E18" s="79">
        <v>614522</v>
      </c>
      <c r="F18" s="79">
        <v>670580</v>
      </c>
      <c r="G18" s="79">
        <f>IF(F4=A18,1,0)</f>
        <v>0</v>
      </c>
      <c r="H18" s="79"/>
      <c r="I18" s="102">
        <f t="shared" si="4"/>
        <v>0</v>
      </c>
      <c r="J18" s="79">
        <f t="shared" si="0"/>
        <v>0</v>
      </c>
      <c r="K18" s="79">
        <f t="shared" si="1"/>
        <v>0</v>
      </c>
      <c r="L18" s="79">
        <f t="shared" si="2"/>
        <v>0</v>
      </c>
      <c r="M18" s="79">
        <f t="shared" si="3"/>
        <v>0</v>
      </c>
    </row>
    <row r="19" spans="1:20" s="73" customFormat="1">
      <c r="A19" s="78">
        <v>30</v>
      </c>
      <c r="C19" s="79">
        <v>459580</v>
      </c>
      <c r="D19" s="79">
        <v>548297</v>
      </c>
      <c r="E19" s="79">
        <v>623656</v>
      </c>
      <c r="F19" s="79">
        <v>679714</v>
      </c>
      <c r="G19" s="79">
        <f>IF(F4=A19,1,0)</f>
        <v>0</v>
      </c>
      <c r="H19" s="79"/>
      <c r="I19" s="102">
        <f>G19</f>
        <v>0</v>
      </c>
      <c r="J19" s="79">
        <f t="shared" si="0"/>
        <v>0</v>
      </c>
      <c r="K19" s="79">
        <f t="shared" si="1"/>
        <v>0</v>
      </c>
      <c r="L19" s="79">
        <f t="shared" si="2"/>
        <v>0</v>
      </c>
      <c r="M19" s="79">
        <f t="shared" si="3"/>
        <v>0</v>
      </c>
    </row>
    <row r="20" spans="1:20" s="73" customFormat="1">
      <c r="A20" s="78">
        <v>31</v>
      </c>
      <c r="C20" s="79">
        <v>466156</v>
      </c>
      <c r="D20" s="79">
        <v>554873</v>
      </c>
      <c r="E20" s="79">
        <v>630232</v>
      </c>
      <c r="F20" s="79">
        <v>686290</v>
      </c>
      <c r="G20" s="79">
        <f>IF(F4=A20,1,0)</f>
        <v>0</v>
      </c>
      <c r="H20" s="79"/>
      <c r="I20" s="102">
        <f t="shared" si="4"/>
        <v>0</v>
      </c>
      <c r="J20" s="79">
        <f t="shared" si="0"/>
        <v>0</v>
      </c>
      <c r="K20" s="79">
        <f t="shared" si="1"/>
        <v>0</v>
      </c>
      <c r="L20" s="79">
        <f t="shared" si="2"/>
        <v>0</v>
      </c>
      <c r="M20" s="79">
        <f t="shared" si="3"/>
        <v>0</v>
      </c>
    </row>
    <row r="21" spans="1:20" s="73" customFormat="1">
      <c r="A21" s="78">
        <v>32</v>
      </c>
      <c r="C21" s="79">
        <v>472732</v>
      </c>
      <c r="D21" s="79">
        <v>561449</v>
      </c>
      <c r="E21" s="79">
        <v>639804</v>
      </c>
      <c r="F21" s="79">
        <v>692866</v>
      </c>
      <c r="G21" s="79">
        <f>IF(F4=A21,1,0)</f>
        <v>0</v>
      </c>
      <c r="H21" s="79"/>
      <c r="I21" s="102">
        <f t="shared" si="4"/>
        <v>0</v>
      </c>
      <c r="J21" s="79">
        <f t="shared" si="0"/>
        <v>0</v>
      </c>
      <c r="K21" s="79">
        <f t="shared" si="1"/>
        <v>0</v>
      </c>
      <c r="L21" s="79">
        <f t="shared" si="2"/>
        <v>0</v>
      </c>
      <c r="M21" s="79">
        <f t="shared" si="3"/>
        <v>0</v>
      </c>
    </row>
    <row r="22" spans="1:20" s="73" customFormat="1">
      <c r="A22" s="78">
        <v>33</v>
      </c>
      <c r="C22" s="79">
        <v>479308</v>
      </c>
      <c r="D22" s="79">
        <v>568025</v>
      </c>
      <c r="E22" s="79">
        <v>643384</v>
      </c>
      <c r="F22" s="79">
        <v>699442</v>
      </c>
      <c r="G22" s="79">
        <f>IF(F4=A22,1,0)</f>
        <v>0</v>
      </c>
      <c r="I22" s="102">
        <f t="shared" si="4"/>
        <v>0</v>
      </c>
      <c r="J22" s="79">
        <f t="shared" si="0"/>
        <v>0</v>
      </c>
      <c r="K22" s="79">
        <f t="shared" si="1"/>
        <v>0</v>
      </c>
      <c r="L22" s="79">
        <f t="shared" si="2"/>
        <v>0</v>
      </c>
      <c r="M22" s="79">
        <f t="shared" si="3"/>
        <v>0</v>
      </c>
    </row>
    <row r="23" spans="1:20" s="73" customFormat="1">
      <c r="A23" s="78">
        <v>34</v>
      </c>
      <c r="C23" s="79">
        <v>485884</v>
      </c>
      <c r="D23" s="79">
        <v>574601</v>
      </c>
      <c r="E23" s="79">
        <v>649960</v>
      </c>
      <c r="F23" s="79">
        <v>706018</v>
      </c>
      <c r="G23" s="79">
        <f>IF(F4=A23,1,0)</f>
        <v>0</v>
      </c>
      <c r="H23" s="80"/>
      <c r="I23" s="102">
        <f t="shared" si="4"/>
        <v>0</v>
      </c>
      <c r="J23" s="79">
        <f t="shared" si="0"/>
        <v>0</v>
      </c>
      <c r="K23" s="79">
        <f t="shared" si="1"/>
        <v>0</v>
      </c>
      <c r="L23" s="79">
        <f t="shared" si="2"/>
        <v>0</v>
      </c>
      <c r="M23" s="79">
        <f t="shared" si="3"/>
        <v>0</v>
      </c>
    </row>
    <row r="24" spans="1:20" s="73" customFormat="1">
      <c r="A24" s="78">
        <v>35</v>
      </c>
      <c r="C24" s="79">
        <v>492460</v>
      </c>
      <c r="D24" s="79">
        <v>581177</v>
      </c>
      <c r="E24" s="79">
        <v>656536</v>
      </c>
      <c r="F24" s="79">
        <v>712594</v>
      </c>
      <c r="G24" s="79">
        <f>IF(F4=A24,1,0)</f>
        <v>0</v>
      </c>
      <c r="H24" s="79"/>
      <c r="I24" s="102">
        <f t="shared" si="4"/>
        <v>0</v>
      </c>
      <c r="J24" s="79">
        <f t="shared" si="0"/>
        <v>0</v>
      </c>
      <c r="K24" s="79">
        <f t="shared" si="1"/>
        <v>0</v>
      </c>
      <c r="L24" s="79">
        <f t="shared" si="2"/>
        <v>0</v>
      </c>
      <c r="M24" s="79">
        <f t="shared" si="3"/>
        <v>0</v>
      </c>
    </row>
    <row r="25" spans="1:20" s="73" customFormat="1">
      <c r="A25" s="78">
        <v>36</v>
      </c>
      <c r="C25" s="79">
        <v>499036</v>
      </c>
      <c r="D25" s="79">
        <v>587753</v>
      </c>
      <c r="E25" s="79">
        <v>663112</v>
      </c>
      <c r="F25" s="79">
        <v>719170</v>
      </c>
      <c r="G25" s="79">
        <f>IF(F4=A25,1,0)</f>
        <v>0</v>
      </c>
      <c r="H25" s="79"/>
      <c r="I25" s="102">
        <f t="shared" si="4"/>
        <v>0</v>
      </c>
      <c r="J25" s="79">
        <f t="shared" si="0"/>
        <v>0</v>
      </c>
      <c r="K25" s="79">
        <f t="shared" si="1"/>
        <v>0</v>
      </c>
      <c r="L25" s="79">
        <f t="shared" si="2"/>
        <v>0</v>
      </c>
      <c r="M25" s="79">
        <f t="shared" si="3"/>
        <v>0</v>
      </c>
    </row>
    <row r="26" spans="1:20" s="73" customFormat="1">
      <c r="A26" s="78">
        <v>37</v>
      </c>
      <c r="C26" s="79">
        <v>505612</v>
      </c>
      <c r="D26" s="79">
        <v>594329</v>
      </c>
      <c r="E26" s="79">
        <v>669688</v>
      </c>
      <c r="F26" s="79">
        <v>725746</v>
      </c>
      <c r="G26" s="79">
        <f>IF(F4=A26,1,0)</f>
        <v>0</v>
      </c>
      <c r="H26" s="79"/>
      <c r="I26" s="102">
        <f t="shared" si="4"/>
        <v>0</v>
      </c>
      <c r="J26" s="79">
        <f t="shared" si="0"/>
        <v>0</v>
      </c>
      <c r="K26" s="79">
        <f t="shared" si="1"/>
        <v>0</v>
      </c>
      <c r="L26" s="79">
        <f t="shared" si="2"/>
        <v>0</v>
      </c>
      <c r="M26" s="79">
        <f t="shared" si="3"/>
        <v>0</v>
      </c>
    </row>
    <row r="27" spans="1:20" s="73" customFormat="1">
      <c r="A27" s="78">
        <v>38</v>
      </c>
      <c r="C27" s="79">
        <v>512188</v>
      </c>
      <c r="D27" s="79">
        <v>600905</v>
      </c>
      <c r="E27" s="79">
        <v>676264</v>
      </c>
      <c r="F27" s="79">
        <v>732322</v>
      </c>
      <c r="G27" s="79">
        <f>IF(F4=A27,1,0)</f>
        <v>0</v>
      </c>
      <c r="H27" s="79"/>
      <c r="I27" s="102">
        <f t="shared" si="4"/>
        <v>0</v>
      </c>
      <c r="J27" s="79">
        <f t="shared" si="0"/>
        <v>0</v>
      </c>
      <c r="K27" s="79">
        <f t="shared" si="1"/>
        <v>0</v>
      </c>
      <c r="L27" s="79">
        <f t="shared" si="2"/>
        <v>0</v>
      </c>
      <c r="M27" s="79">
        <f t="shared" si="3"/>
        <v>0</v>
      </c>
    </row>
    <row r="28" spans="1:20" s="73" customFormat="1">
      <c r="A28" s="78">
        <v>39</v>
      </c>
      <c r="C28" s="79">
        <v>518764</v>
      </c>
      <c r="D28" s="79">
        <v>607481</v>
      </c>
      <c r="E28" s="79">
        <v>682840</v>
      </c>
      <c r="F28" s="79">
        <v>738898</v>
      </c>
      <c r="G28" s="79">
        <f>IF(F4=A28,1,0)</f>
        <v>0</v>
      </c>
      <c r="I28" s="102">
        <f t="shared" si="4"/>
        <v>0</v>
      </c>
      <c r="J28" s="79">
        <f t="shared" si="0"/>
        <v>0</v>
      </c>
      <c r="K28" s="79">
        <f t="shared" si="1"/>
        <v>0</v>
      </c>
      <c r="L28" s="79">
        <f t="shared" si="2"/>
        <v>0</v>
      </c>
      <c r="M28" s="79">
        <f t="shared" si="3"/>
        <v>0</v>
      </c>
    </row>
    <row r="29" spans="1:20" s="73" customFormat="1">
      <c r="A29" s="78">
        <v>40</v>
      </c>
      <c r="C29" s="79">
        <v>525340</v>
      </c>
      <c r="D29" s="79">
        <v>614057</v>
      </c>
      <c r="E29" s="79">
        <v>689416</v>
      </c>
      <c r="F29" s="79">
        <v>745474</v>
      </c>
      <c r="G29" s="79">
        <f>IF(F4=A29,1,0)</f>
        <v>0</v>
      </c>
      <c r="I29" s="102">
        <f t="shared" si="4"/>
        <v>0</v>
      </c>
      <c r="J29" s="79">
        <f t="shared" si="0"/>
        <v>0</v>
      </c>
      <c r="K29" s="79">
        <f t="shared" si="1"/>
        <v>0</v>
      </c>
      <c r="L29" s="79">
        <f t="shared" si="2"/>
        <v>0</v>
      </c>
      <c r="M29" s="79">
        <f t="shared" si="3"/>
        <v>0</v>
      </c>
    </row>
    <row r="30" spans="1:20" s="73" customFormat="1">
      <c r="A30" s="73" t="s">
        <v>42</v>
      </c>
      <c r="C30" s="73">
        <f>IF(F4&gt;40,C29+(F4-40)*5000,0)</f>
        <v>0</v>
      </c>
      <c r="D30" s="73">
        <f>IF(F4&gt;40,D29+(F4-40)*5000,0)</f>
        <v>0</v>
      </c>
      <c r="E30" s="73">
        <f>IF(F4&gt;40,E29+(F4-40)*5000,0)</f>
        <v>0</v>
      </c>
      <c r="F30" s="73">
        <f>IF(F4&gt;40,F29+(F4-40)*5000,0)</f>
        <v>0</v>
      </c>
      <c r="G30" s="79">
        <f>IF(F4&gt;40,1,0)</f>
        <v>0</v>
      </c>
      <c r="H30" s="73">
        <f>IF(F4&lt;=999999999999999,1,0)</f>
        <v>1</v>
      </c>
      <c r="I30" s="102">
        <f t="shared" si="4"/>
        <v>0</v>
      </c>
      <c r="J30" s="79">
        <f t="shared" si="0"/>
        <v>0</v>
      </c>
      <c r="K30" s="79">
        <f t="shared" si="1"/>
        <v>0</v>
      </c>
      <c r="L30" s="79">
        <f t="shared" si="2"/>
        <v>0</v>
      </c>
      <c r="M30" s="79">
        <f t="shared" si="3"/>
        <v>0</v>
      </c>
      <c r="T30" s="78"/>
    </row>
    <row r="31" spans="1:20" s="73" customFormat="1">
      <c r="D31" s="99"/>
      <c r="E31" s="99"/>
      <c r="F31" s="99"/>
      <c r="G31" s="99"/>
      <c r="H31" s="99"/>
      <c r="J31" s="99">
        <f>SUM(J8:J30)</f>
        <v>0</v>
      </c>
      <c r="K31" s="99">
        <f>SUM(K8:K30)</f>
        <v>0</v>
      </c>
      <c r="L31" s="99">
        <f>SUM(L8:L30)</f>
        <v>0</v>
      </c>
      <c r="M31" s="99">
        <f>SUM(M8:M30)</f>
        <v>0</v>
      </c>
      <c r="T31" s="78"/>
    </row>
    <row r="32" spans="1:20" s="73" customFormat="1">
      <c r="D32" s="99"/>
      <c r="E32" s="99"/>
      <c r="F32" s="99"/>
      <c r="G32" s="99"/>
      <c r="H32" s="99"/>
      <c r="T32" s="78"/>
    </row>
    <row r="33" spans="4:25" s="73" customFormat="1">
      <c r="D33" s="99"/>
      <c r="E33" s="99"/>
      <c r="F33" s="99"/>
      <c r="G33" s="307" t="s">
        <v>18</v>
      </c>
      <c r="H33" s="307"/>
      <c r="I33" s="307"/>
      <c r="J33" s="307"/>
      <c r="K33" s="307"/>
      <c r="L33" s="307"/>
      <c r="T33" s="78"/>
      <c r="U33" s="79"/>
      <c r="V33" s="79"/>
      <c r="W33" s="79"/>
      <c r="X33" s="79"/>
      <c r="Y33" s="79"/>
    </row>
    <row r="34" spans="4:25" s="73" customFormat="1">
      <c r="G34" s="79">
        <f>IF(D4&gt;0,1,0)</f>
        <v>1</v>
      </c>
      <c r="H34" s="79">
        <f>IF(D4&gt;2,1,0)</f>
        <v>1</v>
      </c>
      <c r="I34" s="79">
        <f>IF(D4&gt;6,1,0)</f>
        <v>1</v>
      </c>
      <c r="J34" s="79">
        <f>IF(D4&gt;10,1,0)</f>
        <v>1</v>
      </c>
      <c r="K34" s="79">
        <f>IF(D4&gt;14,1,0)</f>
        <v>1</v>
      </c>
      <c r="L34" s="79">
        <f>IF(D4&gt;23,1,0)</f>
        <v>0</v>
      </c>
      <c r="T34" s="78"/>
      <c r="U34" s="79"/>
      <c r="V34" s="79"/>
      <c r="W34" s="79"/>
      <c r="X34" s="79"/>
      <c r="Y34" s="79"/>
    </row>
    <row r="35" spans="4:25" s="73" customFormat="1">
      <c r="G35" s="79">
        <f>IF(D4&lt;=2,1,0)</f>
        <v>0</v>
      </c>
      <c r="H35" s="79">
        <f>IF(D4&lt;7,1,0)</f>
        <v>0</v>
      </c>
      <c r="I35" s="79">
        <f>IF(D4&lt;11,1,0)</f>
        <v>0</v>
      </c>
      <c r="J35" s="79">
        <f>IF(D4&lt;15,1,0)</f>
        <v>0</v>
      </c>
      <c r="K35" s="79">
        <f>IF(D4&lt;24,1,0)</f>
        <v>1</v>
      </c>
      <c r="L35" s="79">
        <f>IF(D4&lt;9999999999,1,0)</f>
        <v>1</v>
      </c>
      <c r="T35" s="78"/>
      <c r="U35" s="79"/>
      <c r="V35" s="79"/>
      <c r="W35" s="79"/>
      <c r="X35" s="79"/>
      <c r="Y35" s="79"/>
    </row>
    <row r="36" spans="4:25" s="73" customFormat="1">
      <c r="G36" s="79">
        <f t="shared" ref="G36:L36" si="5">G34*G35</f>
        <v>0</v>
      </c>
      <c r="H36" s="79">
        <f t="shared" si="5"/>
        <v>0</v>
      </c>
      <c r="I36" s="79">
        <f t="shared" si="5"/>
        <v>0</v>
      </c>
      <c r="J36" s="79">
        <f t="shared" si="5"/>
        <v>0</v>
      </c>
      <c r="K36" s="79">
        <f t="shared" si="5"/>
        <v>1</v>
      </c>
      <c r="L36" s="79">
        <f t="shared" si="5"/>
        <v>0</v>
      </c>
      <c r="T36" s="78"/>
      <c r="U36" s="79"/>
      <c r="V36" s="79"/>
      <c r="W36" s="79"/>
      <c r="X36" s="79"/>
      <c r="Y36" s="79"/>
    </row>
    <row r="37" spans="4:25" s="73" customFormat="1">
      <c r="G37" s="79">
        <f>N32</f>
        <v>0</v>
      </c>
      <c r="H37" s="79">
        <f>O32</f>
        <v>0</v>
      </c>
      <c r="I37" s="79">
        <f>J31</f>
        <v>0</v>
      </c>
      <c r="J37" s="79">
        <f>K31</f>
        <v>0</v>
      </c>
      <c r="K37" s="79">
        <f>L31</f>
        <v>0</v>
      </c>
      <c r="L37" s="79">
        <f>M31</f>
        <v>0</v>
      </c>
      <c r="T37" s="78"/>
      <c r="U37" s="79"/>
      <c r="V37" s="79"/>
      <c r="W37" s="79"/>
      <c r="X37" s="79"/>
      <c r="Y37" s="79"/>
    </row>
    <row r="38" spans="4:25" s="73" customFormat="1">
      <c r="G38" s="79">
        <f t="shared" ref="G38:L38" si="6">G36*G37</f>
        <v>0</v>
      </c>
      <c r="H38" s="79">
        <f t="shared" si="6"/>
        <v>0</v>
      </c>
      <c r="I38" s="79">
        <f t="shared" si="6"/>
        <v>0</v>
      </c>
      <c r="J38" s="79">
        <f t="shared" si="6"/>
        <v>0</v>
      </c>
      <c r="K38" s="79">
        <f t="shared" si="6"/>
        <v>0</v>
      </c>
      <c r="L38" s="79">
        <f t="shared" si="6"/>
        <v>0</v>
      </c>
      <c r="M38" s="79">
        <f>SUM(G38:L38)</f>
        <v>0</v>
      </c>
      <c r="N38" s="79">
        <f>IF(E4="ESSENCE",1,0)</f>
        <v>1</v>
      </c>
      <c r="T38" s="78"/>
      <c r="U38" s="79"/>
      <c r="V38" s="79"/>
      <c r="W38" s="79"/>
      <c r="X38" s="79"/>
      <c r="Y38" s="79"/>
    </row>
    <row r="39" spans="4:25" s="73" customFormat="1">
      <c r="M39" s="308">
        <f>M38*N38</f>
        <v>0</v>
      </c>
      <c r="N39" s="308"/>
      <c r="T39" s="78"/>
      <c r="U39" s="79"/>
      <c r="V39" s="79"/>
      <c r="W39" s="79"/>
      <c r="X39" s="79"/>
      <c r="Y39" s="79"/>
    </row>
    <row r="40" spans="4:25" s="73" customFormat="1">
      <c r="G40" s="307" t="s">
        <v>19</v>
      </c>
      <c r="H40" s="307"/>
      <c r="I40" s="307"/>
      <c r="J40" s="307"/>
      <c r="K40" s="307"/>
      <c r="L40" s="307"/>
      <c r="M40" s="308"/>
      <c r="N40" s="308"/>
      <c r="U40" s="79"/>
      <c r="V40" s="79"/>
      <c r="W40" s="79"/>
      <c r="X40" s="79"/>
      <c r="Y40" s="79"/>
    </row>
    <row r="41" spans="4:25" s="73" customFormat="1">
      <c r="G41" s="79">
        <f>IF(D4&gt;0,1,0)</f>
        <v>1</v>
      </c>
      <c r="H41" s="79">
        <f>IF(D4&gt;1,1,0)</f>
        <v>1</v>
      </c>
      <c r="I41" s="79">
        <f>IF(D4&gt;0,1,0)</f>
        <v>1</v>
      </c>
      <c r="J41" s="79">
        <f>IF(D4&gt;7,1,0)</f>
        <v>1</v>
      </c>
      <c r="K41" s="79">
        <f>IF(D4&gt;10,1,0)</f>
        <v>1</v>
      </c>
      <c r="L41" s="79">
        <f>IF(D4&gt;16,1,0)</f>
        <v>1</v>
      </c>
    </row>
    <row r="42" spans="4:25" s="73" customFormat="1">
      <c r="G42" s="79">
        <f>IF(D4&lt;=1,1,0)</f>
        <v>0</v>
      </c>
      <c r="H42" s="79">
        <f>IF(D4&lt;5,1,0)</f>
        <v>0</v>
      </c>
      <c r="I42" s="79">
        <f>IF(D4&lt;8,1,0)</f>
        <v>0</v>
      </c>
      <c r="J42" s="79">
        <f>IF(D4&lt;11,1,0)</f>
        <v>0</v>
      </c>
      <c r="K42" s="79">
        <f>IF(D4&lt;17,1,0)</f>
        <v>0</v>
      </c>
      <c r="L42" s="79">
        <f>IF(D4&lt;9999999999,1,0)</f>
        <v>1</v>
      </c>
    </row>
    <row r="43" spans="4:25" s="73" customFormat="1">
      <c r="G43" s="79">
        <f t="shared" ref="G43:L43" si="7">G41*G42</f>
        <v>0</v>
      </c>
      <c r="H43" s="79">
        <f t="shared" si="7"/>
        <v>0</v>
      </c>
      <c r="I43" s="79">
        <f t="shared" si="7"/>
        <v>0</v>
      </c>
      <c r="J43" s="79">
        <f t="shared" si="7"/>
        <v>0</v>
      </c>
      <c r="K43" s="79">
        <f t="shared" si="7"/>
        <v>0</v>
      </c>
      <c r="L43" s="79">
        <f t="shared" si="7"/>
        <v>1</v>
      </c>
    </row>
    <row r="44" spans="4:25" s="73" customFormat="1">
      <c r="G44" s="79">
        <f>+G37</f>
        <v>0</v>
      </c>
      <c r="H44" s="79">
        <f>+H37</f>
        <v>0</v>
      </c>
      <c r="I44" s="79">
        <f>+I37</f>
        <v>0</v>
      </c>
      <c r="J44" s="79">
        <f>J37</f>
        <v>0</v>
      </c>
      <c r="K44" s="79">
        <f>+K37</f>
        <v>0</v>
      </c>
      <c r="L44" s="79">
        <f>+L37</f>
        <v>0</v>
      </c>
    </row>
    <row r="45" spans="4:25" s="73" customFormat="1">
      <c r="G45" s="73">
        <f t="shared" ref="G45:L45" si="8">G44*G43</f>
        <v>0</v>
      </c>
      <c r="H45" s="73">
        <f t="shared" si="8"/>
        <v>0</v>
      </c>
      <c r="I45" s="73">
        <f t="shared" si="8"/>
        <v>0</v>
      </c>
      <c r="J45" s="73">
        <f t="shared" si="8"/>
        <v>0</v>
      </c>
      <c r="K45" s="73">
        <f t="shared" si="8"/>
        <v>0</v>
      </c>
      <c r="L45" s="73">
        <f t="shared" si="8"/>
        <v>0</v>
      </c>
      <c r="M45" s="79">
        <f>SUM(G45:L45)</f>
        <v>0</v>
      </c>
      <c r="N45" s="79">
        <f>IF(E4="ESSENCE",0,1)</f>
        <v>0</v>
      </c>
    </row>
    <row r="46" spans="4:25" s="73" customFormat="1">
      <c r="M46" s="308">
        <f>M45*N45</f>
        <v>0</v>
      </c>
      <c r="N46" s="308"/>
    </row>
    <row r="47" spans="4:25" s="73" customFormat="1">
      <c r="M47" s="308"/>
      <c r="N47" s="308"/>
    </row>
    <row r="48" spans="4:25" s="73" customFormat="1">
      <c r="H48" s="308">
        <f>(M39+M46)*IF(CONTRATS!C24=0,1,0)*IF(CONTRATS!E24=0,1,0)*IF(CONTRATS!B24="NO",1,0)</f>
        <v>0</v>
      </c>
      <c r="I48" s="308"/>
      <c r="J48" s="308"/>
      <c r="K48" s="308"/>
      <c r="L48" s="308"/>
      <c r="M48" s="99"/>
      <c r="N48" s="99"/>
    </row>
    <row r="49" spans="8:14" s="73" customFormat="1">
      <c r="H49" s="308"/>
      <c r="I49" s="308"/>
      <c r="J49" s="308"/>
      <c r="K49" s="308"/>
      <c r="L49" s="308"/>
      <c r="M49" s="99"/>
      <c r="N49" s="99"/>
    </row>
    <row r="50" spans="8:14" s="73" customFormat="1">
      <c r="H50" s="308"/>
      <c r="I50" s="308"/>
      <c r="J50" s="308"/>
      <c r="K50" s="308"/>
      <c r="L50" s="308"/>
      <c r="M50" s="99"/>
      <c r="N50" s="99"/>
    </row>
    <row r="51" spans="8:14" s="73" customFormat="1">
      <c r="H51" s="80"/>
      <c r="I51" s="80"/>
      <c r="J51" s="80"/>
      <c r="K51" s="80"/>
      <c r="L51" s="80"/>
    </row>
    <row r="52" spans="8:14" s="73" customFormat="1">
      <c r="H52" s="80"/>
      <c r="I52" s="80"/>
      <c r="J52" s="80"/>
      <c r="K52" s="80"/>
      <c r="L52" s="80"/>
    </row>
    <row r="53" spans="8:14" s="73" customFormat="1">
      <c r="H53" s="80"/>
      <c r="I53" s="80"/>
      <c r="J53" s="80"/>
      <c r="K53" s="80"/>
      <c r="L53" s="80"/>
    </row>
    <row r="54" spans="8:14" s="73" customFormat="1">
      <c r="H54" s="80"/>
      <c r="I54" s="80"/>
      <c r="J54" s="80"/>
      <c r="K54" s="80"/>
      <c r="L54" s="80"/>
    </row>
    <row r="55" spans="8:14" s="73" customFormat="1"/>
    <row r="56" spans="8:14" s="73" customFormat="1"/>
    <row r="57" spans="8:14" s="73" customFormat="1"/>
    <row r="58" spans="8:14" s="73" customFormat="1"/>
    <row r="59" spans="8:14" s="73" customFormat="1"/>
    <row r="60" spans="8:14" s="73" customFormat="1"/>
    <row r="61" spans="8:14" s="73" customFormat="1"/>
    <row r="62" spans="8:14" s="73" customFormat="1"/>
    <row r="63" spans="8:14" s="73" customFormat="1"/>
    <row r="64" spans="8:14" s="73" customFormat="1"/>
    <row r="65" s="73" customFormat="1"/>
    <row r="66" s="73" customFormat="1"/>
    <row r="67" s="73" customFormat="1"/>
    <row r="68" s="73" customFormat="1"/>
    <row r="69" s="73" customFormat="1"/>
    <row r="70" s="73" customFormat="1"/>
    <row r="71" s="73" customFormat="1"/>
    <row r="72" s="73" customFormat="1"/>
    <row r="73" s="73" customFormat="1"/>
    <row r="74" s="73" customFormat="1"/>
    <row r="75" s="73" customFormat="1"/>
    <row r="76" s="73" customFormat="1"/>
    <row r="77" s="73" customFormat="1"/>
    <row r="78" s="73" customFormat="1"/>
    <row r="79" s="73" customFormat="1"/>
    <row r="80" s="73" customFormat="1"/>
    <row r="81" s="73" customFormat="1"/>
    <row r="82" s="73" customFormat="1"/>
    <row r="83" s="73" customFormat="1"/>
    <row r="84" s="73" customFormat="1"/>
    <row r="85" s="73" customFormat="1"/>
    <row r="86" s="73" customFormat="1"/>
    <row r="87" s="73" customFormat="1"/>
    <row r="88" s="73" customFormat="1"/>
    <row r="89" s="73" customFormat="1"/>
    <row r="90" s="73" customFormat="1"/>
    <row r="91" s="73" customFormat="1"/>
    <row r="92" s="73" customFormat="1"/>
    <row r="93" s="73" customFormat="1"/>
    <row r="94" s="73" customFormat="1"/>
    <row r="95" s="73" customFormat="1"/>
    <row r="96" s="73" customFormat="1"/>
    <row r="97" s="73" customFormat="1"/>
    <row r="98" s="73" customFormat="1"/>
    <row r="99" s="73" customFormat="1"/>
    <row r="100" s="73" customFormat="1"/>
    <row r="101" s="73" customFormat="1"/>
    <row r="102" s="73" customFormat="1"/>
    <row r="103" s="73" customFormat="1"/>
  </sheetData>
  <sheetProtection password="D373" sheet="1" objects="1" scenarios="1"/>
  <mergeCells count="5">
    <mergeCell ref="G33:L33"/>
    <mergeCell ref="M39:N40"/>
    <mergeCell ref="G40:L40"/>
    <mergeCell ref="M46:N47"/>
    <mergeCell ref="H48:L50"/>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T83"/>
  <sheetViews>
    <sheetView workbookViewId="0">
      <selection activeCell="B1" sqref="B1"/>
    </sheetView>
  </sheetViews>
  <sheetFormatPr defaultColWidth="11.42578125" defaultRowHeight="15"/>
  <cols>
    <col min="1" max="1" width="21.85546875" customWidth="1"/>
    <col min="2" max="2" width="22.85546875" customWidth="1"/>
    <col min="3" max="3" width="22.7109375" customWidth="1"/>
    <col min="4" max="4" width="20.7109375" customWidth="1"/>
    <col min="5" max="5" width="24.85546875" customWidth="1"/>
    <col min="6" max="6" width="20.28515625" customWidth="1"/>
    <col min="7" max="7" width="24.42578125" customWidth="1"/>
    <col min="8" max="8" width="24.28515625" customWidth="1"/>
    <col min="9" max="9" width="24.7109375" customWidth="1"/>
    <col min="10" max="10" width="19.140625" customWidth="1"/>
    <col min="11" max="11" width="21.42578125" customWidth="1"/>
    <col min="12" max="12" width="24.140625" customWidth="1"/>
    <col min="13" max="13" width="17.5703125" customWidth="1"/>
    <col min="14" max="14" width="16.28515625" customWidth="1"/>
    <col min="15" max="15" width="14.7109375" customWidth="1"/>
    <col min="16" max="16" width="15.140625" customWidth="1"/>
    <col min="17" max="17" width="14.28515625" customWidth="1"/>
    <col min="18" max="18" width="21.140625" customWidth="1"/>
    <col min="19" max="19" width="15.5703125" customWidth="1"/>
    <col min="20" max="20" width="15.28515625" customWidth="1"/>
    <col min="21" max="21" width="14" customWidth="1"/>
    <col min="22" max="22" width="10" customWidth="1"/>
    <col min="23" max="23" width="13.5703125" customWidth="1"/>
    <col min="24" max="24" width="11.7109375" customWidth="1"/>
    <col min="25" max="25" width="12.85546875" customWidth="1"/>
    <col min="26" max="26" width="15.28515625" customWidth="1"/>
    <col min="27" max="27" width="13.42578125" customWidth="1"/>
    <col min="28" max="28" width="15" customWidth="1"/>
    <col min="29" max="29" width="16.7109375" customWidth="1"/>
    <col min="30" max="30" width="20.7109375" customWidth="1"/>
    <col min="31" max="31" width="17.28515625" customWidth="1"/>
    <col min="32" max="32" width="15.140625" customWidth="1"/>
    <col min="33" max="33" width="18.7109375" customWidth="1"/>
    <col min="34" max="34" width="11.85546875" customWidth="1"/>
    <col min="35" max="35" width="13" customWidth="1"/>
    <col min="36" max="36" width="13.5703125" customWidth="1"/>
    <col min="37" max="37" width="14.7109375" customWidth="1"/>
    <col min="38" max="38" width="13.5703125" customWidth="1"/>
    <col min="39" max="39" width="15.85546875" customWidth="1"/>
    <col min="40" max="40" width="22.140625" customWidth="1"/>
    <col min="41" max="41" width="17.140625" customWidth="1"/>
    <col min="42" max="42" width="21.5703125" customWidth="1"/>
    <col min="43" max="43" width="17.85546875" customWidth="1"/>
    <col min="44" max="44" width="16.42578125" customWidth="1"/>
    <col min="45" max="45" width="14.28515625" customWidth="1"/>
    <col min="46" max="46" width="13.85546875" customWidth="1"/>
    <col min="47" max="47" width="17" customWidth="1"/>
  </cols>
  <sheetData>
    <row r="1" spans="1:20" s="73" customFormat="1">
      <c r="R1" s="73" t="s">
        <v>15</v>
      </c>
      <c r="S1" s="73" t="s">
        <v>16</v>
      </c>
      <c r="T1" s="73" t="s">
        <v>17</v>
      </c>
    </row>
    <row r="2" spans="1:20" s="73" customFormat="1">
      <c r="F2" s="73" t="s">
        <v>0</v>
      </c>
      <c r="G2" s="73" t="s">
        <v>1</v>
      </c>
      <c r="H2" s="73" t="s">
        <v>20</v>
      </c>
      <c r="I2" s="73" t="s">
        <v>2</v>
      </c>
      <c r="J2" s="73" t="s">
        <v>24</v>
      </c>
      <c r="K2" s="73" t="s">
        <v>25</v>
      </c>
    </row>
    <row r="3" spans="1:20" s="73" customFormat="1">
      <c r="A3" s="94"/>
      <c r="B3" s="94"/>
      <c r="C3" s="100" t="s">
        <v>21</v>
      </c>
      <c r="D3" s="94" t="s">
        <v>22</v>
      </c>
      <c r="E3" s="94" t="s">
        <v>23</v>
      </c>
    </row>
    <row r="4" spans="1:20" s="73" customFormat="1">
      <c r="A4" s="97" t="str">
        <f>'CAT 3'!A4</f>
        <v>ZONE C</v>
      </c>
      <c r="B4" s="97" t="str">
        <f>'CAT 3'!B4</f>
        <v>SANS REMORQUE</v>
      </c>
      <c r="C4" s="98">
        <f>'CAT 3'!C4</f>
        <v>19</v>
      </c>
      <c r="D4" s="97" t="str">
        <f>'CAT 3'!D4</f>
        <v>ESSENCE</v>
      </c>
      <c r="E4" s="98" t="str">
        <f>[1]CONTRATS!$B$21</f>
        <v>NO</v>
      </c>
      <c r="Q4" s="73" t="s">
        <v>15</v>
      </c>
    </row>
    <row r="5" spans="1:20" s="73" customFormat="1"/>
    <row r="6" spans="1:20" s="73" customFormat="1">
      <c r="A6" s="73" t="s">
        <v>0</v>
      </c>
      <c r="B6" s="73" t="s">
        <v>1</v>
      </c>
      <c r="C6" s="73" t="s">
        <v>3</v>
      </c>
      <c r="D6" s="73" t="s">
        <v>2</v>
      </c>
      <c r="E6" s="73" t="s">
        <v>23</v>
      </c>
      <c r="I6" s="307" t="s">
        <v>18</v>
      </c>
      <c r="J6" s="307"/>
      <c r="K6" s="307"/>
      <c r="P6" s="73" t="s">
        <v>0</v>
      </c>
      <c r="Q6" s="73" t="s">
        <v>1</v>
      </c>
      <c r="R6" s="73" t="s">
        <v>3</v>
      </c>
      <c r="S6" s="73" t="s">
        <v>2</v>
      </c>
      <c r="T6" s="73" t="s">
        <v>23</v>
      </c>
    </row>
    <row r="7" spans="1:20" s="73" customFormat="1">
      <c r="A7" s="73" t="s">
        <v>9</v>
      </c>
      <c r="B7" s="73" t="s">
        <v>9</v>
      </c>
      <c r="C7" s="79">
        <f>IF(A4="ZONE A",R7,IF(A4="ZONE B",R18,IF(A4="ZONE C",R29,0)))</f>
        <v>102961</v>
      </c>
      <c r="D7" s="79">
        <f>IF(A4="ZONE A",S7,IF(A4="ZONE B",S18,IF(A4="ZONE C",S29,0)))</f>
        <v>102961</v>
      </c>
      <c r="E7" s="79">
        <f>IF(A4="ZONE A",T7,IF(A4="ZONE B",T18,IF(A4="ZONE C",T29,0)))</f>
        <v>0</v>
      </c>
      <c r="F7" s="79">
        <f>IF(B4="SANS REMORQUE",1,0)</f>
        <v>1</v>
      </c>
      <c r="G7" s="79">
        <f>IF(B4="SANS REMORQUE",0,1)</f>
        <v>0</v>
      </c>
      <c r="H7" s="79">
        <f t="shared" ref="H7:H12" si="0">C7*F7+D7*G7</f>
        <v>102961</v>
      </c>
      <c r="I7" s="79">
        <f>IF(C4&gt;0,1,0)</f>
        <v>1</v>
      </c>
      <c r="J7" s="79">
        <f>IF(C4&lt;=2,1,0)</f>
        <v>0</v>
      </c>
      <c r="K7" s="79">
        <f t="shared" ref="K7:K12" si="1">I7*J7</f>
        <v>0</v>
      </c>
      <c r="L7" s="73">
        <f>K7*H7</f>
        <v>0</v>
      </c>
      <c r="M7" s="79">
        <f>E7*K7</f>
        <v>0</v>
      </c>
      <c r="N7" s="79"/>
      <c r="O7" s="79"/>
      <c r="P7" s="73" t="s">
        <v>9</v>
      </c>
      <c r="Q7" s="73" t="s">
        <v>9</v>
      </c>
      <c r="R7" s="79">
        <v>112321</v>
      </c>
      <c r="S7" s="79">
        <f>R7</f>
        <v>112321</v>
      </c>
      <c r="T7" s="79">
        <v>0</v>
      </c>
    </row>
    <row r="8" spans="1:20" s="73" customFormat="1">
      <c r="A8" s="73" t="s">
        <v>4</v>
      </c>
      <c r="B8" s="73" t="s">
        <v>10</v>
      </c>
      <c r="C8" s="79">
        <f>IF(A4="ZONE A",R8,IF(A4="ZONE B",R19,IF(A4="ZONE C",R30,0)))</f>
        <v>127135</v>
      </c>
      <c r="D8" s="79">
        <f>IF(A4="ZONE A",S8,IF(A4="ZONE B",S19,IF(A4="ZONE C",S30,0)))</f>
        <v>127135</v>
      </c>
      <c r="E8" s="79">
        <f>IF(A4="ZONE A",T8,IF(A4="ZONE B",T19,IF(A4="ZONE C",T30,0)))</f>
        <v>0</v>
      </c>
      <c r="F8" s="79">
        <f>F7</f>
        <v>1</v>
      </c>
      <c r="G8" s="79">
        <f>G7</f>
        <v>0</v>
      </c>
      <c r="H8" s="79">
        <f t="shared" si="0"/>
        <v>127135</v>
      </c>
      <c r="I8" s="79">
        <f>IF(C4&gt;2,1,0)</f>
        <v>1</v>
      </c>
      <c r="J8" s="79">
        <f>IF(C4&lt;7,1,0)</f>
        <v>0</v>
      </c>
      <c r="K8" s="79">
        <f t="shared" si="1"/>
        <v>0</v>
      </c>
      <c r="L8" s="73">
        <f t="shared" ref="L8:L19" si="2">K8*H8</f>
        <v>0</v>
      </c>
      <c r="M8" s="79">
        <f t="shared" ref="M8:M19" si="3">E8*K8</f>
        <v>0</v>
      </c>
      <c r="N8" s="79"/>
      <c r="O8" s="79"/>
      <c r="P8" s="73" t="s">
        <v>4</v>
      </c>
      <c r="Q8" s="73" t="s">
        <v>10</v>
      </c>
      <c r="R8" s="79">
        <v>138692</v>
      </c>
      <c r="S8" s="79">
        <f t="shared" ref="S8:S13" si="4">R8</f>
        <v>138692</v>
      </c>
      <c r="T8" s="79">
        <v>0</v>
      </c>
    </row>
    <row r="9" spans="1:20" s="73" customFormat="1">
      <c r="A9" s="73" t="s">
        <v>5</v>
      </c>
      <c r="B9" s="73" t="s">
        <v>11</v>
      </c>
      <c r="C9" s="79">
        <f>IF(A4="ZONE A",R9,IF(A4="ZONE B",R20,IF(A4="ZONE C",R31,0)))</f>
        <v>145400</v>
      </c>
      <c r="D9" s="79">
        <f>IF(A4="ZONE A",S9,IF(A4="ZONE B",S20,IF(A4="ZONE C",S31,0)))</f>
        <v>145400</v>
      </c>
      <c r="E9" s="79">
        <f>IF(A4="ZONE A",T9,IF(A4="ZONE B",T20,IF(A4="ZONE C",T31,0)))</f>
        <v>0</v>
      </c>
      <c r="F9" s="79">
        <f t="shared" ref="F9:G12" si="5">F8</f>
        <v>1</v>
      </c>
      <c r="G9" s="79">
        <f t="shared" si="5"/>
        <v>0</v>
      </c>
      <c r="H9" s="79">
        <f t="shared" si="0"/>
        <v>145400</v>
      </c>
      <c r="I9" s="79">
        <f>IF(C4&gt;6,1,0)</f>
        <v>1</v>
      </c>
      <c r="J9" s="79">
        <f>IF(C4&lt;11,1,0)</f>
        <v>0</v>
      </c>
      <c r="K9" s="79">
        <f t="shared" si="1"/>
        <v>0</v>
      </c>
      <c r="L9" s="73">
        <f t="shared" si="2"/>
        <v>0</v>
      </c>
      <c r="M9" s="79">
        <f t="shared" si="3"/>
        <v>0</v>
      </c>
      <c r="N9" s="79"/>
      <c r="O9" s="79"/>
      <c r="P9" s="73" t="s">
        <v>5</v>
      </c>
      <c r="Q9" s="73" t="s">
        <v>11</v>
      </c>
      <c r="R9" s="79">
        <v>158618</v>
      </c>
      <c r="S9" s="79">
        <f t="shared" si="4"/>
        <v>158618</v>
      </c>
      <c r="T9" s="79">
        <v>0</v>
      </c>
    </row>
    <row r="10" spans="1:20" s="73" customFormat="1">
      <c r="A10" s="73" t="s">
        <v>6</v>
      </c>
      <c r="B10" s="73" t="s">
        <v>12</v>
      </c>
      <c r="C10" s="79">
        <f>IF(A4="ZONE A",R10,IF(A4="ZONE B",R21,IF(A4="ZONE C",R32,0)))</f>
        <v>214908</v>
      </c>
      <c r="D10" s="79">
        <f>IF(A4="ZONE A",S10,IF(A4="ZONE B",S21,IF(A4="ZONE C",S32,0)))</f>
        <v>214908</v>
      </c>
      <c r="E10" s="79">
        <f>IF(A4="ZONE A",T10,IF(A4="ZONE B",T21,IF(A4="ZONE C",T32,0)))</f>
        <v>0</v>
      </c>
      <c r="F10" s="79">
        <f t="shared" si="5"/>
        <v>1</v>
      </c>
      <c r="G10" s="79">
        <f t="shared" si="5"/>
        <v>0</v>
      </c>
      <c r="H10" s="79">
        <f t="shared" si="0"/>
        <v>214908</v>
      </c>
      <c r="I10" s="79">
        <f>IF(C4&gt;10,1,0)</f>
        <v>1</v>
      </c>
      <c r="J10" s="79">
        <f>IF(C4&lt;15,1,0)</f>
        <v>0</v>
      </c>
      <c r="K10" s="79">
        <f t="shared" si="1"/>
        <v>0</v>
      </c>
      <c r="L10" s="73">
        <f t="shared" si="2"/>
        <v>0</v>
      </c>
      <c r="M10" s="79">
        <f t="shared" si="3"/>
        <v>0</v>
      </c>
      <c r="N10" s="79"/>
      <c r="O10" s="79"/>
      <c r="P10" s="73" t="s">
        <v>6</v>
      </c>
      <c r="Q10" s="73" t="s">
        <v>12</v>
      </c>
      <c r="R10" s="79">
        <v>234445</v>
      </c>
      <c r="S10" s="79">
        <f t="shared" si="4"/>
        <v>234445</v>
      </c>
      <c r="T10" s="79">
        <v>0</v>
      </c>
    </row>
    <row r="11" spans="1:20" s="73" customFormat="1">
      <c r="A11" s="73" t="s">
        <v>7</v>
      </c>
      <c r="B11" s="73" t="s">
        <v>13</v>
      </c>
      <c r="C11" s="79">
        <f>IF(A4="ZONE A",R11,IF(A4="ZONE B",R22,IF(A4="ZONE C",R33,0)))</f>
        <v>273950</v>
      </c>
      <c r="D11" s="79">
        <f>IF(A4="ZONE A",S11,IF(A4="ZONE B",S22,IF(A4="ZONE C",S33,0)))</f>
        <v>273950</v>
      </c>
      <c r="E11" s="79">
        <f>IF(A4="ZONE A",T11,IF(A4="ZONE B",T22,IF(A4="ZONE C",T33,0)))</f>
        <v>0</v>
      </c>
      <c r="F11" s="79">
        <f t="shared" si="5"/>
        <v>1</v>
      </c>
      <c r="G11" s="79">
        <f t="shared" si="5"/>
        <v>0</v>
      </c>
      <c r="H11" s="79">
        <f t="shared" si="0"/>
        <v>273950</v>
      </c>
      <c r="I11" s="79">
        <f>IF(C4&gt;14,1,0)</f>
        <v>1</v>
      </c>
      <c r="J11" s="79">
        <f>IF(C4&lt;24,1,0)</f>
        <v>1</v>
      </c>
      <c r="K11" s="79">
        <f t="shared" si="1"/>
        <v>1</v>
      </c>
      <c r="L11" s="73">
        <f t="shared" si="2"/>
        <v>273950</v>
      </c>
      <c r="M11" s="79">
        <f t="shared" si="3"/>
        <v>0</v>
      </c>
      <c r="N11" s="79"/>
      <c r="O11" s="79"/>
      <c r="P11" s="73" t="s">
        <v>38</v>
      </c>
      <c r="Q11" s="73" t="s">
        <v>13</v>
      </c>
      <c r="R11" s="79">
        <v>298854</v>
      </c>
      <c r="S11" s="79">
        <f t="shared" si="4"/>
        <v>298854</v>
      </c>
      <c r="T11" s="79">
        <v>0</v>
      </c>
    </row>
    <row r="12" spans="1:20" s="73" customFormat="1">
      <c r="A12" s="73" t="s">
        <v>8</v>
      </c>
      <c r="B12" s="73" t="s">
        <v>14</v>
      </c>
      <c r="C12" s="79">
        <f>IF(A4="ZONE A",R12,IF(A4="ZONE B",R23,IF(A4="ZONE C",R34,0)))</f>
        <v>317870</v>
      </c>
      <c r="D12" s="79">
        <f>IF(A4="ZONE A",S12,IF(A4="ZONE B",S23,IF(A4="ZONE C",S34,0)))</f>
        <v>317870</v>
      </c>
      <c r="E12" s="79">
        <f>IF(A4="ZONE A",T12,IF(A4="ZONE B",T23,IF(A4="ZONE C",T34,0)))</f>
        <v>0</v>
      </c>
      <c r="F12" s="79">
        <f t="shared" si="5"/>
        <v>1</v>
      </c>
      <c r="G12" s="79">
        <f t="shared" si="5"/>
        <v>0</v>
      </c>
      <c r="H12" s="79">
        <f t="shared" si="0"/>
        <v>317870</v>
      </c>
      <c r="I12" s="79">
        <f>IF(C4&gt;23,1,0)</f>
        <v>0</v>
      </c>
      <c r="J12" s="79">
        <f>IF(C4&lt;9999999999,1,0)</f>
        <v>1</v>
      </c>
      <c r="K12" s="79">
        <f t="shared" si="1"/>
        <v>0</v>
      </c>
      <c r="L12" s="73">
        <f t="shared" si="2"/>
        <v>0</v>
      </c>
      <c r="M12" s="79">
        <f>E12*K12</f>
        <v>0</v>
      </c>
      <c r="N12" s="79"/>
      <c r="O12" s="79"/>
      <c r="P12" s="73" t="s">
        <v>8</v>
      </c>
      <c r="Q12" s="73" t="s">
        <v>14</v>
      </c>
      <c r="R12" s="79">
        <v>346854</v>
      </c>
      <c r="S12" s="79">
        <f t="shared" si="4"/>
        <v>346854</v>
      </c>
      <c r="T12" s="79">
        <v>0</v>
      </c>
    </row>
    <row r="13" spans="1:20" s="73" customFormat="1">
      <c r="I13" s="307" t="s">
        <v>19</v>
      </c>
      <c r="J13" s="307"/>
      <c r="K13" s="307"/>
      <c r="L13" s="73">
        <f>SUM(L7:L12)</f>
        <v>273950</v>
      </c>
      <c r="M13" s="73">
        <f>SUM(M7:M12)</f>
        <v>0</v>
      </c>
      <c r="R13" s="79">
        <v>346768</v>
      </c>
      <c r="S13" s="79">
        <f t="shared" si="4"/>
        <v>346768</v>
      </c>
    </row>
    <row r="14" spans="1:20" s="73" customFormat="1">
      <c r="E14" s="79">
        <f t="shared" ref="E14:E19" si="6">E7</f>
        <v>0</v>
      </c>
      <c r="F14" s="79">
        <f>IF(B4="SANS REMORQUE",1,0)</f>
        <v>1</v>
      </c>
      <c r="G14" s="79">
        <f>IF(B4="SANS REMORQUE",0,1)</f>
        <v>0</v>
      </c>
      <c r="H14" s="79">
        <f t="shared" ref="H14:H19" si="7">C7*F14+D7*G14</f>
        <v>102961</v>
      </c>
      <c r="I14" s="79">
        <f>IF(C4&gt;0,1,0)</f>
        <v>1</v>
      </c>
      <c r="J14" s="79">
        <f>IF(C4&lt;=1,1,0)</f>
        <v>0</v>
      </c>
      <c r="K14" s="79">
        <f t="shared" ref="K14:K19" si="8">I14*J14</f>
        <v>0</v>
      </c>
      <c r="L14" s="73">
        <f t="shared" si="2"/>
        <v>0</v>
      </c>
      <c r="M14" s="79">
        <f t="shared" si="3"/>
        <v>0</v>
      </c>
    </row>
    <row r="15" spans="1:20" s="73" customFormat="1">
      <c r="E15" s="79">
        <f t="shared" si="6"/>
        <v>0</v>
      </c>
      <c r="F15" s="79">
        <f>F14</f>
        <v>1</v>
      </c>
      <c r="G15" s="79">
        <f>G14</f>
        <v>0</v>
      </c>
      <c r="H15" s="79">
        <f t="shared" si="7"/>
        <v>127135</v>
      </c>
      <c r="I15" s="79">
        <f>IF(C4&gt;1,1,0)</f>
        <v>1</v>
      </c>
      <c r="J15" s="79">
        <f>IF(C4&lt;5,1,0)</f>
        <v>0</v>
      </c>
      <c r="K15" s="79">
        <f t="shared" si="8"/>
        <v>0</v>
      </c>
      <c r="L15" s="73">
        <f t="shared" si="2"/>
        <v>0</v>
      </c>
      <c r="M15" s="79">
        <f t="shared" si="3"/>
        <v>0</v>
      </c>
      <c r="Q15" s="73" t="s">
        <v>16</v>
      </c>
    </row>
    <row r="16" spans="1:20" s="73" customFormat="1">
      <c r="A16" s="78"/>
      <c r="B16" s="307" t="s">
        <v>26</v>
      </c>
      <c r="C16" s="307"/>
      <c r="D16" s="99" t="s">
        <v>27</v>
      </c>
      <c r="E16" s="79">
        <f t="shared" si="6"/>
        <v>0</v>
      </c>
      <c r="F16" s="79">
        <f t="shared" ref="F16:G19" si="9">F15</f>
        <v>1</v>
      </c>
      <c r="G16" s="79">
        <f t="shared" si="9"/>
        <v>0</v>
      </c>
      <c r="H16" s="79">
        <f t="shared" si="7"/>
        <v>145400</v>
      </c>
      <c r="I16" s="79">
        <f>IF(C4&gt;4,1,0)</f>
        <v>1</v>
      </c>
      <c r="J16" s="79">
        <f>IF(C4&lt;8,1,0)</f>
        <v>0</v>
      </c>
      <c r="K16" s="79">
        <f t="shared" si="8"/>
        <v>0</v>
      </c>
      <c r="L16" s="73">
        <f t="shared" si="2"/>
        <v>0</v>
      </c>
      <c r="M16" s="79">
        <f t="shared" si="3"/>
        <v>0</v>
      </c>
    </row>
    <row r="17" spans="2:20" s="73" customFormat="1">
      <c r="B17" s="308">
        <f>IF(D4="ESSENCE",L13,L20)</f>
        <v>273950</v>
      </c>
      <c r="C17" s="308"/>
      <c r="D17" s="308">
        <f>IF(D4="ESSENCE",M13,M20)</f>
        <v>0</v>
      </c>
      <c r="E17" s="79">
        <f t="shared" si="6"/>
        <v>0</v>
      </c>
      <c r="F17" s="79">
        <f t="shared" si="9"/>
        <v>1</v>
      </c>
      <c r="G17" s="79">
        <f t="shared" si="9"/>
        <v>0</v>
      </c>
      <c r="H17" s="79">
        <f t="shared" si="7"/>
        <v>214908</v>
      </c>
      <c r="I17" s="79">
        <f>IF(C4&gt;7,1,0)</f>
        <v>1</v>
      </c>
      <c r="J17" s="79">
        <f>IF(C4&lt;11,1,0)</f>
        <v>0</v>
      </c>
      <c r="K17" s="79">
        <f t="shared" si="8"/>
        <v>0</v>
      </c>
      <c r="L17" s="73">
        <f t="shared" si="2"/>
        <v>0</v>
      </c>
      <c r="M17" s="79">
        <f t="shared" si="3"/>
        <v>0</v>
      </c>
      <c r="P17" s="73" t="s">
        <v>0</v>
      </c>
      <c r="Q17" s="73" t="s">
        <v>1</v>
      </c>
      <c r="R17" s="73" t="str">
        <f>R6</f>
        <v xml:space="preserve">SANS REMORQUE </v>
      </c>
      <c r="S17" s="73" t="str">
        <f>S6</f>
        <v xml:space="preserve">AVEC REMORQUE </v>
      </c>
      <c r="T17" s="73" t="s">
        <v>23</v>
      </c>
    </row>
    <row r="18" spans="2:20" s="73" customFormat="1">
      <c r="B18" s="308"/>
      <c r="C18" s="308"/>
      <c r="D18" s="308"/>
      <c r="E18" s="79">
        <f t="shared" si="6"/>
        <v>0</v>
      </c>
      <c r="F18" s="79">
        <f t="shared" si="9"/>
        <v>1</v>
      </c>
      <c r="G18" s="79">
        <f t="shared" si="9"/>
        <v>0</v>
      </c>
      <c r="H18" s="79">
        <f t="shared" si="7"/>
        <v>273950</v>
      </c>
      <c r="I18" s="79">
        <f>IF(C4&gt;10,1,0)</f>
        <v>1</v>
      </c>
      <c r="J18" s="79">
        <f>IF(C4&lt;17,1,0)</f>
        <v>0</v>
      </c>
      <c r="K18" s="79">
        <f t="shared" si="8"/>
        <v>0</v>
      </c>
      <c r="L18" s="73">
        <f t="shared" si="2"/>
        <v>0</v>
      </c>
      <c r="M18" s="79">
        <f t="shared" si="3"/>
        <v>0</v>
      </c>
      <c r="P18" s="73" t="s">
        <v>9</v>
      </c>
      <c r="Q18" s="73" t="s">
        <v>9</v>
      </c>
      <c r="R18" s="79">
        <v>107641</v>
      </c>
      <c r="S18" s="79">
        <f t="shared" ref="S18:S23" si="10">R18</f>
        <v>107641</v>
      </c>
      <c r="T18" s="79">
        <v>0</v>
      </c>
    </row>
    <row r="19" spans="2:20" s="73" customFormat="1">
      <c r="B19" s="308"/>
      <c r="C19" s="308"/>
      <c r="D19" s="308"/>
      <c r="E19" s="79">
        <f t="shared" si="6"/>
        <v>0</v>
      </c>
      <c r="F19" s="79">
        <f t="shared" si="9"/>
        <v>1</v>
      </c>
      <c r="G19" s="79">
        <f t="shared" si="9"/>
        <v>0</v>
      </c>
      <c r="H19" s="79">
        <f t="shared" si="7"/>
        <v>317870</v>
      </c>
      <c r="I19" s="79">
        <f>IF(C4&gt;16,1,0)</f>
        <v>1</v>
      </c>
      <c r="J19" s="79">
        <f>IF(C4&lt;9999999999,1,0)</f>
        <v>1</v>
      </c>
      <c r="K19" s="79">
        <f t="shared" si="8"/>
        <v>1</v>
      </c>
      <c r="L19" s="73">
        <f t="shared" si="2"/>
        <v>317870</v>
      </c>
      <c r="M19" s="79">
        <f t="shared" si="3"/>
        <v>0</v>
      </c>
      <c r="P19" s="73" t="s">
        <v>4</v>
      </c>
      <c r="Q19" s="73" t="s">
        <v>10</v>
      </c>
      <c r="R19" s="79">
        <v>132914</v>
      </c>
      <c r="S19" s="79">
        <f t="shared" si="10"/>
        <v>132914</v>
      </c>
      <c r="T19" s="79">
        <v>0</v>
      </c>
    </row>
    <row r="20" spans="2:20" s="73" customFormat="1">
      <c r="B20" s="308">
        <f>IF(E4="YES",B17+D17,B17)*IF(CONTRATS!C24=0,1,0)*IF(CONTRATS!E24=0,1,0)*IF(CONTRATS!B24="NO",1,0)</f>
        <v>0</v>
      </c>
      <c r="C20" s="308"/>
      <c r="D20" s="308"/>
      <c r="L20" s="73">
        <f>SUM(L14:L19)</f>
        <v>317870</v>
      </c>
      <c r="M20" s="73">
        <f>SUM(M14:M19)</f>
        <v>0</v>
      </c>
      <c r="P20" s="73" t="s">
        <v>5</v>
      </c>
      <c r="Q20" s="73" t="s">
        <v>11</v>
      </c>
      <c r="R20" s="79">
        <v>152009</v>
      </c>
      <c r="S20" s="79">
        <f t="shared" si="10"/>
        <v>152009</v>
      </c>
      <c r="T20" s="79">
        <v>0</v>
      </c>
    </row>
    <row r="21" spans="2:20" s="73" customFormat="1">
      <c r="B21" s="308"/>
      <c r="C21" s="308"/>
      <c r="D21" s="308"/>
      <c r="P21" s="73" t="s">
        <v>6</v>
      </c>
      <c r="Q21" s="73" t="s">
        <v>12</v>
      </c>
      <c r="R21" s="79">
        <v>224677</v>
      </c>
      <c r="S21" s="79">
        <f t="shared" si="10"/>
        <v>224677</v>
      </c>
      <c r="T21" s="79">
        <v>0</v>
      </c>
    </row>
    <row r="22" spans="2:20" s="73" customFormat="1">
      <c r="B22" s="308"/>
      <c r="C22" s="308"/>
      <c r="D22" s="308"/>
      <c r="P22" s="73" t="s">
        <v>7</v>
      </c>
      <c r="Q22" s="73" t="s">
        <v>13</v>
      </c>
      <c r="R22" s="79">
        <v>286402</v>
      </c>
      <c r="S22" s="79">
        <f t="shared" si="10"/>
        <v>286402</v>
      </c>
      <c r="T22" s="79">
        <v>0</v>
      </c>
    </row>
    <row r="23" spans="2:20" s="73" customFormat="1">
      <c r="P23" s="73" t="s">
        <v>8</v>
      </c>
      <c r="Q23" s="73" t="s">
        <v>14</v>
      </c>
      <c r="R23" s="79">
        <v>332319</v>
      </c>
      <c r="S23" s="79">
        <f t="shared" si="10"/>
        <v>332319</v>
      </c>
      <c r="T23" s="79">
        <v>0</v>
      </c>
    </row>
    <row r="24" spans="2:20" s="73" customFormat="1"/>
    <row r="25" spans="2:20" s="73" customFormat="1"/>
    <row r="26" spans="2:20" s="73" customFormat="1">
      <c r="Q26" s="73" t="s">
        <v>17</v>
      </c>
    </row>
    <row r="27" spans="2:20" s="73" customFormat="1"/>
    <row r="28" spans="2:20" s="73" customFormat="1">
      <c r="P28" s="73" t="s">
        <v>0</v>
      </c>
      <c r="Q28" s="73" t="s">
        <v>1</v>
      </c>
      <c r="R28" s="73" t="str">
        <f>R17</f>
        <v xml:space="preserve">SANS REMORQUE </v>
      </c>
      <c r="S28" s="73" t="str">
        <f>S17</f>
        <v xml:space="preserve">AVEC REMORQUE </v>
      </c>
      <c r="T28" s="73" t="s">
        <v>23</v>
      </c>
    </row>
    <row r="29" spans="2:20" s="73" customFormat="1">
      <c r="P29" s="73" t="s">
        <v>9</v>
      </c>
      <c r="Q29" s="73" t="s">
        <v>9</v>
      </c>
      <c r="R29" s="79">
        <v>102961</v>
      </c>
      <c r="S29" s="79">
        <f t="shared" ref="S29:S34" si="11">R29</f>
        <v>102961</v>
      </c>
      <c r="T29" s="79">
        <v>0</v>
      </c>
    </row>
    <row r="30" spans="2:20" s="73" customFormat="1">
      <c r="P30" s="73" t="s">
        <v>4</v>
      </c>
      <c r="Q30" s="73" t="s">
        <v>10</v>
      </c>
      <c r="R30" s="79">
        <v>127135</v>
      </c>
      <c r="S30" s="79">
        <f t="shared" si="11"/>
        <v>127135</v>
      </c>
      <c r="T30" s="79">
        <v>0</v>
      </c>
    </row>
    <row r="31" spans="2:20" s="73" customFormat="1">
      <c r="P31" s="73" t="s">
        <v>5</v>
      </c>
      <c r="Q31" s="73" t="s">
        <v>11</v>
      </c>
      <c r="R31" s="79">
        <v>145400</v>
      </c>
      <c r="S31" s="79">
        <f t="shared" si="11"/>
        <v>145400</v>
      </c>
      <c r="T31" s="79">
        <v>0</v>
      </c>
    </row>
    <row r="32" spans="2:20" s="73" customFormat="1">
      <c r="P32" s="73" t="s">
        <v>6</v>
      </c>
      <c r="Q32" s="73" t="s">
        <v>12</v>
      </c>
      <c r="R32" s="79">
        <v>214908</v>
      </c>
      <c r="S32" s="79">
        <f t="shared" si="11"/>
        <v>214908</v>
      </c>
      <c r="T32" s="79">
        <v>0</v>
      </c>
    </row>
    <row r="33" spans="16:20" s="73" customFormat="1">
      <c r="P33" s="73" t="s">
        <v>7</v>
      </c>
      <c r="Q33" s="73" t="s">
        <v>13</v>
      </c>
      <c r="R33" s="79">
        <v>273950</v>
      </c>
      <c r="S33" s="79">
        <f t="shared" si="11"/>
        <v>273950</v>
      </c>
      <c r="T33" s="79">
        <v>0</v>
      </c>
    </row>
    <row r="34" spans="16:20" s="73" customFormat="1">
      <c r="P34" s="73" t="s">
        <v>8</v>
      </c>
      <c r="Q34" s="73" t="s">
        <v>14</v>
      </c>
      <c r="R34" s="79">
        <v>317870</v>
      </c>
      <c r="S34" s="79">
        <f t="shared" si="11"/>
        <v>317870</v>
      </c>
      <c r="T34" s="79">
        <v>0</v>
      </c>
    </row>
    <row r="35" spans="16:20" s="73" customFormat="1"/>
    <row r="36" spans="16:20" s="73" customFormat="1"/>
    <row r="37" spans="16:20" s="73" customFormat="1"/>
    <row r="38" spans="16:20" s="73" customFormat="1"/>
    <row r="39" spans="16:20" s="73" customFormat="1"/>
    <row r="40" spans="16:20" s="73" customFormat="1"/>
    <row r="41" spans="16:20" s="73" customFormat="1"/>
    <row r="42" spans="16:20" s="73" customFormat="1"/>
    <row r="43" spans="16:20" s="73" customFormat="1"/>
    <row r="44" spans="16:20" s="73" customFormat="1"/>
    <row r="45" spans="16:20" s="73" customFormat="1"/>
    <row r="46" spans="16:20" s="73" customFormat="1"/>
    <row r="47" spans="16:20" s="73" customFormat="1"/>
    <row r="48" spans="16:20" s="73" customFormat="1"/>
    <row r="49" s="73" customFormat="1"/>
    <row r="50" s="73" customFormat="1"/>
    <row r="51" s="73" customFormat="1"/>
    <row r="52" s="73" customFormat="1"/>
    <row r="53" s="73" customFormat="1"/>
    <row r="54" s="73" customFormat="1"/>
    <row r="55" s="73" customFormat="1"/>
    <row r="56" s="73" customFormat="1"/>
    <row r="57" s="73" customFormat="1"/>
    <row r="58" s="73" customFormat="1"/>
    <row r="59" s="73" customFormat="1"/>
    <row r="60" s="73" customFormat="1"/>
    <row r="61" s="73" customFormat="1"/>
    <row r="62" s="73" customFormat="1"/>
    <row r="63" s="73" customFormat="1"/>
    <row r="64" s="73" customFormat="1"/>
    <row r="65" s="73" customFormat="1"/>
    <row r="66" s="73" customFormat="1"/>
    <row r="67" s="73" customFormat="1"/>
    <row r="68" s="73" customFormat="1"/>
    <row r="69" s="73" customFormat="1"/>
    <row r="70" s="73" customFormat="1"/>
    <row r="71" s="73" customFormat="1"/>
    <row r="72" s="73" customFormat="1"/>
    <row r="73" s="73" customFormat="1"/>
    <row r="74" s="73" customFormat="1"/>
    <row r="75" s="73" customFormat="1"/>
    <row r="76" s="73" customFormat="1"/>
    <row r="77" s="73" customFormat="1"/>
    <row r="78" s="73" customFormat="1"/>
    <row r="79" s="73" customFormat="1"/>
    <row r="80" s="73" customFormat="1"/>
    <row r="81" s="73" customFormat="1"/>
    <row r="82" s="73" customFormat="1"/>
    <row r="83" s="73" customFormat="1"/>
  </sheetData>
  <sheetProtection password="D373" sheet="1" objects="1" scenarios="1"/>
  <mergeCells count="6">
    <mergeCell ref="B20:D22"/>
    <mergeCell ref="I6:K6"/>
    <mergeCell ref="I13:K13"/>
    <mergeCell ref="B16:C16"/>
    <mergeCell ref="B17:C19"/>
    <mergeCell ref="D17:D19"/>
  </mergeCells>
  <dataValidations count="2">
    <dataValidation type="list" allowBlank="1" showInputMessage="1" showErrorMessage="1" sqref="A4">
      <formula1>$R$1:$T$1</formula1>
    </dataValidation>
    <dataValidation type="list" allowBlank="1" showInputMessage="1" showErrorMessage="1" sqref="E4">
      <formula1>$J$2:$K$2</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1" tint="0.14999847407452621"/>
  </sheetPr>
  <dimension ref="A1:BVP191"/>
  <sheetViews>
    <sheetView showGridLines="0" tabSelected="1" zoomScale="120" zoomScaleNormal="120" workbookViewId="0">
      <selection activeCell="D62" sqref="D62"/>
    </sheetView>
  </sheetViews>
  <sheetFormatPr defaultColWidth="10.28515625" defaultRowHeight="12.75"/>
  <cols>
    <col min="1" max="2" width="11.5703125" style="1" customWidth="1"/>
    <col min="3" max="3" width="11.42578125" style="1" customWidth="1"/>
    <col min="4" max="4" width="12.5703125" style="1" customWidth="1"/>
    <col min="5" max="5" width="16.7109375" style="137" customWidth="1"/>
    <col min="6" max="6" width="4.7109375" style="1" customWidth="1"/>
    <col min="7" max="7" width="11.42578125" style="1" customWidth="1"/>
    <col min="8" max="8" width="4.140625" style="1" customWidth="1"/>
    <col min="9" max="9" width="4.7109375" style="1" customWidth="1"/>
    <col min="10" max="10" width="11.7109375" style="1" customWidth="1"/>
    <col min="11" max="11" width="6.5703125" style="1" customWidth="1"/>
    <col min="12" max="12" width="12" style="1" customWidth="1"/>
    <col min="13" max="13" width="7.28515625" style="1" hidden="1" customWidth="1"/>
    <col min="14" max="14" width="8.42578125" style="1" hidden="1" customWidth="1"/>
    <col min="15" max="15" width="15.7109375" style="1" hidden="1" customWidth="1"/>
    <col min="16" max="16" width="6.140625" style="12" customWidth="1"/>
    <col min="17" max="17" width="4.28515625" style="12" customWidth="1"/>
    <col min="18" max="18" width="4.5703125" style="12" customWidth="1"/>
    <col min="19" max="19" width="4.42578125" style="12" customWidth="1"/>
    <col min="20" max="20" width="4.85546875" style="12" customWidth="1"/>
    <col min="21" max="21" width="24.7109375" style="16" customWidth="1"/>
    <col min="22" max="26" width="10.28515625" style="16" customWidth="1"/>
    <col min="27" max="31" width="10.28515625" style="12" customWidth="1"/>
    <col min="32" max="39" width="10.28515625" style="12" hidden="1" customWidth="1"/>
    <col min="40" max="40" width="10" style="12" hidden="1" customWidth="1"/>
    <col min="41" max="55" width="10.28515625" style="12" hidden="1" customWidth="1"/>
    <col min="56" max="56" width="12.140625" style="12" hidden="1" customWidth="1"/>
    <col min="57" max="57" width="12.28515625" style="12" hidden="1" customWidth="1"/>
    <col min="58" max="58" width="8.5703125" style="12" hidden="1" customWidth="1"/>
    <col min="59" max="59" width="6.28515625" style="12" hidden="1" customWidth="1"/>
    <col min="60" max="60" width="4.85546875" style="12" hidden="1" customWidth="1"/>
    <col min="61" max="61" width="3.5703125" style="12" hidden="1" customWidth="1"/>
    <col min="62" max="62" width="5.28515625" style="12" hidden="1" customWidth="1"/>
    <col min="63" max="63" width="4" style="12" hidden="1" customWidth="1"/>
    <col min="64" max="64" width="6.42578125" style="12" hidden="1" customWidth="1"/>
    <col min="65" max="65" width="10.5703125" style="12" hidden="1" customWidth="1"/>
    <col min="66" max="66" width="7.42578125" style="12" hidden="1" customWidth="1"/>
    <col min="67" max="70" width="7.5703125" style="12" hidden="1" customWidth="1"/>
    <col min="71" max="71" width="10.28515625" style="12" hidden="1" customWidth="1"/>
    <col min="72" max="72" width="17.42578125" style="12" hidden="1" customWidth="1"/>
    <col min="73" max="77" width="13" style="12" hidden="1" customWidth="1"/>
    <col min="78" max="78" width="11.7109375" style="12" hidden="1" customWidth="1"/>
    <col min="79" max="79" width="10.85546875" style="12" hidden="1" customWidth="1"/>
    <col min="80" max="80" width="33.5703125" style="12" hidden="1" customWidth="1"/>
    <col min="81" max="81" width="17.140625" style="12" hidden="1" customWidth="1"/>
    <col min="82" max="82" width="12.5703125" style="12" hidden="1" customWidth="1"/>
    <col min="83" max="83" width="13.5703125" style="12" hidden="1" customWidth="1"/>
    <col min="84" max="84" width="9.7109375" style="12" hidden="1" customWidth="1"/>
    <col min="85" max="85" width="11.42578125" style="12" hidden="1" customWidth="1"/>
    <col min="86" max="86" width="16" style="12" hidden="1" customWidth="1"/>
    <col min="87" max="87" width="11.42578125" style="12" hidden="1" customWidth="1"/>
    <col min="88" max="88" width="7.140625" style="12" hidden="1" customWidth="1"/>
    <col min="89" max="89" width="8.7109375" style="12" hidden="1" customWidth="1"/>
    <col min="90" max="90" width="8.140625" style="12" hidden="1" customWidth="1"/>
    <col min="91" max="91" width="8.28515625" style="12" hidden="1" customWidth="1"/>
    <col min="92" max="92" width="12" style="12" hidden="1" customWidth="1"/>
    <col min="93" max="94" width="15.42578125" style="12" hidden="1" customWidth="1"/>
    <col min="95" max="95" width="13" style="12" hidden="1" customWidth="1"/>
    <col min="96" max="96" width="13.5703125" style="12" hidden="1" customWidth="1"/>
    <col min="97" max="97" width="10.140625" style="12" hidden="1" customWidth="1"/>
    <col min="98" max="98" width="19.5703125" style="12" hidden="1" customWidth="1"/>
    <col min="99" max="99" width="14.140625" style="12" hidden="1" customWidth="1"/>
    <col min="100" max="104" width="7.5703125" style="12" hidden="1" customWidth="1"/>
    <col min="105" max="105" width="7.42578125" style="12" hidden="1" customWidth="1"/>
    <col min="106" max="106" width="8.140625" style="12" hidden="1" customWidth="1"/>
    <col min="107" max="107" width="9.42578125" style="12" hidden="1" customWidth="1"/>
    <col min="108" max="108" width="13.42578125" style="12" hidden="1" customWidth="1"/>
    <col min="109" max="109" width="9.28515625" style="12" hidden="1" customWidth="1"/>
    <col min="110" max="110" width="13.5703125" style="12" hidden="1" customWidth="1"/>
    <col min="111" max="111" width="7.42578125" style="12" hidden="1" customWidth="1"/>
    <col min="112" max="112" width="6.140625" style="12" hidden="1" customWidth="1"/>
    <col min="113" max="113" width="4.7109375" style="12" hidden="1" customWidth="1"/>
    <col min="114" max="114" width="4.42578125" style="12" hidden="1" customWidth="1"/>
    <col min="115" max="115" width="5.5703125" style="12" hidden="1" customWidth="1"/>
    <col min="116" max="116" width="3.28515625" style="12" hidden="1" customWidth="1"/>
    <col min="117" max="117" width="4.5703125" style="12" hidden="1" customWidth="1"/>
    <col min="118" max="118" width="5.28515625" style="12" hidden="1" customWidth="1"/>
    <col min="119" max="119" width="2.85546875" style="12" hidden="1" customWidth="1"/>
    <col min="120" max="120" width="5.42578125" style="12" hidden="1" customWidth="1"/>
    <col min="121" max="121" width="11" style="12" hidden="1" customWidth="1"/>
    <col min="122" max="122" width="9.28515625" style="12" hidden="1" customWidth="1"/>
    <col min="123" max="123" width="12.7109375" style="12" hidden="1" customWidth="1"/>
    <col min="124" max="124" width="25.42578125" style="12" hidden="1" customWidth="1"/>
    <col min="125" max="125" width="18" style="12" hidden="1" customWidth="1"/>
    <col min="126" max="126" width="13.5703125" style="12" hidden="1" customWidth="1"/>
    <col min="127" max="127" width="12.7109375" style="12" hidden="1" customWidth="1"/>
    <col min="128" max="128" width="9.42578125" style="12" hidden="1" customWidth="1"/>
    <col min="129" max="129" width="9.85546875" style="12" hidden="1" customWidth="1"/>
    <col min="130" max="130" width="14.5703125" style="12" hidden="1" customWidth="1"/>
    <col min="131" max="131" width="15.28515625" style="12" hidden="1" customWidth="1"/>
    <col min="132" max="132" width="10.140625" style="12" hidden="1" customWidth="1"/>
    <col min="133" max="133" width="12.5703125" style="12" hidden="1" customWidth="1"/>
    <col min="134" max="134" width="10.42578125" style="12" hidden="1" customWidth="1"/>
    <col min="135" max="135" width="8.140625" style="12" hidden="1" customWidth="1"/>
    <col min="136" max="136" width="15.42578125" style="12" hidden="1" customWidth="1"/>
    <col min="137" max="137" width="13.140625" style="12" hidden="1" customWidth="1"/>
    <col min="138" max="138" width="11.28515625" style="12" hidden="1" customWidth="1"/>
    <col min="139" max="139" width="9" style="12" hidden="1" customWidth="1"/>
    <col min="140" max="140" width="8.42578125" style="12" hidden="1" customWidth="1"/>
    <col min="141" max="141" width="5.7109375" style="12" hidden="1" customWidth="1"/>
    <col min="142" max="143" width="5.42578125" style="12" hidden="1" customWidth="1"/>
    <col min="144" max="144" width="4.42578125" style="12" hidden="1" customWidth="1"/>
    <col min="145" max="145" width="7.28515625" style="12" hidden="1" customWidth="1"/>
    <col min="146" max="146" width="8" style="12" hidden="1" customWidth="1"/>
    <col min="147" max="156" width="10.28515625" style="12" hidden="1" customWidth="1"/>
    <col min="157" max="157" width="7.140625" style="12" hidden="1" customWidth="1"/>
    <col min="158" max="158" width="3.7109375" style="12" hidden="1" customWidth="1"/>
    <col min="159" max="161" width="7" style="12" hidden="1" customWidth="1"/>
    <col min="162" max="162" width="10.28515625" style="209" hidden="1" customWidth="1"/>
    <col min="163" max="229" width="10.28515625" style="12" hidden="1" customWidth="1"/>
    <col min="230" max="257" width="10.28515625" style="12" customWidth="1"/>
    <col min="258" max="258" width="6" style="12" customWidth="1"/>
    <col min="259" max="266" width="10.28515625" style="12" customWidth="1"/>
    <col min="267" max="267" width="12.28515625" style="12" customWidth="1"/>
    <col min="268" max="268" width="11.85546875" style="12" customWidth="1"/>
    <col min="269" max="270" width="10.85546875" style="12" customWidth="1"/>
    <col min="271" max="271" width="10.42578125" style="12" customWidth="1"/>
    <col min="272" max="272" width="4.5703125" style="12" customWidth="1"/>
    <col min="273" max="273" width="10.85546875" style="12" customWidth="1"/>
    <col min="274" max="274" width="5.5703125" style="12" customWidth="1"/>
    <col min="275" max="275" width="3.42578125" style="12" customWidth="1"/>
    <col min="276" max="276" width="9.85546875" style="12" customWidth="1"/>
    <col min="277" max="277" width="6.5703125" style="12" customWidth="1"/>
    <col min="278" max="278" width="5.5703125" style="12" customWidth="1"/>
    <col min="279" max="279" width="5.140625" style="12" customWidth="1"/>
    <col min="280" max="280" width="8.42578125" style="12" customWidth="1"/>
    <col min="281" max="281" width="6.140625" style="12" customWidth="1"/>
    <col min="282" max="282" width="4.28515625" style="12" customWidth="1"/>
    <col min="283" max="283" width="4.5703125" style="12" customWidth="1"/>
    <col min="284" max="284" width="4.42578125" style="12" customWidth="1"/>
    <col min="285" max="285" width="4.85546875" style="12" customWidth="1"/>
    <col min="286" max="522" width="10.28515625" style="12" customWidth="1"/>
    <col min="523" max="523" width="12.28515625" style="12" customWidth="1"/>
    <col min="524" max="524" width="11.85546875" style="12" customWidth="1"/>
    <col min="525" max="526" width="10.85546875" style="12" customWidth="1"/>
    <col min="527" max="527" width="10.42578125" style="12" customWidth="1"/>
    <col min="528" max="528" width="4.5703125" style="12" customWidth="1"/>
    <col min="529" max="529" width="10.85546875" style="12" customWidth="1"/>
    <col min="530" max="530" width="5.5703125" style="12" customWidth="1"/>
    <col min="531" max="531" width="3.42578125" style="12" customWidth="1"/>
    <col min="532" max="532" width="9.85546875" style="12" customWidth="1"/>
    <col min="533" max="533" width="6.5703125" style="12" customWidth="1"/>
    <col min="534" max="534" width="5.5703125" style="12" customWidth="1"/>
    <col min="535" max="535" width="5.140625" style="12" customWidth="1"/>
    <col min="536" max="536" width="8.42578125" style="12" customWidth="1"/>
    <col min="537" max="537" width="6.140625" style="12" customWidth="1"/>
    <col min="538" max="538" width="4.28515625" style="12" customWidth="1"/>
    <col min="539" max="539" width="4.5703125" style="12" customWidth="1"/>
    <col min="540" max="540" width="4.42578125" style="12" customWidth="1"/>
    <col min="541" max="541" width="4.85546875" style="12" customWidth="1"/>
    <col min="542" max="756" width="10.28515625" style="12" customWidth="1"/>
    <col min="757" max="778" width="10.28515625" style="12"/>
    <col min="779" max="779" width="12.28515625" style="12" customWidth="1"/>
    <col min="780" max="780" width="11.85546875" style="12" customWidth="1"/>
    <col min="781" max="782" width="10.85546875" style="12" customWidth="1"/>
    <col min="783" max="783" width="10.42578125" style="12" customWidth="1"/>
    <col min="784" max="784" width="4.5703125" style="12" bestFit="1" customWidth="1"/>
    <col min="785" max="785" width="10.85546875" style="12" customWidth="1"/>
    <col min="786" max="786" width="5.5703125" style="12" customWidth="1"/>
    <col min="787" max="787" width="3.42578125" style="12" customWidth="1"/>
    <col min="788" max="788" width="9.85546875" style="12" customWidth="1"/>
    <col min="789" max="789" width="6.5703125" style="12" customWidth="1"/>
    <col min="790" max="790" width="5.5703125" style="12" customWidth="1"/>
    <col min="791" max="791" width="5.140625" style="12" customWidth="1"/>
    <col min="792" max="792" width="8.42578125" style="12" bestFit="1" customWidth="1"/>
    <col min="793" max="793" width="6.140625" style="12" customWidth="1"/>
    <col min="794" max="794" width="4.28515625" style="12" customWidth="1"/>
    <col min="795" max="795" width="4.5703125" style="12" customWidth="1"/>
    <col min="796" max="796" width="4.42578125" style="12" customWidth="1"/>
    <col min="797" max="797" width="4.85546875" style="12" customWidth="1"/>
    <col min="798" max="1034" width="10.28515625" style="12"/>
    <col min="1035" max="1035" width="12.28515625" style="12" customWidth="1"/>
    <col min="1036" max="1036" width="11.85546875" style="12" customWidth="1"/>
    <col min="1037" max="1038" width="10.85546875" style="12" customWidth="1"/>
    <col min="1039" max="1039" width="10.42578125" style="12" customWidth="1"/>
    <col min="1040" max="1040" width="4.5703125" style="12" bestFit="1" customWidth="1"/>
    <col min="1041" max="1041" width="10.85546875" style="12" customWidth="1"/>
    <col min="1042" max="1042" width="5.5703125" style="12" customWidth="1"/>
    <col min="1043" max="1043" width="3.42578125" style="12" customWidth="1"/>
    <col min="1044" max="1044" width="9.85546875" style="12" customWidth="1"/>
    <col min="1045" max="1045" width="6.5703125" style="12" customWidth="1"/>
    <col min="1046" max="1046" width="5.5703125" style="12" customWidth="1"/>
    <col min="1047" max="1047" width="5.140625" style="12" customWidth="1"/>
    <col min="1048" max="1048" width="8.42578125" style="12" bestFit="1" customWidth="1"/>
    <col min="1049" max="1049" width="6.140625" style="12" customWidth="1"/>
    <col min="1050" max="1050" width="4.28515625" style="12" customWidth="1"/>
    <col min="1051" max="1051" width="4.5703125" style="12" customWidth="1"/>
    <col min="1052" max="1052" width="4.42578125" style="12" customWidth="1"/>
    <col min="1053" max="1053" width="4.85546875" style="12" customWidth="1"/>
    <col min="1054" max="1290" width="10.28515625" style="12"/>
    <col min="1291" max="1291" width="12.28515625" style="12" customWidth="1"/>
    <col min="1292" max="1292" width="11.85546875" style="12" customWidth="1"/>
    <col min="1293" max="1294" width="10.85546875" style="12" customWidth="1"/>
    <col min="1295" max="1295" width="10.42578125" style="12" customWidth="1"/>
    <col min="1296" max="1296" width="4.5703125" style="12" bestFit="1" customWidth="1"/>
    <col min="1297" max="1297" width="10.85546875" style="12" customWidth="1"/>
    <col min="1298" max="1298" width="5.5703125" style="12" customWidth="1"/>
    <col min="1299" max="1299" width="3.42578125" style="12" customWidth="1"/>
    <col min="1300" max="1300" width="9.85546875" style="12" customWidth="1"/>
    <col min="1301" max="1301" width="6.5703125" style="12" customWidth="1"/>
    <col min="1302" max="1302" width="5.5703125" style="12" customWidth="1"/>
    <col min="1303" max="1303" width="5.140625" style="12" customWidth="1"/>
    <col min="1304" max="1304" width="8.42578125" style="12" bestFit="1" customWidth="1"/>
    <col min="1305" max="1305" width="6.140625" style="12" customWidth="1"/>
    <col min="1306" max="1306" width="4.28515625" style="12" customWidth="1"/>
    <col min="1307" max="1307" width="4.5703125" style="12" customWidth="1"/>
    <col min="1308" max="1308" width="4.42578125" style="12" customWidth="1"/>
    <col min="1309" max="1309" width="4.85546875" style="12" customWidth="1"/>
    <col min="1310" max="1546" width="10.28515625" style="12"/>
    <col min="1547" max="1547" width="12.28515625" style="12" customWidth="1"/>
    <col min="1548" max="1548" width="11.85546875" style="12" customWidth="1"/>
    <col min="1549" max="1550" width="10.85546875" style="12" customWidth="1"/>
    <col min="1551" max="1551" width="10.42578125" style="12" customWidth="1"/>
    <col min="1552" max="1552" width="4.5703125" style="12" bestFit="1" customWidth="1"/>
    <col min="1553" max="1553" width="10.85546875" style="12" customWidth="1"/>
    <col min="1554" max="1554" width="5.5703125" style="12" customWidth="1"/>
    <col min="1555" max="1555" width="3.42578125" style="12" customWidth="1"/>
    <col min="1556" max="1556" width="9.85546875" style="12" customWidth="1"/>
    <col min="1557" max="1557" width="6.5703125" style="12" customWidth="1"/>
    <col min="1558" max="1558" width="5.5703125" style="12" customWidth="1"/>
    <col min="1559" max="1559" width="5.140625" style="12" customWidth="1"/>
    <col min="1560" max="1560" width="8.42578125" style="12" bestFit="1" customWidth="1"/>
    <col min="1561" max="1561" width="6.140625" style="12" customWidth="1"/>
    <col min="1562" max="1562" width="4.28515625" style="12" customWidth="1"/>
    <col min="1563" max="1563" width="4.5703125" style="12" customWidth="1"/>
    <col min="1564" max="1564" width="4.42578125" style="12" customWidth="1"/>
    <col min="1565" max="1565" width="4.85546875" style="12" customWidth="1"/>
    <col min="1566" max="1802" width="10.28515625" style="12"/>
    <col min="1803" max="1803" width="12.28515625" style="12" customWidth="1"/>
    <col min="1804" max="1804" width="11.85546875" style="12" customWidth="1"/>
    <col min="1805" max="1806" width="10.85546875" style="12" customWidth="1"/>
    <col min="1807" max="1807" width="10.42578125" style="12" customWidth="1"/>
    <col min="1808" max="1808" width="4.5703125" style="12" bestFit="1" customWidth="1"/>
    <col min="1809" max="1809" width="10.85546875" style="12" customWidth="1"/>
    <col min="1810" max="1810" width="5.5703125" style="12" customWidth="1"/>
    <col min="1811" max="1811" width="3.42578125" style="12" customWidth="1"/>
    <col min="1812" max="1812" width="9.85546875" style="12" customWidth="1"/>
    <col min="1813" max="1813" width="6.5703125" style="12" customWidth="1"/>
    <col min="1814" max="1814" width="5.5703125" style="12" customWidth="1"/>
    <col min="1815" max="1815" width="5.140625" style="12" customWidth="1"/>
    <col min="1816" max="1816" width="8.42578125" style="12" bestFit="1" customWidth="1"/>
    <col min="1817" max="1817" width="6.140625" style="12" customWidth="1"/>
    <col min="1818" max="1818" width="4.28515625" style="12" customWidth="1"/>
    <col min="1819" max="1819" width="4.5703125" style="12" customWidth="1"/>
    <col min="1820" max="1820" width="4.42578125" style="12" customWidth="1"/>
    <col min="1821" max="1821" width="4.85546875" style="12" customWidth="1"/>
    <col min="1822" max="1940" width="10.28515625" style="12"/>
    <col min="1941" max="2058" width="10.28515625" style="1"/>
    <col min="2059" max="2059" width="12.28515625" style="1" customWidth="1"/>
    <col min="2060" max="2060" width="11.85546875" style="1" customWidth="1"/>
    <col min="2061" max="2062" width="10.85546875" style="1" customWidth="1"/>
    <col min="2063" max="2063" width="10.42578125" style="1" customWidth="1"/>
    <col min="2064" max="2064" width="4.5703125" style="1" bestFit="1" customWidth="1"/>
    <col min="2065" max="2065" width="10.85546875" style="1" customWidth="1"/>
    <col min="2066" max="2066" width="5.5703125" style="1" customWidth="1"/>
    <col min="2067" max="2067" width="3.42578125" style="1" customWidth="1"/>
    <col min="2068" max="2068" width="9.85546875" style="1" customWidth="1"/>
    <col min="2069" max="2069" width="6.5703125" style="1" customWidth="1"/>
    <col min="2070" max="2070" width="5.5703125" style="1" customWidth="1"/>
    <col min="2071" max="2071" width="5.140625" style="1" customWidth="1"/>
    <col min="2072" max="2072" width="8.42578125" style="1" bestFit="1" customWidth="1"/>
    <col min="2073" max="2073" width="6.140625" style="1" customWidth="1"/>
    <col min="2074" max="2074" width="4.28515625" style="1" customWidth="1"/>
    <col min="2075" max="2075" width="4.5703125" style="1" customWidth="1"/>
    <col min="2076" max="2076" width="4.42578125" style="1" customWidth="1"/>
    <col min="2077" max="2077" width="4.85546875" style="1" customWidth="1"/>
    <col min="2078" max="2314" width="10.28515625" style="1"/>
    <col min="2315" max="2315" width="12.28515625" style="1" customWidth="1"/>
    <col min="2316" max="2316" width="11.85546875" style="1" customWidth="1"/>
    <col min="2317" max="2318" width="10.85546875" style="1" customWidth="1"/>
    <col min="2319" max="2319" width="10.42578125" style="1" customWidth="1"/>
    <col min="2320" max="2320" width="4.5703125" style="1" bestFit="1" customWidth="1"/>
    <col min="2321" max="2321" width="10.85546875" style="1" customWidth="1"/>
    <col min="2322" max="2322" width="5.5703125" style="1" customWidth="1"/>
    <col min="2323" max="2323" width="3.42578125" style="1" customWidth="1"/>
    <col min="2324" max="2324" width="9.85546875" style="1" customWidth="1"/>
    <col min="2325" max="2325" width="6.5703125" style="1" customWidth="1"/>
    <col min="2326" max="2326" width="5.5703125" style="1" customWidth="1"/>
    <col min="2327" max="2327" width="5.140625" style="1" customWidth="1"/>
    <col min="2328" max="2328" width="8.42578125" style="1" bestFit="1" customWidth="1"/>
    <col min="2329" max="2329" width="6.140625" style="1" customWidth="1"/>
    <col min="2330" max="2330" width="4.28515625" style="1" customWidth="1"/>
    <col min="2331" max="2331" width="4.5703125" style="1" customWidth="1"/>
    <col min="2332" max="2332" width="4.42578125" style="1" customWidth="1"/>
    <col min="2333" max="2333" width="4.85546875" style="1" customWidth="1"/>
    <col min="2334" max="2570" width="10.28515625" style="1"/>
    <col min="2571" max="2571" width="12.28515625" style="1" customWidth="1"/>
    <col min="2572" max="2572" width="11.85546875" style="1" customWidth="1"/>
    <col min="2573" max="2574" width="10.85546875" style="1" customWidth="1"/>
    <col min="2575" max="2575" width="10.42578125" style="1" customWidth="1"/>
    <col min="2576" max="2576" width="4.5703125" style="1" bestFit="1" customWidth="1"/>
    <col min="2577" max="2577" width="10.85546875" style="1" customWidth="1"/>
    <col min="2578" max="2578" width="5.5703125" style="1" customWidth="1"/>
    <col min="2579" max="2579" width="3.42578125" style="1" customWidth="1"/>
    <col min="2580" max="2580" width="9.85546875" style="1" customWidth="1"/>
    <col min="2581" max="2581" width="6.5703125" style="1" customWidth="1"/>
    <col min="2582" max="2582" width="5.5703125" style="1" customWidth="1"/>
    <col min="2583" max="2583" width="5.140625" style="1" customWidth="1"/>
    <col min="2584" max="2584" width="8.42578125" style="1" bestFit="1" customWidth="1"/>
    <col min="2585" max="2585" width="6.140625" style="1" customWidth="1"/>
    <col min="2586" max="2586" width="4.28515625" style="1" customWidth="1"/>
    <col min="2587" max="2587" width="4.5703125" style="1" customWidth="1"/>
    <col min="2588" max="2588" width="4.42578125" style="1" customWidth="1"/>
    <col min="2589" max="2589" width="4.85546875" style="1" customWidth="1"/>
    <col min="2590" max="2826" width="10.28515625" style="1"/>
    <col min="2827" max="2827" width="12.28515625" style="1" customWidth="1"/>
    <col min="2828" max="2828" width="11.85546875" style="1" customWidth="1"/>
    <col min="2829" max="2830" width="10.85546875" style="1" customWidth="1"/>
    <col min="2831" max="2831" width="10.42578125" style="1" customWidth="1"/>
    <col min="2832" max="2832" width="4.5703125" style="1" bestFit="1" customWidth="1"/>
    <col min="2833" max="2833" width="10.85546875" style="1" customWidth="1"/>
    <col min="2834" max="2834" width="5.5703125" style="1" customWidth="1"/>
    <col min="2835" max="2835" width="3.42578125" style="1" customWidth="1"/>
    <col min="2836" max="2836" width="9.85546875" style="1" customWidth="1"/>
    <col min="2837" max="2837" width="6.5703125" style="1" customWidth="1"/>
    <col min="2838" max="2838" width="5.5703125" style="1" customWidth="1"/>
    <col min="2839" max="2839" width="5.140625" style="1" customWidth="1"/>
    <col min="2840" max="2840" width="8.42578125" style="1" bestFit="1" customWidth="1"/>
    <col min="2841" max="2841" width="6.140625" style="1" customWidth="1"/>
    <col min="2842" max="2842" width="4.28515625" style="1" customWidth="1"/>
    <col min="2843" max="2843" width="4.5703125" style="1" customWidth="1"/>
    <col min="2844" max="2844" width="4.42578125" style="1" customWidth="1"/>
    <col min="2845" max="2845" width="4.85546875" style="1" customWidth="1"/>
    <col min="2846" max="3082" width="10.28515625" style="1"/>
    <col min="3083" max="3083" width="12.28515625" style="1" customWidth="1"/>
    <col min="3084" max="3084" width="11.85546875" style="1" customWidth="1"/>
    <col min="3085" max="3086" width="10.85546875" style="1" customWidth="1"/>
    <col min="3087" max="3087" width="10.42578125" style="1" customWidth="1"/>
    <col min="3088" max="3088" width="4.5703125" style="1" bestFit="1" customWidth="1"/>
    <col min="3089" max="3089" width="10.85546875" style="1" customWidth="1"/>
    <col min="3090" max="3090" width="5.5703125" style="1" customWidth="1"/>
    <col min="3091" max="3091" width="3.42578125" style="1" customWidth="1"/>
    <col min="3092" max="3092" width="9.85546875" style="1" customWidth="1"/>
    <col min="3093" max="3093" width="6.5703125" style="1" customWidth="1"/>
    <col min="3094" max="3094" width="5.5703125" style="1" customWidth="1"/>
    <col min="3095" max="3095" width="5.140625" style="1" customWidth="1"/>
    <col min="3096" max="3096" width="8.42578125" style="1" bestFit="1" customWidth="1"/>
    <col min="3097" max="3097" width="6.140625" style="1" customWidth="1"/>
    <col min="3098" max="3098" width="4.28515625" style="1" customWidth="1"/>
    <col min="3099" max="3099" width="4.5703125" style="1" customWidth="1"/>
    <col min="3100" max="3100" width="4.42578125" style="1" customWidth="1"/>
    <col min="3101" max="3101" width="4.85546875" style="1" customWidth="1"/>
    <col min="3102" max="3338" width="10.28515625" style="1"/>
    <col min="3339" max="3339" width="12.28515625" style="1" customWidth="1"/>
    <col min="3340" max="3340" width="11.85546875" style="1" customWidth="1"/>
    <col min="3341" max="3342" width="10.85546875" style="1" customWidth="1"/>
    <col min="3343" max="3343" width="10.42578125" style="1" customWidth="1"/>
    <col min="3344" max="3344" width="4.5703125" style="1" bestFit="1" customWidth="1"/>
    <col min="3345" max="3345" width="10.85546875" style="1" customWidth="1"/>
    <col min="3346" max="3346" width="5.5703125" style="1" customWidth="1"/>
    <col min="3347" max="3347" width="3.42578125" style="1" customWidth="1"/>
    <col min="3348" max="3348" width="9.85546875" style="1" customWidth="1"/>
    <col min="3349" max="3349" width="6.5703125" style="1" customWidth="1"/>
    <col min="3350" max="3350" width="5.5703125" style="1" customWidth="1"/>
    <col min="3351" max="3351" width="5.140625" style="1" customWidth="1"/>
    <col min="3352" max="3352" width="8.42578125" style="1" bestFit="1" customWidth="1"/>
    <col min="3353" max="3353" width="6.140625" style="1" customWidth="1"/>
    <col min="3354" max="3354" width="4.28515625" style="1" customWidth="1"/>
    <col min="3355" max="3355" width="4.5703125" style="1" customWidth="1"/>
    <col min="3356" max="3356" width="4.42578125" style="1" customWidth="1"/>
    <col min="3357" max="3357" width="4.85546875" style="1" customWidth="1"/>
    <col min="3358" max="3594" width="10.28515625" style="1"/>
    <col min="3595" max="3595" width="12.28515625" style="1" customWidth="1"/>
    <col min="3596" max="3596" width="11.85546875" style="1" customWidth="1"/>
    <col min="3597" max="3598" width="10.85546875" style="1" customWidth="1"/>
    <col min="3599" max="3599" width="10.42578125" style="1" customWidth="1"/>
    <col min="3600" max="3600" width="4.5703125" style="1" bestFit="1" customWidth="1"/>
    <col min="3601" max="3601" width="10.85546875" style="1" customWidth="1"/>
    <col min="3602" max="3602" width="5.5703125" style="1" customWidth="1"/>
    <col min="3603" max="3603" width="3.42578125" style="1" customWidth="1"/>
    <col min="3604" max="3604" width="9.85546875" style="1" customWidth="1"/>
    <col min="3605" max="3605" width="6.5703125" style="1" customWidth="1"/>
    <col min="3606" max="3606" width="5.5703125" style="1" customWidth="1"/>
    <col min="3607" max="3607" width="5.140625" style="1" customWidth="1"/>
    <col min="3608" max="3608" width="8.42578125" style="1" bestFit="1" customWidth="1"/>
    <col min="3609" max="3609" width="6.140625" style="1" customWidth="1"/>
    <col min="3610" max="3610" width="4.28515625" style="1" customWidth="1"/>
    <col min="3611" max="3611" width="4.5703125" style="1" customWidth="1"/>
    <col min="3612" max="3612" width="4.42578125" style="1" customWidth="1"/>
    <col min="3613" max="3613" width="4.85546875" style="1" customWidth="1"/>
    <col min="3614" max="3850" width="10.28515625" style="1"/>
    <col min="3851" max="3851" width="12.28515625" style="1" customWidth="1"/>
    <col min="3852" max="3852" width="11.85546875" style="1" customWidth="1"/>
    <col min="3853" max="3854" width="10.85546875" style="1" customWidth="1"/>
    <col min="3855" max="3855" width="10.42578125" style="1" customWidth="1"/>
    <col min="3856" max="3856" width="4.5703125" style="1" bestFit="1" customWidth="1"/>
    <col min="3857" max="3857" width="10.85546875" style="1" customWidth="1"/>
    <col min="3858" max="3858" width="5.5703125" style="1" customWidth="1"/>
    <col min="3859" max="3859" width="3.42578125" style="1" customWidth="1"/>
    <col min="3860" max="3860" width="9.85546875" style="1" customWidth="1"/>
    <col min="3861" max="3861" width="6.5703125" style="1" customWidth="1"/>
    <col min="3862" max="3862" width="5.5703125" style="1" customWidth="1"/>
    <col min="3863" max="3863" width="5.140625" style="1" customWidth="1"/>
    <col min="3864" max="3864" width="8.42578125" style="1" bestFit="1" customWidth="1"/>
    <col min="3865" max="3865" width="6.140625" style="1" customWidth="1"/>
    <col min="3866" max="3866" width="4.28515625" style="1" customWidth="1"/>
    <col min="3867" max="3867" width="4.5703125" style="1" customWidth="1"/>
    <col min="3868" max="3868" width="4.42578125" style="1" customWidth="1"/>
    <col min="3869" max="3869" width="4.85546875" style="1" customWidth="1"/>
    <col min="3870" max="4106" width="10.28515625" style="1"/>
    <col min="4107" max="4107" width="12.28515625" style="1" customWidth="1"/>
    <col min="4108" max="4108" width="11.85546875" style="1" customWidth="1"/>
    <col min="4109" max="4110" width="10.85546875" style="1" customWidth="1"/>
    <col min="4111" max="4111" width="10.42578125" style="1" customWidth="1"/>
    <col min="4112" max="4112" width="4.5703125" style="1" bestFit="1" customWidth="1"/>
    <col min="4113" max="4113" width="10.85546875" style="1" customWidth="1"/>
    <col min="4114" max="4114" width="5.5703125" style="1" customWidth="1"/>
    <col min="4115" max="4115" width="3.42578125" style="1" customWidth="1"/>
    <col min="4116" max="4116" width="9.85546875" style="1" customWidth="1"/>
    <col min="4117" max="4117" width="6.5703125" style="1" customWidth="1"/>
    <col min="4118" max="4118" width="5.5703125" style="1" customWidth="1"/>
    <col min="4119" max="4119" width="5.140625" style="1" customWidth="1"/>
    <col min="4120" max="4120" width="8.42578125" style="1" bestFit="1" customWidth="1"/>
    <col min="4121" max="4121" width="6.140625" style="1" customWidth="1"/>
    <col min="4122" max="4122" width="4.28515625" style="1" customWidth="1"/>
    <col min="4123" max="4123" width="4.5703125" style="1" customWidth="1"/>
    <col min="4124" max="4124" width="4.42578125" style="1" customWidth="1"/>
    <col min="4125" max="4125" width="4.85546875" style="1" customWidth="1"/>
    <col min="4126" max="4362" width="10.28515625" style="1"/>
    <col min="4363" max="4363" width="12.28515625" style="1" customWidth="1"/>
    <col min="4364" max="4364" width="11.85546875" style="1" customWidth="1"/>
    <col min="4365" max="4366" width="10.85546875" style="1" customWidth="1"/>
    <col min="4367" max="4367" width="10.42578125" style="1" customWidth="1"/>
    <col min="4368" max="4368" width="4.5703125" style="1" bestFit="1" customWidth="1"/>
    <col min="4369" max="4369" width="10.85546875" style="1" customWidth="1"/>
    <col min="4370" max="4370" width="5.5703125" style="1" customWidth="1"/>
    <col min="4371" max="4371" width="3.42578125" style="1" customWidth="1"/>
    <col min="4372" max="4372" width="9.85546875" style="1" customWidth="1"/>
    <col min="4373" max="4373" width="6.5703125" style="1" customWidth="1"/>
    <col min="4374" max="4374" width="5.5703125" style="1" customWidth="1"/>
    <col min="4375" max="4375" width="5.140625" style="1" customWidth="1"/>
    <col min="4376" max="4376" width="8.42578125" style="1" bestFit="1" customWidth="1"/>
    <col min="4377" max="4377" width="6.140625" style="1" customWidth="1"/>
    <col min="4378" max="4378" width="4.28515625" style="1" customWidth="1"/>
    <col min="4379" max="4379" width="4.5703125" style="1" customWidth="1"/>
    <col min="4380" max="4380" width="4.42578125" style="1" customWidth="1"/>
    <col min="4381" max="4381" width="4.85546875" style="1" customWidth="1"/>
    <col min="4382" max="4618" width="10.28515625" style="1"/>
    <col min="4619" max="4619" width="12.28515625" style="1" customWidth="1"/>
    <col min="4620" max="4620" width="11.85546875" style="1" customWidth="1"/>
    <col min="4621" max="4622" width="10.85546875" style="1" customWidth="1"/>
    <col min="4623" max="4623" width="10.42578125" style="1" customWidth="1"/>
    <col min="4624" max="4624" width="4.5703125" style="1" bestFit="1" customWidth="1"/>
    <col min="4625" max="4625" width="10.85546875" style="1" customWidth="1"/>
    <col min="4626" max="4626" width="5.5703125" style="1" customWidth="1"/>
    <col min="4627" max="4627" width="3.42578125" style="1" customWidth="1"/>
    <col min="4628" max="4628" width="9.85546875" style="1" customWidth="1"/>
    <col min="4629" max="4629" width="6.5703125" style="1" customWidth="1"/>
    <col min="4630" max="4630" width="5.5703125" style="1" customWidth="1"/>
    <col min="4631" max="4631" width="5.140625" style="1" customWidth="1"/>
    <col min="4632" max="4632" width="8.42578125" style="1" bestFit="1" customWidth="1"/>
    <col min="4633" max="4633" width="6.140625" style="1" customWidth="1"/>
    <col min="4634" max="4634" width="4.28515625" style="1" customWidth="1"/>
    <col min="4635" max="4635" width="4.5703125" style="1" customWidth="1"/>
    <col min="4636" max="4636" width="4.42578125" style="1" customWidth="1"/>
    <col min="4637" max="4637" width="4.85546875" style="1" customWidth="1"/>
    <col min="4638" max="4874" width="10.28515625" style="1"/>
    <col min="4875" max="4875" width="12.28515625" style="1" customWidth="1"/>
    <col min="4876" max="4876" width="11.85546875" style="1" customWidth="1"/>
    <col min="4877" max="4878" width="10.85546875" style="1" customWidth="1"/>
    <col min="4879" max="4879" width="10.42578125" style="1" customWidth="1"/>
    <col min="4880" max="4880" width="4.5703125" style="1" bestFit="1" customWidth="1"/>
    <col min="4881" max="4881" width="10.85546875" style="1" customWidth="1"/>
    <col min="4882" max="4882" width="5.5703125" style="1" customWidth="1"/>
    <col min="4883" max="4883" width="3.42578125" style="1" customWidth="1"/>
    <col min="4884" max="4884" width="9.85546875" style="1" customWidth="1"/>
    <col min="4885" max="4885" width="6.5703125" style="1" customWidth="1"/>
    <col min="4886" max="4886" width="5.5703125" style="1" customWidth="1"/>
    <col min="4887" max="4887" width="5.140625" style="1" customWidth="1"/>
    <col min="4888" max="4888" width="8.42578125" style="1" bestFit="1" customWidth="1"/>
    <col min="4889" max="4889" width="6.140625" style="1" customWidth="1"/>
    <col min="4890" max="4890" width="4.28515625" style="1" customWidth="1"/>
    <col min="4891" max="4891" width="4.5703125" style="1" customWidth="1"/>
    <col min="4892" max="4892" width="4.42578125" style="1" customWidth="1"/>
    <col min="4893" max="4893" width="4.85546875" style="1" customWidth="1"/>
    <col min="4894" max="5130" width="10.28515625" style="1"/>
    <col min="5131" max="5131" width="12.28515625" style="1" customWidth="1"/>
    <col min="5132" max="5132" width="11.85546875" style="1" customWidth="1"/>
    <col min="5133" max="5134" width="10.85546875" style="1" customWidth="1"/>
    <col min="5135" max="5135" width="10.42578125" style="1" customWidth="1"/>
    <col min="5136" max="5136" width="4.5703125" style="1" bestFit="1" customWidth="1"/>
    <col min="5137" max="5137" width="10.85546875" style="1" customWidth="1"/>
    <col min="5138" max="5138" width="5.5703125" style="1" customWidth="1"/>
    <col min="5139" max="5139" width="3.42578125" style="1" customWidth="1"/>
    <col min="5140" max="5140" width="9.85546875" style="1" customWidth="1"/>
    <col min="5141" max="5141" width="6.5703125" style="1" customWidth="1"/>
    <col min="5142" max="5142" width="5.5703125" style="1" customWidth="1"/>
    <col min="5143" max="5143" width="5.140625" style="1" customWidth="1"/>
    <col min="5144" max="5144" width="8.42578125" style="1" bestFit="1" customWidth="1"/>
    <col min="5145" max="5145" width="6.140625" style="1" customWidth="1"/>
    <col min="5146" max="5146" width="4.28515625" style="1" customWidth="1"/>
    <col min="5147" max="5147" width="4.5703125" style="1" customWidth="1"/>
    <col min="5148" max="5148" width="4.42578125" style="1" customWidth="1"/>
    <col min="5149" max="5149" width="4.85546875" style="1" customWidth="1"/>
    <col min="5150" max="5386" width="10.28515625" style="1"/>
    <col min="5387" max="5387" width="12.28515625" style="1" customWidth="1"/>
    <col min="5388" max="5388" width="11.85546875" style="1" customWidth="1"/>
    <col min="5389" max="5390" width="10.85546875" style="1" customWidth="1"/>
    <col min="5391" max="5391" width="10.42578125" style="1" customWidth="1"/>
    <col min="5392" max="5392" width="4.5703125" style="1" bestFit="1" customWidth="1"/>
    <col min="5393" max="5393" width="10.85546875" style="1" customWidth="1"/>
    <col min="5394" max="5394" width="5.5703125" style="1" customWidth="1"/>
    <col min="5395" max="5395" width="3.42578125" style="1" customWidth="1"/>
    <col min="5396" max="5396" width="9.85546875" style="1" customWidth="1"/>
    <col min="5397" max="5397" width="6.5703125" style="1" customWidth="1"/>
    <col min="5398" max="5398" width="5.5703125" style="1" customWidth="1"/>
    <col min="5399" max="5399" width="5.140625" style="1" customWidth="1"/>
    <col min="5400" max="5400" width="8.42578125" style="1" bestFit="1" customWidth="1"/>
    <col min="5401" max="5401" width="6.140625" style="1" customWidth="1"/>
    <col min="5402" max="5402" width="4.28515625" style="1" customWidth="1"/>
    <col min="5403" max="5403" width="4.5703125" style="1" customWidth="1"/>
    <col min="5404" max="5404" width="4.42578125" style="1" customWidth="1"/>
    <col min="5405" max="5405" width="4.85546875" style="1" customWidth="1"/>
    <col min="5406" max="5642" width="10.28515625" style="1"/>
    <col min="5643" max="5643" width="12.28515625" style="1" customWidth="1"/>
    <col min="5644" max="5644" width="11.85546875" style="1" customWidth="1"/>
    <col min="5645" max="5646" width="10.85546875" style="1" customWidth="1"/>
    <col min="5647" max="5647" width="10.42578125" style="1" customWidth="1"/>
    <col min="5648" max="5648" width="4.5703125" style="1" bestFit="1" customWidth="1"/>
    <col min="5649" max="5649" width="10.85546875" style="1" customWidth="1"/>
    <col min="5650" max="5650" width="5.5703125" style="1" customWidth="1"/>
    <col min="5651" max="5651" width="3.42578125" style="1" customWidth="1"/>
    <col min="5652" max="5652" width="9.85546875" style="1" customWidth="1"/>
    <col min="5653" max="5653" width="6.5703125" style="1" customWidth="1"/>
    <col min="5654" max="5654" width="5.5703125" style="1" customWidth="1"/>
    <col min="5655" max="5655" width="5.140625" style="1" customWidth="1"/>
    <col min="5656" max="5656" width="8.42578125" style="1" bestFit="1" customWidth="1"/>
    <col min="5657" max="5657" width="6.140625" style="1" customWidth="1"/>
    <col min="5658" max="5658" width="4.28515625" style="1" customWidth="1"/>
    <col min="5659" max="5659" width="4.5703125" style="1" customWidth="1"/>
    <col min="5660" max="5660" width="4.42578125" style="1" customWidth="1"/>
    <col min="5661" max="5661" width="4.85546875" style="1" customWidth="1"/>
    <col min="5662" max="5898" width="10.28515625" style="1"/>
    <col min="5899" max="5899" width="12.28515625" style="1" customWidth="1"/>
    <col min="5900" max="5900" width="11.85546875" style="1" customWidth="1"/>
    <col min="5901" max="5902" width="10.85546875" style="1" customWidth="1"/>
    <col min="5903" max="5903" width="10.42578125" style="1" customWidth="1"/>
    <col min="5904" max="5904" width="4.5703125" style="1" bestFit="1" customWidth="1"/>
    <col min="5905" max="5905" width="10.85546875" style="1" customWidth="1"/>
    <col min="5906" max="5906" width="5.5703125" style="1" customWidth="1"/>
    <col min="5907" max="5907" width="3.42578125" style="1" customWidth="1"/>
    <col min="5908" max="5908" width="9.85546875" style="1" customWidth="1"/>
    <col min="5909" max="5909" width="6.5703125" style="1" customWidth="1"/>
    <col min="5910" max="5910" width="5.5703125" style="1" customWidth="1"/>
    <col min="5911" max="5911" width="5.140625" style="1" customWidth="1"/>
    <col min="5912" max="5912" width="8.42578125" style="1" bestFit="1" customWidth="1"/>
    <col min="5913" max="5913" width="6.140625" style="1" customWidth="1"/>
    <col min="5914" max="5914" width="4.28515625" style="1" customWidth="1"/>
    <col min="5915" max="5915" width="4.5703125" style="1" customWidth="1"/>
    <col min="5916" max="5916" width="4.42578125" style="1" customWidth="1"/>
    <col min="5917" max="5917" width="4.85546875" style="1" customWidth="1"/>
    <col min="5918" max="6154" width="10.28515625" style="1"/>
    <col min="6155" max="6155" width="12.28515625" style="1" customWidth="1"/>
    <col min="6156" max="6156" width="11.85546875" style="1" customWidth="1"/>
    <col min="6157" max="6158" width="10.85546875" style="1" customWidth="1"/>
    <col min="6159" max="6159" width="10.42578125" style="1" customWidth="1"/>
    <col min="6160" max="6160" width="4.5703125" style="1" bestFit="1" customWidth="1"/>
    <col min="6161" max="6161" width="10.85546875" style="1" customWidth="1"/>
    <col min="6162" max="6162" width="5.5703125" style="1" customWidth="1"/>
    <col min="6163" max="6163" width="3.42578125" style="1" customWidth="1"/>
    <col min="6164" max="6164" width="9.85546875" style="1" customWidth="1"/>
    <col min="6165" max="6165" width="6.5703125" style="1" customWidth="1"/>
    <col min="6166" max="6166" width="5.5703125" style="1" customWidth="1"/>
    <col min="6167" max="6167" width="5.140625" style="1" customWidth="1"/>
    <col min="6168" max="6168" width="8.42578125" style="1" bestFit="1" customWidth="1"/>
    <col min="6169" max="6169" width="6.140625" style="1" customWidth="1"/>
    <col min="6170" max="6170" width="4.28515625" style="1" customWidth="1"/>
    <col min="6171" max="6171" width="4.5703125" style="1" customWidth="1"/>
    <col min="6172" max="6172" width="4.42578125" style="1" customWidth="1"/>
    <col min="6173" max="6173" width="4.85546875" style="1" customWidth="1"/>
    <col min="6174" max="6410" width="10.28515625" style="1"/>
    <col min="6411" max="6411" width="12.28515625" style="1" customWidth="1"/>
    <col min="6412" max="6412" width="11.85546875" style="1" customWidth="1"/>
    <col min="6413" max="6414" width="10.85546875" style="1" customWidth="1"/>
    <col min="6415" max="6415" width="10.42578125" style="1" customWidth="1"/>
    <col min="6416" max="6416" width="4.5703125" style="1" bestFit="1" customWidth="1"/>
    <col min="6417" max="6417" width="10.85546875" style="1" customWidth="1"/>
    <col min="6418" max="6418" width="5.5703125" style="1" customWidth="1"/>
    <col min="6419" max="6419" width="3.42578125" style="1" customWidth="1"/>
    <col min="6420" max="6420" width="9.85546875" style="1" customWidth="1"/>
    <col min="6421" max="6421" width="6.5703125" style="1" customWidth="1"/>
    <col min="6422" max="6422" width="5.5703125" style="1" customWidth="1"/>
    <col min="6423" max="6423" width="5.140625" style="1" customWidth="1"/>
    <col min="6424" max="6424" width="8.42578125" style="1" bestFit="1" customWidth="1"/>
    <col min="6425" max="6425" width="6.140625" style="1" customWidth="1"/>
    <col min="6426" max="6426" width="4.28515625" style="1" customWidth="1"/>
    <col min="6427" max="6427" width="4.5703125" style="1" customWidth="1"/>
    <col min="6428" max="6428" width="4.42578125" style="1" customWidth="1"/>
    <col min="6429" max="6429" width="4.85546875" style="1" customWidth="1"/>
    <col min="6430" max="6666" width="10.28515625" style="1"/>
    <col min="6667" max="6667" width="12.28515625" style="1" customWidth="1"/>
    <col min="6668" max="6668" width="11.85546875" style="1" customWidth="1"/>
    <col min="6669" max="6670" width="10.85546875" style="1" customWidth="1"/>
    <col min="6671" max="6671" width="10.42578125" style="1" customWidth="1"/>
    <col min="6672" max="6672" width="4.5703125" style="1" bestFit="1" customWidth="1"/>
    <col min="6673" max="6673" width="10.85546875" style="1" customWidth="1"/>
    <col min="6674" max="6674" width="5.5703125" style="1" customWidth="1"/>
    <col min="6675" max="6675" width="3.42578125" style="1" customWidth="1"/>
    <col min="6676" max="6676" width="9.85546875" style="1" customWidth="1"/>
    <col min="6677" max="6677" width="6.5703125" style="1" customWidth="1"/>
    <col min="6678" max="6678" width="5.5703125" style="1" customWidth="1"/>
    <col min="6679" max="6679" width="5.140625" style="1" customWidth="1"/>
    <col min="6680" max="6680" width="8.42578125" style="1" bestFit="1" customWidth="1"/>
    <col min="6681" max="6681" width="6.140625" style="1" customWidth="1"/>
    <col min="6682" max="6682" width="4.28515625" style="1" customWidth="1"/>
    <col min="6683" max="6683" width="4.5703125" style="1" customWidth="1"/>
    <col min="6684" max="6684" width="4.42578125" style="1" customWidth="1"/>
    <col min="6685" max="6685" width="4.85546875" style="1" customWidth="1"/>
    <col min="6686" max="6922" width="10.28515625" style="1"/>
    <col min="6923" max="6923" width="12.28515625" style="1" customWidth="1"/>
    <col min="6924" max="6924" width="11.85546875" style="1" customWidth="1"/>
    <col min="6925" max="6926" width="10.85546875" style="1" customWidth="1"/>
    <col min="6927" max="6927" width="10.42578125" style="1" customWidth="1"/>
    <col min="6928" max="6928" width="4.5703125" style="1" bestFit="1" customWidth="1"/>
    <col min="6929" max="6929" width="10.85546875" style="1" customWidth="1"/>
    <col min="6930" max="6930" width="5.5703125" style="1" customWidth="1"/>
    <col min="6931" max="6931" width="3.42578125" style="1" customWidth="1"/>
    <col min="6932" max="6932" width="9.85546875" style="1" customWidth="1"/>
    <col min="6933" max="6933" width="6.5703125" style="1" customWidth="1"/>
    <col min="6934" max="6934" width="5.5703125" style="1" customWidth="1"/>
    <col min="6935" max="6935" width="5.140625" style="1" customWidth="1"/>
    <col min="6936" max="6936" width="8.42578125" style="1" bestFit="1" customWidth="1"/>
    <col min="6937" max="6937" width="6.140625" style="1" customWidth="1"/>
    <col min="6938" max="6938" width="4.28515625" style="1" customWidth="1"/>
    <col min="6939" max="6939" width="4.5703125" style="1" customWidth="1"/>
    <col min="6940" max="6940" width="4.42578125" style="1" customWidth="1"/>
    <col min="6941" max="6941" width="4.85546875" style="1" customWidth="1"/>
    <col min="6942" max="7178" width="10.28515625" style="1"/>
    <col min="7179" max="7179" width="12.28515625" style="1" customWidth="1"/>
    <col min="7180" max="7180" width="11.85546875" style="1" customWidth="1"/>
    <col min="7181" max="7182" width="10.85546875" style="1" customWidth="1"/>
    <col min="7183" max="7183" width="10.42578125" style="1" customWidth="1"/>
    <col min="7184" max="7184" width="4.5703125" style="1" bestFit="1" customWidth="1"/>
    <col min="7185" max="7185" width="10.85546875" style="1" customWidth="1"/>
    <col min="7186" max="7186" width="5.5703125" style="1" customWidth="1"/>
    <col min="7187" max="7187" width="3.42578125" style="1" customWidth="1"/>
    <col min="7188" max="7188" width="9.85546875" style="1" customWidth="1"/>
    <col min="7189" max="7189" width="6.5703125" style="1" customWidth="1"/>
    <col min="7190" max="7190" width="5.5703125" style="1" customWidth="1"/>
    <col min="7191" max="7191" width="5.140625" style="1" customWidth="1"/>
    <col min="7192" max="7192" width="8.42578125" style="1" bestFit="1" customWidth="1"/>
    <col min="7193" max="7193" width="6.140625" style="1" customWidth="1"/>
    <col min="7194" max="7194" width="4.28515625" style="1" customWidth="1"/>
    <col min="7195" max="7195" width="4.5703125" style="1" customWidth="1"/>
    <col min="7196" max="7196" width="4.42578125" style="1" customWidth="1"/>
    <col min="7197" max="7197" width="4.85546875" style="1" customWidth="1"/>
    <col min="7198" max="7434" width="10.28515625" style="1"/>
    <col min="7435" max="7435" width="12.28515625" style="1" customWidth="1"/>
    <col min="7436" max="7436" width="11.85546875" style="1" customWidth="1"/>
    <col min="7437" max="7438" width="10.85546875" style="1" customWidth="1"/>
    <col min="7439" max="7439" width="10.42578125" style="1" customWidth="1"/>
    <col min="7440" max="7440" width="4.5703125" style="1" bestFit="1" customWidth="1"/>
    <col min="7441" max="7441" width="10.85546875" style="1" customWidth="1"/>
    <col min="7442" max="7442" width="5.5703125" style="1" customWidth="1"/>
    <col min="7443" max="7443" width="3.42578125" style="1" customWidth="1"/>
    <col min="7444" max="7444" width="9.85546875" style="1" customWidth="1"/>
    <col min="7445" max="7445" width="6.5703125" style="1" customWidth="1"/>
    <col min="7446" max="7446" width="5.5703125" style="1" customWidth="1"/>
    <col min="7447" max="7447" width="5.140625" style="1" customWidth="1"/>
    <col min="7448" max="7448" width="8.42578125" style="1" bestFit="1" customWidth="1"/>
    <col min="7449" max="7449" width="6.140625" style="1" customWidth="1"/>
    <col min="7450" max="7450" width="4.28515625" style="1" customWidth="1"/>
    <col min="7451" max="7451" width="4.5703125" style="1" customWidth="1"/>
    <col min="7452" max="7452" width="4.42578125" style="1" customWidth="1"/>
    <col min="7453" max="7453" width="4.85546875" style="1" customWidth="1"/>
    <col min="7454" max="7690" width="10.28515625" style="1"/>
    <col min="7691" max="7691" width="12.28515625" style="1" customWidth="1"/>
    <col min="7692" max="7692" width="11.85546875" style="1" customWidth="1"/>
    <col min="7693" max="7694" width="10.85546875" style="1" customWidth="1"/>
    <col min="7695" max="7695" width="10.42578125" style="1" customWidth="1"/>
    <col min="7696" max="7696" width="4.5703125" style="1" bestFit="1" customWidth="1"/>
    <col min="7697" max="7697" width="10.85546875" style="1" customWidth="1"/>
    <col min="7698" max="7698" width="5.5703125" style="1" customWidth="1"/>
    <col min="7699" max="7699" width="3.42578125" style="1" customWidth="1"/>
    <col min="7700" max="7700" width="9.85546875" style="1" customWidth="1"/>
    <col min="7701" max="7701" width="6.5703125" style="1" customWidth="1"/>
    <col min="7702" max="7702" width="5.5703125" style="1" customWidth="1"/>
    <col min="7703" max="7703" width="5.140625" style="1" customWidth="1"/>
    <col min="7704" max="7704" width="8.42578125" style="1" bestFit="1" customWidth="1"/>
    <col min="7705" max="7705" width="6.140625" style="1" customWidth="1"/>
    <col min="7706" max="7706" width="4.28515625" style="1" customWidth="1"/>
    <col min="7707" max="7707" width="4.5703125" style="1" customWidth="1"/>
    <col min="7708" max="7708" width="4.42578125" style="1" customWidth="1"/>
    <col min="7709" max="7709" width="4.85546875" style="1" customWidth="1"/>
    <col min="7710" max="7946" width="10.28515625" style="1"/>
    <col min="7947" max="7947" width="12.28515625" style="1" customWidth="1"/>
    <col min="7948" max="7948" width="11.85546875" style="1" customWidth="1"/>
    <col min="7949" max="7950" width="10.85546875" style="1" customWidth="1"/>
    <col min="7951" max="7951" width="10.42578125" style="1" customWidth="1"/>
    <col min="7952" max="7952" width="4.5703125" style="1" bestFit="1" customWidth="1"/>
    <col min="7953" max="7953" width="10.85546875" style="1" customWidth="1"/>
    <col min="7954" max="7954" width="5.5703125" style="1" customWidth="1"/>
    <col min="7955" max="7955" width="3.42578125" style="1" customWidth="1"/>
    <col min="7956" max="7956" width="9.85546875" style="1" customWidth="1"/>
    <col min="7957" max="7957" width="6.5703125" style="1" customWidth="1"/>
    <col min="7958" max="7958" width="5.5703125" style="1" customWidth="1"/>
    <col min="7959" max="7959" width="5.140625" style="1" customWidth="1"/>
    <col min="7960" max="7960" width="8.42578125" style="1" bestFit="1" customWidth="1"/>
    <col min="7961" max="7961" width="6.140625" style="1" customWidth="1"/>
    <col min="7962" max="7962" width="4.28515625" style="1" customWidth="1"/>
    <col min="7963" max="7963" width="4.5703125" style="1" customWidth="1"/>
    <col min="7964" max="7964" width="4.42578125" style="1" customWidth="1"/>
    <col min="7965" max="7965" width="4.85546875" style="1" customWidth="1"/>
    <col min="7966" max="8202" width="10.28515625" style="1"/>
    <col min="8203" max="8203" width="12.28515625" style="1" customWidth="1"/>
    <col min="8204" max="8204" width="11.85546875" style="1" customWidth="1"/>
    <col min="8205" max="8206" width="10.85546875" style="1" customWidth="1"/>
    <col min="8207" max="8207" width="10.42578125" style="1" customWidth="1"/>
    <col min="8208" max="8208" width="4.5703125" style="1" bestFit="1" customWidth="1"/>
    <col min="8209" max="8209" width="10.85546875" style="1" customWidth="1"/>
    <col min="8210" max="8210" width="5.5703125" style="1" customWidth="1"/>
    <col min="8211" max="8211" width="3.42578125" style="1" customWidth="1"/>
    <col min="8212" max="8212" width="9.85546875" style="1" customWidth="1"/>
    <col min="8213" max="8213" width="6.5703125" style="1" customWidth="1"/>
    <col min="8214" max="8214" width="5.5703125" style="1" customWidth="1"/>
    <col min="8215" max="8215" width="5.140625" style="1" customWidth="1"/>
    <col min="8216" max="8216" width="8.42578125" style="1" bestFit="1" customWidth="1"/>
    <col min="8217" max="8217" width="6.140625" style="1" customWidth="1"/>
    <col min="8218" max="8218" width="4.28515625" style="1" customWidth="1"/>
    <col min="8219" max="8219" width="4.5703125" style="1" customWidth="1"/>
    <col min="8220" max="8220" width="4.42578125" style="1" customWidth="1"/>
    <col min="8221" max="8221" width="4.85546875" style="1" customWidth="1"/>
    <col min="8222" max="8458" width="10.28515625" style="1"/>
    <col min="8459" max="8459" width="12.28515625" style="1" customWidth="1"/>
    <col min="8460" max="8460" width="11.85546875" style="1" customWidth="1"/>
    <col min="8461" max="8462" width="10.85546875" style="1" customWidth="1"/>
    <col min="8463" max="8463" width="10.42578125" style="1" customWidth="1"/>
    <col min="8464" max="8464" width="4.5703125" style="1" bestFit="1" customWidth="1"/>
    <col min="8465" max="8465" width="10.85546875" style="1" customWidth="1"/>
    <col min="8466" max="8466" width="5.5703125" style="1" customWidth="1"/>
    <col min="8467" max="8467" width="3.42578125" style="1" customWidth="1"/>
    <col min="8468" max="8468" width="9.85546875" style="1" customWidth="1"/>
    <col min="8469" max="8469" width="6.5703125" style="1" customWidth="1"/>
    <col min="8470" max="8470" width="5.5703125" style="1" customWidth="1"/>
    <col min="8471" max="8471" width="5.140625" style="1" customWidth="1"/>
    <col min="8472" max="8472" width="8.42578125" style="1" bestFit="1" customWidth="1"/>
    <col min="8473" max="8473" width="6.140625" style="1" customWidth="1"/>
    <col min="8474" max="8474" width="4.28515625" style="1" customWidth="1"/>
    <col min="8475" max="8475" width="4.5703125" style="1" customWidth="1"/>
    <col min="8476" max="8476" width="4.42578125" style="1" customWidth="1"/>
    <col min="8477" max="8477" width="4.85546875" style="1" customWidth="1"/>
    <col min="8478" max="8714" width="10.28515625" style="1"/>
    <col min="8715" max="8715" width="12.28515625" style="1" customWidth="1"/>
    <col min="8716" max="8716" width="11.85546875" style="1" customWidth="1"/>
    <col min="8717" max="8718" width="10.85546875" style="1" customWidth="1"/>
    <col min="8719" max="8719" width="10.42578125" style="1" customWidth="1"/>
    <col min="8720" max="8720" width="4.5703125" style="1" bestFit="1" customWidth="1"/>
    <col min="8721" max="8721" width="10.85546875" style="1" customWidth="1"/>
    <col min="8722" max="8722" width="5.5703125" style="1" customWidth="1"/>
    <col min="8723" max="8723" width="3.42578125" style="1" customWidth="1"/>
    <col min="8724" max="8724" width="9.85546875" style="1" customWidth="1"/>
    <col min="8725" max="8725" width="6.5703125" style="1" customWidth="1"/>
    <col min="8726" max="8726" width="5.5703125" style="1" customWidth="1"/>
    <col min="8727" max="8727" width="5.140625" style="1" customWidth="1"/>
    <col min="8728" max="8728" width="8.42578125" style="1" bestFit="1" customWidth="1"/>
    <col min="8729" max="8729" width="6.140625" style="1" customWidth="1"/>
    <col min="8730" max="8730" width="4.28515625" style="1" customWidth="1"/>
    <col min="8731" max="8731" width="4.5703125" style="1" customWidth="1"/>
    <col min="8732" max="8732" width="4.42578125" style="1" customWidth="1"/>
    <col min="8733" max="8733" width="4.85546875" style="1" customWidth="1"/>
    <col min="8734" max="8970" width="10.28515625" style="1"/>
    <col min="8971" max="8971" width="12.28515625" style="1" customWidth="1"/>
    <col min="8972" max="8972" width="11.85546875" style="1" customWidth="1"/>
    <col min="8973" max="8974" width="10.85546875" style="1" customWidth="1"/>
    <col min="8975" max="8975" width="10.42578125" style="1" customWidth="1"/>
    <col min="8976" max="8976" width="4.5703125" style="1" bestFit="1" customWidth="1"/>
    <col min="8977" max="8977" width="10.85546875" style="1" customWidth="1"/>
    <col min="8978" max="8978" width="5.5703125" style="1" customWidth="1"/>
    <col min="8979" max="8979" width="3.42578125" style="1" customWidth="1"/>
    <col min="8980" max="8980" width="9.85546875" style="1" customWidth="1"/>
    <col min="8981" max="8981" width="6.5703125" style="1" customWidth="1"/>
    <col min="8982" max="8982" width="5.5703125" style="1" customWidth="1"/>
    <col min="8983" max="8983" width="5.140625" style="1" customWidth="1"/>
    <col min="8984" max="8984" width="8.42578125" style="1" bestFit="1" customWidth="1"/>
    <col min="8985" max="8985" width="6.140625" style="1" customWidth="1"/>
    <col min="8986" max="8986" width="4.28515625" style="1" customWidth="1"/>
    <col min="8987" max="8987" width="4.5703125" style="1" customWidth="1"/>
    <col min="8988" max="8988" width="4.42578125" style="1" customWidth="1"/>
    <col min="8989" max="8989" width="4.85546875" style="1" customWidth="1"/>
    <col min="8990" max="9226" width="10.28515625" style="1"/>
    <col min="9227" max="9227" width="12.28515625" style="1" customWidth="1"/>
    <col min="9228" max="9228" width="11.85546875" style="1" customWidth="1"/>
    <col min="9229" max="9230" width="10.85546875" style="1" customWidth="1"/>
    <col min="9231" max="9231" width="10.42578125" style="1" customWidth="1"/>
    <col min="9232" max="9232" width="4.5703125" style="1" bestFit="1" customWidth="1"/>
    <col min="9233" max="9233" width="10.85546875" style="1" customWidth="1"/>
    <col min="9234" max="9234" width="5.5703125" style="1" customWidth="1"/>
    <col min="9235" max="9235" width="3.42578125" style="1" customWidth="1"/>
    <col min="9236" max="9236" width="9.85546875" style="1" customWidth="1"/>
    <col min="9237" max="9237" width="6.5703125" style="1" customWidth="1"/>
    <col min="9238" max="9238" width="5.5703125" style="1" customWidth="1"/>
    <col min="9239" max="9239" width="5.140625" style="1" customWidth="1"/>
    <col min="9240" max="9240" width="8.42578125" style="1" bestFit="1" customWidth="1"/>
    <col min="9241" max="9241" width="6.140625" style="1" customWidth="1"/>
    <col min="9242" max="9242" width="4.28515625" style="1" customWidth="1"/>
    <col min="9243" max="9243" width="4.5703125" style="1" customWidth="1"/>
    <col min="9244" max="9244" width="4.42578125" style="1" customWidth="1"/>
    <col min="9245" max="9245" width="4.85546875" style="1" customWidth="1"/>
    <col min="9246" max="9482" width="10.28515625" style="1"/>
    <col min="9483" max="9483" width="12.28515625" style="1" customWidth="1"/>
    <col min="9484" max="9484" width="11.85546875" style="1" customWidth="1"/>
    <col min="9485" max="9486" width="10.85546875" style="1" customWidth="1"/>
    <col min="9487" max="9487" width="10.42578125" style="1" customWidth="1"/>
    <col min="9488" max="9488" width="4.5703125" style="1" bestFit="1" customWidth="1"/>
    <col min="9489" max="9489" width="10.85546875" style="1" customWidth="1"/>
    <col min="9490" max="9490" width="5.5703125" style="1" customWidth="1"/>
    <col min="9491" max="9491" width="3.42578125" style="1" customWidth="1"/>
    <col min="9492" max="9492" width="9.85546875" style="1" customWidth="1"/>
    <col min="9493" max="9493" width="6.5703125" style="1" customWidth="1"/>
    <col min="9494" max="9494" width="5.5703125" style="1" customWidth="1"/>
    <col min="9495" max="9495" width="5.140625" style="1" customWidth="1"/>
    <col min="9496" max="9496" width="8.42578125" style="1" bestFit="1" customWidth="1"/>
    <col min="9497" max="9497" width="6.140625" style="1" customWidth="1"/>
    <col min="9498" max="9498" width="4.28515625" style="1" customWidth="1"/>
    <col min="9499" max="9499" width="4.5703125" style="1" customWidth="1"/>
    <col min="9500" max="9500" width="4.42578125" style="1" customWidth="1"/>
    <col min="9501" max="9501" width="4.85546875" style="1" customWidth="1"/>
    <col min="9502" max="9738" width="10.28515625" style="1"/>
    <col min="9739" max="9739" width="12.28515625" style="1" customWidth="1"/>
    <col min="9740" max="9740" width="11.85546875" style="1" customWidth="1"/>
    <col min="9741" max="9742" width="10.85546875" style="1" customWidth="1"/>
    <col min="9743" max="9743" width="10.42578125" style="1" customWidth="1"/>
    <col min="9744" max="9744" width="4.5703125" style="1" bestFit="1" customWidth="1"/>
    <col min="9745" max="9745" width="10.85546875" style="1" customWidth="1"/>
    <col min="9746" max="9746" width="5.5703125" style="1" customWidth="1"/>
    <col min="9747" max="9747" width="3.42578125" style="1" customWidth="1"/>
    <col min="9748" max="9748" width="9.85546875" style="1" customWidth="1"/>
    <col min="9749" max="9749" width="6.5703125" style="1" customWidth="1"/>
    <col min="9750" max="9750" width="5.5703125" style="1" customWidth="1"/>
    <col min="9751" max="9751" width="5.140625" style="1" customWidth="1"/>
    <col min="9752" max="9752" width="8.42578125" style="1" bestFit="1" customWidth="1"/>
    <col min="9753" max="9753" width="6.140625" style="1" customWidth="1"/>
    <col min="9754" max="9754" width="4.28515625" style="1" customWidth="1"/>
    <col min="9755" max="9755" width="4.5703125" style="1" customWidth="1"/>
    <col min="9756" max="9756" width="4.42578125" style="1" customWidth="1"/>
    <col min="9757" max="9757" width="4.85546875" style="1" customWidth="1"/>
    <col min="9758" max="9994" width="10.28515625" style="1"/>
    <col min="9995" max="9995" width="12.28515625" style="1" customWidth="1"/>
    <col min="9996" max="9996" width="11.85546875" style="1" customWidth="1"/>
    <col min="9997" max="9998" width="10.85546875" style="1" customWidth="1"/>
    <col min="9999" max="9999" width="10.42578125" style="1" customWidth="1"/>
    <col min="10000" max="10000" width="4.5703125" style="1" bestFit="1" customWidth="1"/>
    <col min="10001" max="10001" width="10.85546875" style="1" customWidth="1"/>
    <col min="10002" max="10002" width="5.5703125" style="1" customWidth="1"/>
    <col min="10003" max="10003" width="3.42578125" style="1" customWidth="1"/>
    <col min="10004" max="10004" width="9.85546875" style="1" customWidth="1"/>
    <col min="10005" max="10005" width="6.5703125" style="1" customWidth="1"/>
    <col min="10006" max="10006" width="5.5703125" style="1" customWidth="1"/>
    <col min="10007" max="10007" width="5.140625" style="1" customWidth="1"/>
    <col min="10008" max="10008" width="8.42578125" style="1" bestFit="1" customWidth="1"/>
    <col min="10009" max="10009" width="6.140625" style="1" customWidth="1"/>
    <col min="10010" max="10010" width="4.28515625" style="1" customWidth="1"/>
    <col min="10011" max="10011" width="4.5703125" style="1" customWidth="1"/>
    <col min="10012" max="10012" width="4.42578125" style="1" customWidth="1"/>
    <col min="10013" max="10013" width="4.85546875" style="1" customWidth="1"/>
    <col min="10014" max="10250" width="10.28515625" style="1"/>
    <col min="10251" max="10251" width="12.28515625" style="1" customWidth="1"/>
    <col min="10252" max="10252" width="11.85546875" style="1" customWidth="1"/>
    <col min="10253" max="10254" width="10.85546875" style="1" customWidth="1"/>
    <col min="10255" max="10255" width="10.42578125" style="1" customWidth="1"/>
    <col min="10256" max="10256" width="4.5703125" style="1" bestFit="1" customWidth="1"/>
    <col min="10257" max="10257" width="10.85546875" style="1" customWidth="1"/>
    <col min="10258" max="10258" width="5.5703125" style="1" customWidth="1"/>
    <col min="10259" max="10259" width="3.42578125" style="1" customWidth="1"/>
    <col min="10260" max="10260" width="9.85546875" style="1" customWidth="1"/>
    <col min="10261" max="10261" width="6.5703125" style="1" customWidth="1"/>
    <col min="10262" max="10262" width="5.5703125" style="1" customWidth="1"/>
    <col min="10263" max="10263" width="5.140625" style="1" customWidth="1"/>
    <col min="10264" max="10264" width="8.42578125" style="1" bestFit="1" customWidth="1"/>
    <col min="10265" max="10265" width="6.140625" style="1" customWidth="1"/>
    <col min="10266" max="10266" width="4.28515625" style="1" customWidth="1"/>
    <col min="10267" max="10267" width="4.5703125" style="1" customWidth="1"/>
    <col min="10268" max="10268" width="4.42578125" style="1" customWidth="1"/>
    <col min="10269" max="10269" width="4.85546875" style="1" customWidth="1"/>
    <col min="10270" max="10506" width="10.28515625" style="1"/>
    <col min="10507" max="10507" width="12.28515625" style="1" customWidth="1"/>
    <col min="10508" max="10508" width="11.85546875" style="1" customWidth="1"/>
    <col min="10509" max="10510" width="10.85546875" style="1" customWidth="1"/>
    <col min="10511" max="10511" width="10.42578125" style="1" customWidth="1"/>
    <col min="10512" max="10512" width="4.5703125" style="1" bestFit="1" customWidth="1"/>
    <col min="10513" max="10513" width="10.85546875" style="1" customWidth="1"/>
    <col min="10514" max="10514" width="5.5703125" style="1" customWidth="1"/>
    <col min="10515" max="10515" width="3.42578125" style="1" customWidth="1"/>
    <col min="10516" max="10516" width="9.85546875" style="1" customWidth="1"/>
    <col min="10517" max="10517" width="6.5703125" style="1" customWidth="1"/>
    <col min="10518" max="10518" width="5.5703125" style="1" customWidth="1"/>
    <col min="10519" max="10519" width="5.140625" style="1" customWidth="1"/>
    <col min="10520" max="10520" width="8.42578125" style="1" bestFit="1" customWidth="1"/>
    <col min="10521" max="10521" width="6.140625" style="1" customWidth="1"/>
    <col min="10522" max="10522" width="4.28515625" style="1" customWidth="1"/>
    <col min="10523" max="10523" width="4.5703125" style="1" customWidth="1"/>
    <col min="10524" max="10524" width="4.42578125" style="1" customWidth="1"/>
    <col min="10525" max="10525" width="4.85546875" style="1" customWidth="1"/>
    <col min="10526" max="10762" width="10.28515625" style="1"/>
    <col min="10763" max="10763" width="12.28515625" style="1" customWidth="1"/>
    <col min="10764" max="10764" width="11.85546875" style="1" customWidth="1"/>
    <col min="10765" max="10766" width="10.85546875" style="1" customWidth="1"/>
    <col min="10767" max="10767" width="10.42578125" style="1" customWidth="1"/>
    <col min="10768" max="10768" width="4.5703125" style="1" bestFit="1" customWidth="1"/>
    <col min="10769" max="10769" width="10.85546875" style="1" customWidth="1"/>
    <col min="10770" max="10770" width="5.5703125" style="1" customWidth="1"/>
    <col min="10771" max="10771" width="3.42578125" style="1" customWidth="1"/>
    <col min="10772" max="10772" width="9.85546875" style="1" customWidth="1"/>
    <col min="10773" max="10773" width="6.5703125" style="1" customWidth="1"/>
    <col min="10774" max="10774" width="5.5703125" style="1" customWidth="1"/>
    <col min="10775" max="10775" width="5.140625" style="1" customWidth="1"/>
    <col min="10776" max="10776" width="8.42578125" style="1" bestFit="1" customWidth="1"/>
    <col min="10777" max="10777" width="6.140625" style="1" customWidth="1"/>
    <col min="10778" max="10778" width="4.28515625" style="1" customWidth="1"/>
    <col min="10779" max="10779" width="4.5703125" style="1" customWidth="1"/>
    <col min="10780" max="10780" width="4.42578125" style="1" customWidth="1"/>
    <col min="10781" max="10781" width="4.85546875" style="1" customWidth="1"/>
    <col min="10782" max="11018" width="10.28515625" style="1"/>
    <col min="11019" max="11019" width="12.28515625" style="1" customWidth="1"/>
    <col min="11020" max="11020" width="11.85546875" style="1" customWidth="1"/>
    <col min="11021" max="11022" width="10.85546875" style="1" customWidth="1"/>
    <col min="11023" max="11023" width="10.42578125" style="1" customWidth="1"/>
    <col min="11024" max="11024" width="4.5703125" style="1" bestFit="1" customWidth="1"/>
    <col min="11025" max="11025" width="10.85546875" style="1" customWidth="1"/>
    <col min="11026" max="11026" width="5.5703125" style="1" customWidth="1"/>
    <col min="11027" max="11027" width="3.42578125" style="1" customWidth="1"/>
    <col min="11028" max="11028" width="9.85546875" style="1" customWidth="1"/>
    <col min="11029" max="11029" width="6.5703125" style="1" customWidth="1"/>
    <col min="11030" max="11030" width="5.5703125" style="1" customWidth="1"/>
    <col min="11031" max="11031" width="5.140625" style="1" customWidth="1"/>
    <col min="11032" max="11032" width="8.42578125" style="1" bestFit="1" customWidth="1"/>
    <col min="11033" max="11033" width="6.140625" style="1" customWidth="1"/>
    <col min="11034" max="11034" width="4.28515625" style="1" customWidth="1"/>
    <col min="11035" max="11035" width="4.5703125" style="1" customWidth="1"/>
    <col min="11036" max="11036" width="4.42578125" style="1" customWidth="1"/>
    <col min="11037" max="11037" width="4.85546875" style="1" customWidth="1"/>
    <col min="11038" max="11274" width="10.28515625" style="1"/>
    <col min="11275" max="11275" width="12.28515625" style="1" customWidth="1"/>
    <col min="11276" max="11276" width="11.85546875" style="1" customWidth="1"/>
    <col min="11277" max="11278" width="10.85546875" style="1" customWidth="1"/>
    <col min="11279" max="11279" width="10.42578125" style="1" customWidth="1"/>
    <col min="11280" max="11280" width="4.5703125" style="1" bestFit="1" customWidth="1"/>
    <col min="11281" max="11281" width="10.85546875" style="1" customWidth="1"/>
    <col min="11282" max="11282" width="5.5703125" style="1" customWidth="1"/>
    <col min="11283" max="11283" width="3.42578125" style="1" customWidth="1"/>
    <col min="11284" max="11284" width="9.85546875" style="1" customWidth="1"/>
    <col min="11285" max="11285" width="6.5703125" style="1" customWidth="1"/>
    <col min="11286" max="11286" width="5.5703125" style="1" customWidth="1"/>
    <col min="11287" max="11287" width="5.140625" style="1" customWidth="1"/>
    <col min="11288" max="11288" width="8.42578125" style="1" bestFit="1" customWidth="1"/>
    <col min="11289" max="11289" width="6.140625" style="1" customWidth="1"/>
    <col min="11290" max="11290" width="4.28515625" style="1" customWidth="1"/>
    <col min="11291" max="11291" width="4.5703125" style="1" customWidth="1"/>
    <col min="11292" max="11292" width="4.42578125" style="1" customWidth="1"/>
    <col min="11293" max="11293" width="4.85546875" style="1" customWidth="1"/>
    <col min="11294" max="11530" width="10.28515625" style="1"/>
    <col min="11531" max="11531" width="12.28515625" style="1" customWidth="1"/>
    <col min="11532" max="11532" width="11.85546875" style="1" customWidth="1"/>
    <col min="11533" max="11534" width="10.85546875" style="1" customWidth="1"/>
    <col min="11535" max="11535" width="10.42578125" style="1" customWidth="1"/>
    <col min="11536" max="11536" width="4.5703125" style="1" bestFit="1" customWidth="1"/>
    <col min="11537" max="11537" width="10.85546875" style="1" customWidth="1"/>
    <col min="11538" max="11538" width="5.5703125" style="1" customWidth="1"/>
    <col min="11539" max="11539" width="3.42578125" style="1" customWidth="1"/>
    <col min="11540" max="11540" width="9.85546875" style="1" customWidth="1"/>
    <col min="11541" max="11541" width="6.5703125" style="1" customWidth="1"/>
    <col min="11542" max="11542" width="5.5703125" style="1" customWidth="1"/>
    <col min="11543" max="11543" width="5.140625" style="1" customWidth="1"/>
    <col min="11544" max="11544" width="8.42578125" style="1" bestFit="1" customWidth="1"/>
    <col min="11545" max="11545" width="6.140625" style="1" customWidth="1"/>
    <col min="11546" max="11546" width="4.28515625" style="1" customWidth="1"/>
    <col min="11547" max="11547" width="4.5703125" style="1" customWidth="1"/>
    <col min="11548" max="11548" width="4.42578125" style="1" customWidth="1"/>
    <col min="11549" max="11549" width="4.85546875" style="1" customWidth="1"/>
    <col min="11550" max="11786" width="10.28515625" style="1"/>
    <col min="11787" max="11787" width="12.28515625" style="1" customWidth="1"/>
    <col min="11788" max="11788" width="11.85546875" style="1" customWidth="1"/>
    <col min="11789" max="11790" width="10.85546875" style="1" customWidth="1"/>
    <col min="11791" max="11791" width="10.42578125" style="1" customWidth="1"/>
    <col min="11792" max="11792" width="4.5703125" style="1" bestFit="1" customWidth="1"/>
    <col min="11793" max="11793" width="10.85546875" style="1" customWidth="1"/>
    <col min="11794" max="11794" width="5.5703125" style="1" customWidth="1"/>
    <col min="11795" max="11795" width="3.42578125" style="1" customWidth="1"/>
    <col min="11796" max="11796" width="9.85546875" style="1" customWidth="1"/>
    <col min="11797" max="11797" width="6.5703125" style="1" customWidth="1"/>
    <col min="11798" max="11798" width="5.5703125" style="1" customWidth="1"/>
    <col min="11799" max="11799" width="5.140625" style="1" customWidth="1"/>
    <col min="11800" max="11800" width="8.42578125" style="1" bestFit="1" customWidth="1"/>
    <col min="11801" max="11801" width="6.140625" style="1" customWidth="1"/>
    <col min="11802" max="11802" width="4.28515625" style="1" customWidth="1"/>
    <col min="11803" max="11803" width="4.5703125" style="1" customWidth="1"/>
    <col min="11804" max="11804" width="4.42578125" style="1" customWidth="1"/>
    <col min="11805" max="11805" width="4.85546875" style="1" customWidth="1"/>
    <col min="11806" max="12042" width="10.28515625" style="1"/>
    <col min="12043" max="12043" width="12.28515625" style="1" customWidth="1"/>
    <col min="12044" max="12044" width="11.85546875" style="1" customWidth="1"/>
    <col min="12045" max="12046" width="10.85546875" style="1" customWidth="1"/>
    <col min="12047" max="12047" width="10.42578125" style="1" customWidth="1"/>
    <col min="12048" max="12048" width="4.5703125" style="1" bestFit="1" customWidth="1"/>
    <col min="12049" max="12049" width="10.85546875" style="1" customWidth="1"/>
    <col min="12050" max="12050" width="5.5703125" style="1" customWidth="1"/>
    <col min="12051" max="12051" width="3.42578125" style="1" customWidth="1"/>
    <col min="12052" max="12052" width="9.85546875" style="1" customWidth="1"/>
    <col min="12053" max="12053" width="6.5703125" style="1" customWidth="1"/>
    <col min="12054" max="12054" width="5.5703125" style="1" customWidth="1"/>
    <col min="12055" max="12055" width="5.140625" style="1" customWidth="1"/>
    <col min="12056" max="12056" width="8.42578125" style="1" bestFit="1" customWidth="1"/>
    <col min="12057" max="12057" width="6.140625" style="1" customWidth="1"/>
    <col min="12058" max="12058" width="4.28515625" style="1" customWidth="1"/>
    <col min="12059" max="12059" width="4.5703125" style="1" customWidth="1"/>
    <col min="12060" max="12060" width="4.42578125" style="1" customWidth="1"/>
    <col min="12061" max="12061" width="4.85546875" style="1" customWidth="1"/>
    <col min="12062" max="12298" width="10.28515625" style="1"/>
    <col min="12299" max="12299" width="12.28515625" style="1" customWidth="1"/>
    <col min="12300" max="12300" width="11.85546875" style="1" customWidth="1"/>
    <col min="12301" max="12302" width="10.85546875" style="1" customWidth="1"/>
    <col min="12303" max="12303" width="10.42578125" style="1" customWidth="1"/>
    <col min="12304" max="12304" width="4.5703125" style="1" bestFit="1" customWidth="1"/>
    <col min="12305" max="12305" width="10.85546875" style="1" customWidth="1"/>
    <col min="12306" max="12306" width="5.5703125" style="1" customWidth="1"/>
    <col min="12307" max="12307" width="3.42578125" style="1" customWidth="1"/>
    <col min="12308" max="12308" width="9.85546875" style="1" customWidth="1"/>
    <col min="12309" max="12309" width="6.5703125" style="1" customWidth="1"/>
    <col min="12310" max="12310" width="5.5703125" style="1" customWidth="1"/>
    <col min="12311" max="12311" width="5.140625" style="1" customWidth="1"/>
    <col min="12312" max="12312" width="8.42578125" style="1" bestFit="1" customWidth="1"/>
    <col min="12313" max="12313" width="6.140625" style="1" customWidth="1"/>
    <col min="12314" max="12314" width="4.28515625" style="1" customWidth="1"/>
    <col min="12315" max="12315" width="4.5703125" style="1" customWidth="1"/>
    <col min="12316" max="12316" width="4.42578125" style="1" customWidth="1"/>
    <col min="12317" max="12317" width="4.85546875" style="1" customWidth="1"/>
    <col min="12318" max="12554" width="10.28515625" style="1"/>
    <col min="12555" max="12555" width="12.28515625" style="1" customWidth="1"/>
    <col min="12556" max="12556" width="11.85546875" style="1" customWidth="1"/>
    <col min="12557" max="12558" width="10.85546875" style="1" customWidth="1"/>
    <col min="12559" max="12559" width="10.42578125" style="1" customWidth="1"/>
    <col min="12560" max="12560" width="4.5703125" style="1" bestFit="1" customWidth="1"/>
    <col min="12561" max="12561" width="10.85546875" style="1" customWidth="1"/>
    <col min="12562" max="12562" width="5.5703125" style="1" customWidth="1"/>
    <col min="12563" max="12563" width="3.42578125" style="1" customWidth="1"/>
    <col min="12564" max="12564" width="9.85546875" style="1" customWidth="1"/>
    <col min="12565" max="12565" width="6.5703125" style="1" customWidth="1"/>
    <col min="12566" max="12566" width="5.5703125" style="1" customWidth="1"/>
    <col min="12567" max="12567" width="5.140625" style="1" customWidth="1"/>
    <col min="12568" max="12568" width="8.42578125" style="1" bestFit="1" customWidth="1"/>
    <col min="12569" max="12569" width="6.140625" style="1" customWidth="1"/>
    <col min="12570" max="12570" width="4.28515625" style="1" customWidth="1"/>
    <col min="12571" max="12571" width="4.5703125" style="1" customWidth="1"/>
    <col min="12572" max="12572" width="4.42578125" style="1" customWidth="1"/>
    <col min="12573" max="12573" width="4.85546875" style="1" customWidth="1"/>
    <col min="12574" max="12810" width="10.28515625" style="1"/>
    <col min="12811" max="12811" width="12.28515625" style="1" customWidth="1"/>
    <col min="12812" max="12812" width="11.85546875" style="1" customWidth="1"/>
    <col min="12813" max="12814" width="10.85546875" style="1" customWidth="1"/>
    <col min="12815" max="12815" width="10.42578125" style="1" customWidth="1"/>
    <col min="12816" max="12816" width="4.5703125" style="1" bestFit="1" customWidth="1"/>
    <col min="12817" max="12817" width="10.85546875" style="1" customWidth="1"/>
    <col min="12818" max="12818" width="5.5703125" style="1" customWidth="1"/>
    <col min="12819" max="12819" width="3.42578125" style="1" customWidth="1"/>
    <col min="12820" max="12820" width="9.85546875" style="1" customWidth="1"/>
    <col min="12821" max="12821" width="6.5703125" style="1" customWidth="1"/>
    <col min="12822" max="12822" width="5.5703125" style="1" customWidth="1"/>
    <col min="12823" max="12823" width="5.140625" style="1" customWidth="1"/>
    <col min="12824" max="12824" width="8.42578125" style="1" bestFit="1" customWidth="1"/>
    <col min="12825" max="12825" width="6.140625" style="1" customWidth="1"/>
    <col min="12826" max="12826" width="4.28515625" style="1" customWidth="1"/>
    <col min="12827" max="12827" width="4.5703125" style="1" customWidth="1"/>
    <col min="12828" max="12828" width="4.42578125" style="1" customWidth="1"/>
    <col min="12829" max="12829" width="4.85546875" style="1" customWidth="1"/>
    <col min="12830" max="13066" width="10.28515625" style="1"/>
    <col min="13067" max="13067" width="12.28515625" style="1" customWidth="1"/>
    <col min="13068" max="13068" width="11.85546875" style="1" customWidth="1"/>
    <col min="13069" max="13070" width="10.85546875" style="1" customWidth="1"/>
    <col min="13071" max="13071" width="10.42578125" style="1" customWidth="1"/>
    <col min="13072" max="13072" width="4.5703125" style="1" bestFit="1" customWidth="1"/>
    <col min="13073" max="13073" width="10.85546875" style="1" customWidth="1"/>
    <col min="13074" max="13074" width="5.5703125" style="1" customWidth="1"/>
    <col min="13075" max="13075" width="3.42578125" style="1" customWidth="1"/>
    <col min="13076" max="13076" width="9.85546875" style="1" customWidth="1"/>
    <col min="13077" max="13077" width="6.5703125" style="1" customWidth="1"/>
    <col min="13078" max="13078" width="5.5703125" style="1" customWidth="1"/>
    <col min="13079" max="13079" width="5.140625" style="1" customWidth="1"/>
    <col min="13080" max="13080" width="8.42578125" style="1" bestFit="1" customWidth="1"/>
    <col min="13081" max="13081" width="6.140625" style="1" customWidth="1"/>
    <col min="13082" max="13082" width="4.28515625" style="1" customWidth="1"/>
    <col min="13083" max="13083" width="4.5703125" style="1" customWidth="1"/>
    <col min="13084" max="13084" width="4.42578125" style="1" customWidth="1"/>
    <col min="13085" max="13085" width="4.85546875" style="1" customWidth="1"/>
    <col min="13086" max="13322" width="10.28515625" style="1"/>
    <col min="13323" max="13323" width="12.28515625" style="1" customWidth="1"/>
    <col min="13324" max="13324" width="11.85546875" style="1" customWidth="1"/>
    <col min="13325" max="13326" width="10.85546875" style="1" customWidth="1"/>
    <col min="13327" max="13327" width="10.42578125" style="1" customWidth="1"/>
    <col min="13328" max="13328" width="4.5703125" style="1" bestFit="1" customWidth="1"/>
    <col min="13329" max="13329" width="10.85546875" style="1" customWidth="1"/>
    <col min="13330" max="13330" width="5.5703125" style="1" customWidth="1"/>
    <col min="13331" max="13331" width="3.42578125" style="1" customWidth="1"/>
    <col min="13332" max="13332" width="9.85546875" style="1" customWidth="1"/>
    <col min="13333" max="13333" width="6.5703125" style="1" customWidth="1"/>
    <col min="13334" max="13334" width="5.5703125" style="1" customWidth="1"/>
    <col min="13335" max="13335" width="5.140625" style="1" customWidth="1"/>
    <col min="13336" max="13336" width="8.42578125" style="1" bestFit="1" customWidth="1"/>
    <col min="13337" max="13337" width="6.140625" style="1" customWidth="1"/>
    <col min="13338" max="13338" width="4.28515625" style="1" customWidth="1"/>
    <col min="13339" max="13339" width="4.5703125" style="1" customWidth="1"/>
    <col min="13340" max="13340" width="4.42578125" style="1" customWidth="1"/>
    <col min="13341" max="13341" width="4.85546875" style="1" customWidth="1"/>
    <col min="13342" max="13578" width="10.28515625" style="1"/>
    <col min="13579" max="13579" width="12.28515625" style="1" customWidth="1"/>
    <col min="13580" max="13580" width="11.85546875" style="1" customWidth="1"/>
    <col min="13581" max="13582" width="10.85546875" style="1" customWidth="1"/>
    <col min="13583" max="13583" width="10.42578125" style="1" customWidth="1"/>
    <col min="13584" max="13584" width="4.5703125" style="1" bestFit="1" customWidth="1"/>
    <col min="13585" max="13585" width="10.85546875" style="1" customWidth="1"/>
    <col min="13586" max="13586" width="5.5703125" style="1" customWidth="1"/>
    <col min="13587" max="13587" width="3.42578125" style="1" customWidth="1"/>
    <col min="13588" max="13588" width="9.85546875" style="1" customWidth="1"/>
    <col min="13589" max="13589" width="6.5703125" style="1" customWidth="1"/>
    <col min="13590" max="13590" width="5.5703125" style="1" customWidth="1"/>
    <col min="13591" max="13591" width="5.140625" style="1" customWidth="1"/>
    <col min="13592" max="13592" width="8.42578125" style="1" bestFit="1" customWidth="1"/>
    <col min="13593" max="13593" width="6.140625" style="1" customWidth="1"/>
    <col min="13594" max="13594" width="4.28515625" style="1" customWidth="1"/>
    <col min="13595" max="13595" width="4.5703125" style="1" customWidth="1"/>
    <col min="13596" max="13596" width="4.42578125" style="1" customWidth="1"/>
    <col min="13597" max="13597" width="4.85546875" style="1" customWidth="1"/>
    <col min="13598" max="13834" width="10.28515625" style="1"/>
    <col min="13835" max="13835" width="12.28515625" style="1" customWidth="1"/>
    <col min="13836" max="13836" width="11.85546875" style="1" customWidth="1"/>
    <col min="13837" max="13838" width="10.85546875" style="1" customWidth="1"/>
    <col min="13839" max="13839" width="10.42578125" style="1" customWidth="1"/>
    <col min="13840" max="13840" width="4.5703125" style="1" bestFit="1" customWidth="1"/>
    <col min="13841" max="13841" width="10.85546875" style="1" customWidth="1"/>
    <col min="13842" max="13842" width="5.5703125" style="1" customWidth="1"/>
    <col min="13843" max="13843" width="3.42578125" style="1" customWidth="1"/>
    <col min="13844" max="13844" width="9.85546875" style="1" customWidth="1"/>
    <col min="13845" max="13845" width="6.5703125" style="1" customWidth="1"/>
    <col min="13846" max="13846" width="5.5703125" style="1" customWidth="1"/>
    <col min="13847" max="13847" width="5.140625" style="1" customWidth="1"/>
    <col min="13848" max="13848" width="8.42578125" style="1" bestFit="1" customWidth="1"/>
    <col min="13849" max="13849" width="6.140625" style="1" customWidth="1"/>
    <col min="13850" max="13850" width="4.28515625" style="1" customWidth="1"/>
    <col min="13851" max="13851" width="4.5703125" style="1" customWidth="1"/>
    <col min="13852" max="13852" width="4.42578125" style="1" customWidth="1"/>
    <col min="13853" max="13853" width="4.85546875" style="1" customWidth="1"/>
    <col min="13854" max="14090" width="10.28515625" style="1"/>
    <col min="14091" max="14091" width="12.28515625" style="1" customWidth="1"/>
    <col min="14092" max="14092" width="11.85546875" style="1" customWidth="1"/>
    <col min="14093" max="14094" width="10.85546875" style="1" customWidth="1"/>
    <col min="14095" max="14095" width="10.42578125" style="1" customWidth="1"/>
    <col min="14096" max="14096" width="4.5703125" style="1" bestFit="1" customWidth="1"/>
    <col min="14097" max="14097" width="10.85546875" style="1" customWidth="1"/>
    <col min="14098" max="14098" width="5.5703125" style="1" customWidth="1"/>
    <col min="14099" max="14099" width="3.42578125" style="1" customWidth="1"/>
    <col min="14100" max="14100" width="9.85546875" style="1" customWidth="1"/>
    <col min="14101" max="14101" width="6.5703125" style="1" customWidth="1"/>
    <col min="14102" max="14102" width="5.5703125" style="1" customWidth="1"/>
    <col min="14103" max="14103" width="5.140625" style="1" customWidth="1"/>
    <col min="14104" max="14104" width="8.42578125" style="1" bestFit="1" customWidth="1"/>
    <col min="14105" max="14105" width="6.140625" style="1" customWidth="1"/>
    <col min="14106" max="14106" width="4.28515625" style="1" customWidth="1"/>
    <col min="14107" max="14107" width="4.5703125" style="1" customWidth="1"/>
    <col min="14108" max="14108" width="4.42578125" style="1" customWidth="1"/>
    <col min="14109" max="14109" width="4.85546875" style="1" customWidth="1"/>
    <col min="14110" max="14346" width="10.28515625" style="1"/>
    <col min="14347" max="14347" width="12.28515625" style="1" customWidth="1"/>
    <col min="14348" max="14348" width="11.85546875" style="1" customWidth="1"/>
    <col min="14349" max="14350" width="10.85546875" style="1" customWidth="1"/>
    <col min="14351" max="14351" width="10.42578125" style="1" customWidth="1"/>
    <col min="14352" max="14352" width="4.5703125" style="1" bestFit="1" customWidth="1"/>
    <col min="14353" max="14353" width="10.85546875" style="1" customWidth="1"/>
    <col min="14354" max="14354" width="5.5703125" style="1" customWidth="1"/>
    <col min="14355" max="14355" width="3.42578125" style="1" customWidth="1"/>
    <col min="14356" max="14356" width="9.85546875" style="1" customWidth="1"/>
    <col min="14357" max="14357" width="6.5703125" style="1" customWidth="1"/>
    <col min="14358" max="14358" width="5.5703125" style="1" customWidth="1"/>
    <col min="14359" max="14359" width="5.140625" style="1" customWidth="1"/>
    <col min="14360" max="14360" width="8.42578125" style="1" bestFit="1" customWidth="1"/>
    <col min="14361" max="14361" width="6.140625" style="1" customWidth="1"/>
    <col min="14362" max="14362" width="4.28515625" style="1" customWidth="1"/>
    <col min="14363" max="14363" width="4.5703125" style="1" customWidth="1"/>
    <col min="14364" max="14364" width="4.42578125" style="1" customWidth="1"/>
    <col min="14365" max="14365" width="4.85546875" style="1" customWidth="1"/>
    <col min="14366" max="14602" width="10.28515625" style="1"/>
    <col min="14603" max="14603" width="12.28515625" style="1" customWidth="1"/>
    <col min="14604" max="14604" width="11.85546875" style="1" customWidth="1"/>
    <col min="14605" max="14606" width="10.85546875" style="1" customWidth="1"/>
    <col min="14607" max="14607" width="10.42578125" style="1" customWidth="1"/>
    <col min="14608" max="14608" width="4.5703125" style="1" bestFit="1" customWidth="1"/>
    <col min="14609" max="14609" width="10.85546875" style="1" customWidth="1"/>
    <col min="14610" max="14610" width="5.5703125" style="1" customWidth="1"/>
    <col min="14611" max="14611" width="3.42578125" style="1" customWidth="1"/>
    <col min="14612" max="14612" width="9.85546875" style="1" customWidth="1"/>
    <col min="14613" max="14613" width="6.5703125" style="1" customWidth="1"/>
    <col min="14614" max="14614" width="5.5703125" style="1" customWidth="1"/>
    <col min="14615" max="14615" width="5.140625" style="1" customWidth="1"/>
    <col min="14616" max="14616" width="8.42578125" style="1" bestFit="1" customWidth="1"/>
    <col min="14617" max="14617" width="6.140625" style="1" customWidth="1"/>
    <col min="14618" max="14618" width="4.28515625" style="1" customWidth="1"/>
    <col min="14619" max="14619" width="4.5703125" style="1" customWidth="1"/>
    <col min="14620" max="14620" width="4.42578125" style="1" customWidth="1"/>
    <col min="14621" max="14621" width="4.85546875" style="1" customWidth="1"/>
    <col min="14622" max="14858" width="10.28515625" style="1"/>
    <col min="14859" max="14859" width="12.28515625" style="1" customWidth="1"/>
    <col min="14860" max="14860" width="11.85546875" style="1" customWidth="1"/>
    <col min="14861" max="14862" width="10.85546875" style="1" customWidth="1"/>
    <col min="14863" max="14863" width="10.42578125" style="1" customWidth="1"/>
    <col min="14864" max="14864" width="4.5703125" style="1" bestFit="1" customWidth="1"/>
    <col min="14865" max="14865" width="10.85546875" style="1" customWidth="1"/>
    <col min="14866" max="14866" width="5.5703125" style="1" customWidth="1"/>
    <col min="14867" max="14867" width="3.42578125" style="1" customWidth="1"/>
    <col min="14868" max="14868" width="9.85546875" style="1" customWidth="1"/>
    <col min="14869" max="14869" width="6.5703125" style="1" customWidth="1"/>
    <col min="14870" max="14870" width="5.5703125" style="1" customWidth="1"/>
    <col min="14871" max="14871" width="5.140625" style="1" customWidth="1"/>
    <col min="14872" max="14872" width="8.42578125" style="1" bestFit="1" customWidth="1"/>
    <col min="14873" max="14873" width="6.140625" style="1" customWidth="1"/>
    <col min="14874" max="14874" width="4.28515625" style="1" customWidth="1"/>
    <col min="14875" max="14875" width="4.5703125" style="1" customWidth="1"/>
    <col min="14876" max="14876" width="4.42578125" style="1" customWidth="1"/>
    <col min="14877" max="14877" width="4.85546875" style="1" customWidth="1"/>
    <col min="14878" max="15114" width="10.28515625" style="1"/>
    <col min="15115" max="15115" width="12.28515625" style="1" customWidth="1"/>
    <col min="15116" max="15116" width="11.85546875" style="1" customWidth="1"/>
    <col min="15117" max="15118" width="10.85546875" style="1" customWidth="1"/>
    <col min="15119" max="15119" width="10.42578125" style="1" customWidth="1"/>
    <col min="15120" max="15120" width="4.5703125" style="1" bestFit="1" customWidth="1"/>
    <col min="15121" max="15121" width="10.85546875" style="1" customWidth="1"/>
    <col min="15122" max="15122" width="5.5703125" style="1" customWidth="1"/>
    <col min="15123" max="15123" width="3.42578125" style="1" customWidth="1"/>
    <col min="15124" max="15124" width="9.85546875" style="1" customWidth="1"/>
    <col min="15125" max="15125" width="6.5703125" style="1" customWidth="1"/>
    <col min="15126" max="15126" width="5.5703125" style="1" customWidth="1"/>
    <col min="15127" max="15127" width="5.140625" style="1" customWidth="1"/>
    <col min="15128" max="15128" width="8.42578125" style="1" bestFit="1" customWidth="1"/>
    <col min="15129" max="15129" width="6.140625" style="1" customWidth="1"/>
    <col min="15130" max="15130" width="4.28515625" style="1" customWidth="1"/>
    <col min="15131" max="15131" width="4.5703125" style="1" customWidth="1"/>
    <col min="15132" max="15132" width="4.42578125" style="1" customWidth="1"/>
    <col min="15133" max="15133" width="4.85546875" style="1" customWidth="1"/>
    <col min="15134" max="15370" width="10.28515625" style="1"/>
    <col min="15371" max="15371" width="12.28515625" style="1" customWidth="1"/>
    <col min="15372" max="15372" width="11.85546875" style="1" customWidth="1"/>
    <col min="15373" max="15374" width="10.85546875" style="1" customWidth="1"/>
    <col min="15375" max="15375" width="10.42578125" style="1" customWidth="1"/>
    <col min="15376" max="15376" width="4.5703125" style="1" bestFit="1" customWidth="1"/>
    <col min="15377" max="15377" width="10.85546875" style="1" customWidth="1"/>
    <col min="15378" max="15378" width="5.5703125" style="1" customWidth="1"/>
    <col min="15379" max="15379" width="3.42578125" style="1" customWidth="1"/>
    <col min="15380" max="15380" width="9.85546875" style="1" customWidth="1"/>
    <col min="15381" max="15381" width="6.5703125" style="1" customWidth="1"/>
    <col min="15382" max="15382" width="5.5703125" style="1" customWidth="1"/>
    <col min="15383" max="15383" width="5.140625" style="1" customWidth="1"/>
    <col min="15384" max="15384" width="8.42578125" style="1" bestFit="1" customWidth="1"/>
    <col min="15385" max="15385" width="6.140625" style="1" customWidth="1"/>
    <col min="15386" max="15386" width="4.28515625" style="1" customWidth="1"/>
    <col min="15387" max="15387" width="4.5703125" style="1" customWidth="1"/>
    <col min="15388" max="15388" width="4.42578125" style="1" customWidth="1"/>
    <col min="15389" max="15389" width="4.85546875" style="1" customWidth="1"/>
    <col min="15390" max="15626" width="10.28515625" style="1"/>
    <col min="15627" max="15627" width="12.28515625" style="1" customWidth="1"/>
    <col min="15628" max="15628" width="11.85546875" style="1" customWidth="1"/>
    <col min="15629" max="15630" width="10.85546875" style="1" customWidth="1"/>
    <col min="15631" max="15631" width="10.42578125" style="1" customWidth="1"/>
    <col min="15632" max="15632" width="4.5703125" style="1" bestFit="1" customWidth="1"/>
    <col min="15633" max="15633" width="10.85546875" style="1" customWidth="1"/>
    <col min="15634" max="15634" width="5.5703125" style="1" customWidth="1"/>
    <col min="15635" max="15635" width="3.42578125" style="1" customWidth="1"/>
    <col min="15636" max="15636" width="9.85546875" style="1" customWidth="1"/>
    <col min="15637" max="15637" width="6.5703125" style="1" customWidth="1"/>
    <col min="15638" max="15638" width="5.5703125" style="1" customWidth="1"/>
    <col min="15639" max="15639" width="5.140625" style="1" customWidth="1"/>
    <col min="15640" max="15640" width="8.42578125" style="1" bestFit="1" customWidth="1"/>
    <col min="15641" max="15641" width="6.140625" style="1" customWidth="1"/>
    <col min="15642" max="15642" width="4.28515625" style="1" customWidth="1"/>
    <col min="15643" max="15643" width="4.5703125" style="1" customWidth="1"/>
    <col min="15644" max="15644" width="4.42578125" style="1" customWidth="1"/>
    <col min="15645" max="15645" width="4.85546875" style="1" customWidth="1"/>
    <col min="15646" max="15882" width="10.28515625" style="1"/>
    <col min="15883" max="15883" width="12.28515625" style="1" customWidth="1"/>
    <col min="15884" max="15884" width="11.85546875" style="1" customWidth="1"/>
    <col min="15885" max="15886" width="10.85546875" style="1" customWidth="1"/>
    <col min="15887" max="15887" width="10.42578125" style="1" customWidth="1"/>
    <col min="15888" max="15888" width="4.5703125" style="1" bestFit="1" customWidth="1"/>
    <col min="15889" max="15889" width="10.85546875" style="1" customWidth="1"/>
    <col min="15890" max="15890" width="5.5703125" style="1" customWidth="1"/>
    <col min="15891" max="15891" width="3.42578125" style="1" customWidth="1"/>
    <col min="15892" max="15892" width="9.85546875" style="1" customWidth="1"/>
    <col min="15893" max="15893" width="6.5703125" style="1" customWidth="1"/>
    <col min="15894" max="15894" width="5.5703125" style="1" customWidth="1"/>
    <col min="15895" max="15895" width="5.140625" style="1" customWidth="1"/>
    <col min="15896" max="15896" width="8.42578125" style="1" bestFit="1" customWidth="1"/>
    <col min="15897" max="15897" width="6.140625" style="1" customWidth="1"/>
    <col min="15898" max="15898" width="4.28515625" style="1" customWidth="1"/>
    <col min="15899" max="15899" width="4.5703125" style="1" customWidth="1"/>
    <col min="15900" max="15900" width="4.42578125" style="1" customWidth="1"/>
    <col min="15901" max="15901" width="4.85546875" style="1" customWidth="1"/>
    <col min="15902" max="16138" width="10.28515625" style="1"/>
    <col min="16139" max="16139" width="12.28515625" style="1" customWidth="1"/>
    <col min="16140" max="16140" width="11.85546875" style="1" customWidth="1"/>
    <col min="16141" max="16142" width="10.85546875" style="1" customWidth="1"/>
    <col min="16143" max="16143" width="10.42578125" style="1" customWidth="1"/>
    <col min="16144" max="16144" width="4.5703125" style="1" bestFit="1" customWidth="1"/>
    <col min="16145" max="16145" width="10.85546875" style="1" customWidth="1"/>
    <col min="16146" max="16146" width="5.5703125" style="1" customWidth="1"/>
    <col min="16147" max="16147" width="3.42578125" style="1" customWidth="1"/>
    <col min="16148" max="16148" width="9.85546875" style="1" customWidth="1"/>
    <col min="16149" max="16149" width="6.5703125" style="1" customWidth="1"/>
    <col min="16150" max="16150" width="5.5703125" style="1" customWidth="1"/>
    <col min="16151" max="16151" width="5.140625" style="1" customWidth="1"/>
    <col min="16152" max="16152" width="8.42578125" style="1" bestFit="1" customWidth="1"/>
    <col min="16153" max="16153" width="6.140625" style="1" customWidth="1"/>
    <col min="16154" max="16154" width="4.28515625" style="1" customWidth="1"/>
    <col min="16155" max="16155" width="4.5703125" style="1" customWidth="1"/>
    <col min="16156" max="16156" width="4.42578125" style="1" customWidth="1"/>
    <col min="16157" max="16157" width="4.85546875" style="1" customWidth="1"/>
    <col min="16158" max="16384" width="10.28515625" style="1"/>
  </cols>
  <sheetData>
    <row r="1" spans="1:1940" ht="9.75" customHeight="1">
      <c r="G1" s="12"/>
      <c r="H1" s="16" t="s">
        <v>289</v>
      </c>
      <c r="I1" s="16"/>
      <c r="J1" s="16" t="s">
        <v>290</v>
      </c>
      <c r="K1" s="12"/>
      <c r="L1" s="16">
        <f>IF(E18="4A",4,IF(E18="4B",4,IF(E18="4C",4,IF(E18="5A",5,IF(E18="5B",5,E18)))))</f>
        <v>1</v>
      </c>
      <c r="M1" s="194"/>
      <c r="N1" s="194"/>
      <c r="O1" s="16" t="str">
        <f>CONCATENATE(K3,L3,M3,N3,O3,P3,Q3,R3,S3,T3)</f>
        <v>A2301D00859</v>
      </c>
      <c r="P1" s="16">
        <f>IF(L1=4,500,IF(L1=5,500,1000))</f>
        <v>1000</v>
      </c>
      <c r="Q1" s="194"/>
      <c r="R1" s="194"/>
      <c r="S1" s="16" t="str">
        <f>CONCATENATE(K3,J1,H1,P3,Q3,R3,S3,T3)</f>
        <v>A23ORDSAAR00859</v>
      </c>
      <c r="T1" s="194"/>
      <c r="U1" s="12"/>
      <c r="V1" s="16" t="str">
        <f>IF(U1=0,"/",1)</f>
        <v>/</v>
      </c>
      <c r="W1" s="152">
        <f>Y4</f>
        <v>1</v>
      </c>
      <c r="BT1" s="208" t="s">
        <v>84</v>
      </c>
      <c r="BU1" s="12">
        <v>0</v>
      </c>
      <c r="BV1" s="12">
        <v>0</v>
      </c>
      <c r="BW1" s="12">
        <v>5</v>
      </c>
      <c r="DY1" s="150" t="s">
        <v>370</v>
      </c>
    </row>
    <row r="2" spans="1:1940" s="48" customFormat="1" ht="14.25" customHeight="1">
      <c r="B2" s="193"/>
      <c r="C2" s="363" t="s">
        <v>385</v>
      </c>
      <c r="D2" s="363"/>
      <c r="E2" s="363"/>
      <c r="F2" s="363"/>
      <c r="G2" s="363"/>
      <c r="H2" s="363"/>
      <c r="I2" s="363"/>
      <c r="J2" s="213"/>
      <c r="K2" s="392" t="s">
        <v>287</v>
      </c>
      <c r="L2" s="392"/>
      <c r="M2" s="392"/>
      <c r="N2" s="392"/>
      <c r="O2" s="392"/>
      <c r="P2" s="392"/>
      <c r="Q2" s="392"/>
      <c r="R2" s="392"/>
      <c r="S2" s="392"/>
      <c r="T2" s="392"/>
      <c r="U2" s="201"/>
      <c r="V2" s="106"/>
      <c r="W2" s="106"/>
      <c r="X2" s="106"/>
      <c r="Y2" s="106"/>
      <c r="Z2" s="106"/>
      <c r="AA2" s="209"/>
      <c r="AB2" s="209"/>
      <c r="AC2" s="209"/>
      <c r="AD2" s="209"/>
      <c r="AE2" s="209"/>
      <c r="AF2" s="209"/>
      <c r="AG2" s="209"/>
      <c r="AH2" s="209"/>
      <c r="AI2" s="209"/>
      <c r="AJ2" s="209"/>
      <c r="AK2" s="209"/>
      <c r="AL2" s="209"/>
      <c r="AM2" s="209"/>
      <c r="AN2" s="209"/>
      <c r="AO2" s="209"/>
      <c r="AP2" s="209"/>
      <c r="AQ2" s="209"/>
      <c r="AR2" s="209"/>
      <c r="AS2" s="209"/>
      <c r="AT2" s="209"/>
      <c r="AU2" s="209"/>
      <c r="AV2" s="209"/>
      <c r="AW2" s="209"/>
      <c r="AX2" s="209"/>
      <c r="AY2" s="209"/>
      <c r="AZ2" s="209"/>
      <c r="BA2" s="209"/>
      <c r="BB2" s="209"/>
      <c r="BC2" s="209"/>
      <c r="BD2" s="209"/>
      <c r="BE2" s="209"/>
      <c r="BF2" s="209"/>
      <c r="BG2" s="209"/>
      <c r="BH2" s="209"/>
      <c r="BI2" s="209"/>
      <c r="BJ2" s="209"/>
      <c r="BK2" s="209"/>
      <c r="BL2" s="209"/>
      <c r="BM2" s="209"/>
      <c r="BN2" s="209"/>
      <c r="BO2" s="209"/>
      <c r="BP2" s="209"/>
      <c r="BQ2" s="209"/>
      <c r="BR2" s="209"/>
      <c r="BS2" s="209"/>
      <c r="BT2" s="209" t="s">
        <v>393</v>
      </c>
      <c r="BU2" s="138">
        <v>0</v>
      </c>
      <c r="BV2" s="138">
        <v>0</v>
      </c>
      <c r="BW2" s="138">
        <v>4</v>
      </c>
      <c r="BX2" s="209"/>
      <c r="BY2" s="209"/>
      <c r="BZ2" s="209"/>
      <c r="CA2" s="209"/>
      <c r="CB2" s="209"/>
      <c r="CC2" s="209"/>
      <c r="CD2" s="209"/>
      <c r="CE2" s="209"/>
      <c r="CF2" s="209"/>
      <c r="CG2" s="209"/>
      <c r="CH2" s="209"/>
      <c r="CI2" s="209"/>
      <c r="CJ2" s="209"/>
      <c r="CK2" s="209"/>
      <c r="CL2" s="209"/>
      <c r="CM2" s="209"/>
      <c r="CN2" s="209"/>
      <c r="CO2" s="209"/>
      <c r="CP2" s="212"/>
      <c r="CQ2" s="209"/>
      <c r="CR2" s="209"/>
      <c r="CS2" s="209"/>
      <c r="CT2" s="209"/>
      <c r="CU2" s="209"/>
      <c r="CV2" s="209"/>
      <c r="CW2" s="209"/>
      <c r="CX2" s="212"/>
      <c r="CY2" s="212"/>
      <c r="CZ2" s="212"/>
      <c r="DA2" s="209"/>
      <c r="DB2" s="209"/>
      <c r="DC2" s="209"/>
      <c r="DD2" s="209"/>
      <c r="DE2" s="209"/>
      <c r="DF2" s="209"/>
      <c r="DG2" s="209"/>
      <c r="DH2" s="209"/>
      <c r="DI2" s="209"/>
      <c r="DJ2" s="209"/>
      <c r="DK2" s="209"/>
      <c r="DL2" s="209"/>
      <c r="DM2" s="209"/>
      <c r="DN2" s="209"/>
      <c r="DO2" s="209"/>
      <c r="DP2" s="209"/>
      <c r="DQ2" s="209"/>
      <c r="DR2" s="209"/>
      <c r="DS2" s="209"/>
      <c r="DT2" s="209"/>
      <c r="DU2" s="209"/>
      <c r="DV2" s="209"/>
      <c r="DW2" s="209"/>
      <c r="DX2" s="209"/>
      <c r="DY2" s="149" t="s">
        <v>371</v>
      </c>
      <c r="DZ2" s="209"/>
      <c r="EA2" s="209"/>
      <c r="EB2" s="209"/>
      <c r="EC2" s="209"/>
      <c r="ED2" s="209"/>
      <c r="EE2" s="209"/>
      <c r="EF2" s="209"/>
      <c r="EG2" s="209"/>
      <c r="EH2" s="209"/>
      <c r="EI2" s="209"/>
      <c r="EJ2" s="209"/>
      <c r="EK2" s="209"/>
      <c r="EL2" s="209"/>
      <c r="EM2" s="209"/>
      <c r="EN2" s="209"/>
      <c r="EO2" s="209"/>
      <c r="EP2" s="209"/>
      <c r="EQ2" s="209"/>
      <c r="ER2" s="209"/>
      <c r="ES2" s="209"/>
      <c r="ET2" s="209"/>
      <c r="EU2" s="209"/>
      <c r="EV2" s="209"/>
      <c r="EW2" s="209"/>
      <c r="EX2" s="209"/>
      <c r="EY2" s="209"/>
      <c r="EZ2" s="209"/>
      <c r="FA2" s="209"/>
      <c r="FB2" s="209"/>
      <c r="FC2" s="209"/>
      <c r="FD2" s="209"/>
      <c r="FE2" s="209"/>
      <c r="FF2" s="209"/>
      <c r="FG2" s="209"/>
      <c r="FH2" s="209"/>
      <c r="FI2" s="209"/>
      <c r="FJ2" s="209"/>
      <c r="FK2" s="209"/>
      <c r="FL2" s="209"/>
      <c r="FM2" s="209"/>
      <c r="FN2" s="209"/>
      <c r="FO2" s="209"/>
      <c r="FP2" s="209"/>
      <c r="FQ2" s="209"/>
      <c r="FR2" s="209"/>
      <c r="FS2" s="209"/>
      <c r="FT2" s="209"/>
      <c r="FU2" s="209"/>
      <c r="FV2" s="209"/>
      <c r="FW2" s="209"/>
      <c r="FX2" s="209"/>
      <c r="FY2" s="209"/>
      <c r="FZ2" s="209"/>
      <c r="GA2" s="209"/>
      <c r="GB2" s="209"/>
      <c r="GC2" s="209"/>
      <c r="GD2" s="209"/>
      <c r="GE2" s="209"/>
      <c r="GF2" s="209"/>
      <c r="GG2" s="209"/>
      <c r="GH2" s="209"/>
      <c r="GI2" s="209"/>
      <c r="GJ2" s="209"/>
      <c r="GK2" s="209"/>
      <c r="GL2" s="209"/>
      <c r="GM2" s="209"/>
      <c r="GN2" s="209"/>
      <c r="GO2" s="209"/>
      <c r="GP2" s="209"/>
      <c r="GQ2" s="209"/>
      <c r="GR2" s="209"/>
      <c r="GS2" s="209"/>
      <c r="GT2" s="209"/>
      <c r="GU2" s="209"/>
      <c r="GV2" s="209"/>
      <c r="GW2" s="209"/>
      <c r="GX2" s="209"/>
      <c r="GY2" s="209"/>
      <c r="GZ2" s="209"/>
      <c r="HA2" s="209"/>
      <c r="HB2" s="209"/>
      <c r="HC2" s="209"/>
      <c r="HD2" s="209"/>
      <c r="HE2" s="209"/>
      <c r="HF2" s="209"/>
      <c r="HG2" s="198"/>
      <c r="HH2" s="198"/>
      <c r="HI2" s="198"/>
      <c r="HJ2" s="198"/>
      <c r="HK2" s="198"/>
      <c r="HL2" s="198"/>
      <c r="HM2" s="198"/>
      <c r="HN2" s="198"/>
      <c r="HO2" s="198"/>
      <c r="HP2" s="198"/>
      <c r="HQ2" s="198"/>
      <c r="HR2" s="198"/>
      <c r="HS2" s="198"/>
      <c r="HT2" s="198"/>
      <c r="HU2" s="198"/>
      <c r="HV2" s="198"/>
      <c r="HW2" s="198"/>
      <c r="HX2" s="198"/>
      <c r="HY2" s="198"/>
      <c r="HZ2" s="198"/>
      <c r="IA2" s="198"/>
      <c r="IB2" s="198"/>
      <c r="IC2" s="198"/>
      <c r="ID2" s="198"/>
      <c r="IE2" s="198"/>
      <c r="IF2" s="198"/>
      <c r="IG2" s="198"/>
      <c r="IH2" s="198"/>
      <c r="II2" s="198"/>
      <c r="IJ2" s="198"/>
      <c r="IK2" s="198"/>
      <c r="IL2" s="198"/>
      <c r="IM2" s="198"/>
      <c r="IN2" s="198"/>
      <c r="IO2" s="198"/>
      <c r="IP2" s="198"/>
      <c r="IQ2" s="198"/>
      <c r="IR2" s="198"/>
      <c r="IS2" s="198"/>
      <c r="IT2" s="198"/>
      <c r="IU2" s="198"/>
      <c r="IV2" s="198"/>
      <c r="IW2" s="198"/>
      <c r="IX2" s="198"/>
      <c r="IY2" s="198"/>
      <c r="IZ2" s="198"/>
      <c r="JA2" s="198"/>
      <c r="JB2" s="148"/>
      <c r="JC2" s="148"/>
      <c r="JD2" s="148"/>
      <c r="JE2" s="148"/>
      <c r="JF2" s="148"/>
      <c r="JG2" s="148"/>
      <c r="JH2" s="148"/>
      <c r="JI2" s="148"/>
      <c r="JJ2" s="148"/>
      <c r="JK2" s="148"/>
      <c r="JL2" s="148"/>
      <c r="JM2" s="148"/>
      <c r="JN2" s="148"/>
      <c r="JO2" s="148"/>
      <c r="JP2" s="148"/>
      <c r="JQ2" s="148"/>
      <c r="JR2" s="148"/>
      <c r="JS2" s="148"/>
      <c r="JT2" s="148"/>
      <c r="JU2" s="148"/>
      <c r="JV2" s="148"/>
      <c r="JW2" s="148"/>
      <c r="JX2" s="148"/>
      <c r="JY2" s="148"/>
      <c r="JZ2" s="148"/>
      <c r="KA2" s="148"/>
      <c r="KB2" s="148"/>
      <c r="KC2" s="148"/>
      <c r="KD2" s="148"/>
      <c r="KE2" s="148"/>
      <c r="KF2" s="148"/>
      <c r="KG2" s="148"/>
      <c r="KH2" s="148"/>
      <c r="KI2" s="148"/>
      <c r="KJ2" s="148"/>
      <c r="KK2" s="148"/>
      <c r="KL2" s="148"/>
      <c r="KM2" s="148"/>
      <c r="KN2" s="148"/>
      <c r="KO2" s="148"/>
      <c r="KP2" s="148"/>
      <c r="KQ2" s="148"/>
      <c r="KR2" s="148"/>
      <c r="KS2" s="148"/>
      <c r="KT2" s="148"/>
      <c r="KU2" s="148"/>
      <c r="KV2" s="148"/>
      <c r="KW2" s="148"/>
      <c r="KX2" s="148"/>
      <c r="KY2" s="148"/>
      <c r="KZ2" s="148"/>
      <c r="LA2" s="148"/>
      <c r="LB2" s="148"/>
      <c r="LC2" s="148"/>
      <c r="LD2" s="148"/>
      <c r="LE2" s="148"/>
      <c r="LF2" s="148"/>
      <c r="LG2" s="148"/>
      <c r="LH2" s="148"/>
      <c r="LI2" s="148"/>
      <c r="LJ2" s="148"/>
      <c r="LK2" s="148"/>
      <c r="LL2" s="148"/>
      <c r="LM2" s="148"/>
      <c r="LN2" s="148"/>
      <c r="LO2" s="148"/>
      <c r="LP2" s="148"/>
      <c r="LQ2" s="148"/>
      <c r="LR2" s="148"/>
      <c r="LS2" s="148"/>
      <c r="LT2" s="148"/>
      <c r="LU2" s="148"/>
      <c r="LV2" s="148"/>
      <c r="LW2" s="148"/>
      <c r="LX2" s="148"/>
      <c r="LY2" s="148"/>
      <c r="LZ2" s="148"/>
      <c r="MA2" s="148"/>
      <c r="MB2" s="148"/>
      <c r="MC2" s="148"/>
      <c r="MD2" s="148"/>
      <c r="ME2" s="148"/>
      <c r="MF2" s="148"/>
      <c r="MG2" s="148"/>
      <c r="MH2" s="148"/>
      <c r="MI2" s="148"/>
      <c r="MJ2" s="148"/>
      <c r="MK2" s="148"/>
      <c r="ML2" s="148"/>
      <c r="MM2" s="148"/>
      <c r="MN2" s="148"/>
      <c r="MO2" s="148"/>
      <c r="MP2" s="148"/>
      <c r="MQ2" s="148"/>
      <c r="MR2" s="148"/>
      <c r="MS2" s="148"/>
      <c r="MT2" s="148"/>
      <c r="MU2" s="148"/>
      <c r="MV2" s="148"/>
      <c r="MW2" s="148"/>
      <c r="MX2" s="148"/>
      <c r="MY2" s="148"/>
      <c r="MZ2" s="148"/>
      <c r="NA2" s="148"/>
      <c r="NB2" s="148"/>
      <c r="NC2" s="148"/>
      <c r="ND2" s="148"/>
      <c r="NE2" s="148"/>
      <c r="NF2" s="148"/>
      <c r="NG2" s="148"/>
      <c r="NH2" s="148"/>
      <c r="NI2" s="148"/>
      <c r="NJ2" s="148"/>
      <c r="NK2" s="148"/>
      <c r="NL2" s="148"/>
      <c r="NM2" s="148"/>
      <c r="NN2" s="148"/>
      <c r="NO2" s="148"/>
      <c r="NP2" s="148"/>
      <c r="NQ2" s="148"/>
      <c r="NR2" s="148"/>
      <c r="NS2" s="148"/>
      <c r="NT2" s="148"/>
      <c r="NU2" s="148"/>
      <c r="NV2" s="148"/>
      <c r="NW2" s="148"/>
      <c r="NX2" s="148"/>
      <c r="NY2" s="148"/>
      <c r="NZ2" s="148"/>
      <c r="OA2" s="148"/>
      <c r="OB2" s="148"/>
      <c r="OC2" s="148"/>
      <c r="OD2" s="148"/>
      <c r="OE2" s="148"/>
      <c r="OF2" s="148"/>
      <c r="OG2" s="148"/>
      <c r="OH2" s="148"/>
      <c r="OI2" s="148"/>
      <c r="OJ2" s="148"/>
      <c r="OK2" s="148"/>
      <c r="OL2" s="148"/>
      <c r="OM2" s="148"/>
      <c r="ON2" s="148"/>
      <c r="OO2" s="148"/>
      <c r="OP2" s="148"/>
      <c r="OQ2" s="148"/>
      <c r="OR2" s="148"/>
      <c r="OS2" s="148"/>
      <c r="OT2" s="148"/>
      <c r="OU2" s="148"/>
      <c r="OV2" s="148"/>
      <c r="OW2" s="148"/>
      <c r="OX2" s="148"/>
      <c r="OY2" s="148"/>
      <c r="OZ2" s="148"/>
      <c r="PA2" s="148"/>
      <c r="PB2" s="148"/>
      <c r="PC2" s="148"/>
      <c r="PD2" s="148"/>
      <c r="PE2" s="148"/>
      <c r="PF2" s="148"/>
      <c r="PG2" s="148"/>
      <c r="PH2" s="148"/>
      <c r="PI2" s="148"/>
      <c r="PJ2" s="148"/>
      <c r="PK2" s="148"/>
      <c r="PL2" s="148"/>
      <c r="PM2" s="148"/>
      <c r="PN2" s="148"/>
      <c r="PO2" s="148"/>
      <c r="PP2" s="148"/>
      <c r="PQ2" s="148"/>
      <c r="PR2" s="148"/>
      <c r="PS2" s="148"/>
      <c r="PT2" s="148"/>
      <c r="PU2" s="148"/>
      <c r="PV2" s="148"/>
      <c r="PW2" s="148"/>
      <c r="PX2" s="148"/>
      <c r="PY2" s="148"/>
      <c r="PZ2" s="148"/>
      <c r="QA2" s="148"/>
      <c r="QB2" s="148"/>
      <c r="QC2" s="148"/>
      <c r="QD2" s="148"/>
      <c r="QE2" s="148"/>
      <c r="QF2" s="148"/>
      <c r="QG2" s="148"/>
      <c r="QH2" s="148"/>
      <c r="QI2" s="148"/>
      <c r="QJ2" s="148"/>
      <c r="QK2" s="148"/>
      <c r="QL2" s="148"/>
      <c r="QM2" s="148"/>
      <c r="QN2" s="148"/>
      <c r="QO2" s="148"/>
      <c r="QP2" s="148"/>
      <c r="QQ2" s="148"/>
      <c r="QR2" s="148"/>
      <c r="QS2" s="148"/>
      <c r="QT2" s="148"/>
      <c r="QU2" s="148"/>
      <c r="QV2" s="148"/>
      <c r="QW2" s="148"/>
      <c r="QX2" s="148"/>
      <c r="QY2" s="148"/>
      <c r="QZ2" s="148"/>
      <c r="RA2" s="148"/>
      <c r="RB2" s="148"/>
      <c r="RC2" s="148"/>
      <c r="RD2" s="148"/>
      <c r="RE2" s="148"/>
      <c r="RF2" s="148"/>
      <c r="RG2" s="148"/>
      <c r="RH2" s="148"/>
      <c r="RI2" s="148"/>
      <c r="RJ2" s="148"/>
      <c r="RK2" s="148"/>
      <c r="RL2" s="148"/>
      <c r="RM2" s="148"/>
      <c r="RN2" s="148"/>
      <c r="RO2" s="148"/>
      <c r="RP2" s="148"/>
      <c r="RQ2" s="148"/>
      <c r="RR2" s="148"/>
      <c r="RS2" s="148"/>
      <c r="RT2" s="148"/>
      <c r="RU2" s="148"/>
      <c r="RV2" s="148"/>
      <c r="RW2" s="148"/>
      <c r="RX2" s="148"/>
      <c r="RY2" s="148"/>
      <c r="RZ2" s="148"/>
      <c r="SA2" s="148"/>
      <c r="SB2" s="148"/>
      <c r="SC2" s="148"/>
      <c r="SD2" s="148"/>
      <c r="SE2" s="148"/>
      <c r="SF2" s="148"/>
      <c r="SG2" s="148"/>
      <c r="SH2" s="148"/>
      <c r="SI2" s="148"/>
      <c r="SJ2" s="148"/>
      <c r="SK2" s="148"/>
      <c r="SL2" s="148"/>
      <c r="SM2" s="148"/>
      <c r="SN2" s="148"/>
      <c r="SO2" s="148"/>
      <c r="SP2" s="148"/>
      <c r="SQ2" s="148"/>
      <c r="SR2" s="148"/>
      <c r="SS2" s="148"/>
      <c r="ST2" s="148"/>
      <c r="SU2" s="148"/>
      <c r="SV2" s="148"/>
      <c r="SW2" s="148"/>
      <c r="SX2" s="148"/>
      <c r="SY2" s="148"/>
      <c r="SZ2" s="148"/>
      <c r="TA2" s="148"/>
      <c r="TB2" s="148"/>
      <c r="TC2" s="148"/>
      <c r="TD2" s="148"/>
      <c r="TE2" s="148"/>
      <c r="TF2" s="148"/>
      <c r="TG2" s="148"/>
      <c r="TH2" s="148"/>
      <c r="TI2" s="148"/>
      <c r="TJ2" s="148"/>
      <c r="TK2" s="148"/>
      <c r="TL2" s="148"/>
      <c r="TM2" s="148"/>
      <c r="TN2" s="148"/>
      <c r="TO2" s="148"/>
      <c r="TP2" s="148"/>
      <c r="TQ2" s="148"/>
      <c r="TR2" s="148"/>
      <c r="TS2" s="148"/>
      <c r="TT2" s="148"/>
      <c r="TU2" s="148"/>
      <c r="TV2" s="148"/>
      <c r="TW2" s="148"/>
      <c r="TX2" s="148"/>
      <c r="TY2" s="148"/>
      <c r="TZ2" s="148"/>
      <c r="UA2" s="148"/>
      <c r="UB2" s="148"/>
      <c r="UC2" s="148"/>
      <c r="UD2" s="148"/>
      <c r="UE2" s="148"/>
      <c r="UF2" s="148"/>
      <c r="UG2" s="148"/>
      <c r="UH2" s="148"/>
      <c r="UI2" s="148"/>
      <c r="UJ2" s="148"/>
      <c r="UK2" s="148"/>
      <c r="UL2" s="148"/>
      <c r="UM2" s="148"/>
      <c r="UN2" s="148"/>
      <c r="UO2" s="148"/>
      <c r="UP2" s="148"/>
      <c r="UQ2" s="148"/>
      <c r="UR2" s="148"/>
      <c r="US2" s="148"/>
      <c r="UT2" s="148"/>
      <c r="UU2" s="148"/>
      <c r="UV2" s="148"/>
      <c r="UW2" s="148"/>
      <c r="UX2" s="148"/>
      <c r="UY2" s="148"/>
      <c r="UZ2" s="148"/>
      <c r="VA2" s="148"/>
      <c r="VB2" s="148"/>
      <c r="VC2" s="148"/>
      <c r="VD2" s="148"/>
      <c r="VE2" s="148"/>
      <c r="VF2" s="148"/>
      <c r="VG2" s="148"/>
      <c r="VH2" s="148"/>
      <c r="VI2" s="148"/>
      <c r="VJ2" s="148"/>
      <c r="VK2" s="148"/>
      <c r="VL2" s="148"/>
      <c r="VM2" s="148"/>
      <c r="VN2" s="148"/>
      <c r="VO2" s="148"/>
      <c r="VP2" s="148"/>
      <c r="VQ2" s="148"/>
      <c r="VR2" s="148"/>
      <c r="VS2" s="148"/>
      <c r="VT2" s="148"/>
      <c r="VU2" s="148"/>
      <c r="VV2" s="148"/>
      <c r="VW2" s="148"/>
      <c r="VX2" s="148"/>
      <c r="VY2" s="148"/>
      <c r="VZ2" s="148"/>
      <c r="WA2" s="148"/>
      <c r="WB2" s="148"/>
      <c r="WC2" s="148"/>
      <c r="WD2" s="148"/>
      <c r="WE2" s="148"/>
      <c r="WF2" s="148"/>
      <c r="WG2" s="148"/>
      <c r="WH2" s="148"/>
      <c r="WI2" s="148"/>
      <c r="WJ2" s="148"/>
      <c r="WK2" s="148"/>
      <c r="WL2" s="148"/>
      <c r="WM2" s="148"/>
      <c r="WN2" s="148"/>
      <c r="WO2" s="148"/>
      <c r="WP2" s="148"/>
      <c r="WQ2" s="148"/>
      <c r="WR2" s="148"/>
      <c r="WS2" s="148"/>
      <c r="WT2" s="148"/>
      <c r="WU2" s="148"/>
      <c r="WV2" s="148"/>
      <c r="WW2" s="148"/>
      <c r="WX2" s="148"/>
      <c r="WY2" s="148"/>
      <c r="WZ2" s="148"/>
      <c r="XA2" s="148"/>
      <c r="XB2" s="148"/>
      <c r="XC2" s="148"/>
      <c r="XD2" s="148"/>
      <c r="XE2" s="148"/>
      <c r="XF2" s="148"/>
      <c r="XG2" s="148"/>
      <c r="XH2" s="148"/>
      <c r="XI2" s="148"/>
      <c r="XJ2" s="148"/>
      <c r="XK2" s="148"/>
      <c r="XL2" s="148"/>
      <c r="XM2" s="148"/>
      <c r="XN2" s="148"/>
      <c r="XO2" s="148"/>
      <c r="XP2" s="148"/>
      <c r="XQ2" s="148"/>
      <c r="XR2" s="148"/>
      <c r="XS2" s="148"/>
      <c r="XT2" s="148"/>
      <c r="XU2" s="148"/>
      <c r="XV2" s="148"/>
      <c r="XW2" s="148"/>
      <c r="XX2" s="148"/>
      <c r="XY2" s="148"/>
      <c r="XZ2" s="148"/>
      <c r="YA2" s="148"/>
      <c r="YB2" s="148"/>
      <c r="YC2" s="148"/>
      <c r="YD2" s="148"/>
      <c r="YE2" s="148"/>
      <c r="YF2" s="148"/>
      <c r="YG2" s="148"/>
      <c r="YH2" s="148"/>
      <c r="YI2" s="148"/>
      <c r="YJ2" s="148"/>
      <c r="YK2" s="148"/>
      <c r="YL2" s="148"/>
      <c r="YM2" s="148"/>
      <c r="YN2" s="148"/>
      <c r="YO2" s="148"/>
      <c r="YP2" s="148"/>
      <c r="YQ2" s="148"/>
      <c r="YR2" s="148"/>
      <c r="YS2" s="148"/>
      <c r="YT2" s="148"/>
      <c r="YU2" s="148"/>
      <c r="YV2" s="148"/>
      <c r="YW2" s="148"/>
      <c r="YX2" s="148"/>
      <c r="YY2" s="148"/>
      <c r="YZ2" s="148"/>
      <c r="ZA2" s="148"/>
      <c r="ZB2" s="148"/>
      <c r="ZC2" s="148"/>
      <c r="ZD2" s="148"/>
      <c r="ZE2" s="148"/>
      <c r="ZF2" s="148"/>
      <c r="ZG2" s="148"/>
      <c r="ZH2" s="148"/>
      <c r="ZI2" s="148"/>
      <c r="ZJ2" s="148"/>
      <c r="ZK2" s="148"/>
      <c r="ZL2" s="148"/>
      <c r="ZM2" s="148"/>
      <c r="ZN2" s="148"/>
      <c r="ZO2" s="148"/>
      <c r="ZP2" s="148"/>
      <c r="ZQ2" s="148"/>
      <c r="ZR2" s="148"/>
      <c r="ZS2" s="148"/>
      <c r="ZT2" s="148"/>
      <c r="ZU2" s="148"/>
      <c r="ZV2" s="148"/>
      <c r="ZW2" s="148"/>
      <c r="ZX2" s="148"/>
      <c r="ZY2" s="148"/>
      <c r="ZZ2" s="148"/>
      <c r="AAA2" s="148"/>
      <c r="AAB2" s="148"/>
      <c r="AAC2" s="148"/>
      <c r="AAD2" s="148"/>
      <c r="AAE2" s="148"/>
      <c r="AAF2" s="148"/>
      <c r="AAG2" s="148"/>
      <c r="AAH2" s="148"/>
      <c r="AAI2" s="148"/>
      <c r="AAJ2" s="148"/>
      <c r="AAK2" s="148"/>
      <c r="AAL2" s="148"/>
      <c r="AAM2" s="148"/>
      <c r="AAN2" s="148"/>
      <c r="AAO2" s="148"/>
      <c r="AAP2" s="148"/>
      <c r="AAQ2" s="148"/>
      <c r="AAR2" s="148"/>
      <c r="AAS2" s="148"/>
      <c r="AAT2" s="148"/>
      <c r="AAU2" s="148"/>
      <c r="AAV2" s="148"/>
      <c r="AAW2" s="148"/>
      <c r="AAX2" s="148"/>
      <c r="AAY2" s="148"/>
      <c r="AAZ2" s="148"/>
      <c r="ABA2" s="148"/>
      <c r="ABB2" s="148"/>
      <c r="ABC2" s="148"/>
      <c r="ABD2" s="148"/>
      <c r="ABE2" s="148"/>
      <c r="ABF2" s="148"/>
      <c r="ABG2" s="148"/>
      <c r="ABH2" s="148"/>
      <c r="ABI2" s="148"/>
      <c r="ABJ2" s="148"/>
      <c r="ABK2" s="148"/>
      <c r="ABL2" s="148"/>
      <c r="ABM2" s="148"/>
      <c r="ABN2" s="148"/>
      <c r="ABO2" s="148"/>
      <c r="ABP2" s="148"/>
      <c r="ABQ2" s="148"/>
      <c r="ABR2" s="148"/>
      <c r="ABS2" s="148"/>
      <c r="ABT2" s="148"/>
      <c r="ABU2" s="148"/>
      <c r="ABV2" s="148"/>
      <c r="ABW2" s="148"/>
      <c r="ABX2" s="148"/>
      <c r="ABY2" s="148"/>
      <c r="ABZ2" s="148"/>
      <c r="ACA2" s="148"/>
      <c r="ACB2" s="148"/>
      <c r="ACC2" s="148"/>
      <c r="ACD2" s="148"/>
      <c r="ACE2" s="148"/>
      <c r="ACF2" s="148"/>
      <c r="ACG2" s="148"/>
      <c r="ACH2" s="148"/>
      <c r="ACI2" s="148"/>
      <c r="ACJ2" s="148"/>
      <c r="ACK2" s="148"/>
      <c r="ACL2" s="148"/>
      <c r="ACM2" s="148"/>
      <c r="ACN2" s="148"/>
      <c r="ACO2" s="148"/>
      <c r="ACP2" s="148"/>
      <c r="ACQ2" s="148"/>
      <c r="ACR2" s="148"/>
      <c r="ACS2" s="148"/>
      <c r="ACT2" s="148"/>
      <c r="ACU2" s="148"/>
      <c r="ACV2" s="148"/>
      <c r="ACW2" s="148"/>
      <c r="ACX2" s="148"/>
      <c r="ACY2" s="148"/>
      <c r="ACZ2" s="148"/>
      <c r="ADA2" s="148"/>
      <c r="ADB2" s="148"/>
      <c r="ADC2" s="148"/>
      <c r="ADD2" s="148"/>
      <c r="ADE2" s="148"/>
      <c r="ADF2" s="148"/>
      <c r="ADG2" s="148"/>
      <c r="ADH2" s="148"/>
      <c r="ADI2" s="148"/>
      <c r="ADJ2" s="148"/>
      <c r="ADK2" s="148"/>
      <c r="ADL2" s="148"/>
      <c r="ADM2" s="148"/>
      <c r="ADN2" s="148"/>
      <c r="ADO2" s="148"/>
      <c r="ADP2" s="148"/>
      <c r="ADQ2" s="148"/>
      <c r="ADR2" s="148"/>
      <c r="ADS2" s="148"/>
      <c r="ADT2" s="148"/>
      <c r="ADU2" s="148"/>
      <c r="ADV2" s="148"/>
      <c r="ADW2" s="148"/>
      <c r="ADX2" s="148"/>
      <c r="ADY2" s="148"/>
      <c r="ADZ2" s="148"/>
      <c r="AEA2" s="148"/>
      <c r="AEB2" s="148"/>
      <c r="AEC2" s="148"/>
      <c r="AED2" s="148"/>
      <c r="AEE2" s="148"/>
      <c r="AEF2" s="148"/>
      <c r="AEG2" s="148"/>
      <c r="AEH2" s="148"/>
      <c r="AEI2" s="148"/>
      <c r="AEJ2" s="148"/>
      <c r="AEK2" s="148"/>
      <c r="AEL2" s="148"/>
      <c r="AEM2" s="148"/>
      <c r="AEN2" s="148"/>
      <c r="AEO2" s="148"/>
      <c r="AEP2" s="148"/>
      <c r="AEQ2" s="148"/>
      <c r="AER2" s="148"/>
      <c r="AES2" s="148"/>
      <c r="AET2" s="148"/>
      <c r="AEU2" s="148"/>
      <c r="AEV2" s="148"/>
      <c r="AEW2" s="148"/>
      <c r="AEX2" s="148"/>
      <c r="AEY2" s="148"/>
      <c r="AEZ2" s="148"/>
      <c r="AFA2" s="148"/>
      <c r="AFB2" s="148"/>
      <c r="AFC2" s="148"/>
      <c r="AFD2" s="148"/>
      <c r="AFE2" s="148"/>
      <c r="AFF2" s="148"/>
      <c r="AFG2" s="148"/>
      <c r="AFH2" s="148"/>
      <c r="AFI2" s="148"/>
      <c r="AFJ2" s="148"/>
      <c r="AFK2" s="148"/>
      <c r="AFL2" s="148"/>
      <c r="AFM2" s="148"/>
      <c r="AFN2" s="148"/>
      <c r="AFO2" s="148"/>
      <c r="AFP2" s="148"/>
      <c r="AFQ2" s="148"/>
      <c r="AFR2" s="148"/>
      <c r="AFS2" s="148"/>
      <c r="AFT2" s="148"/>
      <c r="AFU2" s="148"/>
      <c r="AFV2" s="148"/>
      <c r="AFW2" s="148"/>
      <c r="AFX2" s="148"/>
      <c r="AFY2" s="148"/>
      <c r="AFZ2" s="148"/>
      <c r="AGA2" s="148"/>
      <c r="AGB2" s="148"/>
      <c r="AGC2" s="148"/>
      <c r="AGD2" s="148"/>
      <c r="AGE2" s="148"/>
      <c r="AGF2" s="148"/>
      <c r="AGG2" s="148"/>
      <c r="AGH2" s="148"/>
      <c r="AGI2" s="148"/>
      <c r="AGJ2" s="148"/>
      <c r="AGK2" s="148"/>
      <c r="AGL2" s="148"/>
      <c r="AGM2" s="148"/>
      <c r="AGN2" s="148"/>
      <c r="AGO2" s="148"/>
      <c r="AGP2" s="148"/>
      <c r="AGQ2" s="148"/>
      <c r="AGR2" s="148"/>
      <c r="AGS2" s="148"/>
      <c r="AGT2" s="148"/>
      <c r="AGU2" s="148"/>
      <c r="AGV2" s="148"/>
      <c r="AGW2" s="148"/>
      <c r="AGX2" s="148"/>
      <c r="AGY2" s="148"/>
      <c r="AGZ2" s="148"/>
      <c r="AHA2" s="148"/>
      <c r="AHB2" s="148"/>
      <c r="AHC2" s="148"/>
      <c r="AHD2" s="148"/>
      <c r="AHE2" s="148"/>
      <c r="AHF2" s="148"/>
      <c r="AHG2" s="148"/>
      <c r="AHH2" s="148"/>
      <c r="AHI2" s="148"/>
      <c r="AHJ2" s="148"/>
      <c r="AHK2" s="148"/>
      <c r="AHL2" s="148"/>
      <c r="AHM2" s="148"/>
      <c r="AHN2" s="148"/>
      <c r="AHO2" s="148"/>
      <c r="AHP2" s="148"/>
      <c r="AHQ2" s="148"/>
      <c r="AHR2" s="148"/>
      <c r="AHS2" s="148"/>
      <c r="AHT2" s="148"/>
      <c r="AHU2" s="148"/>
      <c r="AHV2" s="148"/>
      <c r="AHW2" s="148"/>
      <c r="AHX2" s="148"/>
      <c r="AHY2" s="148"/>
      <c r="AHZ2" s="148"/>
      <c r="AIA2" s="148"/>
      <c r="AIB2" s="148"/>
      <c r="AIC2" s="148"/>
      <c r="AID2" s="148"/>
      <c r="AIE2" s="148"/>
      <c r="AIF2" s="148"/>
      <c r="AIG2" s="148"/>
      <c r="AIH2" s="148"/>
      <c r="AII2" s="148"/>
      <c r="AIJ2" s="148"/>
      <c r="AIK2" s="148"/>
      <c r="AIL2" s="148"/>
      <c r="AIM2" s="148"/>
      <c r="AIN2" s="148"/>
      <c r="AIO2" s="148"/>
      <c r="AIP2" s="148"/>
      <c r="AIQ2" s="148"/>
      <c r="AIR2" s="148"/>
      <c r="AIS2" s="148"/>
      <c r="AIT2" s="148"/>
      <c r="AIU2" s="148"/>
      <c r="AIV2" s="148"/>
      <c r="AIW2" s="148"/>
      <c r="AIX2" s="148"/>
      <c r="AIY2" s="148"/>
      <c r="AIZ2" s="148"/>
      <c r="AJA2" s="148"/>
      <c r="AJB2" s="148"/>
      <c r="AJC2" s="148"/>
      <c r="AJD2" s="148"/>
      <c r="AJE2" s="148"/>
      <c r="AJF2" s="148"/>
      <c r="AJG2" s="148"/>
      <c r="AJH2" s="148"/>
      <c r="AJI2" s="148"/>
      <c r="AJJ2" s="148"/>
      <c r="AJK2" s="148"/>
      <c r="AJL2" s="148"/>
      <c r="AJM2" s="148"/>
      <c r="AJN2" s="148"/>
      <c r="AJO2" s="148"/>
      <c r="AJP2" s="148"/>
      <c r="AJQ2" s="148"/>
      <c r="AJR2" s="148"/>
      <c r="AJS2" s="148"/>
      <c r="AJT2" s="148"/>
      <c r="AJU2" s="148"/>
      <c r="AJV2" s="148"/>
      <c r="AJW2" s="148"/>
      <c r="AJX2" s="148"/>
      <c r="AJY2" s="148"/>
      <c r="AJZ2" s="148"/>
      <c r="AKA2" s="148"/>
      <c r="AKB2" s="148"/>
      <c r="AKC2" s="148"/>
      <c r="AKD2" s="148"/>
      <c r="AKE2" s="148"/>
      <c r="AKF2" s="148"/>
      <c r="AKG2" s="148"/>
      <c r="AKH2" s="148"/>
      <c r="AKI2" s="148"/>
      <c r="AKJ2" s="148"/>
      <c r="AKK2" s="148"/>
      <c r="AKL2" s="148"/>
      <c r="AKM2" s="148"/>
      <c r="AKN2" s="148"/>
      <c r="AKO2" s="148"/>
      <c r="AKP2" s="148"/>
      <c r="AKQ2" s="148"/>
      <c r="AKR2" s="148"/>
      <c r="AKS2" s="148"/>
      <c r="AKT2" s="148"/>
      <c r="AKU2" s="148"/>
      <c r="AKV2" s="148"/>
      <c r="AKW2" s="148"/>
      <c r="AKX2" s="148"/>
      <c r="AKY2" s="148"/>
      <c r="AKZ2" s="148"/>
      <c r="ALA2" s="148"/>
      <c r="ALB2" s="148"/>
      <c r="ALC2" s="148"/>
      <c r="ALD2" s="148"/>
      <c r="ALE2" s="148"/>
      <c r="ALF2" s="148"/>
      <c r="ALG2" s="148"/>
      <c r="ALH2" s="148"/>
      <c r="ALI2" s="148"/>
      <c r="ALJ2" s="148"/>
      <c r="ALK2" s="148"/>
      <c r="ALL2" s="148"/>
      <c r="ALM2" s="148"/>
      <c r="ALN2" s="148"/>
      <c r="ALO2" s="148"/>
      <c r="ALP2" s="148"/>
      <c r="ALQ2" s="148"/>
      <c r="ALR2" s="148"/>
      <c r="ALS2" s="148"/>
      <c r="ALT2" s="148"/>
      <c r="ALU2" s="148"/>
      <c r="ALV2" s="148"/>
      <c r="ALW2" s="148"/>
      <c r="ALX2" s="148"/>
      <c r="ALY2" s="148"/>
      <c r="ALZ2" s="148"/>
      <c r="AMA2" s="148"/>
      <c r="AMB2" s="148"/>
      <c r="AMC2" s="148"/>
      <c r="AMD2" s="148"/>
      <c r="AME2" s="148"/>
      <c r="AMF2" s="148"/>
      <c r="AMG2" s="148"/>
      <c r="AMH2" s="148"/>
      <c r="AMI2" s="148"/>
      <c r="AMJ2" s="148"/>
      <c r="AMK2" s="148"/>
      <c r="AML2" s="148"/>
      <c r="AMM2" s="148"/>
      <c r="AMN2" s="148"/>
      <c r="AMO2" s="148"/>
      <c r="AMP2" s="148"/>
      <c r="AMQ2" s="148"/>
      <c r="AMR2" s="148"/>
      <c r="AMS2" s="148"/>
      <c r="AMT2" s="148"/>
      <c r="AMU2" s="148"/>
      <c r="AMV2" s="148"/>
      <c r="AMW2" s="148"/>
      <c r="AMX2" s="148"/>
      <c r="AMY2" s="148"/>
      <c r="AMZ2" s="148"/>
      <c r="ANA2" s="148"/>
      <c r="ANB2" s="148"/>
      <c r="ANC2" s="148"/>
      <c r="AND2" s="148"/>
      <c r="ANE2" s="148"/>
      <c r="ANF2" s="148"/>
      <c r="ANG2" s="148"/>
      <c r="ANH2" s="148"/>
      <c r="ANI2" s="148"/>
      <c r="ANJ2" s="148"/>
      <c r="ANK2" s="148"/>
      <c r="ANL2" s="148"/>
      <c r="ANM2" s="148"/>
      <c r="ANN2" s="148"/>
      <c r="ANO2" s="148"/>
      <c r="ANP2" s="148"/>
      <c r="ANQ2" s="148"/>
      <c r="ANR2" s="148"/>
      <c r="ANS2" s="148"/>
      <c r="ANT2" s="148"/>
      <c r="ANU2" s="148"/>
      <c r="ANV2" s="148"/>
      <c r="ANW2" s="148"/>
      <c r="ANX2" s="148"/>
      <c r="ANY2" s="148"/>
      <c r="ANZ2" s="148"/>
      <c r="AOA2" s="148"/>
      <c r="AOB2" s="148"/>
      <c r="AOC2" s="148"/>
      <c r="AOD2" s="148"/>
      <c r="AOE2" s="148"/>
      <c r="AOF2" s="148"/>
      <c r="AOG2" s="148"/>
      <c r="AOH2" s="148"/>
      <c r="AOI2" s="148"/>
      <c r="AOJ2" s="148"/>
      <c r="AOK2" s="148"/>
      <c r="AOL2" s="148"/>
      <c r="AOM2" s="148"/>
      <c r="AON2" s="148"/>
      <c r="AOO2" s="148"/>
      <c r="AOP2" s="148"/>
      <c r="AOQ2" s="148"/>
      <c r="AOR2" s="148"/>
      <c r="AOS2" s="148"/>
      <c r="AOT2" s="148"/>
      <c r="AOU2" s="148"/>
      <c r="AOV2" s="148"/>
      <c r="AOW2" s="148"/>
      <c r="AOX2" s="148"/>
      <c r="AOY2" s="148"/>
      <c r="AOZ2" s="148"/>
      <c r="APA2" s="148"/>
      <c r="APB2" s="148"/>
      <c r="APC2" s="148"/>
      <c r="APD2" s="148"/>
      <c r="APE2" s="148"/>
      <c r="APF2" s="148"/>
      <c r="APG2" s="148"/>
      <c r="APH2" s="148"/>
      <c r="API2" s="148"/>
      <c r="APJ2" s="148"/>
      <c r="APK2" s="148"/>
      <c r="APL2" s="148"/>
      <c r="APM2" s="148"/>
      <c r="APN2" s="148"/>
      <c r="APO2" s="148"/>
      <c r="APP2" s="148"/>
      <c r="APQ2" s="148"/>
      <c r="APR2" s="148"/>
      <c r="APS2" s="148"/>
      <c r="APT2" s="148"/>
      <c r="APU2" s="148"/>
      <c r="APV2" s="148"/>
      <c r="APW2" s="148"/>
      <c r="APX2" s="148"/>
      <c r="APY2" s="148"/>
      <c r="APZ2" s="148"/>
      <c r="AQA2" s="148"/>
      <c r="AQB2" s="148"/>
      <c r="AQC2" s="148"/>
      <c r="AQD2" s="148"/>
      <c r="AQE2" s="148"/>
      <c r="AQF2" s="148"/>
      <c r="AQG2" s="148"/>
      <c r="AQH2" s="148"/>
      <c r="AQI2" s="148"/>
      <c r="AQJ2" s="148"/>
      <c r="AQK2" s="148"/>
      <c r="AQL2" s="148"/>
      <c r="AQM2" s="148"/>
      <c r="AQN2" s="148"/>
      <c r="AQO2" s="148"/>
      <c r="AQP2" s="148"/>
      <c r="AQQ2" s="148"/>
      <c r="AQR2" s="148"/>
      <c r="AQS2" s="148"/>
      <c r="AQT2" s="148"/>
      <c r="AQU2" s="148"/>
      <c r="AQV2" s="148"/>
      <c r="AQW2" s="148"/>
      <c r="AQX2" s="148"/>
      <c r="AQY2" s="148"/>
      <c r="AQZ2" s="148"/>
      <c r="ARA2" s="148"/>
      <c r="ARB2" s="148"/>
      <c r="ARC2" s="148"/>
      <c r="ARD2" s="148"/>
      <c r="ARE2" s="148"/>
      <c r="ARF2" s="148"/>
      <c r="ARG2" s="148"/>
      <c r="ARH2" s="148"/>
      <c r="ARI2" s="148"/>
      <c r="ARJ2" s="148"/>
      <c r="ARK2" s="148"/>
      <c r="ARL2" s="148"/>
      <c r="ARM2" s="148"/>
      <c r="ARN2" s="148"/>
      <c r="ARO2" s="148"/>
      <c r="ARP2" s="148"/>
      <c r="ARQ2" s="148"/>
      <c r="ARR2" s="148"/>
      <c r="ARS2" s="148"/>
      <c r="ART2" s="148"/>
      <c r="ARU2" s="148"/>
      <c r="ARV2" s="148"/>
      <c r="ARW2" s="148"/>
      <c r="ARX2" s="148"/>
      <c r="ARY2" s="148"/>
      <c r="ARZ2" s="148"/>
      <c r="ASA2" s="148"/>
      <c r="ASB2" s="148"/>
      <c r="ASC2" s="148"/>
      <c r="ASD2" s="148"/>
      <c r="ASE2" s="148"/>
      <c r="ASF2" s="148"/>
      <c r="ASG2" s="148"/>
      <c r="ASH2" s="148"/>
      <c r="ASI2" s="148"/>
      <c r="ASJ2" s="148"/>
      <c r="ASK2" s="148"/>
      <c r="ASL2" s="148"/>
      <c r="ASM2" s="148"/>
      <c r="ASN2" s="148"/>
      <c r="ASO2" s="148"/>
      <c r="ASP2" s="148"/>
      <c r="ASQ2" s="148"/>
      <c r="ASR2" s="148"/>
      <c r="ASS2" s="148"/>
      <c r="AST2" s="148"/>
      <c r="ASU2" s="148"/>
      <c r="ASV2" s="148"/>
      <c r="ASW2" s="148"/>
      <c r="ASX2" s="148"/>
      <c r="ASY2" s="148"/>
      <c r="ASZ2" s="148"/>
      <c r="ATA2" s="148"/>
      <c r="ATB2" s="148"/>
      <c r="ATC2" s="148"/>
      <c r="ATD2" s="148"/>
      <c r="ATE2" s="148"/>
      <c r="ATF2" s="148"/>
      <c r="ATG2" s="148"/>
      <c r="ATH2" s="148"/>
      <c r="ATI2" s="148"/>
      <c r="ATJ2" s="148"/>
      <c r="ATK2" s="148"/>
      <c r="ATL2" s="148"/>
      <c r="ATM2" s="148"/>
      <c r="ATN2" s="148"/>
      <c r="ATO2" s="148"/>
      <c r="ATP2" s="148"/>
      <c r="ATQ2" s="148"/>
      <c r="ATR2" s="148"/>
      <c r="ATS2" s="148"/>
      <c r="ATT2" s="148"/>
      <c r="ATU2" s="148"/>
      <c r="ATV2" s="148"/>
      <c r="ATW2" s="148"/>
      <c r="ATX2" s="148"/>
      <c r="ATY2" s="148"/>
      <c r="ATZ2" s="148"/>
      <c r="AUA2" s="148"/>
      <c r="AUB2" s="148"/>
      <c r="AUC2" s="148"/>
      <c r="AUD2" s="148"/>
      <c r="AUE2" s="148"/>
      <c r="AUF2" s="148"/>
      <c r="AUG2" s="148"/>
      <c r="AUH2" s="148"/>
      <c r="AUI2" s="148"/>
      <c r="AUJ2" s="148"/>
      <c r="AUK2" s="148"/>
      <c r="AUL2" s="148"/>
      <c r="AUM2" s="148"/>
      <c r="AUN2" s="148"/>
      <c r="AUO2" s="148"/>
      <c r="AUP2" s="148"/>
      <c r="AUQ2" s="148"/>
      <c r="AUR2" s="148"/>
      <c r="AUS2" s="148"/>
      <c r="AUT2" s="148"/>
      <c r="AUU2" s="148"/>
      <c r="AUV2" s="148"/>
      <c r="AUW2" s="148"/>
      <c r="AUX2" s="148"/>
      <c r="AUY2" s="148"/>
      <c r="AUZ2" s="148"/>
      <c r="AVA2" s="148"/>
      <c r="AVB2" s="148"/>
      <c r="AVC2" s="148"/>
      <c r="AVD2" s="148"/>
      <c r="AVE2" s="148"/>
      <c r="AVF2" s="148"/>
      <c r="AVG2" s="148"/>
      <c r="AVH2" s="148"/>
      <c r="AVI2" s="148"/>
      <c r="AVJ2" s="148"/>
      <c r="AVK2" s="148"/>
      <c r="AVL2" s="148"/>
      <c r="AVM2" s="148"/>
      <c r="AVN2" s="148"/>
      <c r="AVO2" s="148"/>
      <c r="AVP2" s="148"/>
      <c r="AVQ2" s="148"/>
      <c r="AVR2" s="148"/>
      <c r="AVS2" s="148"/>
      <c r="AVT2" s="148"/>
      <c r="AVU2" s="148"/>
      <c r="AVV2" s="148"/>
      <c r="AVW2" s="148"/>
      <c r="AVX2" s="148"/>
      <c r="AVY2" s="148"/>
      <c r="AVZ2" s="148"/>
      <c r="AWA2" s="148"/>
      <c r="AWB2" s="148"/>
      <c r="AWC2" s="148"/>
      <c r="AWD2" s="148"/>
      <c r="AWE2" s="148"/>
      <c r="AWF2" s="148"/>
      <c r="AWG2" s="148"/>
      <c r="AWH2" s="148"/>
      <c r="AWI2" s="148"/>
      <c r="AWJ2" s="148"/>
      <c r="AWK2" s="148"/>
      <c r="AWL2" s="148"/>
      <c r="AWM2" s="148"/>
      <c r="AWN2" s="148"/>
      <c r="AWO2" s="148"/>
      <c r="AWP2" s="148"/>
      <c r="AWQ2" s="148"/>
      <c r="AWR2" s="148"/>
      <c r="AWS2" s="148"/>
      <c r="AWT2" s="148"/>
      <c r="AWU2" s="148"/>
      <c r="AWV2" s="148"/>
      <c r="AWW2" s="148"/>
      <c r="AWX2" s="148"/>
      <c r="AWY2" s="148"/>
      <c r="AWZ2" s="148"/>
      <c r="AXA2" s="148"/>
      <c r="AXB2" s="148"/>
      <c r="AXC2" s="148"/>
      <c r="AXD2" s="148"/>
      <c r="AXE2" s="148"/>
      <c r="AXF2" s="148"/>
      <c r="AXG2" s="148"/>
      <c r="AXH2" s="148"/>
      <c r="AXI2" s="148"/>
      <c r="AXJ2" s="148"/>
      <c r="AXK2" s="148"/>
      <c r="AXL2" s="148"/>
      <c r="AXM2" s="148"/>
      <c r="AXN2" s="148"/>
      <c r="AXO2" s="148"/>
      <c r="AXP2" s="148"/>
      <c r="AXQ2" s="148"/>
      <c r="AXR2" s="148"/>
      <c r="AXS2" s="148"/>
      <c r="AXT2" s="148"/>
      <c r="AXU2" s="148"/>
      <c r="AXV2" s="148"/>
      <c r="AXW2" s="148"/>
      <c r="AXX2" s="148"/>
      <c r="AXY2" s="148"/>
      <c r="AXZ2" s="148"/>
      <c r="AYA2" s="148"/>
      <c r="AYB2" s="148"/>
      <c r="AYC2" s="148"/>
      <c r="AYD2" s="148"/>
      <c r="AYE2" s="148"/>
      <c r="AYF2" s="148"/>
      <c r="AYG2" s="148"/>
      <c r="AYH2" s="148"/>
      <c r="AYI2" s="148"/>
      <c r="AYJ2" s="148"/>
      <c r="AYK2" s="148"/>
      <c r="AYL2" s="148"/>
      <c r="AYM2" s="148"/>
      <c r="AYN2" s="148"/>
      <c r="AYO2" s="148"/>
      <c r="AYP2" s="148"/>
      <c r="AYQ2" s="148"/>
      <c r="AYR2" s="148"/>
      <c r="AYS2" s="148"/>
      <c r="AYT2" s="148"/>
      <c r="AYU2" s="148"/>
      <c r="AYV2" s="148"/>
      <c r="AYW2" s="148"/>
      <c r="AYX2" s="148"/>
      <c r="AYY2" s="148"/>
      <c r="AYZ2" s="148"/>
      <c r="AZA2" s="148"/>
      <c r="AZB2" s="148"/>
      <c r="AZC2" s="148"/>
      <c r="AZD2" s="148"/>
      <c r="AZE2" s="148"/>
      <c r="AZF2" s="148"/>
      <c r="AZG2" s="148"/>
      <c r="AZH2" s="148"/>
      <c r="AZI2" s="148"/>
      <c r="AZJ2" s="148"/>
      <c r="AZK2" s="148"/>
      <c r="AZL2" s="148"/>
      <c r="AZM2" s="148"/>
      <c r="AZN2" s="148"/>
      <c r="AZO2" s="148"/>
      <c r="AZP2" s="148"/>
      <c r="AZQ2" s="148"/>
      <c r="AZR2" s="148"/>
      <c r="AZS2" s="148"/>
      <c r="AZT2" s="148"/>
      <c r="AZU2" s="148"/>
      <c r="AZV2" s="148"/>
      <c r="AZW2" s="148"/>
      <c r="AZX2" s="148"/>
      <c r="AZY2" s="148"/>
      <c r="AZZ2" s="148"/>
      <c r="BAA2" s="148"/>
      <c r="BAB2" s="148"/>
      <c r="BAC2" s="148"/>
      <c r="BAD2" s="148"/>
      <c r="BAE2" s="148"/>
      <c r="BAF2" s="148"/>
      <c r="BAG2" s="148"/>
      <c r="BAH2" s="148"/>
      <c r="BAI2" s="148"/>
      <c r="BAJ2" s="148"/>
      <c r="BAK2" s="148"/>
      <c r="BAL2" s="148"/>
      <c r="BAM2" s="148"/>
      <c r="BAN2" s="148"/>
      <c r="BAO2" s="148"/>
      <c r="BAP2" s="148"/>
      <c r="BAQ2" s="148"/>
      <c r="BAR2" s="148"/>
      <c r="BAS2" s="148"/>
      <c r="BAT2" s="148"/>
      <c r="BAU2" s="148"/>
      <c r="BAV2" s="148"/>
      <c r="BAW2" s="148"/>
      <c r="BAX2" s="148"/>
      <c r="BAY2" s="148"/>
      <c r="BAZ2" s="148"/>
      <c r="BBA2" s="148"/>
      <c r="BBB2" s="148"/>
      <c r="BBC2" s="148"/>
      <c r="BBD2" s="148"/>
      <c r="BBE2" s="148"/>
      <c r="BBF2" s="148"/>
      <c r="BBG2" s="148"/>
      <c r="BBH2" s="148"/>
      <c r="BBI2" s="148"/>
      <c r="BBJ2" s="148"/>
      <c r="BBK2" s="148"/>
      <c r="BBL2" s="148"/>
      <c r="BBM2" s="148"/>
      <c r="BBN2" s="148"/>
      <c r="BBO2" s="148"/>
      <c r="BBP2" s="148"/>
      <c r="BBQ2" s="148"/>
      <c r="BBR2" s="148"/>
      <c r="BBS2" s="148"/>
      <c r="BBT2" s="148"/>
      <c r="BBU2" s="148"/>
      <c r="BBV2" s="148"/>
      <c r="BBW2" s="148"/>
      <c r="BBX2" s="148"/>
      <c r="BBY2" s="148"/>
      <c r="BBZ2" s="148"/>
      <c r="BCA2" s="148"/>
      <c r="BCB2" s="148"/>
      <c r="BCC2" s="148"/>
      <c r="BCD2" s="148"/>
      <c r="BCE2" s="148"/>
      <c r="BCF2" s="148"/>
      <c r="BCG2" s="148"/>
      <c r="BCH2" s="148"/>
      <c r="BCI2" s="148"/>
      <c r="BCJ2" s="148"/>
      <c r="BCK2" s="148"/>
      <c r="BCL2" s="148"/>
      <c r="BCM2" s="148"/>
      <c r="BCN2" s="148"/>
      <c r="BCO2" s="148"/>
      <c r="BCP2" s="148"/>
      <c r="BCQ2" s="148"/>
      <c r="BCR2" s="148"/>
      <c r="BCS2" s="148"/>
      <c r="BCT2" s="148"/>
      <c r="BCU2" s="148"/>
      <c r="BCV2" s="148"/>
      <c r="BCW2" s="148"/>
      <c r="BCX2" s="148"/>
      <c r="BCY2" s="148"/>
      <c r="BCZ2" s="148"/>
      <c r="BDA2" s="148"/>
      <c r="BDB2" s="148"/>
      <c r="BDC2" s="148"/>
      <c r="BDD2" s="148"/>
      <c r="BDE2" s="148"/>
      <c r="BDF2" s="148"/>
      <c r="BDG2" s="148"/>
      <c r="BDH2" s="148"/>
      <c r="BDI2" s="148"/>
      <c r="BDJ2" s="148"/>
      <c r="BDK2" s="148"/>
      <c r="BDL2" s="148"/>
      <c r="BDM2" s="148"/>
      <c r="BDN2" s="148"/>
      <c r="BDO2" s="148"/>
      <c r="BDP2" s="148"/>
      <c r="BDQ2" s="148"/>
      <c r="BDR2" s="148"/>
      <c r="BDS2" s="148"/>
      <c r="BDT2" s="148"/>
      <c r="BDU2" s="148"/>
      <c r="BDV2" s="148"/>
      <c r="BDW2" s="148"/>
      <c r="BDX2" s="148"/>
      <c r="BDY2" s="148"/>
      <c r="BDZ2" s="148"/>
      <c r="BEA2" s="148"/>
      <c r="BEB2" s="148"/>
      <c r="BEC2" s="148"/>
      <c r="BED2" s="148"/>
      <c r="BEE2" s="148"/>
      <c r="BEF2" s="148"/>
      <c r="BEG2" s="148"/>
      <c r="BEH2" s="148"/>
      <c r="BEI2" s="148"/>
      <c r="BEJ2" s="148"/>
      <c r="BEK2" s="148"/>
      <c r="BEL2" s="148"/>
      <c r="BEM2" s="148"/>
      <c r="BEN2" s="148"/>
      <c r="BEO2" s="148"/>
      <c r="BEP2" s="148"/>
      <c r="BEQ2" s="148"/>
      <c r="BER2" s="148"/>
      <c r="BES2" s="148"/>
      <c r="BET2" s="148"/>
      <c r="BEU2" s="148"/>
      <c r="BEV2" s="148"/>
      <c r="BEW2" s="148"/>
      <c r="BEX2" s="148"/>
      <c r="BEY2" s="148"/>
      <c r="BEZ2" s="148"/>
      <c r="BFA2" s="148"/>
      <c r="BFB2" s="148"/>
      <c r="BFC2" s="148"/>
      <c r="BFD2" s="148"/>
      <c r="BFE2" s="148"/>
      <c r="BFF2" s="148"/>
      <c r="BFG2" s="148"/>
      <c r="BFH2" s="148"/>
      <c r="BFI2" s="148"/>
      <c r="BFJ2" s="148"/>
      <c r="BFK2" s="148"/>
      <c r="BFL2" s="148"/>
      <c r="BFM2" s="148"/>
      <c r="BFN2" s="148"/>
      <c r="BFO2" s="148"/>
      <c r="BFP2" s="148"/>
      <c r="BFQ2" s="148"/>
      <c r="BFR2" s="148"/>
      <c r="BFS2" s="148"/>
      <c r="BFT2" s="148"/>
      <c r="BFU2" s="148"/>
      <c r="BFV2" s="148"/>
      <c r="BFW2" s="148"/>
      <c r="BFX2" s="148"/>
      <c r="BFY2" s="148"/>
      <c r="BFZ2" s="148"/>
      <c r="BGA2" s="148"/>
      <c r="BGB2" s="148"/>
      <c r="BGC2" s="148"/>
      <c r="BGD2" s="148"/>
      <c r="BGE2" s="148"/>
      <c r="BGF2" s="148"/>
      <c r="BGG2" s="148"/>
      <c r="BGH2" s="148"/>
      <c r="BGI2" s="148"/>
      <c r="BGJ2" s="148"/>
      <c r="BGK2" s="148"/>
      <c r="BGL2" s="148"/>
      <c r="BGM2" s="148"/>
      <c r="BGN2" s="148"/>
      <c r="BGO2" s="148"/>
      <c r="BGP2" s="148"/>
      <c r="BGQ2" s="148"/>
      <c r="BGR2" s="148"/>
      <c r="BGS2" s="148"/>
      <c r="BGT2" s="148"/>
      <c r="BGU2" s="148"/>
      <c r="BGV2" s="148"/>
      <c r="BGW2" s="148"/>
      <c r="BGX2" s="148"/>
      <c r="BGY2" s="148"/>
      <c r="BGZ2" s="148"/>
      <c r="BHA2" s="148"/>
      <c r="BHB2" s="148"/>
      <c r="BHC2" s="148"/>
      <c r="BHD2" s="148"/>
      <c r="BHE2" s="148"/>
      <c r="BHF2" s="148"/>
      <c r="BHG2" s="148"/>
      <c r="BHH2" s="148"/>
      <c r="BHI2" s="148"/>
      <c r="BHJ2" s="148"/>
      <c r="BHK2" s="148"/>
      <c r="BHL2" s="148"/>
      <c r="BHM2" s="148"/>
      <c r="BHN2" s="148"/>
      <c r="BHO2" s="148"/>
      <c r="BHP2" s="148"/>
      <c r="BHQ2" s="148"/>
      <c r="BHR2" s="148"/>
      <c r="BHS2" s="148"/>
      <c r="BHT2" s="148"/>
      <c r="BHU2" s="148"/>
      <c r="BHV2" s="148"/>
      <c r="BHW2" s="148"/>
      <c r="BHX2" s="148"/>
      <c r="BHY2" s="148"/>
      <c r="BHZ2" s="148"/>
      <c r="BIA2" s="148"/>
      <c r="BIB2" s="148"/>
      <c r="BIC2" s="148"/>
      <c r="BID2" s="148"/>
      <c r="BIE2" s="148"/>
      <c r="BIF2" s="148"/>
      <c r="BIG2" s="148"/>
      <c r="BIH2" s="148"/>
      <c r="BII2" s="148"/>
      <c r="BIJ2" s="148"/>
      <c r="BIK2" s="148"/>
      <c r="BIL2" s="148"/>
      <c r="BIM2" s="148"/>
      <c r="BIN2" s="148"/>
      <c r="BIO2" s="148"/>
      <c r="BIP2" s="148"/>
      <c r="BIQ2" s="148"/>
      <c r="BIR2" s="148"/>
      <c r="BIS2" s="148"/>
      <c r="BIT2" s="148"/>
      <c r="BIU2" s="148"/>
      <c r="BIV2" s="148"/>
      <c r="BIW2" s="148"/>
      <c r="BIX2" s="148"/>
      <c r="BIY2" s="148"/>
      <c r="BIZ2" s="148"/>
      <c r="BJA2" s="148"/>
      <c r="BJB2" s="148"/>
      <c r="BJC2" s="148"/>
      <c r="BJD2" s="148"/>
      <c r="BJE2" s="148"/>
      <c r="BJF2" s="148"/>
      <c r="BJG2" s="148"/>
      <c r="BJH2" s="148"/>
      <c r="BJI2" s="148"/>
      <c r="BJJ2" s="148"/>
      <c r="BJK2" s="148"/>
      <c r="BJL2" s="148"/>
      <c r="BJM2" s="148"/>
      <c r="BJN2" s="148"/>
      <c r="BJO2" s="148"/>
      <c r="BJP2" s="148"/>
      <c r="BJQ2" s="148"/>
      <c r="BJR2" s="148"/>
      <c r="BJS2" s="148"/>
      <c r="BJT2" s="148"/>
      <c r="BJU2" s="148"/>
      <c r="BJV2" s="148"/>
      <c r="BJW2" s="148"/>
      <c r="BJX2" s="148"/>
      <c r="BJY2" s="148"/>
      <c r="BJZ2" s="148"/>
      <c r="BKA2" s="148"/>
      <c r="BKB2" s="148"/>
      <c r="BKC2" s="148"/>
      <c r="BKD2" s="148"/>
      <c r="BKE2" s="148"/>
      <c r="BKF2" s="148"/>
      <c r="BKG2" s="148"/>
      <c r="BKH2" s="148"/>
      <c r="BKI2" s="148"/>
      <c r="BKJ2" s="148"/>
      <c r="BKK2" s="148"/>
      <c r="BKL2" s="148"/>
      <c r="BKM2" s="148"/>
      <c r="BKN2" s="148"/>
      <c r="BKO2" s="148"/>
      <c r="BKP2" s="148"/>
      <c r="BKQ2" s="148"/>
      <c r="BKR2" s="148"/>
      <c r="BKS2" s="148"/>
      <c r="BKT2" s="148"/>
      <c r="BKU2" s="148"/>
      <c r="BKV2" s="148"/>
      <c r="BKW2" s="148"/>
      <c r="BKX2" s="148"/>
      <c r="BKY2" s="148"/>
      <c r="BKZ2" s="148"/>
      <c r="BLA2" s="148"/>
      <c r="BLB2" s="148"/>
      <c r="BLC2" s="148"/>
      <c r="BLD2" s="148"/>
      <c r="BLE2" s="148"/>
      <c r="BLF2" s="148"/>
      <c r="BLG2" s="148"/>
      <c r="BLH2" s="148"/>
      <c r="BLI2" s="148"/>
      <c r="BLJ2" s="148"/>
      <c r="BLK2" s="148"/>
      <c r="BLL2" s="148"/>
      <c r="BLM2" s="148"/>
      <c r="BLN2" s="148"/>
      <c r="BLO2" s="148"/>
      <c r="BLP2" s="148"/>
      <c r="BLQ2" s="148"/>
      <c r="BLR2" s="148"/>
      <c r="BLS2" s="148"/>
      <c r="BLT2" s="148"/>
      <c r="BLU2" s="148"/>
      <c r="BLV2" s="148"/>
      <c r="BLW2" s="148"/>
      <c r="BLX2" s="148"/>
      <c r="BLY2" s="148"/>
      <c r="BLZ2" s="148"/>
      <c r="BMA2" s="148"/>
      <c r="BMB2" s="148"/>
      <c r="BMC2" s="148"/>
      <c r="BMD2" s="148"/>
      <c r="BME2" s="148"/>
      <c r="BMF2" s="148"/>
      <c r="BMG2" s="148"/>
      <c r="BMH2" s="148"/>
      <c r="BMI2" s="148"/>
      <c r="BMJ2" s="148"/>
      <c r="BMK2" s="148"/>
      <c r="BML2" s="148"/>
      <c r="BMM2" s="148"/>
      <c r="BMN2" s="148"/>
      <c r="BMO2" s="148"/>
      <c r="BMP2" s="148"/>
      <c r="BMQ2" s="148"/>
      <c r="BMR2" s="148"/>
      <c r="BMS2" s="148"/>
      <c r="BMT2" s="148"/>
      <c r="BMU2" s="148"/>
      <c r="BMV2" s="148"/>
      <c r="BMW2" s="148"/>
      <c r="BMX2" s="148"/>
      <c r="BMY2" s="148"/>
      <c r="BMZ2" s="148"/>
      <c r="BNA2" s="148"/>
      <c r="BNB2" s="148"/>
      <c r="BNC2" s="148"/>
      <c r="BND2" s="148"/>
      <c r="BNE2" s="148"/>
      <c r="BNF2" s="148"/>
      <c r="BNG2" s="148"/>
      <c r="BNH2" s="148"/>
      <c r="BNI2" s="148"/>
      <c r="BNJ2" s="148"/>
      <c r="BNK2" s="148"/>
      <c r="BNL2" s="148"/>
      <c r="BNM2" s="148"/>
      <c r="BNN2" s="148"/>
      <c r="BNO2" s="148"/>
      <c r="BNP2" s="148"/>
      <c r="BNQ2" s="148"/>
      <c r="BNR2" s="148"/>
      <c r="BNS2" s="148"/>
      <c r="BNT2" s="148"/>
      <c r="BNU2" s="148"/>
      <c r="BNV2" s="148"/>
      <c r="BNW2" s="148"/>
      <c r="BNX2" s="148"/>
      <c r="BNY2" s="148"/>
      <c r="BNZ2" s="148"/>
      <c r="BOA2" s="148"/>
      <c r="BOB2" s="148"/>
      <c r="BOC2" s="148"/>
      <c r="BOD2" s="148"/>
      <c r="BOE2" s="148"/>
      <c r="BOF2" s="148"/>
      <c r="BOG2" s="148"/>
      <c r="BOH2" s="148"/>
      <c r="BOI2" s="148"/>
      <c r="BOJ2" s="148"/>
      <c r="BOK2" s="148"/>
      <c r="BOL2" s="148"/>
      <c r="BOM2" s="148"/>
      <c r="BON2" s="148"/>
      <c r="BOO2" s="148"/>
      <c r="BOP2" s="148"/>
      <c r="BOQ2" s="148"/>
      <c r="BOR2" s="148"/>
      <c r="BOS2" s="148"/>
      <c r="BOT2" s="148"/>
      <c r="BOU2" s="148"/>
      <c r="BOV2" s="148"/>
      <c r="BOW2" s="148"/>
      <c r="BOX2" s="148"/>
      <c r="BOY2" s="148"/>
      <c r="BOZ2" s="148"/>
      <c r="BPA2" s="148"/>
      <c r="BPB2" s="148"/>
      <c r="BPC2" s="148"/>
      <c r="BPD2" s="148"/>
      <c r="BPE2" s="148"/>
      <c r="BPF2" s="148"/>
      <c r="BPG2" s="148"/>
      <c r="BPH2" s="148"/>
      <c r="BPI2" s="148"/>
      <c r="BPJ2" s="148"/>
      <c r="BPK2" s="148"/>
      <c r="BPL2" s="148"/>
      <c r="BPM2" s="148"/>
      <c r="BPN2" s="148"/>
      <c r="BPO2" s="148"/>
      <c r="BPP2" s="148"/>
      <c r="BPQ2" s="148"/>
      <c r="BPR2" s="148"/>
      <c r="BPS2" s="148"/>
      <c r="BPT2" s="148"/>
      <c r="BPU2" s="148"/>
      <c r="BPV2" s="148"/>
      <c r="BPW2" s="148"/>
      <c r="BPX2" s="148"/>
      <c r="BPY2" s="148"/>
      <c r="BPZ2" s="148"/>
      <c r="BQA2" s="148"/>
      <c r="BQB2" s="148"/>
      <c r="BQC2" s="148"/>
      <c r="BQD2" s="148"/>
      <c r="BQE2" s="148"/>
      <c r="BQF2" s="148"/>
      <c r="BQG2" s="148"/>
      <c r="BQH2" s="148"/>
      <c r="BQI2" s="148"/>
      <c r="BQJ2" s="148"/>
      <c r="BQK2" s="148"/>
      <c r="BQL2" s="148"/>
      <c r="BQM2" s="148"/>
      <c r="BQN2" s="148"/>
      <c r="BQO2" s="148"/>
      <c r="BQP2" s="148"/>
      <c r="BQQ2" s="148"/>
      <c r="BQR2" s="148"/>
      <c r="BQS2" s="148"/>
      <c r="BQT2" s="148"/>
      <c r="BQU2" s="148"/>
      <c r="BQV2" s="148"/>
      <c r="BQW2" s="148"/>
      <c r="BQX2" s="148"/>
      <c r="BQY2" s="148"/>
      <c r="BQZ2" s="148"/>
      <c r="BRA2" s="148"/>
      <c r="BRB2" s="148"/>
      <c r="BRC2" s="148"/>
      <c r="BRD2" s="148"/>
      <c r="BRE2" s="148"/>
      <c r="BRF2" s="148"/>
      <c r="BRG2" s="148"/>
      <c r="BRH2" s="148"/>
      <c r="BRI2" s="148"/>
      <c r="BRJ2" s="148"/>
      <c r="BRK2" s="148"/>
      <c r="BRL2" s="148"/>
      <c r="BRM2" s="148"/>
      <c r="BRN2" s="148"/>
      <c r="BRO2" s="148"/>
      <c r="BRP2" s="148"/>
      <c r="BRQ2" s="148"/>
      <c r="BRR2" s="148"/>
      <c r="BRS2" s="148"/>
      <c r="BRT2" s="148"/>
      <c r="BRU2" s="148"/>
      <c r="BRV2" s="148"/>
      <c r="BRW2" s="148"/>
      <c r="BRX2" s="148"/>
      <c r="BRY2" s="148"/>
      <c r="BRZ2" s="148"/>
      <c r="BSA2" s="148"/>
      <c r="BSB2" s="148"/>
      <c r="BSC2" s="148"/>
      <c r="BSD2" s="148"/>
      <c r="BSE2" s="148"/>
      <c r="BSF2" s="148"/>
      <c r="BSG2" s="148"/>
      <c r="BSH2" s="148"/>
      <c r="BSI2" s="148"/>
      <c r="BSJ2" s="148"/>
      <c r="BSK2" s="148"/>
      <c r="BSL2" s="148"/>
      <c r="BSM2" s="148"/>
      <c r="BSN2" s="148"/>
      <c r="BSO2" s="148"/>
      <c r="BSP2" s="148"/>
      <c r="BSQ2" s="148"/>
      <c r="BSR2" s="148"/>
      <c r="BSS2" s="148"/>
      <c r="BST2" s="148"/>
      <c r="BSU2" s="148"/>
      <c r="BSV2" s="148"/>
      <c r="BSW2" s="148"/>
      <c r="BSX2" s="148"/>
      <c r="BSY2" s="148"/>
      <c r="BSZ2" s="148"/>
      <c r="BTA2" s="148"/>
      <c r="BTB2" s="148"/>
      <c r="BTC2" s="148"/>
      <c r="BTD2" s="148"/>
      <c r="BTE2" s="148"/>
      <c r="BTF2" s="148"/>
      <c r="BTG2" s="148"/>
      <c r="BTH2" s="148"/>
      <c r="BTI2" s="148"/>
      <c r="BTJ2" s="148"/>
      <c r="BTK2" s="148"/>
      <c r="BTL2" s="148"/>
      <c r="BTM2" s="148"/>
      <c r="BTN2" s="148"/>
      <c r="BTO2" s="148"/>
      <c r="BTP2" s="148"/>
      <c r="BTQ2" s="148"/>
      <c r="BTR2" s="148"/>
      <c r="BTS2" s="148"/>
      <c r="BTT2" s="148"/>
      <c r="BTU2" s="148"/>
      <c r="BTV2" s="148"/>
      <c r="BTW2" s="148"/>
      <c r="BTX2" s="148"/>
      <c r="BTY2" s="148"/>
      <c r="BTZ2" s="148"/>
      <c r="BUA2" s="148"/>
      <c r="BUB2" s="148"/>
      <c r="BUC2" s="148"/>
      <c r="BUD2" s="148"/>
      <c r="BUE2" s="148"/>
      <c r="BUF2" s="148"/>
      <c r="BUG2" s="148"/>
      <c r="BUH2" s="148"/>
      <c r="BUI2" s="148"/>
      <c r="BUJ2" s="148"/>
      <c r="BUK2" s="148"/>
      <c r="BUL2" s="148"/>
      <c r="BUM2" s="148"/>
      <c r="BUN2" s="148"/>
      <c r="BUO2" s="148"/>
      <c r="BUP2" s="148"/>
      <c r="BUQ2" s="148"/>
      <c r="BUR2" s="148"/>
      <c r="BUS2" s="148"/>
      <c r="BUT2" s="148"/>
      <c r="BUU2" s="148"/>
      <c r="BUV2" s="148"/>
      <c r="BUW2" s="148"/>
      <c r="BUX2" s="148"/>
      <c r="BUY2" s="148"/>
      <c r="BUZ2" s="148"/>
      <c r="BVA2" s="148"/>
      <c r="BVB2" s="148"/>
      <c r="BVC2" s="148"/>
      <c r="BVD2" s="148"/>
      <c r="BVE2" s="148"/>
      <c r="BVF2" s="148"/>
      <c r="BVG2" s="148"/>
      <c r="BVH2" s="148"/>
      <c r="BVI2" s="148"/>
      <c r="BVJ2" s="148"/>
      <c r="BVK2" s="148"/>
      <c r="BVL2" s="148"/>
      <c r="BVM2" s="148"/>
      <c r="BVN2" s="148"/>
      <c r="BVO2" s="148"/>
      <c r="BVP2" s="148"/>
    </row>
    <row r="3" spans="1:1940" ht="15" customHeight="1">
      <c r="B3" s="12"/>
      <c r="C3" s="318" t="s">
        <v>386</v>
      </c>
      <c r="D3" s="318"/>
      <c r="E3" s="318"/>
      <c r="F3" s="318"/>
      <c r="G3" s="318"/>
      <c r="H3" s="318"/>
      <c r="I3" s="318"/>
      <c r="J3" s="214"/>
      <c r="K3" s="215" t="s">
        <v>377</v>
      </c>
      <c r="L3" s="215"/>
      <c r="M3" s="215">
        <v>0</v>
      </c>
      <c r="N3" s="215">
        <f>L1</f>
        <v>1</v>
      </c>
      <c r="O3" s="215" t="s">
        <v>80</v>
      </c>
      <c r="P3" s="215">
        <v>0</v>
      </c>
      <c r="Q3" s="215">
        <v>0</v>
      </c>
      <c r="R3" s="215">
        <v>8</v>
      </c>
      <c r="S3" s="215">
        <v>5</v>
      </c>
      <c r="T3" s="215">
        <v>9</v>
      </c>
      <c r="Z3" s="12"/>
      <c r="BT3" s="208" t="s">
        <v>81</v>
      </c>
      <c r="BU3" s="12">
        <v>0</v>
      </c>
      <c r="BV3" s="12">
        <v>0</v>
      </c>
      <c r="BW3" s="12">
        <v>3</v>
      </c>
      <c r="DY3" s="12" t="s">
        <v>372</v>
      </c>
      <c r="JB3" s="16"/>
      <c r="JC3" s="16"/>
      <c r="JD3" s="16"/>
      <c r="JE3" s="16"/>
      <c r="JF3" s="16"/>
      <c r="JG3" s="16"/>
      <c r="JH3" s="16"/>
      <c r="JI3" s="16"/>
      <c r="JJ3" s="16"/>
      <c r="JK3" s="16"/>
      <c r="JL3" s="16"/>
      <c r="JM3" s="16"/>
      <c r="JN3" s="16"/>
      <c r="JO3" s="16"/>
      <c r="JP3" s="16"/>
      <c r="JQ3" s="16"/>
      <c r="JR3" s="16"/>
      <c r="JS3" s="16"/>
      <c r="JT3" s="16"/>
      <c r="JU3" s="16"/>
      <c r="JV3" s="16"/>
      <c r="JW3" s="16"/>
      <c r="JX3" s="16"/>
      <c r="JY3" s="16"/>
      <c r="JZ3" s="16"/>
      <c r="KA3" s="16"/>
      <c r="KB3" s="16"/>
      <c r="KC3" s="16"/>
      <c r="KD3" s="16"/>
      <c r="KE3" s="16"/>
      <c r="KF3" s="16"/>
      <c r="KG3" s="16"/>
      <c r="KH3" s="16"/>
      <c r="KI3" s="16"/>
      <c r="KJ3" s="16"/>
      <c r="KK3" s="16"/>
      <c r="KL3" s="16"/>
      <c r="KM3" s="16"/>
      <c r="KN3" s="16"/>
      <c r="KO3" s="16"/>
      <c r="KP3" s="16"/>
      <c r="KQ3" s="16"/>
      <c r="KR3" s="16"/>
      <c r="KS3" s="16"/>
      <c r="KT3" s="16"/>
      <c r="KU3" s="16"/>
      <c r="KV3" s="16"/>
      <c r="KW3" s="16"/>
      <c r="KX3" s="16"/>
      <c r="KY3" s="16"/>
      <c r="KZ3" s="16"/>
      <c r="LA3" s="16"/>
      <c r="LB3" s="16"/>
      <c r="LC3" s="16"/>
      <c r="LD3" s="16"/>
      <c r="LE3" s="16"/>
      <c r="LF3" s="16"/>
      <c r="LG3" s="16"/>
      <c r="LH3" s="16"/>
      <c r="LI3" s="16"/>
      <c r="LJ3" s="16"/>
      <c r="LK3" s="16"/>
      <c r="LL3" s="16"/>
      <c r="LM3" s="16"/>
      <c r="LN3" s="16"/>
      <c r="LO3" s="16"/>
      <c r="LP3" s="16"/>
      <c r="LQ3" s="16"/>
      <c r="LR3" s="16"/>
      <c r="LS3" s="16"/>
      <c r="LT3" s="16"/>
      <c r="LU3" s="16"/>
      <c r="LV3" s="16"/>
      <c r="LW3" s="16"/>
      <c r="LX3" s="16"/>
      <c r="LY3" s="16"/>
      <c r="LZ3" s="16"/>
      <c r="MA3" s="16"/>
      <c r="MB3" s="16"/>
      <c r="MC3" s="16"/>
      <c r="MD3" s="16"/>
      <c r="ME3" s="16"/>
      <c r="MF3" s="16"/>
      <c r="MG3" s="16"/>
      <c r="MH3" s="16"/>
      <c r="MI3" s="16"/>
      <c r="MJ3" s="16"/>
      <c r="MK3" s="16"/>
      <c r="ML3" s="16"/>
      <c r="MM3" s="16"/>
      <c r="MN3" s="16"/>
      <c r="MO3" s="16"/>
      <c r="MP3" s="16"/>
      <c r="MQ3" s="16"/>
      <c r="MR3" s="16"/>
      <c r="MS3" s="16"/>
      <c r="MT3" s="16"/>
      <c r="MU3" s="16"/>
      <c r="MV3" s="16"/>
      <c r="MW3" s="16"/>
      <c r="MX3" s="16"/>
      <c r="MY3" s="16"/>
      <c r="MZ3" s="16"/>
      <c r="NA3" s="16"/>
      <c r="NB3" s="16"/>
      <c r="NC3" s="16"/>
      <c r="ND3" s="16"/>
      <c r="NE3" s="16"/>
      <c r="NF3" s="16"/>
      <c r="NG3" s="16"/>
      <c r="NH3" s="16"/>
      <c r="NI3" s="16"/>
      <c r="NJ3" s="16"/>
      <c r="NK3" s="16"/>
      <c r="NL3" s="16"/>
      <c r="NM3" s="16"/>
      <c r="NN3" s="16"/>
      <c r="NO3" s="16"/>
      <c r="NP3" s="16"/>
      <c r="NQ3" s="16"/>
      <c r="NR3" s="16"/>
      <c r="NS3" s="16"/>
      <c r="NT3" s="16"/>
      <c r="NU3" s="16"/>
      <c r="NV3" s="16"/>
      <c r="NW3" s="16"/>
      <c r="NX3" s="16"/>
      <c r="NY3" s="16"/>
      <c r="NZ3" s="16"/>
      <c r="OA3" s="16"/>
      <c r="OB3" s="16"/>
      <c r="OC3" s="16"/>
      <c r="OD3" s="16"/>
      <c r="OE3" s="16"/>
      <c r="OF3" s="16"/>
      <c r="OG3" s="16"/>
      <c r="OH3" s="16"/>
      <c r="OI3" s="16"/>
      <c r="OJ3" s="16"/>
      <c r="OK3" s="16"/>
      <c r="OL3" s="16"/>
      <c r="OM3" s="16"/>
      <c r="ON3" s="16"/>
      <c r="OO3" s="16"/>
      <c r="OP3" s="16"/>
      <c r="OQ3" s="16"/>
      <c r="OR3" s="16"/>
      <c r="OS3" s="16"/>
      <c r="OT3" s="16"/>
      <c r="OU3" s="16"/>
      <c r="OV3" s="16"/>
      <c r="OW3" s="16"/>
      <c r="OX3" s="16"/>
      <c r="OY3" s="16"/>
      <c r="OZ3" s="16"/>
      <c r="PA3" s="16"/>
      <c r="PB3" s="16"/>
      <c r="PC3" s="16"/>
      <c r="PD3" s="16"/>
      <c r="PE3" s="16"/>
      <c r="PF3" s="16"/>
      <c r="PG3" s="16"/>
      <c r="PH3" s="16"/>
      <c r="PI3" s="16"/>
      <c r="PJ3" s="16"/>
      <c r="PK3" s="16"/>
      <c r="PL3" s="16"/>
      <c r="PM3" s="16"/>
      <c r="PN3" s="16"/>
      <c r="PO3" s="16"/>
      <c r="PP3" s="16"/>
      <c r="PQ3" s="16"/>
      <c r="PR3" s="16"/>
      <c r="PS3" s="16"/>
      <c r="PT3" s="16"/>
      <c r="PU3" s="16"/>
      <c r="PV3" s="16"/>
      <c r="PW3" s="16"/>
      <c r="PX3" s="16"/>
      <c r="PY3" s="16"/>
      <c r="PZ3" s="16"/>
      <c r="QA3" s="16"/>
      <c r="QB3" s="16"/>
      <c r="QC3" s="16"/>
      <c r="QD3" s="16"/>
      <c r="QE3" s="16"/>
      <c r="QF3" s="16"/>
      <c r="QG3" s="16"/>
      <c r="QH3" s="16"/>
      <c r="QI3" s="16"/>
      <c r="QJ3" s="16"/>
      <c r="QK3" s="16"/>
      <c r="QL3" s="16"/>
      <c r="QM3" s="16"/>
      <c r="QN3" s="16"/>
      <c r="QO3" s="16"/>
      <c r="QP3" s="16"/>
      <c r="QQ3" s="16"/>
      <c r="QR3" s="16"/>
      <c r="QS3" s="16"/>
      <c r="QT3" s="16"/>
      <c r="QU3" s="16"/>
      <c r="QV3" s="16"/>
      <c r="QW3" s="16"/>
      <c r="QX3" s="16"/>
      <c r="QY3" s="16"/>
      <c r="QZ3" s="16"/>
      <c r="RA3" s="16"/>
      <c r="RB3" s="16"/>
      <c r="RC3" s="16"/>
      <c r="RD3" s="16"/>
      <c r="RE3" s="16"/>
      <c r="RF3" s="16"/>
      <c r="RG3" s="16"/>
      <c r="RH3" s="16"/>
      <c r="RI3" s="16"/>
      <c r="RJ3" s="16"/>
      <c r="RK3" s="16"/>
      <c r="RL3" s="16"/>
      <c r="RM3" s="16"/>
      <c r="RN3" s="16"/>
      <c r="RO3" s="16"/>
      <c r="RP3" s="16"/>
      <c r="RQ3" s="16"/>
      <c r="RR3" s="16"/>
      <c r="RS3" s="16"/>
      <c r="RT3" s="16"/>
      <c r="RU3" s="16"/>
      <c r="RV3" s="16"/>
      <c r="RW3" s="16"/>
      <c r="RX3" s="16"/>
      <c r="RY3" s="16"/>
      <c r="RZ3" s="16"/>
      <c r="SA3" s="16"/>
      <c r="SB3" s="16"/>
      <c r="SC3" s="16"/>
      <c r="SD3" s="16"/>
      <c r="SE3" s="16"/>
      <c r="SF3" s="16"/>
      <c r="SG3" s="16"/>
      <c r="SH3" s="16"/>
      <c r="SI3" s="16"/>
      <c r="SJ3" s="16"/>
      <c r="SK3" s="16"/>
      <c r="SL3" s="16"/>
      <c r="SM3" s="16"/>
      <c r="SN3" s="16"/>
      <c r="SO3" s="16"/>
      <c r="SP3" s="16"/>
      <c r="SQ3" s="16"/>
      <c r="SR3" s="16"/>
      <c r="SS3" s="16"/>
      <c r="ST3" s="16"/>
      <c r="SU3" s="16"/>
      <c r="SV3" s="16"/>
      <c r="SW3" s="16"/>
      <c r="SX3" s="16"/>
      <c r="SY3" s="16"/>
      <c r="SZ3" s="16"/>
      <c r="TA3" s="16"/>
      <c r="TB3" s="16"/>
      <c r="TC3" s="16"/>
      <c r="TD3" s="16"/>
      <c r="TE3" s="16"/>
      <c r="TF3" s="16"/>
      <c r="TG3" s="16"/>
      <c r="TH3" s="16"/>
      <c r="TI3" s="16"/>
      <c r="TJ3" s="16"/>
      <c r="TK3" s="16"/>
      <c r="TL3" s="16"/>
      <c r="TM3" s="16"/>
      <c r="TN3" s="16"/>
      <c r="TO3" s="16"/>
      <c r="TP3" s="16"/>
      <c r="TQ3" s="16"/>
      <c r="TR3" s="16"/>
      <c r="TS3" s="16"/>
      <c r="TT3" s="16"/>
      <c r="TU3" s="16"/>
      <c r="TV3" s="16"/>
      <c r="TW3" s="16"/>
      <c r="TX3" s="16"/>
      <c r="TY3" s="16"/>
      <c r="TZ3" s="16"/>
      <c r="UA3" s="16"/>
      <c r="UB3" s="16"/>
      <c r="UC3" s="16"/>
      <c r="UD3" s="16"/>
      <c r="UE3" s="16"/>
      <c r="UF3" s="16"/>
      <c r="UG3" s="16"/>
      <c r="UH3" s="16"/>
      <c r="UI3" s="16"/>
      <c r="UJ3" s="16"/>
      <c r="UK3" s="16"/>
      <c r="UL3" s="16"/>
      <c r="UM3" s="16"/>
      <c r="UN3" s="16"/>
      <c r="UO3" s="16"/>
      <c r="UP3" s="16"/>
      <c r="UQ3" s="16"/>
      <c r="UR3" s="16"/>
      <c r="US3" s="16"/>
      <c r="UT3" s="16"/>
      <c r="UU3" s="16"/>
      <c r="UV3" s="16"/>
      <c r="UW3" s="16"/>
      <c r="UX3" s="16"/>
      <c r="UY3" s="16"/>
      <c r="UZ3" s="16"/>
      <c r="VA3" s="16"/>
      <c r="VB3" s="16"/>
      <c r="VC3" s="16"/>
      <c r="VD3" s="16"/>
      <c r="VE3" s="16"/>
      <c r="VF3" s="16"/>
      <c r="VG3" s="16"/>
      <c r="VH3" s="16"/>
      <c r="VI3" s="16"/>
      <c r="VJ3" s="16"/>
      <c r="VK3" s="16"/>
      <c r="VL3" s="16"/>
      <c r="VM3" s="16"/>
      <c r="VN3" s="16"/>
      <c r="VO3" s="16"/>
      <c r="VP3" s="16"/>
      <c r="VQ3" s="16"/>
      <c r="VR3" s="16"/>
      <c r="VS3" s="16"/>
      <c r="VT3" s="16"/>
      <c r="VU3" s="16"/>
      <c r="VV3" s="16"/>
      <c r="VW3" s="16"/>
      <c r="VX3" s="16"/>
      <c r="VY3" s="16"/>
      <c r="VZ3" s="16"/>
      <c r="WA3" s="16"/>
      <c r="WB3" s="16"/>
      <c r="WC3" s="16"/>
      <c r="WD3" s="16"/>
      <c r="WE3" s="16"/>
      <c r="WF3" s="16"/>
      <c r="WG3" s="16"/>
      <c r="WH3" s="16"/>
      <c r="WI3" s="16"/>
      <c r="WJ3" s="16"/>
      <c r="WK3" s="16"/>
      <c r="WL3" s="16"/>
      <c r="WM3" s="16"/>
      <c r="WN3" s="16"/>
      <c r="WO3" s="16"/>
      <c r="WP3" s="16"/>
      <c r="WQ3" s="16"/>
      <c r="WR3" s="16"/>
      <c r="WS3" s="16"/>
      <c r="WT3" s="16"/>
      <c r="WU3" s="16"/>
      <c r="WV3" s="16"/>
      <c r="WW3" s="16"/>
      <c r="WX3" s="16"/>
      <c r="WY3" s="16"/>
      <c r="WZ3" s="16"/>
      <c r="XA3" s="16"/>
      <c r="XB3" s="16"/>
      <c r="XC3" s="16"/>
      <c r="XD3" s="16"/>
      <c r="XE3" s="16"/>
      <c r="XF3" s="16"/>
      <c r="XG3" s="16"/>
      <c r="XH3" s="16"/>
      <c r="XI3" s="16"/>
      <c r="XJ3" s="16"/>
      <c r="XK3" s="16"/>
      <c r="XL3" s="16"/>
      <c r="XM3" s="16"/>
      <c r="XN3" s="16"/>
      <c r="XO3" s="16"/>
      <c r="XP3" s="16"/>
      <c r="XQ3" s="16"/>
      <c r="XR3" s="16"/>
      <c r="XS3" s="16"/>
      <c r="XT3" s="16"/>
      <c r="XU3" s="16"/>
      <c r="XV3" s="16"/>
      <c r="XW3" s="16"/>
      <c r="XX3" s="16"/>
      <c r="XY3" s="16"/>
      <c r="XZ3" s="16"/>
      <c r="YA3" s="16"/>
      <c r="YB3" s="16"/>
      <c r="YC3" s="16"/>
      <c r="YD3" s="16"/>
      <c r="YE3" s="16"/>
      <c r="YF3" s="16"/>
      <c r="YG3" s="16"/>
      <c r="YH3" s="16"/>
      <c r="YI3" s="16"/>
      <c r="YJ3" s="16"/>
      <c r="YK3" s="16"/>
      <c r="YL3" s="16"/>
      <c r="YM3" s="16"/>
      <c r="YN3" s="16"/>
      <c r="YO3" s="16"/>
      <c r="YP3" s="16"/>
      <c r="YQ3" s="16"/>
      <c r="YR3" s="16"/>
      <c r="YS3" s="16"/>
      <c r="YT3" s="16"/>
      <c r="YU3" s="16"/>
      <c r="YV3" s="16"/>
      <c r="YW3" s="16"/>
      <c r="YX3" s="16"/>
      <c r="YY3" s="16"/>
      <c r="YZ3" s="16"/>
      <c r="ZA3" s="16"/>
      <c r="ZB3" s="16"/>
      <c r="ZC3" s="16"/>
      <c r="ZD3" s="16"/>
      <c r="ZE3" s="16"/>
      <c r="ZF3" s="16"/>
      <c r="ZG3" s="16"/>
      <c r="ZH3" s="16"/>
      <c r="ZI3" s="16"/>
      <c r="ZJ3" s="16"/>
      <c r="ZK3" s="16"/>
      <c r="ZL3" s="16"/>
      <c r="ZM3" s="16"/>
      <c r="ZN3" s="16"/>
      <c r="ZO3" s="16"/>
      <c r="ZP3" s="16"/>
      <c r="ZQ3" s="16"/>
      <c r="ZR3" s="16"/>
      <c r="ZS3" s="16"/>
      <c r="ZT3" s="16"/>
      <c r="ZU3" s="16"/>
      <c r="ZV3" s="16"/>
      <c r="ZW3" s="16"/>
      <c r="ZX3" s="16"/>
      <c r="ZY3" s="16"/>
      <c r="ZZ3" s="16"/>
      <c r="AAA3" s="16"/>
      <c r="AAB3" s="16"/>
      <c r="AAC3" s="16"/>
      <c r="AAD3" s="16"/>
      <c r="AAE3" s="16"/>
      <c r="AAF3" s="16"/>
      <c r="AAG3" s="16"/>
      <c r="AAH3" s="16"/>
      <c r="AAI3" s="16"/>
      <c r="AAJ3" s="16"/>
      <c r="AAK3" s="16"/>
      <c r="AAL3" s="16"/>
      <c r="AAM3" s="16"/>
      <c r="AAN3" s="16"/>
      <c r="AAO3" s="16"/>
      <c r="AAP3" s="16"/>
      <c r="AAQ3" s="16"/>
      <c r="AAR3" s="16"/>
      <c r="AAS3" s="16"/>
      <c r="AAT3" s="16"/>
      <c r="AAU3" s="16"/>
      <c r="AAV3" s="16"/>
      <c r="AAW3" s="16"/>
      <c r="AAX3" s="16"/>
      <c r="AAY3" s="16"/>
      <c r="AAZ3" s="16"/>
      <c r="ABA3" s="16"/>
      <c r="ABB3" s="16"/>
      <c r="ABC3" s="16"/>
      <c r="ABD3" s="16"/>
      <c r="ABE3" s="16"/>
      <c r="ABF3" s="16"/>
      <c r="ABG3" s="16"/>
      <c r="ABH3" s="16"/>
      <c r="ABI3" s="16"/>
      <c r="ABJ3" s="16"/>
      <c r="ABK3" s="16"/>
      <c r="ABL3" s="16"/>
      <c r="ABM3" s="16"/>
      <c r="ABN3" s="16"/>
      <c r="ABO3" s="16"/>
      <c r="ABP3" s="16"/>
      <c r="ABQ3" s="16"/>
      <c r="ABR3" s="16"/>
      <c r="ABS3" s="16"/>
      <c r="ABT3" s="16"/>
      <c r="ABU3" s="16"/>
      <c r="ABV3" s="16"/>
      <c r="ABW3" s="16"/>
      <c r="ABX3" s="16"/>
      <c r="ABY3" s="16"/>
      <c r="ABZ3" s="16"/>
      <c r="ACA3" s="16"/>
      <c r="ACB3" s="16"/>
    </row>
    <row r="4" spans="1:1940" s="12" customFormat="1" ht="15.75">
      <c r="C4" s="319" t="s">
        <v>409</v>
      </c>
      <c r="D4" s="319"/>
      <c r="E4" s="319"/>
      <c r="F4" s="319"/>
      <c r="G4" s="319"/>
      <c r="H4" s="319"/>
      <c r="I4" s="319"/>
      <c r="J4" s="319"/>
      <c r="K4" s="394" t="s">
        <v>292</v>
      </c>
      <c r="L4" s="394"/>
      <c r="M4" s="196"/>
      <c r="N4" s="16"/>
      <c r="O4" s="16"/>
      <c r="P4" s="333" t="str">
        <f>CONCATENATE(V4,W4,X4,Y4,Z4,BY8,AA4,AB4,AC4,AD4,AE4)</f>
        <v>A2312301ORL00859</v>
      </c>
      <c r="Q4" s="333"/>
      <c r="R4" s="333"/>
      <c r="S4" s="333"/>
      <c r="T4" s="333"/>
      <c r="U4" s="43" t="s">
        <v>291</v>
      </c>
      <c r="V4" s="151" t="str">
        <f>K3</f>
        <v>A23</v>
      </c>
      <c r="W4" s="151">
        <v>123</v>
      </c>
      <c r="X4" s="151">
        <f>M3</f>
        <v>0</v>
      </c>
      <c r="Y4" s="151">
        <f>N3</f>
        <v>1</v>
      </c>
      <c r="Z4" s="151" t="s">
        <v>357</v>
      </c>
      <c r="AA4" s="151">
        <f>P3</f>
        <v>0</v>
      </c>
      <c r="AB4" s="151">
        <f>Q3</f>
        <v>0</v>
      </c>
      <c r="AC4" s="151">
        <f>R3</f>
        <v>8</v>
      </c>
      <c r="AD4" s="151">
        <f>S3</f>
        <v>5</v>
      </c>
      <c r="AE4" s="151">
        <f>T3</f>
        <v>9</v>
      </c>
      <c r="AF4" s="16"/>
      <c r="AG4" s="16"/>
      <c r="AH4" s="208"/>
      <c r="AI4" s="208"/>
      <c r="BT4" s="208" t="s">
        <v>102</v>
      </c>
      <c r="BU4" s="12">
        <v>0</v>
      </c>
      <c r="BV4" s="12">
        <v>0</v>
      </c>
      <c r="BW4" s="12">
        <v>2</v>
      </c>
      <c r="DY4" s="12" t="s">
        <v>373</v>
      </c>
      <c r="EA4" s="12" t="s">
        <v>44</v>
      </c>
      <c r="FF4" s="209"/>
      <c r="JB4" s="16"/>
      <c r="JC4" s="16"/>
      <c r="JD4" s="16"/>
      <c r="JE4" s="16"/>
      <c r="JF4" s="16"/>
      <c r="JG4" s="16"/>
      <c r="JH4" s="16"/>
      <c r="JI4" s="16"/>
      <c r="JJ4" s="16"/>
      <c r="JK4" s="16"/>
      <c r="JL4" s="16"/>
      <c r="JM4" s="16"/>
      <c r="JN4" s="16"/>
      <c r="JO4" s="16"/>
      <c r="JP4" s="16"/>
      <c r="JQ4" s="16"/>
      <c r="JR4" s="16"/>
      <c r="JS4" s="16"/>
      <c r="JT4" s="16"/>
      <c r="JU4" s="16"/>
      <c r="JV4" s="16"/>
      <c r="JW4" s="16"/>
      <c r="JX4" s="16"/>
      <c r="JY4" s="16"/>
      <c r="JZ4" s="16"/>
      <c r="KA4" s="16"/>
      <c r="KB4" s="16"/>
      <c r="KC4" s="16"/>
      <c r="KD4" s="16"/>
      <c r="KE4" s="16"/>
      <c r="KF4" s="16"/>
      <c r="KG4" s="16"/>
      <c r="KH4" s="16"/>
      <c r="KI4" s="16"/>
      <c r="KJ4" s="16"/>
      <c r="KK4" s="16"/>
      <c r="KL4" s="16"/>
      <c r="KM4" s="16"/>
      <c r="KN4" s="16"/>
      <c r="KO4" s="16"/>
      <c r="KP4" s="16"/>
      <c r="KQ4" s="16"/>
      <c r="KR4" s="16"/>
      <c r="KS4" s="16"/>
      <c r="KT4" s="16"/>
      <c r="KU4" s="16"/>
      <c r="KV4" s="16"/>
      <c r="KW4" s="16"/>
      <c r="KX4" s="16"/>
      <c r="KY4" s="16"/>
      <c r="KZ4" s="16"/>
      <c r="LA4" s="16"/>
      <c r="LB4" s="16"/>
      <c r="LC4" s="16"/>
      <c r="LD4" s="16"/>
      <c r="LE4" s="16"/>
      <c r="LF4" s="16"/>
      <c r="LG4" s="16"/>
      <c r="LH4" s="16"/>
      <c r="LI4" s="16"/>
      <c r="LJ4" s="16"/>
      <c r="LK4" s="16"/>
      <c r="LL4" s="16"/>
      <c r="LM4" s="16"/>
      <c r="LN4" s="16"/>
      <c r="LO4" s="16"/>
      <c r="LP4" s="16"/>
      <c r="LQ4" s="16"/>
      <c r="LR4" s="16"/>
      <c r="LS4" s="16"/>
      <c r="LT4" s="16"/>
      <c r="LU4" s="16"/>
      <c r="LV4" s="16"/>
      <c r="LW4" s="16"/>
      <c r="LX4" s="16"/>
      <c r="LY4" s="16"/>
      <c r="LZ4" s="16"/>
      <c r="MA4" s="16"/>
      <c r="MB4" s="16"/>
      <c r="MC4" s="16"/>
      <c r="MD4" s="16"/>
      <c r="ME4" s="16"/>
      <c r="MF4" s="16"/>
      <c r="MG4" s="16"/>
      <c r="MH4" s="16"/>
      <c r="MI4" s="16"/>
      <c r="MJ4" s="16"/>
      <c r="MK4" s="16"/>
      <c r="ML4" s="16"/>
      <c r="MM4" s="16"/>
      <c r="MN4" s="16"/>
      <c r="MO4" s="16"/>
      <c r="MP4" s="16"/>
      <c r="MQ4" s="16"/>
      <c r="MR4" s="16"/>
      <c r="MS4" s="16"/>
      <c r="MT4" s="16"/>
      <c r="MU4" s="16"/>
      <c r="MV4" s="16"/>
      <c r="MW4" s="16"/>
      <c r="MX4" s="16"/>
      <c r="MY4" s="16"/>
      <c r="MZ4" s="16"/>
      <c r="NA4" s="16"/>
      <c r="NB4" s="16"/>
      <c r="NC4" s="16"/>
      <c r="ND4" s="16"/>
      <c r="NE4" s="16"/>
      <c r="NF4" s="16"/>
      <c r="NG4" s="16"/>
      <c r="NH4" s="16"/>
      <c r="NI4" s="16"/>
      <c r="NJ4" s="16"/>
      <c r="NK4" s="16"/>
      <c r="NL4" s="16"/>
      <c r="NM4" s="16"/>
      <c r="NN4" s="16"/>
      <c r="NO4" s="16"/>
      <c r="NP4" s="16"/>
      <c r="NQ4" s="16"/>
      <c r="NR4" s="16"/>
      <c r="NS4" s="16"/>
      <c r="NT4" s="16"/>
      <c r="NU4" s="16"/>
      <c r="NV4" s="16"/>
      <c r="NW4" s="16"/>
      <c r="NX4" s="16"/>
      <c r="NY4" s="16"/>
      <c r="NZ4" s="16"/>
      <c r="OA4" s="16"/>
      <c r="OB4" s="16"/>
      <c r="OC4" s="16"/>
      <c r="OD4" s="16"/>
      <c r="OE4" s="16"/>
      <c r="OF4" s="16"/>
      <c r="OG4" s="16"/>
      <c r="OH4" s="16"/>
      <c r="OI4" s="16"/>
      <c r="OJ4" s="16"/>
      <c r="OK4" s="16"/>
      <c r="OL4" s="16"/>
      <c r="OM4" s="16"/>
      <c r="ON4" s="16"/>
      <c r="OO4" s="16"/>
      <c r="OP4" s="16"/>
      <c r="OQ4" s="16"/>
      <c r="OR4" s="16"/>
      <c r="OS4" s="16"/>
      <c r="OT4" s="16"/>
      <c r="OU4" s="16"/>
      <c r="OV4" s="16"/>
      <c r="OW4" s="16"/>
      <c r="OX4" s="16"/>
      <c r="OY4" s="16"/>
      <c r="OZ4" s="16"/>
      <c r="PA4" s="16"/>
      <c r="PB4" s="16"/>
      <c r="PC4" s="16"/>
      <c r="PD4" s="16"/>
      <c r="PE4" s="16"/>
      <c r="PF4" s="16"/>
      <c r="PG4" s="16"/>
      <c r="PH4" s="16"/>
      <c r="PI4" s="16"/>
      <c r="PJ4" s="16"/>
      <c r="PK4" s="16"/>
      <c r="PL4" s="16"/>
      <c r="PM4" s="16"/>
      <c r="PN4" s="16"/>
      <c r="PO4" s="16"/>
      <c r="PP4" s="16"/>
      <c r="PQ4" s="16"/>
      <c r="PR4" s="16"/>
      <c r="PS4" s="16"/>
      <c r="PT4" s="16"/>
      <c r="PU4" s="16"/>
      <c r="PV4" s="16"/>
      <c r="PW4" s="16"/>
      <c r="PX4" s="16"/>
      <c r="PY4" s="16"/>
      <c r="PZ4" s="16"/>
      <c r="QA4" s="16"/>
      <c r="QB4" s="16"/>
      <c r="QC4" s="16"/>
      <c r="QD4" s="16"/>
      <c r="QE4" s="16"/>
      <c r="QF4" s="16"/>
      <c r="QG4" s="16"/>
      <c r="QH4" s="16"/>
      <c r="QI4" s="16"/>
      <c r="QJ4" s="16"/>
      <c r="QK4" s="16"/>
      <c r="QL4" s="16"/>
      <c r="QM4" s="16"/>
      <c r="QN4" s="16"/>
      <c r="QO4" s="16"/>
      <c r="QP4" s="16"/>
      <c r="QQ4" s="16"/>
      <c r="QR4" s="16"/>
      <c r="QS4" s="16"/>
      <c r="QT4" s="16"/>
      <c r="QU4" s="16"/>
      <c r="QV4" s="16"/>
      <c r="QW4" s="16"/>
      <c r="QX4" s="16"/>
      <c r="QY4" s="16"/>
      <c r="QZ4" s="16"/>
      <c r="RA4" s="16"/>
      <c r="RB4" s="16"/>
      <c r="RC4" s="16"/>
      <c r="RD4" s="16"/>
      <c r="RE4" s="16"/>
      <c r="RF4" s="16"/>
      <c r="RG4" s="16"/>
      <c r="RH4" s="16"/>
      <c r="RI4" s="16"/>
      <c r="RJ4" s="16"/>
      <c r="RK4" s="16"/>
      <c r="RL4" s="16"/>
      <c r="RM4" s="16"/>
      <c r="RN4" s="16"/>
      <c r="RO4" s="16"/>
      <c r="RP4" s="16"/>
      <c r="RQ4" s="16"/>
      <c r="RR4" s="16"/>
      <c r="RS4" s="16"/>
      <c r="RT4" s="16"/>
      <c r="RU4" s="16"/>
      <c r="RV4" s="16"/>
      <c r="RW4" s="16"/>
      <c r="RX4" s="16"/>
      <c r="RY4" s="16"/>
      <c r="RZ4" s="16"/>
      <c r="SA4" s="16"/>
      <c r="SB4" s="16"/>
      <c r="SC4" s="16"/>
      <c r="SD4" s="16"/>
      <c r="SE4" s="16"/>
      <c r="SF4" s="16"/>
      <c r="SG4" s="16"/>
      <c r="SH4" s="16"/>
      <c r="SI4" s="16"/>
      <c r="SJ4" s="16"/>
      <c r="SK4" s="16"/>
      <c r="SL4" s="16"/>
      <c r="SM4" s="16"/>
      <c r="SN4" s="16"/>
      <c r="SO4" s="16"/>
      <c r="SP4" s="16"/>
      <c r="SQ4" s="16"/>
      <c r="SR4" s="16"/>
      <c r="SS4" s="16"/>
      <c r="ST4" s="16"/>
      <c r="SU4" s="16"/>
      <c r="SV4" s="16"/>
      <c r="SW4" s="16"/>
      <c r="SX4" s="16"/>
      <c r="SY4" s="16"/>
      <c r="SZ4" s="16"/>
      <c r="TA4" s="16"/>
      <c r="TB4" s="16"/>
      <c r="TC4" s="16"/>
      <c r="TD4" s="16"/>
      <c r="TE4" s="16"/>
      <c r="TF4" s="16"/>
      <c r="TG4" s="16"/>
      <c r="TH4" s="16"/>
      <c r="TI4" s="16"/>
      <c r="TJ4" s="16"/>
      <c r="TK4" s="16"/>
      <c r="TL4" s="16"/>
      <c r="TM4" s="16"/>
      <c r="TN4" s="16"/>
      <c r="TO4" s="16"/>
      <c r="TP4" s="16"/>
      <c r="TQ4" s="16"/>
      <c r="TR4" s="16"/>
      <c r="TS4" s="16"/>
      <c r="TT4" s="16"/>
      <c r="TU4" s="16"/>
      <c r="TV4" s="16"/>
      <c r="TW4" s="16"/>
      <c r="TX4" s="16"/>
      <c r="TY4" s="16"/>
      <c r="TZ4" s="16"/>
      <c r="UA4" s="16"/>
      <c r="UB4" s="16"/>
      <c r="UC4" s="16"/>
      <c r="UD4" s="16"/>
      <c r="UE4" s="16"/>
      <c r="UF4" s="16"/>
      <c r="UG4" s="16"/>
      <c r="UH4" s="16"/>
      <c r="UI4" s="16"/>
      <c r="UJ4" s="16"/>
      <c r="UK4" s="16"/>
      <c r="UL4" s="16"/>
      <c r="UM4" s="16"/>
      <c r="UN4" s="16"/>
      <c r="UO4" s="16"/>
      <c r="UP4" s="16"/>
      <c r="UQ4" s="16"/>
      <c r="UR4" s="16"/>
      <c r="US4" s="16"/>
      <c r="UT4" s="16"/>
      <c r="UU4" s="16"/>
      <c r="UV4" s="16"/>
      <c r="UW4" s="16"/>
      <c r="UX4" s="16"/>
      <c r="UY4" s="16"/>
      <c r="UZ4" s="16"/>
      <c r="VA4" s="16"/>
      <c r="VB4" s="16"/>
      <c r="VC4" s="16"/>
      <c r="VD4" s="16"/>
      <c r="VE4" s="16"/>
      <c r="VF4" s="16"/>
      <c r="VG4" s="16"/>
      <c r="VH4" s="16"/>
      <c r="VI4" s="16"/>
      <c r="VJ4" s="16"/>
      <c r="VK4" s="16"/>
      <c r="VL4" s="16"/>
      <c r="VM4" s="16"/>
      <c r="VN4" s="16"/>
      <c r="VO4" s="16"/>
      <c r="VP4" s="16"/>
      <c r="VQ4" s="16"/>
      <c r="VR4" s="16"/>
      <c r="VS4" s="16"/>
      <c r="VT4" s="16"/>
      <c r="VU4" s="16"/>
      <c r="VV4" s="16"/>
      <c r="VW4" s="16"/>
      <c r="VX4" s="16"/>
      <c r="VY4" s="16"/>
      <c r="VZ4" s="16"/>
      <c r="WA4" s="16"/>
      <c r="WB4" s="16"/>
      <c r="WC4" s="16"/>
      <c r="WD4" s="16"/>
      <c r="WE4" s="16"/>
      <c r="WF4" s="16"/>
      <c r="WG4" s="16"/>
      <c r="WH4" s="16"/>
      <c r="WI4" s="16"/>
      <c r="WJ4" s="16"/>
      <c r="WK4" s="16"/>
      <c r="WL4" s="16"/>
      <c r="WM4" s="16"/>
      <c r="WN4" s="16"/>
      <c r="WO4" s="16"/>
      <c r="WP4" s="16"/>
      <c r="WQ4" s="16"/>
      <c r="WR4" s="16"/>
      <c r="WS4" s="16"/>
      <c r="WT4" s="16"/>
      <c r="WU4" s="16"/>
      <c r="WV4" s="16"/>
      <c r="WW4" s="16"/>
      <c r="WX4" s="16"/>
      <c r="WY4" s="16"/>
      <c r="WZ4" s="16"/>
      <c r="XA4" s="16"/>
      <c r="XB4" s="16"/>
      <c r="XC4" s="16"/>
      <c r="XD4" s="16"/>
      <c r="XE4" s="16"/>
      <c r="XF4" s="16"/>
      <c r="XG4" s="16"/>
      <c r="XH4" s="16"/>
      <c r="XI4" s="16"/>
      <c r="XJ4" s="16"/>
      <c r="XK4" s="16"/>
      <c r="XL4" s="16"/>
      <c r="XM4" s="16"/>
      <c r="XN4" s="16"/>
      <c r="XO4" s="16"/>
      <c r="XP4" s="16"/>
      <c r="XQ4" s="16"/>
      <c r="XR4" s="16"/>
      <c r="XS4" s="16"/>
      <c r="XT4" s="16"/>
      <c r="XU4" s="16"/>
      <c r="XV4" s="16"/>
      <c r="XW4" s="16"/>
      <c r="XX4" s="16"/>
      <c r="XY4" s="16"/>
      <c r="XZ4" s="16"/>
      <c r="YA4" s="16"/>
      <c r="YB4" s="16"/>
      <c r="YC4" s="16"/>
      <c r="YD4" s="16"/>
      <c r="YE4" s="16"/>
      <c r="YF4" s="16"/>
      <c r="YG4" s="16"/>
      <c r="YH4" s="16"/>
      <c r="YI4" s="16"/>
      <c r="YJ4" s="16"/>
      <c r="YK4" s="16"/>
      <c r="YL4" s="16"/>
      <c r="YM4" s="16"/>
      <c r="YN4" s="16"/>
      <c r="YO4" s="16"/>
      <c r="YP4" s="16"/>
      <c r="YQ4" s="16"/>
      <c r="YR4" s="16"/>
      <c r="YS4" s="16"/>
      <c r="YT4" s="16"/>
      <c r="YU4" s="16"/>
      <c r="YV4" s="16"/>
      <c r="YW4" s="16"/>
      <c r="YX4" s="16"/>
      <c r="YY4" s="16"/>
      <c r="YZ4" s="16"/>
      <c r="ZA4" s="16"/>
      <c r="ZB4" s="16"/>
      <c r="ZC4" s="16"/>
      <c r="ZD4" s="16"/>
      <c r="ZE4" s="16"/>
      <c r="ZF4" s="16"/>
      <c r="ZG4" s="16"/>
      <c r="ZH4" s="16"/>
      <c r="ZI4" s="16"/>
      <c r="ZJ4" s="16"/>
      <c r="ZK4" s="16"/>
      <c r="ZL4" s="16"/>
      <c r="ZM4" s="16"/>
      <c r="ZN4" s="16"/>
      <c r="ZO4" s="16"/>
      <c r="ZP4" s="16"/>
      <c r="ZQ4" s="16"/>
      <c r="ZR4" s="16"/>
      <c r="ZS4" s="16"/>
      <c r="ZT4" s="16"/>
      <c r="ZU4" s="16"/>
      <c r="ZV4" s="16"/>
      <c r="ZW4" s="16"/>
      <c r="ZX4" s="16"/>
      <c r="ZY4" s="16"/>
      <c r="ZZ4" s="16"/>
      <c r="AAA4" s="16"/>
      <c r="AAB4" s="16"/>
      <c r="AAC4" s="16"/>
      <c r="AAD4" s="16"/>
      <c r="AAE4" s="16"/>
      <c r="AAF4" s="16"/>
      <c r="AAG4" s="16"/>
      <c r="AAH4" s="16"/>
      <c r="AAI4" s="16"/>
      <c r="AAJ4" s="16"/>
      <c r="AAK4" s="16"/>
      <c r="AAL4" s="16"/>
      <c r="AAM4" s="16"/>
      <c r="AAN4" s="16"/>
      <c r="AAO4" s="16"/>
      <c r="AAP4" s="16"/>
      <c r="AAQ4" s="16"/>
      <c r="AAR4" s="16"/>
      <c r="AAS4" s="16"/>
      <c r="AAT4" s="16"/>
      <c r="AAU4" s="16"/>
      <c r="AAV4" s="16"/>
      <c r="AAW4" s="16"/>
      <c r="AAX4" s="16"/>
      <c r="AAY4" s="16"/>
      <c r="AAZ4" s="16"/>
      <c r="ABA4" s="16"/>
      <c r="ABB4" s="16"/>
      <c r="ABC4" s="16"/>
      <c r="ABD4" s="16"/>
      <c r="ABE4" s="16"/>
      <c r="ABF4" s="16"/>
      <c r="ABG4" s="16"/>
      <c r="ABH4" s="16"/>
      <c r="ABI4" s="16"/>
      <c r="ABJ4" s="16"/>
      <c r="ABK4" s="16"/>
      <c r="ABL4" s="16"/>
      <c r="ABM4" s="16"/>
      <c r="ABN4" s="16"/>
      <c r="ABO4" s="16"/>
      <c r="ABP4" s="16"/>
      <c r="ABQ4" s="16"/>
      <c r="ABR4" s="16"/>
      <c r="ABS4" s="16"/>
      <c r="ABT4" s="16"/>
      <c r="ABU4" s="16"/>
      <c r="ABV4" s="16"/>
      <c r="ABW4" s="16"/>
      <c r="ABX4" s="16"/>
      <c r="ABY4" s="16"/>
      <c r="ABZ4" s="16"/>
      <c r="ACA4" s="16"/>
      <c r="ACB4" s="16"/>
    </row>
    <row r="5" spans="1:1940" s="12" customFormat="1" ht="13.5" customHeight="1" thickBot="1">
      <c r="E5" s="364"/>
      <c r="F5" s="364"/>
      <c r="G5" s="364"/>
      <c r="H5" s="364"/>
      <c r="I5" s="364"/>
      <c r="J5" s="364"/>
      <c r="K5" s="394"/>
      <c r="L5" s="394"/>
      <c r="M5" s="196"/>
      <c r="N5" s="16"/>
      <c r="O5" s="16"/>
      <c r="P5" s="333" t="str">
        <f>CONCATENATE(V5,W5,X5,Y5,Z5,AA5,AB5,AC5,AD5)</f>
        <v>MW23201LMB0859</v>
      </c>
      <c r="Q5" s="333"/>
      <c r="R5" s="333"/>
      <c r="S5" s="333"/>
      <c r="T5" s="333"/>
      <c r="U5" s="43" t="s">
        <v>292</v>
      </c>
      <c r="V5" s="151" t="s">
        <v>406</v>
      </c>
      <c r="W5" s="151">
        <f>IF(K3="A20",20,IF(K3="A21",21,IF(K3="A22",22,IF(K3="A23",23,IF(K3="A24",24,IF(K3="A25",25,IF(K3="A26",26,IF(K3="A27",27,IF(K3="A28",28,IF(K3="A29",29,IF(K3="A30",30,IF(K3="A31",31,0))))))))))))</f>
        <v>23</v>
      </c>
      <c r="X5" s="151">
        <v>20</v>
      </c>
      <c r="Y5" s="64">
        <f>E18</f>
        <v>1</v>
      </c>
      <c r="Z5" s="151" t="s">
        <v>407</v>
      </c>
      <c r="AA5" s="16">
        <f>Q3</f>
        <v>0</v>
      </c>
      <c r="AB5" s="16">
        <f>R3</f>
        <v>8</v>
      </c>
      <c r="AC5" s="16">
        <f>S3</f>
        <v>5</v>
      </c>
      <c r="AD5" s="16">
        <f>T3</f>
        <v>9</v>
      </c>
      <c r="AE5" s="16"/>
      <c r="AF5" s="152"/>
      <c r="AG5" s="152"/>
      <c r="AH5" s="208"/>
      <c r="AI5" s="208"/>
      <c r="BT5" s="208" t="s">
        <v>76</v>
      </c>
      <c r="BU5" s="12">
        <v>0</v>
      </c>
      <c r="BV5" s="12">
        <v>0</v>
      </c>
      <c r="BW5" s="12">
        <v>1</v>
      </c>
      <c r="DT5" s="12" t="s">
        <v>45</v>
      </c>
      <c r="DY5" s="12" t="s">
        <v>374</v>
      </c>
      <c r="DZ5" s="12">
        <v>20</v>
      </c>
      <c r="EA5" s="12" t="s">
        <v>47</v>
      </c>
      <c r="FF5" s="209"/>
      <c r="JB5" s="16"/>
      <c r="JC5" s="16"/>
      <c r="JD5" s="16"/>
      <c r="JE5" s="16"/>
      <c r="JF5" s="16"/>
      <c r="JG5" s="16"/>
      <c r="JH5" s="16"/>
      <c r="JI5" s="16"/>
      <c r="JJ5" s="16"/>
      <c r="JK5" s="16"/>
      <c r="JL5" s="16"/>
      <c r="JM5" s="16"/>
      <c r="JN5" s="16"/>
      <c r="JO5" s="16"/>
      <c r="JP5" s="16"/>
      <c r="JQ5" s="16"/>
      <c r="JR5" s="16"/>
      <c r="JS5" s="16"/>
      <c r="JT5" s="16"/>
      <c r="JU5" s="16"/>
      <c r="JV5" s="16"/>
      <c r="JW5" s="16"/>
      <c r="JX5" s="16"/>
      <c r="JY5" s="16"/>
      <c r="JZ5" s="16"/>
      <c r="KA5" s="16"/>
      <c r="KB5" s="16"/>
      <c r="KC5" s="16"/>
      <c r="KD5" s="16"/>
      <c r="KE5" s="16"/>
      <c r="KF5" s="16"/>
      <c r="KG5" s="16"/>
      <c r="KH5" s="16"/>
      <c r="KI5" s="16"/>
      <c r="KJ5" s="16"/>
      <c r="KK5" s="16"/>
      <c r="KL5" s="16"/>
      <c r="KM5" s="16"/>
      <c r="KN5" s="16"/>
      <c r="KO5" s="16"/>
      <c r="KP5" s="16"/>
      <c r="KQ5" s="16"/>
      <c r="KR5" s="16"/>
      <c r="KS5" s="16"/>
      <c r="KT5" s="16"/>
      <c r="KU5" s="16"/>
      <c r="KV5" s="16"/>
      <c r="KW5" s="16"/>
      <c r="KX5" s="16"/>
      <c r="KY5" s="16"/>
      <c r="KZ5" s="16"/>
      <c r="LA5" s="16"/>
      <c r="LB5" s="16"/>
      <c r="LC5" s="16"/>
      <c r="LD5" s="16"/>
      <c r="LE5" s="16"/>
      <c r="LF5" s="16"/>
      <c r="LG5" s="16"/>
      <c r="LH5" s="16"/>
      <c r="LI5" s="16"/>
      <c r="LJ5" s="16"/>
      <c r="LK5" s="16"/>
      <c r="LL5" s="16"/>
      <c r="LM5" s="16"/>
      <c r="LN5" s="16"/>
      <c r="LO5" s="16"/>
      <c r="LP5" s="16"/>
      <c r="LQ5" s="16"/>
      <c r="LR5" s="16"/>
      <c r="LS5" s="16"/>
      <c r="LT5" s="16"/>
      <c r="LU5" s="16"/>
      <c r="LV5" s="16"/>
      <c r="LW5" s="16"/>
      <c r="LX5" s="16"/>
      <c r="LY5" s="16"/>
      <c r="LZ5" s="16"/>
      <c r="MA5" s="16"/>
      <c r="MB5" s="16"/>
      <c r="MC5" s="16"/>
      <c r="MD5" s="16"/>
      <c r="ME5" s="16"/>
      <c r="MF5" s="16"/>
      <c r="MG5" s="16"/>
      <c r="MH5" s="16"/>
      <c r="MI5" s="16"/>
      <c r="MJ5" s="16"/>
      <c r="MK5" s="16"/>
      <c r="ML5" s="16"/>
      <c r="MM5" s="16"/>
      <c r="MN5" s="16"/>
      <c r="MO5" s="16"/>
      <c r="MP5" s="16"/>
      <c r="MQ5" s="16"/>
      <c r="MR5" s="16"/>
      <c r="MS5" s="16"/>
      <c r="MT5" s="16"/>
      <c r="MU5" s="16"/>
      <c r="MV5" s="16"/>
      <c r="MW5" s="16"/>
      <c r="MX5" s="16"/>
      <c r="MY5" s="16"/>
      <c r="MZ5" s="16"/>
      <c r="NA5" s="16"/>
      <c r="NB5" s="16"/>
      <c r="NC5" s="16"/>
      <c r="ND5" s="16"/>
      <c r="NE5" s="16"/>
      <c r="NF5" s="16"/>
      <c r="NG5" s="16"/>
      <c r="NH5" s="16"/>
      <c r="NI5" s="16"/>
      <c r="NJ5" s="16"/>
      <c r="NK5" s="16"/>
      <c r="NL5" s="16"/>
      <c r="NM5" s="16"/>
      <c r="NN5" s="16"/>
      <c r="NO5" s="16"/>
      <c r="NP5" s="16"/>
      <c r="NQ5" s="16"/>
      <c r="NR5" s="16"/>
      <c r="NS5" s="16"/>
      <c r="NT5" s="16"/>
      <c r="NU5" s="16"/>
      <c r="NV5" s="16"/>
      <c r="NW5" s="16"/>
      <c r="NX5" s="16"/>
      <c r="NY5" s="16"/>
      <c r="NZ5" s="16"/>
      <c r="OA5" s="16"/>
      <c r="OB5" s="16"/>
      <c r="OC5" s="16"/>
      <c r="OD5" s="16"/>
      <c r="OE5" s="16"/>
      <c r="OF5" s="16"/>
      <c r="OG5" s="16"/>
      <c r="OH5" s="16"/>
      <c r="OI5" s="16"/>
      <c r="OJ5" s="16"/>
      <c r="OK5" s="16"/>
      <c r="OL5" s="16"/>
      <c r="OM5" s="16"/>
      <c r="ON5" s="16"/>
      <c r="OO5" s="16"/>
      <c r="OP5" s="16"/>
      <c r="OQ5" s="16"/>
      <c r="OR5" s="16"/>
      <c r="OS5" s="16"/>
      <c r="OT5" s="16"/>
      <c r="OU5" s="16"/>
      <c r="OV5" s="16"/>
      <c r="OW5" s="16"/>
      <c r="OX5" s="16"/>
      <c r="OY5" s="16"/>
      <c r="OZ5" s="16"/>
      <c r="PA5" s="16"/>
      <c r="PB5" s="16"/>
      <c r="PC5" s="16"/>
      <c r="PD5" s="16"/>
      <c r="PE5" s="16"/>
      <c r="PF5" s="16"/>
      <c r="PG5" s="16"/>
      <c r="PH5" s="16"/>
      <c r="PI5" s="16"/>
      <c r="PJ5" s="16"/>
      <c r="PK5" s="16"/>
      <c r="PL5" s="16"/>
      <c r="PM5" s="16"/>
      <c r="PN5" s="16"/>
      <c r="PO5" s="16"/>
      <c r="PP5" s="16"/>
      <c r="PQ5" s="16"/>
      <c r="PR5" s="16"/>
      <c r="PS5" s="16"/>
      <c r="PT5" s="16"/>
      <c r="PU5" s="16"/>
      <c r="PV5" s="16"/>
      <c r="PW5" s="16"/>
      <c r="PX5" s="16"/>
      <c r="PY5" s="16"/>
      <c r="PZ5" s="16"/>
      <c r="QA5" s="16"/>
      <c r="QB5" s="16"/>
      <c r="QC5" s="16"/>
      <c r="QD5" s="16"/>
      <c r="QE5" s="16"/>
      <c r="QF5" s="16"/>
      <c r="QG5" s="16"/>
      <c r="QH5" s="16"/>
      <c r="QI5" s="16"/>
      <c r="QJ5" s="16"/>
      <c r="QK5" s="16"/>
      <c r="QL5" s="16"/>
      <c r="QM5" s="16"/>
      <c r="QN5" s="16"/>
      <c r="QO5" s="16"/>
      <c r="QP5" s="16"/>
      <c r="QQ5" s="16"/>
      <c r="QR5" s="16"/>
      <c r="QS5" s="16"/>
      <c r="QT5" s="16"/>
      <c r="QU5" s="16"/>
      <c r="QV5" s="16"/>
      <c r="QW5" s="16"/>
      <c r="QX5" s="16"/>
      <c r="QY5" s="16"/>
      <c r="QZ5" s="16"/>
      <c r="RA5" s="16"/>
      <c r="RB5" s="16"/>
      <c r="RC5" s="16"/>
      <c r="RD5" s="16"/>
      <c r="RE5" s="16"/>
      <c r="RF5" s="16"/>
      <c r="RG5" s="16"/>
      <c r="RH5" s="16"/>
      <c r="RI5" s="16"/>
      <c r="RJ5" s="16"/>
      <c r="RK5" s="16"/>
      <c r="RL5" s="16"/>
      <c r="RM5" s="16"/>
      <c r="RN5" s="16"/>
      <c r="RO5" s="16"/>
      <c r="RP5" s="16"/>
      <c r="RQ5" s="16"/>
      <c r="RR5" s="16"/>
      <c r="RS5" s="16"/>
      <c r="RT5" s="16"/>
      <c r="RU5" s="16"/>
      <c r="RV5" s="16"/>
      <c r="RW5" s="16"/>
      <c r="RX5" s="16"/>
      <c r="RY5" s="16"/>
      <c r="RZ5" s="16"/>
      <c r="SA5" s="16"/>
      <c r="SB5" s="16"/>
      <c r="SC5" s="16"/>
      <c r="SD5" s="16"/>
      <c r="SE5" s="16"/>
      <c r="SF5" s="16"/>
      <c r="SG5" s="16"/>
      <c r="SH5" s="16"/>
      <c r="SI5" s="16"/>
      <c r="SJ5" s="16"/>
      <c r="SK5" s="16"/>
      <c r="SL5" s="16"/>
      <c r="SM5" s="16"/>
      <c r="SN5" s="16"/>
      <c r="SO5" s="16"/>
      <c r="SP5" s="16"/>
      <c r="SQ5" s="16"/>
      <c r="SR5" s="16"/>
      <c r="SS5" s="16"/>
      <c r="ST5" s="16"/>
      <c r="SU5" s="16"/>
      <c r="SV5" s="16"/>
      <c r="SW5" s="16"/>
      <c r="SX5" s="16"/>
      <c r="SY5" s="16"/>
      <c r="SZ5" s="16"/>
      <c r="TA5" s="16"/>
      <c r="TB5" s="16"/>
      <c r="TC5" s="16"/>
      <c r="TD5" s="16"/>
      <c r="TE5" s="16"/>
      <c r="TF5" s="16"/>
      <c r="TG5" s="16"/>
      <c r="TH5" s="16"/>
      <c r="TI5" s="16"/>
      <c r="TJ5" s="16"/>
      <c r="TK5" s="16"/>
      <c r="TL5" s="16"/>
      <c r="TM5" s="16"/>
      <c r="TN5" s="16"/>
      <c r="TO5" s="16"/>
      <c r="TP5" s="16"/>
      <c r="TQ5" s="16"/>
      <c r="TR5" s="16"/>
      <c r="TS5" s="16"/>
      <c r="TT5" s="16"/>
      <c r="TU5" s="16"/>
      <c r="TV5" s="16"/>
      <c r="TW5" s="16"/>
      <c r="TX5" s="16"/>
      <c r="TY5" s="16"/>
      <c r="TZ5" s="16"/>
      <c r="UA5" s="16"/>
      <c r="UB5" s="16"/>
      <c r="UC5" s="16"/>
      <c r="UD5" s="16"/>
      <c r="UE5" s="16"/>
      <c r="UF5" s="16"/>
      <c r="UG5" s="16"/>
      <c r="UH5" s="16"/>
      <c r="UI5" s="16"/>
      <c r="UJ5" s="16"/>
      <c r="UK5" s="16"/>
      <c r="UL5" s="16"/>
      <c r="UM5" s="16"/>
      <c r="UN5" s="16"/>
      <c r="UO5" s="16"/>
      <c r="UP5" s="16"/>
      <c r="UQ5" s="16"/>
      <c r="UR5" s="16"/>
      <c r="US5" s="16"/>
      <c r="UT5" s="16"/>
      <c r="UU5" s="16"/>
      <c r="UV5" s="16"/>
      <c r="UW5" s="16"/>
      <c r="UX5" s="16"/>
      <c r="UY5" s="16"/>
      <c r="UZ5" s="16"/>
      <c r="VA5" s="16"/>
      <c r="VB5" s="16"/>
      <c r="VC5" s="16"/>
      <c r="VD5" s="16"/>
      <c r="VE5" s="16"/>
      <c r="VF5" s="16"/>
      <c r="VG5" s="16"/>
      <c r="VH5" s="16"/>
      <c r="VI5" s="16"/>
      <c r="VJ5" s="16"/>
      <c r="VK5" s="16"/>
      <c r="VL5" s="16"/>
      <c r="VM5" s="16"/>
      <c r="VN5" s="16"/>
      <c r="VO5" s="16"/>
      <c r="VP5" s="16"/>
      <c r="VQ5" s="16"/>
      <c r="VR5" s="16"/>
      <c r="VS5" s="16"/>
      <c r="VT5" s="16"/>
      <c r="VU5" s="16"/>
      <c r="VV5" s="16"/>
      <c r="VW5" s="16"/>
      <c r="VX5" s="16"/>
      <c r="VY5" s="16"/>
      <c r="VZ5" s="16"/>
      <c r="WA5" s="16"/>
      <c r="WB5" s="16"/>
      <c r="WC5" s="16"/>
      <c r="WD5" s="16"/>
      <c r="WE5" s="16"/>
      <c r="WF5" s="16"/>
      <c r="WG5" s="16"/>
      <c r="WH5" s="16"/>
      <c r="WI5" s="16"/>
      <c r="WJ5" s="16"/>
      <c r="WK5" s="16"/>
      <c r="WL5" s="16"/>
      <c r="WM5" s="16"/>
      <c r="WN5" s="16"/>
      <c r="WO5" s="16"/>
      <c r="WP5" s="16"/>
      <c r="WQ5" s="16"/>
      <c r="WR5" s="16"/>
      <c r="WS5" s="16"/>
      <c r="WT5" s="16"/>
      <c r="WU5" s="16"/>
      <c r="WV5" s="16"/>
      <c r="WW5" s="16"/>
      <c r="WX5" s="16"/>
      <c r="WY5" s="16"/>
      <c r="WZ5" s="16"/>
      <c r="XA5" s="16"/>
      <c r="XB5" s="16"/>
      <c r="XC5" s="16"/>
      <c r="XD5" s="16"/>
      <c r="XE5" s="16"/>
      <c r="XF5" s="16"/>
      <c r="XG5" s="16"/>
      <c r="XH5" s="16"/>
      <c r="XI5" s="16"/>
      <c r="XJ5" s="16"/>
      <c r="XK5" s="16"/>
      <c r="XL5" s="16"/>
      <c r="XM5" s="16"/>
      <c r="XN5" s="16"/>
      <c r="XO5" s="16"/>
      <c r="XP5" s="16"/>
      <c r="XQ5" s="16"/>
      <c r="XR5" s="16"/>
      <c r="XS5" s="16"/>
      <c r="XT5" s="16"/>
      <c r="XU5" s="16"/>
      <c r="XV5" s="16"/>
      <c r="XW5" s="16"/>
      <c r="XX5" s="16"/>
      <c r="XY5" s="16"/>
      <c r="XZ5" s="16"/>
      <c r="YA5" s="16"/>
      <c r="YB5" s="16"/>
      <c r="YC5" s="16"/>
      <c r="YD5" s="16"/>
      <c r="YE5" s="16"/>
      <c r="YF5" s="16"/>
      <c r="YG5" s="16"/>
      <c r="YH5" s="16"/>
      <c r="YI5" s="16"/>
      <c r="YJ5" s="16"/>
      <c r="YK5" s="16"/>
      <c r="YL5" s="16"/>
      <c r="YM5" s="16"/>
      <c r="YN5" s="16"/>
      <c r="YO5" s="16"/>
      <c r="YP5" s="16"/>
      <c r="YQ5" s="16"/>
      <c r="YR5" s="16"/>
      <c r="YS5" s="16"/>
      <c r="YT5" s="16"/>
      <c r="YU5" s="16"/>
      <c r="YV5" s="16"/>
      <c r="YW5" s="16"/>
      <c r="YX5" s="16"/>
      <c r="YY5" s="16"/>
      <c r="YZ5" s="16"/>
      <c r="ZA5" s="16"/>
      <c r="ZB5" s="16"/>
      <c r="ZC5" s="16"/>
      <c r="ZD5" s="16"/>
      <c r="ZE5" s="16"/>
      <c r="ZF5" s="16"/>
      <c r="ZG5" s="16"/>
      <c r="ZH5" s="16"/>
      <c r="ZI5" s="16"/>
      <c r="ZJ5" s="16"/>
      <c r="ZK5" s="16"/>
      <c r="ZL5" s="16"/>
      <c r="ZM5" s="16"/>
      <c r="ZN5" s="16"/>
      <c r="ZO5" s="16"/>
      <c r="ZP5" s="16"/>
      <c r="ZQ5" s="16"/>
      <c r="ZR5" s="16"/>
      <c r="ZS5" s="16"/>
      <c r="ZT5" s="16"/>
      <c r="ZU5" s="16"/>
      <c r="ZV5" s="16"/>
      <c r="ZW5" s="16"/>
      <c r="ZX5" s="16"/>
      <c r="ZY5" s="16"/>
      <c r="ZZ5" s="16"/>
      <c r="AAA5" s="16"/>
      <c r="AAB5" s="16"/>
      <c r="AAC5" s="16"/>
      <c r="AAD5" s="16"/>
      <c r="AAE5" s="16"/>
      <c r="AAF5" s="16"/>
      <c r="AAG5" s="16"/>
      <c r="AAH5" s="16"/>
      <c r="AAI5" s="16"/>
      <c r="AAJ5" s="16"/>
      <c r="AAK5" s="16"/>
      <c r="AAL5" s="16"/>
      <c r="AAM5" s="16"/>
      <c r="AAN5" s="16"/>
      <c r="AAO5" s="16"/>
      <c r="AAP5" s="16"/>
      <c r="AAQ5" s="16"/>
      <c r="AAR5" s="16"/>
      <c r="AAS5" s="16"/>
      <c r="AAT5" s="16"/>
      <c r="AAU5" s="16"/>
      <c r="AAV5" s="16"/>
      <c r="AAW5" s="16"/>
      <c r="AAX5" s="16"/>
      <c r="AAY5" s="16"/>
      <c r="AAZ5" s="16"/>
      <c r="ABA5" s="16"/>
      <c r="ABB5" s="16"/>
      <c r="ABC5" s="16"/>
      <c r="ABD5" s="16"/>
      <c r="ABE5" s="16"/>
      <c r="ABF5" s="16"/>
      <c r="ABG5" s="16"/>
      <c r="ABH5" s="16"/>
      <c r="ABI5" s="16"/>
      <c r="ABJ5" s="16"/>
      <c r="ABK5" s="16"/>
      <c r="ABL5" s="16"/>
      <c r="ABM5" s="16"/>
      <c r="ABN5" s="16"/>
      <c r="ABO5" s="16"/>
      <c r="ABP5" s="16"/>
      <c r="ABQ5" s="16"/>
      <c r="ABR5" s="16"/>
      <c r="ABS5" s="16"/>
      <c r="ABT5" s="16"/>
      <c r="ABU5" s="16"/>
      <c r="ABV5" s="16"/>
      <c r="ABW5" s="16"/>
      <c r="ABX5" s="16"/>
      <c r="ABY5" s="16"/>
      <c r="ABZ5" s="16"/>
      <c r="ACA5" s="16"/>
      <c r="ACB5" s="16"/>
    </row>
    <row r="6" spans="1:1940" s="12" customFormat="1" ht="15" customHeight="1" thickBot="1">
      <c r="B6" s="327"/>
      <c r="C6" s="327"/>
      <c r="D6" s="327"/>
      <c r="E6" s="327"/>
      <c r="F6" s="327"/>
      <c r="G6" s="328"/>
      <c r="H6" s="365" t="s">
        <v>48</v>
      </c>
      <c r="I6" s="366"/>
      <c r="J6" s="367"/>
      <c r="K6" s="394"/>
      <c r="L6" s="394"/>
      <c r="M6" s="197"/>
      <c r="N6" s="16"/>
      <c r="O6" s="16"/>
      <c r="P6" s="333" t="str">
        <f ca="1">CONCATENATE(V6,W6,X6,Y6,Z6,AA6,AB6,AC6,AD6)</f>
        <v>PH1047005010922859</v>
      </c>
      <c r="Q6" s="333"/>
      <c r="R6" s="333"/>
      <c r="S6" s="333"/>
      <c r="T6" s="333"/>
      <c r="U6" s="43" t="s">
        <v>293</v>
      </c>
      <c r="V6" s="151" t="s">
        <v>400</v>
      </c>
      <c r="W6" s="151">
        <v>10470050</v>
      </c>
      <c r="X6" s="151">
        <f>N3*10</f>
        <v>10</v>
      </c>
      <c r="Y6" s="151">
        <f ca="1">MONTH(H50)</f>
        <v>9</v>
      </c>
      <c r="Z6" s="16">
        <v>22</v>
      </c>
      <c r="AA6" s="151">
        <f>R3</f>
        <v>8</v>
      </c>
      <c r="AB6" s="152">
        <f>S3</f>
        <v>5</v>
      </c>
      <c r="AC6" s="151">
        <f>T3</f>
        <v>9</v>
      </c>
      <c r="AD6" s="151"/>
      <c r="AE6" s="151"/>
      <c r="AF6" s="151"/>
      <c r="AG6" s="152"/>
      <c r="AH6" s="208"/>
      <c r="AI6" s="208"/>
      <c r="CP6" s="12" t="s">
        <v>408</v>
      </c>
      <c r="DT6" s="12" t="s">
        <v>49</v>
      </c>
      <c r="DY6" s="12" t="s">
        <v>375</v>
      </c>
      <c r="DZ6" s="12">
        <v>19</v>
      </c>
      <c r="EA6" s="12">
        <f>IF(N3=4,1,0)*CH54</f>
        <v>0</v>
      </c>
      <c r="EF6" s="12">
        <v>20</v>
      </c>
      <c r="EG6" s="12">
        <f>IF(K10&gt;=1,1,0)</f>
        <v>0</v>
      </c>
      <c r="EH6" s="12">
        <f>IF(K10&lt;=60,1,0)</f>
        <v>1</v>
      </c>
      <c r="EI6" s="110">
        <f>EG6*EH6</f>
        <v>0</v>
      </c>
      <c r="EJ6" s="12">
        <f>EF6*EI6</f>
        <v>0</v>
      </c>
      <c r="EL6" s="105">
        <v>2000</v>
      </c>
      <c r="EO6" s="12">
        <v>0</v>
      </c>
      <c r="FF6" s="209"/>
      <c r="JB6" s="16"/>
      <c r="JC6" s="16"/>
      <c r="JD6" s="16"/>
      <c r="JE6" s="16"/>
      <c r="JF6" s="16"/>
      <c r="JG6" s="16"/>
      <c r="JH6" s="16"/>
      <c r="JI6" s="16"/>
      <c r="JJ6" s="16"/>
      <c r="JK6" s="16"/>
      <c r="JL6" s="16"/>
      <c r="JM6" s="16"/>
      <c r="JN6" s="16"/>
      <c r="JO6" s="16"/>
      <c r="JP6" s="16"/>
      <c r="JQ6" s="16"/>
      <c r="JR6" s="16"/>
      <c r="JS6" s="16"/>
      <c r="JT6" s="16"/>
      <c r="JU6" s="16"/>
      <c r="JV6" s="16"/>
      <c r="JW6" s="16"/>
      <c r="JX6" s="16"/>
      <c r="JY6" s="16"/>
      <c r="JZ6" s="16"/>
      <c r="KA6" s="16"/>
      <c r="KB6" s="16"/>
      <c r="KC6" s="16"/>
      <c r="KD6" s="16"/>
      <c r="KE6" s="16"/>
      <c r="KF6" s="16"/>
      <c r="KG6" s="16"/>
      <c r="KH6" s="16"/>
      <c r="KI6" s="16"/>
      <c r="KJ6" s="16"/>
      <c r="KK6" s="16"/>
      <c r="KL6" s="16"/>
      <c r="KM6" s="16"/>
      <c r="KN6" s="16"/>
      <c r="KO6" s="16"/>
      <c r="KP6" s="16"/>
      <c r="KQ6" s="16"/>
      <c r="KR6" s="16"/>
      <c r="KS6" s="16"/>
      <c r="KT6" s="16"/>
      <c r="KU6" s="16"/>
      <c r="KV6" s="16"/>
      <c r="KW6" s="16"/>
      <c r="KX6" s="16"/>
      <c r="KY6" s="16"/>
      <c r="KZ6" s="16"/>
      <c r="LA6" s="16"/>
      <c r="LB6" s="16"/>
      <c r="LC6" s="16"/>
      <c r="LD6" s="16"/>
      <c r="LE6" s="16"/>
      <c r="LF6" s="16"/>
      <c r="LG6" s="16"/>
      <c r="LH6" s="16"/>
      <c r="LI6" s="16"/>
      <c r="LJ6" s="16"/>
      <c r="LK6" s="16"/>
      <c r="LL6" s="16"/>
      <c r="LM6" s="16"/>
      <c r="LN6" s="16"/>
      <c r="LO6" s="16"/>
      <c r="LP6" s="16"/>
      <c r="LQ6" s="16"/>
      <c r="LR6" s="16"/>
      <c r="LS6" s="16"/>
      <c r="LT6" s="16"/>
      <c r="LU6" s="16"/>
      <c r="LV6" s="16"/>
      <c r="LW6" s="16"/>
      <c r="LX6" s="16"/>
      <c r="LY6" s="16"/>
      <c r="LZ6" s="16"/>
      <c r="MA6" s="16"/>
      <c r="MB6" s="16"/>
      <c r="MC6" s="16"/>
      <c r="MD6" s="16"/>
      <c r="ME6" s="16"/>
      <c r="MF6" s="16"/>
      <c r="MG6" s="16"/>
      <c r="MH6" s="16"/>
      <c r="MI6" s="16"/>
      <c r="MJ6" s="16"/>
      <c r="MK6" s="16"/>
      <c r="ML6" s="16"/>
      <c r="MM6" s="16"/>
      <c r="MN6" s="16"/>
      <c r="MO6" s="16"/>
      <c r="MP6" s="16"/>
      <c r="MQ6" s="16"/>
      <c r="MR6" s="16"/>
      <c r="MS6" s="16"/>
      <c r="MT6" s="16"/>
      <c r="MU6" s="16"/>
      <c r="MV6" s="16"/>
      <c r="MW6" s="16"/>
      <c r="MX6" s="16"/>
      <c r="MY6" s="16"/>
      <c r="MZ6" s="16"/>
      <c r="NA6" s="16"/>
      <c r="NB6" s="16"/>
      <c r="NC6" s="16"/>
      <c r="ND6" s="16"/>
      <c r="NE6" s="16"/>
      <c r="NF6" s="16"/>
      <c r="NG6" s="16"/>
      <c r="NH6" s="16"/>
      <c r="NI6" s="16"/>
      <c r="NJ6" s="16"/>
      <c r="NK6" s="16"/>
      <c r="NL6" s="16"/>
      <c r="NM6" s="16"/>
      <c r="NN6" s="16"/>
      <c r="NO6" s="16"/>
      <c r="NP6" s="16"/>
      <c r="NQ6" s="16"/>
      <c r="NR6" s="16"/>
      <c r="NS6" s="16"/>
      <c r="NT6" s="16"/>
      <c r="NU6" s="16"/>
      <c r="NV6" s="16"/>
      <c r="NW6" s="16"/>
      <c r="NX6" s="16"/>
      <c r="NY6" s="16"/>
      <c r="NZ6" s="16"/>
      <c r="OA6" s="16"/>
      <c r="OB6" s="16"/>
      <c r="OC6" s="16"/>
      <c r="OD6" s="16"/>
      <c r="OE6" s="16"/>
      <c r="OF6" s="16"/>
      <c r="OG6" s="16"/>
      <c r="OH6" s="16"/>
      <c r="OI6" s="16"/>
      <c r="OJ6" s="16"/>
      <c r="OK6" s="16"/>
      <c r="OL6" s="16"/>
      <c r="OM6" s="16"/>
      <c r="ON6" s="16"/>
      <c r="OO6" s="16"/>
      <c r="OP6" s="16"/>
      <c r="OQ6" s="16"/>
      <c r="OR6" s="16"/>
      <c r="OS6" s="16"/>
      <c r="OT6" s="16"/>
      <c r="OU6" s="16"/>
      <c r="OV6" s="16"/>
      <c r="OW6" s="16"/>
      <c r="OX6" s="16"/>
      <c r="OY6" s="16"/>
      <c r="OZ6" s="16"/>
      <c r="PA6" s="16"/>
      <c r="PB6" s="16"/>
      <c r="PC6" s="16"/>
      <c r="PD6" s="16"/>
      <c r="PE6" s="16"/>
      <c r="PF6" s="16"/>
      <c r="PG6" s="16"/>
      <c r="PH6" s="16"/>
      <c r="PI6" s="16"/>
      <c r="PJ6" s="16"/>
      <c r="PK6" s="16"/>
      <c r="PL6" s="16"/>
      <c r="PM6" s="16"/>
      <c r="PN6" s="16"/>
      <c r="PO6" s="16"/>
      <c r="PP6" s="16"/>
      <c r="PQ6" s="16"/>
      <c r="PR6" s="16"/>
      <c r="PS6" s="16"/>
      <c r="PT6" s="16"/>
      <c r="PU6" s="16"/>
      <c r="PV6" s="16"/>
      <c r="PW6" s="16"/>
      <c r="PX6" s="16"/>
      <c r="PY6" s="16"/>
      <c r="PZ6" s="16"/>
      <c r="QA6" s="16"/>
      <c r="QB6" s="16"/>
      <c r="QC6" s="16"/>
      <c r="QD6" s="16"/>
      <c r="QE6" s="16"/>
      <c r="QF6" s="16"/>
      <c r="QG6" s="16"/>
      <c r="QH6" s="16"/>
      <c r="QI6" s="16"/>
      <c r="QJ6" s="16"/>
      <c r="QK6" s="16"/>
      <c r="QL6" s="16"/>
      <c r="QM6" s="16"/>
      <c r="QN6" s="16"/>
      <c r="QO6" s="16"/>
      <c r="QP6" s="16"/>
      <c r="QQ6" s="16"/>
      <c r="QR6" s="16"/>
      <c r="QS6" s="16"/>
      <c r="QT6" s="16"/>
      <c r="QU6" s="16"/>
      <c r="QV6" s="16"/>
      <c r="QW6" s="16"/>
      <c r="QX6" s="16"/>
      <c r="QY6" s="16"/>
      <c r="QZ6" s="16"/>
      <c r="RA6" s="16"/>
      <c r="RB6" s="16"/>
      <c r="RC6" s="16"/>
      <c r="RD6" s="16"/>
      <c r="RE6" s="16"/>
      <c r="RF6" s="16"/>
      <c r="RG6" s="16"/>
      <c r="RH6" s="16"/>
      <c r="RI6" s="16"/>
      <c r="RJ6" s="16"/>
      <c r="RK6" s="16"/>
      <c r="RL6" s="16"/>
      <c r="RM6" s="16"/>
      <c r="RN6" s="16"/>
      <c r="RO6" s="16"/>
      <c r="RP6" s="16"/>
      <c r="RQ6" s="16"/>
      <c r="RR6" s="16"/>
      <c r="RS6" s="16"/>
      <c r="RT6" s="16"/>
      <c r="RU6" s="16"/>
      <c r="RV6" s="16"/>
      <c r="RW6" s="16"/>
      <c r="RX6" s="16"/>
      <c r="RY6" s="16"/>
      <c r="RZ6" s="16"/>
      <c r="SA6" s="16"/>
      <c r="SB6" s="16"/>
      <c r="SC6" s="16"/>
      <c r="SD6" s="16"/>
      <c r="SE6" s="16"/>
      <c r="SF6" s="16"/>
      <c r="SG6" s="16"/>
      <c r="SH6" s="16"/>
      <c r="SI6" s="16"/>
      <c r="SJ6" s="16"/>
      <c r="SK6" s="16"/>
      <c r="SL6" s="16"/>
      <c r="SM6" s="16"/>
      <c r="SN6" s="16"/>
      <c r="SO6" s="16"/>
      <c r="SP6" s="16"/>
      <c r="SQ6" s="16"/>
      <c r="SR6" s="16"/>
      <c r="SS6" s="16"/>
      <c r="ST6" s="16"/>
      <c r="SU6" s="16"/>
      <c r="SV6" s="16"/>
      <c r="SW6" s="16"/>
      <c r="SX6" s="16"/>
      <c r="SY6" s="16"/>
      <c r="SZ6" s="16"/>
      <c r="TA6" s="16"/>
      <c r="TB6" s="16"/>
      <c r="TC6" s="16"/>
      <c r="TD6" s="16"/>
      <c r="TE6" s="16"/>
      <c r="TF6" s="16"/>
      <c r="TG6" s="16"/>
      <c r="TH6" s="16"/>
      <c r="TI6" s="16"/>
      <c r="TJ6" s="16"/>
      <c r="TK6" s="16"/>
      <c r="TL6" s="16"/>
      <c r="TM6" s="16"/>
      <c r="TN6" s="16"/>
      <c r="TO6" s="16"/>
      <c r="TP6" s="16"/>
      <c r="TQ6" s="16"/>
      <c r="TR6" s="16"/>
      <c r="TS6" s="16"/>
      <c r="TT6" s="16"/>
      <c r="TU6" s="16"/>
      <c r="TV6" s="16"/>
      <c r="TW6" s="16"/>
      <c r="TX6" s="16"/>
      <c r="TY6" s="16"/>
      <c r="TZ6" s="16"/>
      <c r="UA6" s="16"/>
      <c r="UB6" s="16"/>
      <c r="UC6" s="16"/>
      <c r="UD6" s="16"/>
      <c r="UE6" s="16"/>
      <c r="UF6" s="16"/>
      <c r="UG6" s="16"/>
      <c r="UH6" s="16"/>
      <c r="UI6" s="16"/>
      <c r="UJ6" s="16"/>
      <c r="UK6" s="16"/>
      <c r="UL6" s="16"/>
      <c r="UM6" s="16"/>
      <c r="UN6" s="16"/>
      <c r="UO6" s="16"/>
      <c r="UP6" s="16"/>
      <c r="UQ6" s="16"/>
      <c r="UR6" s="16"/>
      <c r="US6" s="16"/>
      <c r="UT6" s="16"/>
      <c r="UU6" s="16"/>
      <c r="UV6" s="16"/>
      <c r="UW6" s="16"/>
      <c r="UX6" s="16"/>
      <c r="UY6" s="16"/>
      <c r="UZ6" s="16"/>
      <c r="VA6" s="16"/>
      <c r="VB6" s="16"/>
      <c r="VC6" s="16"/>
      <c r="VD6" s="16"/>
      <c r="VE6" s="16"/>
      <c r="VF6" s="16"/>
      <c r="VG6" s="16"/>
      <c r="VH6" s="16"/>
      <c r="VI6" s="16"/>
      <c r="VJ6" s="16"/>
      <c r="VK6" s="16"/>
      <c r="VL6" s="16"/>
      <c r="VM6" s="16"/>
      <c r="VN6" s="16"/>
      <c r="VO6" s="16"/>
      <c r="VP6" s="16"/>
      <c r="VQ6" s="16"/>
      <c r="VR6" s="16"/>
      <c r="VS6" s="16"/>
      <c r="VT6" s="16"/>
      <c r="VU6" s="16"/>
      <c r="VV6" s="16"/>
      <c r="VW6" s="16"/>
      <c r="VX6" s="16"/>
      <c r="VY6" s="16"/>
      <c r="VZ6" s="16"/>
      <c r="WA6" s="16"/>
      <c r="WB6" s="16"/>
      <c r="WC6" s="16"/>
      <c r="WD6" s="16"/>
      <c r="WE6" s="16"/>
      <c r="WF6" s="16"/>
      <c r="WG6" s="16"/>
      <c r="WH6" s="16"/>
      <c r="WI6" s="16"/>
      <c r="WJ6" s="16"/>
      <c r="WK6" s="16"/>
      <c r="WL6" s="16"/>
      <c r="WM6" s="16"/>
      <c r="WN6" s="16"/>
      <c r="WO6" s="16"/>
      <c r="WP6" s="16"/>
      <c r="WQ6" s="16"/>
      <c r="WR6" s="16"/>
      <c r="WS6" s="16"/>
      <c r="WT6" s="16"/>
      <c r="WU6" s="16"/>
      <c r="WV6" s="16"/>
      <c r="WW6" s="16"/>
      <c r="WX6" s="16"/>
      <c r="WY6" s="16"/>
      <c r="WZ6" s="16"/>
      <c r="XA6" s="16"/>
      <c r="XB6" s="16"/>
      <c r="XC6" s="16"/>
      <c r="XD6" s="16"/>
      <c r="XE6" s="16"/>
      <c r="XF6" s="16"/>
      <c r="XG6" s="16"/>
      <c r="XH6" s="16"/>
      <c r="XI6" s="16"/>
      <c r="XJ6" s="16"/>
      <c r="XK6" s="16"/>
      <c r="XL6" s="16"/>
      <c r="XM6" s="16"/>
      <c r="XN6" s="16"/>
      <c r="XO6" s="16"/>
      <c r="XP6" s="16"/>
      <c r="XQ6" s="16"/>
      <c r="XR6" s="16"/>
      <c r="XS6" s="16"/>
      <c r="XT6" s="16"/>
      <c r="XU6" s="16"/>
      <c r="XV6" s="16"/>
      <c r="XW6" s="16"/>
      <c r="XX6" s="16"/>
      <c r="XY6" s="16"/>
      <c r="XZ6" s="16"/>
      <c r="YA6" s="16"/>
      <c r="YB6" s="16"/>
      <c r="YC6" s="16"/>
      <c r="YD6" s="16"/>
      <c r="YE6" s="16"/>
      <c r="YF6" s="16"/>
      <c r="YG6" s="16"/>
      <c r="YH6" s="16"/>
      <c r="YI6" s="16"/>
      <c r="YJ6" s="16"/>
      <c r="YK6" s="16"/>
      <c r="YL6" s="16"/>
      <c r="YM6" s="16"/>
      <c r="YN6" s="16"/>
      <c r="YO6" s="16"/>
      <c r="YP6" s="16"/>
      <c r="YQ6" s="16"/>
      <c r="YR6" s="16"/>
      <c r="YS6" s="16"/>
      <c r="YT6" s="16"/>
      <c r="YU6" s="16"/>
      <c r="YV6" s="16"/>
      <c r="YW6" s="16"/>
      <c r="YX6" s="16"/>
      <c r="YY6" s="16"/>
      <c r="YZ6" s="16"/>
      <c r="ZA6" s="16"/>
      <c r="ZB6" s="16"/>
      <c r="ZC6" s="16"/>
      <c r="ZD6" s="16"/>
      <c r="ZE6" s="16"/>
      <c r="ZF6" s="16"/>
      <c r="ZG6" s="16"/>
      <c r="ZH6" s="16"/>
      <c r="ZI6" s="16"/>
      <c r="ZJ6" s="16"/>
      <c r="ZK6" s="16"/>
      <c r="ZL6" s="16"/>
      <c r="ZM6" s="16"/>
      <c r="ZN6" s="16"/>
      <c r="ZO6" s="16"/>
      <c r="ZP6" s="16"/>
      <c r="ZQ6" s="16"/>
      <c r="ZR6" s="16"/>
      <c r="ZS6" s="16"/>
      <c r="ZT6" s="16"/>
      <c r="ZU6" s="16"/>
      <c r="ZV6" s="16"/>
      <c r="ZW6" s="16"/>
      <c r="ZX6" s="16"/>
      <c r="ZY6" s="16"/>
      <c r="ZZ6" s="16"/>
      <c r="AAA6" s="16"/>
      <c r="AAB6" s="16"/>
      <c r="AAC6" s="16"/>
      <c r="AAD6" s="16"/>
      <c r="AAE6" s="16"/>
      <c r="AAF6" s="16"/>
      <c r="AAG6" s="16"/>
      <c r="AAH6" s="16"/>
      <c r="AAI6" s="16"/>
      <c r="AAJ6" s="16"/>
      <c r="AAK6" s="16"/>
      <c r="AAL6" s="16"/>
      <c r="AAM6" s="16"/>
      <c r="AAN6" s="16"/>
      <c r="AAO6" s="16"/>
      <c r="AAP6" s="16"/>
      <c r="AAQ6" s="16"/>
      <c r="AAR6" s="16"/>
      <c r="AAS6" s="16"/>
      <c r="AAT6" s="16"/>
      <c r="AAU6" s="16"/>
      <c r="AAV6" s="16"/>
      <c r="AAW6" s="16"/>
      <c r="AAX6" s="16"/>
      <c r="AAY6" s="16"/>
      <c r="AAZ6" s="16"/>
      <c r="ABA6" s="16"/>
      <c r="ABB6" s="16"/>
      <c r="ABC6" s="16"/>
      <c r="ABD6" s="16"/>
      <c r="ABE6" s="16"/>
      <c r="ABF6" s="16"/>
      <c r="ABG6" s="16"/>
      <c r="ABH6" s="16"/>
      <c r="ABI6" s="16"/>
      <c r="ABJ6" s="16"/>
      <c r="ABK6" s="16"/>
      <c r="ABL6" s="16"/>
      <c r="ABM6" s="16"/>
      <c r="ABN6" s="16"/>
      <c r="ABO6" s="16"/>
      <c r="ABP6" s="16"/>
      <c r="ABQ6" s="16"/>
      <c r="ABR6" s="16"/>
      <c r="ABS6" s="16"/>
      <c r="ABT6" s="16"/>
      <c r="ABU6" s="16"/>
      <c r="ABV6" s="16"/>
      <c r="ABW6" s="16"/>
      <c r="ABX6" s="16"/>
      <c r="ABY6" s="16"/>
      <c r="ABZ6" s="16"/>
      <c r="ACA6" s="16"/>
      <c r="ACB6" s="16"/>
    </row>
    <row r="7" spans="1:1940" s="12" customFormat="1" ht="12" customHeight="1" thickBot="1">
      <c r="B7" s="368"/>
      <c r="C7" s="368"/>
      <c r="D7" s="368"/>
      <c r="E7" s="368"/>
      <c r="F7" s="368"/>
      <c r="G7" s="369"/>
      <c r="H7" s="370" t="s">
        <v>50</v>
      </c>
      <c r="I7" s="371"/>
      <c r="J7" s="372"/>
      <c r="K7" s="432">
        <f>IF(F12="GMC ASSURANCES",P6,IF(F12="ATLANTIQUE ASSURANCES",S9,IF(F12="CPA ASSURANCES",P8,IF(F12="PRUDENTIAL BENEFICIAL",S9,IF(F12="AGC ASSURANCES",P5,0)))))</f>
        <v>0</v>
      </c>
      <c r="L7" s="432"/>
      <c r="M7" s="16"/>
      <c r="N7" s="16"/>
      <c r="O7" s="16"/>
      <c r="P7" s="333" t="str">
        <f>CONCATENATE(V7,W7,BY8,X7,Y7,Z7,AA7,AB7,AC7,AD7,AE7)</f>
        <v>A23ORLSAAR0100859</v>
      </c>
      <c r="Q7" s="333"/>
      <c r="R7" s="333"/>
      <c r="S7" s="333"/>
      <c r="T7" s="333"/>
      <c r="U7" s="43" t="s">
        <v>294</v>
      </c>
      <c r="V7" s="151" t="str">
        <f>K3</f>
        <v>A23</v>
      </c>
      <c r="W7" s="151" t="str">
        <f>Z4</f>
        <v>OR</v>
      </c>
      <c r="X7" s="151" t="s">
        <v>289</v>
      </c>
      <c r="Y7" s="151">
        <f>M3</f>
        <v>0</v>
      </c>
      <c r="Z7" s="151">
        <f>N3</f>
        <v>1</v>
      </c>
      <c r="AA7" s="151">
        <f>P3</f>
        <v>0</v>
      </c>
      <c r="AB7" s="151">
        <f>Q3</f>
        <v>0</v>
      </c>
      <c r="AC7" s="151">
        <f>R3</f>
        <v>8</v>
      </c>
      <c r="AD7" s="151">
        <f>S3</f>
        <v>5</v>
      </c>
      <c r="AE7" s="151">
        <f>T3</f>
        <v>9</v>
      </c>
      <c r="AF7" s="152"/>
      <c r="AG7" s="152"/>
      <c r="AH7" s="208"/>
      <c r="AI7" s="208"/>
      <c r="BM7" s="12" t="s">
        <v>51</v>
      </c>
      <c r="BN7" s="12" t="s">
        <v>52</v>
      </c>
      <c r="BO7" s="208" t="s">
        <v>53</v>
      </c>
      <c r="BP7" s="208"/>
      <c r="BQ7" s="208"/>
      <c r="BR7" s="208"/>
      <c r="BS7" s="208" t="s">
        <v>54</v>
      </c>
      <c r="BT7" s="208" t="s">
        <v>55</v>
      </c>
      <c r="BU7" s="208" t="s">
        <v>56</v>
      </c>
      <c r="BV7" s="208"/>
      <c r="BW7" s="208"/>
      <c r="BX7" s="208"/>
      <c r="BY7" s="208"/>
      <c r="BZ7" s="208" t="s">
        <v>57</v>
      </c>
      <c r="CA7" s="208" t="s">
        <v>58</v>
      </c>
      <c r="CB7" s="208" t="s">
        <v>59</v>
      </c>
      <c r="CC7" s="208"/>
      <c r="CD7" s="208" t="s">
        <v>60</v>
      </c>
      <c r="CE7" s="208" t="s">
        <v>61</v>
      </c>
      <c r="CF7" s="208" t="s">
        <v>62</v>
      </c>
      <c r="CG7" s="208" t="s">
        <v>63</v>
      </c>
      <c r="CH7" s="208" t="s">
        <v>48</v>
      </c>
      <c r="CO7" s="211" t="s">
        <v>64</v>
      </c>
      <c r="CP7" s="211" t="s">
        <v>64</v>
      </c>
      <c r="CQ7" s="320" t="s">
        <v>65</v>
      </c>
      <c r="CR7" s="320"/>
      <c r="CS7" s="320"/>
      <c r="CT7" s="320"/>
      <c r="CU7" s="320"/>
      <c r="CW7" s="320" t="s">
        <v>64</v>
      </c>
      <c r="CX7" s="320"/>
      <c r="CY7" s="320"/>
      <c r="CZ7" s="320"/>
      <c r="DA7" s="320"/>
      <c r="DB7" s="320"/>
      <c r="DC7" s="320"/>
      <c r="DD7" s="320"/>
      <c r="DE7" s="320"/>
      <c r="DF7" s="12" t="s">
        <v>66</v>
      </c>
      <c r="DG7" s="12" t="s">
        <v>67</v>
      </c>
      <c r="DH7" s="12" t="s">
        <v>68</v>
      </c>
      <c r="DN7" s="208" t="s">
        <v>53</v>
      </c>
      <c r="DT7" s="12" t="s">
        <v>366</v>
      </c>
      <c r="DV7" s="12" t="s">
        <v>70</v>
      </c>
      <c r="DY7" s="12" t="s">
        <v>376</v>
      </c>
      <c r="DZ7" s="12">
        <v>18</v>
      </c>
      <c r="EA7" s="12">
        <f>IF(N3=4,0,1)</f>
        <v>1</v>
      </c>
      <c r="EF7" s="12">
        <v>40</v>
      </c>
      <c r="EG7" s="12">
        <f>IF(K10&gt;60,1,0)</f>
        <v>0</v>
      </c>
      <c r="EH7" s="12">
        <f>IF(K10&lt;=120,1,0)</f>
        <v>1</v>
      </c>
      <c r="EI7" s="110">
        <f>EG7*EH7</f>
        <v>0</v>
      </c>
      <c r="EJ7" s="12">
        <f>EF7*EI7</f>
        <v>0</v>
      </c>
      <c r="EL7" s="105">
        <v>15000</v>
      </c>
      <c r="EO7" s="12" t="s">
        <v>304</v>
      </c>
      <c r="FF7" s="209"/>
      <c r="JB7" s="16"/>
      <c r="JC7" s="16"/>
      <c r="JD7" s="16"/>
      <c r="JE7" s="16"/>
      <c r="JF7" s="16"/>
      <c r="JG7" s="16"/>
      <c r="JH7" s="16"/>
      <c r="JI7" s="16"/>
      <c r="JJ7" s="16"/>
      <c r="JK7" s="16"/>
      <c r="JL7" s="16"/>
      <c r="JM7" s="16"/>
      <c r="JN7" s="16"/>
      <c r="JO7" s="16"/>
      <c r="JP7" s="16"/>
      <c r="JQ7" s="16"/>
      <c r="JR7" s="16"/>
      <c r="JS7" s="16"/>
      <c r="JT7" s="16"/>
      <c r="JU7" s="16"/>
      <c r="JV7" s="16"/>
      <c r="JW7" s="16"/>
      <c r="JX7" s="16"/>
      <c r="JY7" s="16"/>
      <c r="JZ7" s="16"/>
      <c r="KA7" s="16"/>
      <c r="KB7" s="16"/>
      <c r="KC7" s="16"/>
      <c r="KD7" s="16"/>
      <c r="KE7" s="16"/>
      <c r="KF7" s="16"/>
      <c r="KG7" s="16"/>
      <c r="KH7" s="16"/>
      <c r="KI7" s="16"/>
      <c r="KJ7" s="16"/>
      <c r="KK7" s="16"/>
      <c r="KL7" s="16"/>
      <c r="KM7" s="16"/>
      <c r="KN7" s="16"/>
      <c r="KO7" s="16"/>
      <c r="KP7" s="16"/>
      <c r="KQ7" s="16"/>
      <c r="KR7" s="16"/>
      <c r="KS7" s="16"/>
      <c r="KT7" s="16"/>
      <c r="KU7" s="16"/>
      <c r="KV7" s="16"/>
      <c r="KW7" s="16"/>
      <c r="KX7" s="16"/>
      <c r="KY7" s="16"/>
      <c r="KZ7" s="16"/>
      <c r="LA7" s="16"/>
      <c r="LB7" s="16"/>
      <c r="LC7" s="16"/>
      <c r="LD7" s="16"/>
      <c r="LE7" s="16"/>
      <c r="LF7" s="16"/>
      <c r="LG7" s="16"/>
      <c r="LH7" s="16"/>
      <c r="LI7" s="16"/>
      <c r="LJ7" s="16"/>
      <c r="LK7" s="16"/>
      <c r="LL7" s="16"/>
      <c r="LM7" s="16"/>
      <c r="LN7" s="16"/>
      <c r="LO7" s="16"/>
      <c r="LP7" s="16"/>
      <c r="LQ7" s="16"/>
      <c r="LR7" s="16"/>
      <c r="LS7" s="16"/>
      <c r="LT7" s="16"/>
      <c r="LU7" s="16"/>
      <c r="LV7" s="16"/>
      <c r="LW7" s="16"/>
      <c r="LX7" s="16"/>
      <c r="LY7" s="16"/>
      <c r="LZ7" s="16"/>
      <c r="MA7" s="16"/>
      <c r="MB7" s="16"/>
      <c r="MC7" s="16"/>
      <c r="MD7" s="16"/>
      <c r="ME7" s="16"/>
      <c r="MF7" s="16"/>
      <c r="MG7" s="16"/>
      <c r="MH7" s="16"/>
      <c r="MI7" s="16"/>
      <c r="MJ7" s="16"/>
      <c r="MK7" s="16"/>
      <c r="ML7" s="16"/>
      <c r="MM7" s="16"/>
      <c r="MN7" s="16"/>
      <c r="MO7" s="16"/>
      <c r="MP7" s="16"/>
      <c r="MQ7" s="16"/>
      <c r="MR7" s="16"/>
      <c r="MS7" s="16"/>
      <c r="MT7" s="16"/>
      <c r="MU7" s="16"/>
      <c r="MV7" s="16"/>
      <c r="MW7" s="16"/>
      <c r="MX7" s="16"/>
      <c r="MY7" s="16"/>
      <c r="MZ7" s="16"/>
      <c r="NA7" s="16"/>
      <c r="NB7" s="16"/>
      <c r="NC7" s="16"/>
      <c r="ND7" s="16"/>
      <c r="NE7" s="16"/>
      <c r="NF7" s="16"/>
      <c r="NG7" s="16"/>
      <c r="NH7" s="16"/>
      <c r="NI7" s="16"/>
      <c r="NJ7" s="16"/>
      <c r="NK7" s="16"/>
      <c r="NL7" s="16"/>
      <c r="NM7" s="16"/>
      <c r="NN7" s="16"/>
      <c r="NO7" s="16"/>
      <c r="NP7" s="16"/>
      <c r="NQ7" s="16"/>
      <c r="NR7" s="16"/>
      <c r="NS7" s="16"/>
      <c r="NT7" s="16"/>
      <c r="NU7" s="16"/>
      <c r="NV7" s="16"/>
      <c r="NW7" s="16"/>
      <c r="NX7" s="16"/>
      <c r="NY7" s="16"/>
      <c r="NZ7" s="16"/>
      <c r="OA7" s="16"/>
      <c r="OB7" s="16"/>
      <c r="OC7" s="16"/>
      <c r="OD7" s="16"/>
      <c r="OE7" s="16"/>
      <c r="OF7" s="16"/>
      <c r="OG7" s="16"/>
      <c r="OH7" s="16"/>
      <c r="OI7" s="16"/>
      <c r="OJ7" s="16"/>
      <c r="OK7" s="16"/>
      <c r="OL7" s="16"/>
      <c r="OM7" s="16"/>
      <c r="ON7" s="16"/>
      <c r="OO7" s="16"/>
      <c r="OP7" s="16"/>
      <c r="OQ7" s="16"/>
      <c r="OR7" s="16"/>
      <c r="OS7" s="16"/>
      <c r="OT7" s="16"/>
      <c r="OU7" s="16"/>
      <c r="OV7" s="16"/>
      <c r="OW7" s="16"/>
      <c r="OX7" s="16"/>
      <c r="OY7" s="16"/>
      <c r="OZ7" s="16"/>
      <c r="PA7" s="16"/>
      <c r="PB7" s="16"/>
      <c r="PC7" s="16"/>
      <c r="PD7" s="16"/>
      <c r="PE7" s="16"/>
      <c r="PF7" s="16"/>
      <c r="PG7" s="16"/>
      <c r="PH7" s="16"/>
      <c r="PI7" s="16"/>
      <c r="PJ7" s="16"/>
      <c r="PK7" s="16"/>
      <c r="PL7" s="16"/>
      <c r="PM7" s="16"/>
      <c r="PN7" s="16"/>
      <c r="PO7" s="16"/>
      <c r="PP7" s="16"/>
      <c r="PQ7" s="16"/>
      <c r="PR7" s="16"/>
      <c r="PS7" s="16"/>
      <c r="PT7" s="16"/>
      <c r="PU7" s="16"/>
      <c r="PV7" s="16"/>
      <c r="PW7" s="16"/>
      <c r="PX7" s="16"/>
      <c r="PY7" s="16"/>
      <c r="PZ7" s="16"/>
      <c r="QA7" s="16"/>
      <c r="QB7" s="16"/>
      <c r="QC7" s="16"/>
      <c r="QD7" s="16"/>
      <c r="QE7" s="16"/>
      <c r="QF7" s="16"/>
      <c r="QG7" s="16"/>
      <c r="QH7" s="16"/>
      <c r="QI7" s="16"/>
      <c r="QJ7" s="16"/>
      <c r="QK7" s="16"/>
      <c r="QL7" s="16"/>
      <c r="QM7" s="16"/>
      <c r="QN7" s="16"/>
      <c r="QO7" s="16"/>
      <c r="QP7" s="16"/>
      <c r="QQ7" s="16"/>
      <c r="QR7" s="16"/>
      <c r="QS7" s="16"/>
      <c r="QT7" s="16"/>
      <c r="QU7" s="16"/>
      <c r="QV7" s="16"/>
      <c r="QW7" s="16"/>
      <c r="QX7" s="16"/>
      <c r="QY7" s="16"/>
      <c r="QZ7" s="16"/>
      <c r="RA7" s="16"/>
      <c r="RB7" s="16"/>
      <c r="RC7" s="16"/>
      <c r="RD7" s="16"/>
      <c r="RE7" s="16"/>
      <c r="RF7" s="16"/>
      <c r="RG7" s="16"/>
      <c r="RH7" s="16"/>
      <c r="RI7" s="16"/>
      <c r="RJ7" s="16"/>
      <c r="RK7" s="16"/>
      <c r="RL7" s="16"/>
      <c r="RM7" s="16"/>
      <c r="RN7" s="16"/>
      <c r="RO7" s="16"/>
      <c r="RP7" s="16"/>
      <c r="RQ7" s="16"/>
      <c r="RR7" s="16"/>
      <c r="RS7" s="16"/>
      <c r="RT7" s="16"/>
      <c r="RU7" s="16"/>
      <c r="RV7" s="16"/>
      <c r="RW7" s="16"/>
      <c r="RX7" s="16"/>
      <c r="RY7" s="16"/>
      <c r="RZ7" s="16"/>
      <c r="SA7" s="16"/>
      <c r="SB7" s="16"/>
      <c r="SC7" s="16"/>
      <c r="SD7" s="16"/>
      <c r="SE7" s="16"/>
      <c r="SF7" s="16"/>
      <c r="SG7" s="16"/>
      <c r="SH7" s="16"/>
      <c r="SI7" s="16"/>
      <c r="SJ7" s="16"/>
      <c r="SK7" s="16"/>
      <c r="SL7" s="16"/>
      <c r="SM7" s="16"/>
      <c r="SN7" s="16"/>
      <c r="SO7" s="16"/>
      <c r="SP7" s="16"/>
      <c r="SQ7" s="16"/>
      <c r="SR7" s="16"/>
      <c r="SS7" s="16"/>
      <c r="ST7" s="16"/>
      <c r="SU7" s="16"/>
      <c r="SV7" s="16"/>
      <c r="SW7" s="16"/>
      <c r="SX7" s="16"/>
      <c r="SY7" s="16"/>
      <c r="SZ7" s="16"/>
      <c r="TA7" s="16"/>
      <c r="TB7" s="16"/>
      <c r="TC7" s="16"/>
      <c r="TD7" s="16"/>
      <c r="TE7" s="16"/>
      <c r="TF7" s="16"/>
      <c r="TG7" s="16"/>
      <c r="TH7" s="16"/>
      <c r="TI7" s="16"/>
      <c r="TJ7" s="16"/>
      <c r="TK7" s="16"/>
      <c r="TL7" s="16"/>
      <c r="TM7" s="16"/>
      <c r="TN7" s="16"/>
      <c r="TO7" s="16"/>
      <c r="TP7" s="16"/>
      <c r="TQ7" s="16"/>
      <c r="TR7" s="16"/>
      <c r="TS7" s="16"/>
      <c r="TT7" s="16"/>
      <c r="TU7" s="16"/>
      <c r="TV7" s="16"/>
      <c r="TW7" s="16"/>
      <c r="TX7" s="16"/>
      <c r="TY7" s="16"/>
      <c r="TZ7" s="16"/>
      <c r="UA7" s="16"/>
      <c r="UB7" s="16"/>
      <c r="UC7" s="16"/>
      <c r="UD7" s="16"/>
      <c r="UE7" s="16"/>
      <c r="UF7" s="16"/>
      <c r="UG7" s="16"/>
      <c r="UH7" s="16"/>
      <c r="UI7" s="16"/>
      <c r="UJ7" s="16"/>
      <c r="UK7" s="16"/>
      <c r="UL7" s="16"/>
      <c r="UM7" s="16"/>
      <c r="UN7" s="16"/>
      <c r="UO7" s="16"/>
      <c r="UP7" s="16"/>
      <c r="UQ7" s="16"/>
      <c r="UR7" s="16"/>
      <c r="US7" s="16"/>
      <c r="UT7" s="16"/>
      <c r="UU7" s="16"/>
      <c r="UV7" s="16"/>
      <c r="UW7" s="16"/>
      <c r="UX7" s="16"/>
      <c r="UY7" s="16"/>
      <c r="UZ7" s="16"/>
      <c r="VA7" s="16"/>
      <c r="VB7" s="16"/>
      <c r="VC7" s="16"/>
      <c r="VD7" s="16"/>
      <c r="VE7" s="16"/>
      <c r="VF7" s="16"/>
      <c r="VG7" s="16"/>
      <c r="VH7" s="16"/>
      <c r="VI7" s="16"/>
      <c r="VJ7" s="16"/>
      <c r="VK7" s="16"/>
      <c r="VL7" s="16"/>
      <c r="VM7" s="16"/>
      <c r="VN7" s="16"/>
      <c r="VO7" s="16"/>
      <c r="VP7" s="16"/>
      <c r="VQ7" s="16"/>
      <c r="VR7" s="16"/>
      <c r="VS7" s="16"/>
      <c r="VT7" s="16"/>
      <c r="VU7" s="16"/>
      <c r="VV7" s="16"/>
      <c r="VW7" s="16"/>
      <c r="VX7" s="16"/>
      <c r="VY7" s="16"/>
      <c r="VZ7" s="16"/>
      <c r="WA7" s="16"/>
      <c r="WB7" s="16"/>
      <c r="WC7" s="16"/>
      <c r="WD7" s="16"/>
      <c r="WE7" s="16"/>
      <c r="WF7" s="16"/>
      <c r="WG7" s="16"/>
      <c r="WH7" s="16"/>
      <c r="WI7" s="16"/>
      <c r="WJ7" s="16"/>
      <c r="WK7" s="16"/>
      <c r="WL7" s="16"/>
      <c r="WM7" s="16"/>
      <c r="WN7" s="16"/>
      <c r="WO7" s="16"/>
      <c r="WP7" s="16"/>
      <c r="WQ7" s="16"/>
      <c r="WR7" s="16"/>
      <c r="WS7" s="16"/>
      <c r="WT7" s="16"/>
      <c r="WU7" s="16"/>
      <c r="WV7" s="16"/>
      <c r="WW7" s="16"/>
      <c r="WX7" s="16"/>
      <c r="WY7" s="16"/>
      <c r="WZ7" s="16"/>
      <c r="XA7" s="16"/>
      <c r="XB7" s="16"/>
      <c r="XC7" s="16"/>
      <c r="XD7" s="16"/>
      <c r="XE7" s="16"/>
      <c r="XF7" s="16"/>
      <c r="XG7" s="16"/>
      <c r="XH7" s="16"/>
      <c r="XI7" s="16"/>
      <c r="XJ7" s="16"/>
      <c r="XK7" s="16"/>
      <c r="XL7" s="16"/>
      <c r="XM7" s="16"/>
      <c r="XN7" s="16"/>
      <c r="XO7" s="16"/>
      <c r="XP7" s="16"/>
      <c r="XQ7" s="16"/>
      <c r="XR7" s="16"/>
      <c r="XS7" s="16"/>
      <c r="XT7" s="16"/>
      <c r="XU7" s="16"/>
      <c r="XV7" s="16"/>
      <c r="XW7" s="16"/>
      <c r="XX7" s="16"/>
      <c r="XY7" s="16"/>
      <c r="XZ7" s="16"/>
      <c r="YA7" s="16"/>
      <c r="YB7" s="16"/>
      <c r="YC7" s="16"/>
      <c r="YD7" s="16"/>
      <c r="YE7" s="16"/>
      <c r="YF7" s="16"/>
      <c r="YG7" s="16"/>
      <c r="YH7" s="16"/>
      <c r="YI7" s="16"/>
      <c r="YJ7" s="16"/>
      <c r="YK7" s="16"/>
      <c r="YL7" s="16"/>
      <c r="YM7" s="16"/>
      <c r="YN7" s="16"/>
      <c r="YO7" s="16"/>
      <c r="YP7" s="16"/>
      <c r="YQ7" s="16"/>
      <c r="YR7" s="16"/>
      <c r="YS7" s="16"/>
      <c r="YT7" s="16"/>
      <c r="YU7" s="16"/>
      <c r="YV7" s="16"/>
      <c r="YW7" s="16"/>
      <c r="YX7" s="16"/>
      <c r="YY7" s="16"/>
      <c r="YZ7" s="16"/>
      <c r="ZA7" s="16"/>
      <c r="ZB7" s="16"/>
      <c r="ZC7" s="16"/>
      <c r="ZD7" s="16"/>
      <c r="ZE7" s="16"/>
      <c r="ZF7" s="16"/>
      <c r="ZG7" s="16"/>
      <c r="ZH7" s="16"/>
      <c r="ZI7" s="16"/>
      <c r="ZJ7" s="16"/>
      <c r="ZK7" s="16"/>
      <c r="ZL7" s="16"/>
      <c r="ZM7" s="16"/>
      <c r="ZN7" s="16"/>
      <c r="ZO7" s="16"/>
      <c r="ZP7" s="16"/>
      <c r="ZQ7" s="16"/>
      <c r="ZR7" s="16"/>
      <c r="ZS7" s="16"/>
      <c r="ZT7" s="16"/>
      <c r="ZU7" s="16"/>
      <c r="ZV7" s="16"/>
      <c r="ZW7" s="16"/>
      <c r="ZX7" s="16"/>
      <c r="ZY7" s="16"/>
      <c r="ZZ7" s="16"/>
      <c r="AAA7" s="16"/>
      <c r="AAB7" s="16"/>
      <c r="AAC7" s="16"/>
      <c r="AAD7" s="16"/>
      <c r="AAE7" s="16"/>
      <c r="AAF7" s="16"/>
      <c r="AAG7" s="16"/>
      <c r="AAH7" s="16"/>
      <c r="AAI7" s="16"/>
      <c r="AAJ7" s="16"/>
      <c r="AAK7" s="16"/>
      <c r="AAL7" s="16"/>
      <c r="AAM7" s="16"/>
      <c r="AAN7" s="16"/>
      <c r="AAO7" s="16"/>
      <c r="AAP7" s="16"/>
      <c r="AAQ7" s="16"/>
      <c r="AAR7" s="16"/>
      <c r="AAS7" s="16"/>
      <c r="AAT7" s="16"/>
      <c r="AAU7" s="16"/>
      <c r="AAV7" s="16"/>
      <c r="AAW7" s="16"/>
      <c r="AAX7" s="16"/>
      <c r="AAY7" s="16"/>
      <c r="AAZ7" s="16"/>
      <c r="ABA7" s="16"/>
      <c r="ABB7" s="16"/>
      <c r="ABC7" s="16"/>
      <c r="ABD7" s="16"/>
      <c r="ABE7" s="16"/>
      <c r="ABF7" s="16"/>
      <c r="ABG7" s="16"/>
      <c r="ABH7" s="16"/>
      <c r="ABI7" s="16"/>
      <c r="ABJ7" s="16"/>
      <c r="ABK7" s="16"/>
      <c r="ABL7" s="16"/>
      <c r="ABM7" s="16"/>
      <c r="ABN7" s="16"/>
      <c r="ABO7" s="16"/>
      <c r="ABP7" s="16"/>
      <c r="ABQ7" s="16"/>
      <c r="ABR7" s="16"/>
      <c r="ABS7" s="16"/>
      <c r="ABT7" s="16"/>
      <c r="ABU7" s="16"/>
      <c r="ABV7" s="16"/>
      <c r="ABW7" s="16"/>
      <c r="ABX7" s="16"/>
      <c r="ABY7" s="16"/>
      <c r="ABZ7" s="16"/>
      <c r="ACA7" s="16"/>
      <c r="ACB7" s="16"/>
    </row>
    <row r="8" spans="1:1940" ht="18" customHeight="1" thickBot="1">
      <c r="A8" s="233" t="s">
        <v>413</v>
      </c>
      <c r="B8" s="424" t="s">
        <v>449</v>
      </c>
      <c r="C8" s="425"/>
      <c r="D8" s="426"/>
      <c r="E8" s="442" t="s">
        <v>412</v>
      </c>
      <c r="F8" s="442"/>
      <c r="G8" s="442"/>
      <c r="H8" s="389" t="s">
        <v>414</v>
      </c>
      <c r="I8" s="390"/>
      <c r="J8" s="234" t="s">
        <v>398</v>
      </c>
      <c r="K8" s="16"/>
      <c r="L8" s="16"/>
      <c r="M8" s="16"/>
      <c r="N8" s="16"/>
      <c r="O8" s="16"/>
      <c r="P8" s="333" t="str">
        <f>CONCATENATE(V8,W8,X8,Y8,Z8,AA8,AB8,AC8,AD8,AE8)</f>
        <v>WM2012200859</v>
      </c>
      <c r="Q8" s="333"/>
      <c r="R8" s="333"/>
      <c r="S8" s="333"/>
      <c r="T8" s="333"/>
      <c r="U8" s="16" t="s">
        <v>391</v>
      </c>
      <c r="V8" s="152" t="s">
        <v>353</v>
      </c>
      <c r="W8" s="152" t="s">
        <v>345</v>
      </c>
      <c r="X8" s="152">
        <v>20</v>
      </c>
      <c r="Y8" s="152">
        <f>IF(E18=1,1,IF(E18=2,2,IF(E18=3,3,IF(E18="4A",4,IF(E18="4B",5,IF(E18="4C",6,IF(E18="5A",7,IF(E18="5B",8,IF(E18=6,9,IF(E18=7,10,IF(E18=8,11,IF(E18=9,12,IF(E18=10,13,0)))))))))))))</f>
        <v>1</v>
      </c>
      <c r="Z8" s="152">
        <v>2</v>
      </c>
      <c r="AA8" s="152">
        <v>20</v>
      </c>
      <c r="AB8" s="152">
        <v>0</v>
      </c>
      <c r="AC8" s="152">
        <f>R3</f>
        <v>8</v>
      </c>
      <c r="AD8" s="152">
        <f>S3</f>
        <v>5</v>
      </c>
      <c r="AE8" s="152">
        <f>T3</f>
        <v>9</v>
      </c>
      <c r="AF8" s="152">
        <f ca="1">MONTH(H50)</f>
        <v>9</v>
      </c>
      <c r="AG8" s="152">
        <f>W5</f>
        <v>23</v>
      </c>
      <c r="AH8" s="208"/>
      <c r="AI8" s="208"/>
      <c r="BO8" s="208"/>
      <c r="BP8" s="208"/>
      <c r="BQ8" s="208"/>
      <c r="BR8" s="208"/>
      <c r="BS8" s="209">
        <v>0</v>
      </c>
      <c r="BT8" s="208">
        <v>0</v>
      </c>
      <c r="BY8" s="163" t="str">
        <f>IF(BY115=1,"D",IF(BY115=2,"Y",IF(BY115=4,"L",IF(BY115=3,"B",IF(BY115=5,"BU",IF(BY115=6,"K",IF(BY115=43,"BA",0)))))))</f>
        <v>L</v>
      </c>
      <c r="BZ8" s="12">
        <v>0</v>
      </c>
      <c r="CA8" s="208" t="s">
        <v>71</v>
      </c>
      <c r="CD8" s="44"/>
      <c r="CW8" s="320"/>
      <c r="CX8" s="320"/>
      <c r="CY8" s="320"/>
      <c r="CZ8" s="320"/>
      <c r="DA8" s="320"/>
      <c r="DB8" s="320"/>
      <c r="DC8" s="320"/>
      <c r="DD8" s="320"/>
      <c r="DE8" s="320"/>
      <c r="DJ8" s="12">
        <v>0</v>
      </c>
      <c r="DL8" s="12">
        <v>0</v>
      </c>
      <c r="DN8" s="208"/>
      <c r="DO8" s="12">
        <v>0</v>
      </c>
      <c r="DT8" s="12" t="s">
        <v>367</v>
      </c>
      <c r="DY8" s="12" t="s">
        <v>377</v>
      </c>
      <c r="DZ8" s="12">
        <v>17</v>
      </c>
      <c r="EF8" s="12">
        <v>60</v>
      </c>
      <c r="EG8" s="12">
        <f>IF(K10&gt;120,1,0)</f>
        <v>0</v>
      </c>
      <c r="EH8" s="12">
        <f>IF(K10&lt;=180,1,0)</f>
        <v>1</v>
      </c>
      <c r="EI8" s="110">
        <f>EG8*EH8</f>
        <v>0</v>
      </c>
      <c r="EJ8" s="12">
        <f>EF8*EI8</f>
        <v>0</v>
      </c>
      <c r="EL8" s="105">
        <v>25000</v>
      </c>
      <c r="EO8" s="12" t="s">
        <v>305</v>
      </c>
      <c r="JB8" s="16"/>
      <c r="JC8" s="16"/>
      <c r="JD8" s="16"/>
      <c r="JE8" s="16"/>
      <c r="JF8" s="16"/>
      <c r="JG8" s="16"/>
      <c r="JH8" s="16"/>
      <c r="JI8" s="16"/>
      <c r="JJ8" s="16"/>
      <c r="JK8" s="16"/>
      <c r="JL8" s="16"/>
      <c r="JM8" s="16"/>
      <c r="JN8" s="16"/>
      <c r="JO8" s="16"/>
      <c r="JP8" s="16"/>
      <c r="JQ8" s="16"/>
      <c r="JR8" s="16"/>
      <c r="JS8" s="16"/>
      <c r="JT8" s="16"/>
      <c r="JU8" s="16"/>
      <c r="JV8" s="16"/>
      <c r="JW8" s="16"/>
      <c r="JX8" s="16"/>
      <c r="JY8" s="16"/>
      <c r="JZ8" s="16"/>
      <c r="KA8" s="16"/>
      <c r="KB8" s="16"/>
      <c r="KC8" s="16"/>
      <c r="KD8" s="16"/>
      <c r="KE8" s="16"/>
      <c r="KF8" s="16"/>
      <c r="KG8" s="16"/>
      <c r="KH8" s="16"/>
      <c r="KI8" s="16"/>
      <c r="KJ8" s="16"/>
      <c r="KK8" s="16"/>
      <c r="KL8" s="16"/>
      <c r="KM8" s="16"/>
      <c r="KN8" s="16"/>
      <c r="KO8" s="16"/>
      <c r="KP8" s="16"/>
      <c r="KQ8" s="16"/>
      <c r="KR8" s="16"/>
      <c r="KS8" s="16"/>
      <c r="KT8" s="16"/>
      <c r="KU8" s="16"/>
      <c r="KV8" s="16"/>
      <c r="KW8" s="16"/>
      <c r="KX8" s="16"/>
      <c r="KY8" s="16"/>
      <c r="KZ8" s="16"/>
      <c r="LA8" s="16"/>
      <c r="LB8" s="16"/>
      <c r="LC8" s="16"/>
      <c r="LD8" s="16"/>
      <c r="LE8" s="16"/>
      <c r="LF8" s="16"/>
      <c r="LG8" s="16"/>
      <c r="LH8" s="16"/>
      <c r="LI8" s="16"/>
      <c r="LJ8" s="16"/>
      <c r="LK8" s="16"/>
      <c r="LL8" s="16"/>
      <c r="LM8" s="16"/>
      <c r="LN8" s="16"/>
      <c r="LO8" s="16"/>
      <c r="LP8" s="16"/>
      <c r="LQ8" s="16"/>
      <c r="LR8" s="16"/>
      <c r="LS8" s="16"/>
      <c r="LT8" s="16"/>
      <c r="LU8" s="16"/>
      <c r="LV8" s="16"/>
      <c r="LW8" s="16"/>
      <c r="LX8" s="16"/>
      <c r="LY8" s="16"/>
      <c r="LZ8" s="16"/>
      <c r="MA8" s="16"/>
      <c r="MB8" s="16"/>
      <c r="MC8" s="16"/>
      <c r="MD8" s="16"/>
      <c r="ME8" s="16"/>
      <c r="MF8" s="16"/>
      <c r="MG8" s="16"/>
      <c r="MH8" s="16"/>
      <c r="MI8" s="16"/>
      <c r="MJ8" s="16"/>
      <c r="MK8" s="16"/>
      <c r="ML8" s="16"/>
      <c r="MM8" s="16"/>
      <c r="MN8" s="16"/>
      <c r="MO8" s="16"/>
      <c r="MP8" s="16"/>
      <c r="MQ8" s="16"/>
      <c r="MR8" s="16"/>
      <c r="MS8" s="16"/>
      <c r="MT8" s="16"/>
      <c r="MU8" s="16"/>
      <c r="MV8" s="16"/>
      <c r="MW8" s="16"/>
      <c r="MX8" s="16"/>
      <c r="MY8" s="16"/>
      <c r="MZ8" s="16"/>
      <c r="NA8" s="16"/>
      <c r="NB8" s="16"/>
      <c r="NC8" s="16"/>
      <c r="ND8" s="16"/>
      <c r="NE8" s="16"/>
      <c r="NF8" s="16"/>
      <c r="NG8" s="16"/>
      <c r="NH8" s="16"/>
      <c r="NI8" s="16"/>
      <c r="NJ8" s="16"/>
      <c r="NK8" s="16"/>
      <c r="NL8" s="16"/>
      <c r="NM8" s="16"/>
      <c r="NN8" s="16"/>
      <c r="NO8" s="16"/>
      <c r="NP8" s="16"/>
      <c r="NQ8" s="16"/>
      <c r="NR8" s="16"/>
      <c r="NS8" s="16"/>
      <c r="NT8" s="16"/>
      <c r="NU8" s="16"/>
      <c r="NV8" s="16"/>
      <c r="NW8" s="16"/>
      <c r="NX8" s="16"/>
      <c r="NY8" s="16"/>
      <c r="NZ8" s="16"/>
      <c r="OA8" s="16"/>
      <c r="OB8" s="16"/>
      <c r="OC8" s="16"/>
      <c r="OD8" s="16"/>
      <c r="OE8" s="16"/>
      <c r="OF8" s="16"/>
      <c r="OG8" s="16"/>
      <c r="OH8" s="16"/>
      <c r="OI8" s="16"/>
      <c r="OJ8" s="16"/>
      <c r="OK8" s="16"/>
      <c r="OL8" s="16"/>
      <c r="OM8" s="16"/>
      <c r="ON8" s="16"/>
      <c r="OO8" s="16"/>
      <c r="OP8" s="16"/>
      <c r="OQ8" s="16"/>
      <c r="OR8" s="16"/>
      <c r="OS8" s="16"/>
      <c r="OT8" s="16"/>
      <c r="OU8" s="16"/>
      <c r="OV8" s="16"/>
      <c r="OW8" s="16"/>
      <c r="OX8" s="16"/>
      <c r="OY8" s="16"/>
      <c r="OZ8" s="16"/>
      <c r="PA8" s="16"/>
      <c r="PB8" s="16"/>
      <c r="PC8" s="16"/>
      <c r="PD8" s="16"/>
      <c r="PE8" s="16"/>
      <c r="PF8" s="16"/>
      <c r="PG8" s="16"/>
      <c r="PH8" s="16"/>
      <c r="PI8" s="16"/>
      <c r="PJ8" s="16"/>
      <c r="PK8" s="16"/>
      <c r="PL8" s="16"/>
      <c r="PM8" s="16"/>
      <c r="PN8" s="16"/>
      <c r="PO8" s="16"/>
      <c r="PP8" s="16"/>
      <c r="PQ8" s="16"/>
      <c r="PR8" s="16"/>
      <c r="PS8" s="16"/>
      <c r="PT8" s="16"/>
      <c r="PU8" s="16"/>
      <c r="PV8" s="16"/>
      <c r="PW8" s="16"/>
      <c r="PX8" s="16"/>
      <c r="PY8" s="16"/>
      <c r="PZ8" s="16"/>
      <c r="QA8" s="16"/>
      <c r="QB8" s="16"/>
      <c r="QC8" s="16"/>
      <c r="QD8" s="16"/>
      <c r="QE8" s="16"/>
      <c r="QF8" s="16"/>
      <c r="QG8" s="16"/>
      <c r="QH8" s="16"/>
      <c r="QI8" s="16"/>
      <c r="QJ8" s="16"/>
      <c r="QK8" s="16"/>
      <c r="QL8" s="16"/>
      <c r="QM8" s="16"/>
      <c r="QN8" s="16"/>
      <c r="QO8" s="16"/>
      <c r="QP8" s="16"/>
      <c r="QQ8" s="16"/>
      <c r="QR8" s="16"/>
      <c r="QS8" s="16"/>
      <c r="QT8" s="16"/>
      <c r="QU8" s="16"/>
      <c r="QV8" s="16"/>
      <c r="QW8" s="16"/>
      <c r="QX8" s="16"/>
      <c r="QY8" s="16"/>
      <c r="QZ8" s="16"/>
      <c r="RA8" s="16"/>
      <c r="RB8" s="16"/>
      <c r="RC8" s="16"/>
      <c r="RD8" s="16"/>
      <c r="RE8" s="16"/>
      <c r="RF8" s="16"/>
      <c r="RG8" s="16"/>
      <c r="RH8" s="16"/>
      <c r="RI8" s="16"/>
      <c r="RJ8" s="16"/>
      <c r="RK8" s="16"/>
      <c r="RL8" s="16"/>
      <c r="RM8" s="16"/>
      <c r="RN8" s="16"/>
      <c r="RO8" s="16"/>
      <c r="RP8" s="16"/>
      <c r="RQ8" s="16"/>
      <c r="RR8" s="16"/>
      <c r="RS8" s="16"/>
      <c r="RT8" s="16"/>
      <c r="RU8" s="16"/>
      <c r="RV8" s="16"/>
      <c r="RW8" s="16"/>
      <c r="RX8" s="16"/>
      <c r="RY8" s="16"/>
      <c r="RZ8" s="16"/>
      <c r="SA8" s="16"/>
      <c r="SB8" s="16"/>
      <c r="SC8" s="16"/>
      <c r="SD8" s="16"/>
      <c r="SE8" s="16"/>
      <c r="SF8" s="16"/>
      <c r="SG8" s="16"/>
      <c r="SH8" s="16"/>
      <c r="SI8" s="16"/>
      <c r="SJ8" s="16"/>
      <c r="SK8" s="16"/>
      <c r="SL8" s="16"/>
      <c r="SM8" s="16"/>
      <c r="SN8" s="16"/>
      <c r="SO8" s="16"/>
      <c r="SP8" s="16"/>
      <c r="SQ8" s="16"/>
      <c r="SR8" s="16"/>
      <c r="SS8" s="16"/>
      <c r="ST8" s="16"/>
      <c r="SU8" s="16"/>
      <c r="SV8" s="16"/>
      <c r="SW8" s="16"/>
      <c r="SX8" s="16"/>
      <c r="SY8" s="16"/>
      <c r="SZ8" s="16"/>
      <c r="TA8" s="16"/>
      <c r="TB8" s="16"/>
      <c r="TC8" s="16"/>
      <c r="TD8" s="16"/>
      <c r="TE8" s="16"/>
      <c r="TF8" s="16"/>
      <c r="TG8" s="16"/>
      <c r="TH8" s="16"/>
      <c r="TI8" s="16"/>
      <c r="TJ8" s="16"/>
      <c r="TK8" s="16"/>
      <c r="TL8" s="16"/>
      <c r="TM8" s="16"/>
      <c r="TN8" s="16"/>
      <c r="TO8" s="16"/>
      <c r="TP8" s="16"/>
      <c r="TQ8" s="16"/>
      <c r="TR8" s="16"/>
      <c r="TS8" s="16"/>
      <c r="TT8" s="16"/>
      <c r="TU8" s="16"/>
      <c r="TV8" s="16"/>
      <c r="TW8" s="16"/>
      <c r="TX8" s="16"/>
      <c r="TY8" s="16"/>
      <c r="TZ8" s="16"/>
      <c r="UA8" s="16"/>
      <c r="UB8" s="16"/>
      <c r="UC8" s="16"/>
      <c r="UD8" s="16"/>
      <c r="UE8" s="16"/>
      <c r="UF8" s="16"/>
      <c r="UG8" s="16"/>
      <c r="UH8" s="16"/>
      <c r="UI8" s="16"/>
      <c r="UJ8" s="16"/>
      <c r="UK8" s="16"/>
      <c r="UL8" s="16"/>
      <c r="UM8" s="16"/>
      <c r="UN8" s="16"/>
      <c r="UO8" s="16"/>
      <c r="UP8" s="16"/>
      <c r="UQ8" s="16"/>
      <c r="UR8" s="16"/>
      <c r="US8" s="16"/>
      <c r="UT8" s="16"/>
      <c r="UU8" s="16"/>
      <c r="UV8" s="16"/>
      <c r="UW8" s="16"/>
      <c r="UX8" s="16"/>
      <c r="UY8" s="16"/>
      <c r="UZ8" s="16"/>
      <c r="VA8" s="16"/>
      <c r="VB8" s="16"/>
      <c r="VC8" s="16"/>
      <c r="VD8" s="16"/>
      <c r="VE8" s="16"/>
      <c r="VF8" s="16"/>
      <c r="VG8" s="16"/>
      <c r="VH8" s="16"/>
      <c r="VI8" s="16"/>
      <c r="VJ8" s="16"/>
      <c r="VK8" s="16"/>
      <c r="VL8" s="16"/>
      <c r="VM8" s="16"/>
      <c r="VN8" s="16"/>
      <c r="VO8" s="16"/>
      <c r="VP8" s="16"/>
      <c r="VQ8" s="16"/>
      <c r="VR8" s="16"/>
      <c r="VS8" s="16"/>
      <c r="VT8" s="16"/>
      <c r="VU8" s="16"/>
      <c r="VV8" s="16"/>
      <c r="VW8" s="16"/>
      <c r="VX8" s="16"/>
      <c r="VY8" s="16"/>
      <c r="VZ8" s="16"/>
      <c r="WA8" s="16"/>
      <c r="WB8" s="16"/>
      <c r="WC8" s="16"/>
      <c r="WD8" s="16"/>
      <c r="WE8" s="16"/>
      <c r="WF8" s="16"/>
      <c r="WG8" s="16"/>
      <c r="WH8" s="16"/>
      <c r="WI8" s="16"/>
      <c r="WJ8" s="16"/>
      <c r="WK8" s="16"/>
      <c r="WL8" s="16"/>
      <c r="WM8" s="16"/>
      <c r="WN8" s="16"/>
      <c r="WO8" s="16"/>
      <c r="WP8" s="16"/>
      <c r="WQ8" s="16"/>
      <c r="WR8" s="16"/>
      <c r="WS8" s="16"/>
      <c r="WT8" s="16"/>
      <c r="WU8" s="16"/>
      <c r="WV8" s="16"/>
      <c r="WW8" s="16"/>
      <c r="WX8" s="16"/>
      <c r="WY8" s="16"/>
      <c r="WZ8" s="16"/>
      <c r="XA8" s="16"/>
      <c r="XB8" s="16"/>
      <c r="XC8" s="16"/>
      <c r="XD8" s="16"/>
      <c r="XE8" s="16"/>
      <c r="XF8" s="16"/>
      <c r="XG8" s="16"/>
      <c r="XH8" s="16"/>
      <c r="XI8" s="16"/>
      <c r="XJ8" s="16"/>
      <c r="XK8" s="16"/>
      <c r="XL8" s="16"/>
      <c r="XM8" s="16"/>
      <c r="XN8" s="16"/>
      <c r="XO8" s="16"/>
      <c r="XP8" s="16"/>
      <c r="XQ8" s="16"/>
      <c r="XR8" s="16"/>
      <c r="XS8" s="16"/>
      <c r="XT8" s="16"/>
      <c r="XU8" s="16"/>
      <c r="XV8" s="16"/>
      <c r="XW8" s="16"/>
      <c r="XX8" s="16"/>
      <c r="XY8" s="16"/>
      <c r="XZ8" s="16"/>
      <c r="YA8" s="16"/>
      <c r="YB8" s="16"/>
      <c r="YC8" s="16"/>
      <c r="YD8" s="16"/>
      <c r="YE8" s="16"/>
      <c r="YF8" s="16"/>
      <c r="YG8" s="16"/>
      <c r="YH8" s="16"/>
      <c r="YI8" s="16"/>
      <c r="YJ8" s="16"/>
      <c r="YK8" s="16"/>
      <c r="YL8" s="16"/>
      <c r="YM8" s="16"/>
      <c r="YN8" s="16"/>
      <c r="YO8" s="16"/>
      <c r="YP8" s="16"/>
      <c r="YQ8" s="16"/>
      <c r="YR8" s="16"/>
      <c r="YS8" s="16"/>
      <c r="YT8" s="16"/>
      <c r="YU8" s="16"/>
      <c r="YV8" s="16"/>
      <c r="YW8" s="16"/>
      <c r="YX8" s="16"/>
      <c r="YY8" s="16"/>
      <c r="YZ8" s="16"/>
      <c r="ZA8" s="16"/>
      <c r="ZB8" s="16"/>
      <c r="ZC8" s="16"/>
      <c r="ZD8" s="16"/>
      <c r="ZE8" s="16"/>
      <c r="ZF8" s="16"/>
      <c r="ZG8" s="16"/>
      <c r="ZH8" s="16"/>
      <c r="ZI8" s="16"/>
      <c r="ZJ8" s="16"/>
      <c r="ZK8" s="16"/>
      <c r="ZL8" s="16"/>
      <c r="ZM8" s="16"/>
      <c r="ZN8" s="16"/>
      <c r="ZO8" s="16"/>
      <c r="ZP8" s="16"/>
      <c r="ZQ8" s="16"/>
      <c r="ZR8" s="16"/>
      <c r="ZS8" s="16"/>
      <c r="ZT8" s="16"/>
      <c r="ZU8" s="16"/>
      <c r="ZV8" s="16"/>
      <c r="ZW8" s="16"/>
      <c r="ZX8" s="16"/>
      <c r="ZY8" s="16"/>
      <c r="ZZ8" s="16"/>
      <c r="AAA8" s="16"/>
      <c r="AAB8" s="16"/>
      <c r="AAC8" s="16"/>
      <c r="AAD8" s="16"/>
      <c r="AAE8" s="16"/>
      <c r="AAF8" s="16"/>
      <c r="AAG8" s="16"/>
      <c r="AAH8" s="16"/>
      <c r="AAI8" s="16"/>
      <c r="AAJ8" s="16"/>
      <c r="AAK8" s="16"/>
      <c r="AAL8" s="16"/>
      <c r="AAM8" s="16"/>
      <c r="AAN8" s="16"/>
      <c r="AAO8" s="16"/>
      <c r="AAP8" s="16"/>
      <c r="AAQ8" s="16"/>
      <c r="AAR8" s="16"/>
      <c r="AAS8" s="16"/>
      <c r="AAT8" s="16"/>
      <c r="AAU8" s="16"/>
      <c r="AAV8" s="16"/>
      <c r="AAW8" s="16"/>
      <c r="AAX8" s="16"/>
      <c r="AAY8" s="16"/>
      <c r="AAZ8" s="16"/>
      <c r="ABA8" s="16"/>
      <c r="ABB8" s="16"/>
      <c r="ABC8" s="16"/>
      <c r="ABD8" s="16"/>
      <c r="ABE8" s="16"/>
      <c r="ABF8" s="16"/>
      <c r="ABG8" s="16"/>
      <c r="ABH8" s="16"/>
      <c r="ABI8" s="16"/>
      <c r="ABJ8" s="16"/>
      <c r="ABK8" s="16"/>
      <c r="ABL8" s="16"/>
      <c r="ABM8" s="16"/>
      <c r="ABN8" s="16"/>
      <c r="ABO8" s="16"/>
      <c r="ABP8" s="16"/>
      <c r="ABQ8" s="16"/>
      <c r="ABR8" s="16"/>
      <c r="ABS8" s="16"/>
      <c r="ABT8" s="16"/>
      <c r="ABU8" s="16"/>
      <c r="ABV8" s="16"/>
      <c r="ABW8" s="16"/>
      <c r="ABX8" s="16"/>
      <c r="ABY8" s="16"/>
      <c r="ABZ8" s="16"/>
      <c r="ACA8" s="16"/>
      <c r="ACB8" s="16"/>
    </row>
    <row r="9" spans="1:1940" ht="17.25" customHeight="1" thickBot="1">
      <c r="A9" s="235" t="s">
        <v>334</v>
      </c>
      <c r="B9" s="351" t="s">
        <v>455</v>
      </c>
      <c r="C9" s="352"/>
      <c r="D9" s="352"/>
      <c r="E9" s="443" t="s">
        <v>454</v>
      </c>
      <c r="F9" s="444"/>
      <c r="G9" s="445"/>
      <c r="H9" s="391" t="s">
        <v>415</v>
      </c>
      <c r="I9" s="391"/>
      <c r="J9" s="236" t="str">
        <f>CONCATENATE(AO36,AN20)</f>
        <v>2MOIS</v>
      </c>
      <c r="K9" s="339" t="s">
        <v>317</v>
      </c>
      <c r="L9" s="340"/>
      <c r="M9" s="12"/>
      <c r="N9" s="12"/>
      <c r="O9" s="70"/>
      <c r="P9" s="438" t="s">
        <v>316</v>
      </c>
      <c r="Q9" s="339"/>
      <c r="R9" s="340"/>
      <c r="S9" s="45" t="str">
        <f>CONCATENATE(V9,W9,X9,Y9,U2,AA9,AB9,AC9,AD9,AE9,AF9,AG9)</f>
        <v>30182012200859</v>
      </c>
      <c r="T9" s="45"/>
      <c r="U9" s="164" t="s">
        <v>399</v>
      </c>
      <c r="V9" s="16">
        <v>3018</v>
      </c>
      <c r="W9" s="16">
        <v>201</v>
      </c>
      <c r="X9" s="16">
        <v>22</v>
      </c>
      <c r="Z9" s="152"/>
      <c r="AA9" s="16"/>
      <c r="AB9" s="16"/>
      <c r="AC9" s="16">
        <f>P3</f>
        <v>0</v>
      </c>
      <c r="AD9" s="16">
        <f>Q3</f>
        <v>0</v>
      </c>
      <c r="AE9" s="16">
        <f>R3</f>
        <v>8</v>
      </c>
      <c r="AF9" s="16">
        <f>S3</f>
        <v>5</v>
      </c>
      <c r="AG9" s="16">
        <f>T3</f>
        <v>9</v>
      </c>
      <c r="AH9" s="208"/>
      <c r="AI9" s="208"/>
      <c r="BM9" s="12">
        <v>200</v>
      </c>
      <c r="BN9" s="12">
        <v>60</v>
      </c>
      <c r="BO9" s="208">
        <v>1</v>
      </c>
      <c r="BQ9" s="208"/>
      <c r="BR9" s="208"/>
      <c r="BS9" s="209" t="s">
        <v>0</v>
      </c>
      <c r="BT9" s="208">
        <v>1</v>
      </c>
      <c r="BU9" s="3" t="s">
        <v>73</v>
      </c>
      <c r="BV9" s="3" t="s">
        <v>80</v>
      </c>
      <c r="BW9" s="3" t="str">
        <f>F50</f>
        <v>LIMBE</v>
      </c>
      <c r="BX9" s="3"/>
      <c r="BY9" s="210">
        <f>IF(BU9=BW9,1,0)*BT9</f>
        <v>0</v>
      </c>
      <c r="BZ9" s="12">
        <v>1</v>
      </c>
      <c r="CA9" s="208" t="s">
        <v>74</v>
      </c>
      <c r="CB9" s="12" t="s">
        <v>235</v>
      </c>
      <c r="CD9" s="12">
        <f>(J10/30)*10</f>
        <v>20</v>
      </c>
      <c r="CE9" s="12">
        <v>0</v>
      </c>
      <c r="CF9" s="12">
        <v>0</v>
      </c>
      <c r="CG9" s="44">
        <f ca="1">TODAY()</f>
        <v>45192</v>
      </c>
      <c r="CH9" s="12" t="s">
        <v>50</v>
      </c>
      <c r="CJ9" s="12">
        <f>IF(H7="DUPLICATA",1,0)</f>
        <v>0</v>
      </c>
      <c r="CK9" s="12">
        <f>IF(H7="CHANG IMMATRI",1,0)</f>
        <v>0</v>
      </c>
      <c r="CL9" s="12">
        <f>IF(H7="CHANG PROPRIETAIR",1,0)</f>
        <v>0</v>
      </c>
      <c r="CM9" s="12">
        <f>IF(H7="TRANS GARANTIES",1,0)</f>
        <v>0</v>
      </c>
      <c r="CN9" s="12">
        <f>CJ9+CK9+CL9+CM9</f>
        <v>0</v>
      </c>
      <c r="CO9" s="105">
        <v>0</v>
      </c>
      <c r="CP9" s="105"/>
      <c r="CQ9" s="12">
        <v>20</v>
      </c>
      <c r="CR9" s="12">
        <f>IF(J10&gt;=1,1,0)</f>
        <v>1</v>
      </c>
      <c r="CS9" s="12">
        <f>IF(J10&lt;=60,1,0)</f>
        <v>1</v>
      </c>
      <c r="CT9" s="110">
        <f>CR9*CS9</f>
        <v>1</v>
      </c>
      <c r="CU9" s="12">
        <f>CQ9*CT9</f>
        <v>20</v>
      </c>
      <c r="CW9" s="105">
        <v>10000</v>
      </c>
      <c r="CX9" s="105">
        <v>10000</v>
      </c>
      <c r="CY9" s="105">
        <f>E18</f>
        <v>1</v>
      </c>
      <c r="CZ9" s="105">
        <f>IF(CY9=2,CW9,IF(CY9=3,CW9,IF(CY9="4A",CW9,IF(CY9="4B",CW9,IF(CY9="4C",CW9,IF(CY9="5B",CW9,CX9))))))</f>
        <v>10000</v>
      </c>
      <c r="DA9" s="105">
        <f>IF(B19&gt;=0,1,0)</f>
        <v>1</v>
      </c>
      <c r="DB9" s="12">
        <f>IF(B19&lt;2,1,0)</f>
        <v>0</v>
      </c>
      <c r="DC9" s="12">
        <f>DA9*DB9</f>
        <v>0</v>
      </c>
      <c r="DD9" s="141">
        <f>CZ9*DC9</f>
        <v>0</v>
      </c>
      <c r="DE9" s="12">
        <f>IF(E17="TRICYCLE",0,1)</f>
        <v>1</v>
      </c>
      <c r="DF9" s="12">
        <v>0</v>
      </c>
      <c r="DG9" s="12">
        <v>0</v>
      </c>
      <c r="DH9" s="12">
        <v>0</v>
      </c>
      <c r="DI9" s="209" t="str">
        <f>IF(J22="A","ZONE A",IF(J22="B","ZONE B",IF(J22="C","ZONE C",0)))</f>
        <v>ZONE C</v>
      </c>
      <c r="DJ9" s="12" t="s">
        <v>20</v>
      </c>
      <c r="DL9" s="12" t="str">
        <f>IF(C24="SANS REMORQUE","SANS REMORQUE","AVEC REMORQUE")</f>
        <v>SANS REMORQUE</v>
      </c>
      <c r="DN9" s="163">
        <f>E18</f>
        <v>1</v>
      </c>
      <c r="DO9" s="12" t="s">
        <v>36</v>
      </c>
      <c r="DT9" s="12" t="s">
        <v>69</v>
      </c>
      <c r="DV9" s="208" t="s">
        <v>43</v>
      </c>
      <c r="DY9" s="12" t="s">
        <v>378</v>
      </c>
      <c r="DZ9" s="12">
        <v>17</v>
      </c>
      <c r="EB9" s="47">
        <f>IF(H7="REMISE EN VIGUEUR",0,1)</f>
        <v>1</v>
      </c>
      <c r="EF9" s="12">
        <v>80</v>
      </c>
      <c r="EG9" s="12">
        <f>IF(K10&gt;180,1,0)</f>
        <v>0</v>
      </c>
      <c r="EH9" s="12">
        <f>IF(K10&lt;=240,1,0)</f>
        <v>1</v>
      </c>
      <c r="EI9" s="110">
        <f>EG9*EH9</f>
        <v>0</v>
      </c>
      <c r="EJ9" s="12">
        <f>EF9*EI9</f>
        <v>0</v>
      </c>
      <c r="EL9" s="105">
        <v>50000</v>
      </c>
      <c r="EO9" s="12" t="s">
        <v>306</v>
      </c>
      <c r="JB9" s="16"/>
      <c r="JC9" s="16"/>
      <c r="JD9" s="16"/>
      <c r="JE9" s="16"/>
      <c r="JF9" s="16"/>
      <c r="JG9" s="16"/>
      <c r="JH9" s="16"/>
      <c r="JI9" s="16"/>
      <c r="JJ9" s="16"/>
      <c r="JK9" s="16"/>
      <c r="JL9" s="16"/>
      <c r="JM9" s="16"/>
      <c r="JN9" s="16"/>
      <c r="JO9" s="16"/>
      <c r="JP9" s="16"/>
      <c r="JQ9" s="16"/>
      <c r="JR9" s="16"/>
      <c r="JS9" s="16"/>
      <c r="JT9" s="16"/>
      <c r="JU9" s="16"/>
      <c r="JV9" s="16"/>
      <c r="JW9" s="16"/>
      <c r="JX9" s="16"/>
      <c r="JY9" s="16"/>
      <c r="JZ9" s="16"/>
      <c r="KA9" s="16"/>
      <c r="KB9" s="16"/>
      <c r="KC9" s="16"/>
      <c r="KD9" s="16"/>
      <c r="KE9" s="16"/>
      <c r="KF9" s="16"/>
      <c r="KG9" s="16"/>
      <c r="KH9" s="16"/>
      <c r="KI9" s="16"/>
      <c r="KJ9" s="16"/>
      <c r="KK9" s="16"/>
      <c r="KL9" s="16"/>
      <c r="KM9" s="16"/>
      <c r="KN9" s="16"/>
      <c r="KO9" s="16"/>
      <c r="KP9" s="16"/>
      <c r="KQ9" s="16"/>
      <c r="KR9" s="16"/>
      <c r="KS9" s="16"/>
      <c r="KT9" s="16"/>
      <c r="KU9" s="16"/>
      <c r="KV9" s="16"/>
      <c r="KW9" s="16"/>
      <c r="KX9" s="16"/>
      <c r="KY9" s="16"/>
      <c r="KZ9" s="16"/>
      <c r="LA9" s="16"/>
      <c r="LB9" s="16"/>
      <c r="LC9" s="16"/>
      <c r="LD9" s="16"/>
      <c r="LE9" s="16"/>
      <c r="LF9" s="16"/>
      <c r="LG9" s="16"/>
      <c r="LH9" s="16"/>
      <c r="LI9" s="16"/>
      <c r="LJ9" s="16"/>
      <c r="LK9" s="16"/>
      <c r="LL9" s="16"/>
      <c r="LM9" s="16"/>
      <c r="LN9" s="16"/>
      <c r="LO9" s="16"/>
      <c r="LP9" s="16"/>
      <c r="LQ9" s="16"/>
      <c r="LR9" s="16"/>
      <c r="LS9" s="16"/>
      <c r="LT9" s="16"/>
      <c r="LU9" s="16"/>
      <c r="LV9" s="16"/>
      <c r="LW9" s="16"/>
      <c r="LX9" s="16"/>
      <c r="LY9" s="16"/>
      <c r="LZ9" s="16"/>
      <c r="MA9" s="16"/>
      <c r="MB9" s="16"/>
      <c r="MC9" s="16"/>
      <c r="MD9" s="16"/>
      <c r="ME9" s="16"/>
      <c r="MF9" s="16"/>
      <c r="MG9" s="16"/>
      <c r="MH9" s="16"/>
      <c r="MI9" s="16"/>
      <c r="MJ9" s="16"/>
      <c r="MK9" s="16"/>
      <c r="ML9" s="16"/>
      <c r="MM9" s="16"/>
      <c r="MN9" s="16"/>
      <c r="MO9" s="16"/>
      <c r="MP9" s="16"/>
      <c r="MQ9" s="16"/>
      <c r="MR9" s="16"/>
      <c r="MS9" s="16"/>
      <c r="MT9" s="16"/>
      <c r="MU9" s="16"/>
      <c r="MV9" s="16"/>
      <c r="MW9" s="16"/>
      <c r="MX9" s="16"/>
      <c r="MY9" s="16"/>
      <c r="MZ9" s="16"/>
      <c r="NA9" s="16"/>
      <c r="NB9" s="16"/>
      <c r="NC9" s="16"/>
      <c r="ND9" s="16"/>
      <c r="NE9" s="16"/>
      <c r="NF9" s="16"/>
      <c r="NG9" s="16"/>
      <c r="NH9" s="16"/>
      <c r="NI9" s="16"/>
      <c r="NJ9" s="16"/>
      <c r="NK9" s="16"/>
      <c r="NL9" s="16"/>
      <c r="NM9" s="16"/>
      <c r="NN9" s="16"/>
      <c r="NO9" s="16"/>
      <c r="NP9" s="16"/>
      <c r="NQ9" s="16"/>
      <c r="NR9" s="16"/>
      <c r="NS9" s="16"/>
      <c r="NT9" s="16"/>
      <c r="NU9" s="16"/>
      <c r="NV9" s="16"/>
      <c r="NW9" s="16"/>
      <c r="NX9" s="16"/>
      <c r="NY9" s="16"/>
      <c r="NZ9" s="16"/>
      <c r="OA9" s="16"/>
      <c r="OB9" s="16"/>
      <c r="OC9" s="16"/>
      <c r="OD9" s="16"/>
      <c r="OE9" s="16"/>
      <c r="OF9" s="16"/>
      <c r="OG9" s="16"/>
      <c r="OH9" s="16"/>
      <c r="OI9" s="16"/>
      <c r="OJ9" s="16"/>
      <c r="OK9" s="16"/>
      <c r="OL9" s="16"/>
      <c r="OM9" s="16"/>
      <c r="ON9" s="16"/>
      <c r="OO9" s="16"/>
      <c r="OP9" s="16"/>
      <c r="OQ9" s="16"/>
      <c r="OR9" s="16"/>
      <c r="OS9" s="16"/>
      <c r="OT9" s="16"/>
      <c r="OU9" s="16"/>
      <c r="OV9" s="16"/>
      <c r="OW9" s="16"/>
      <c r="OX9" s="16"/>
      <c r="OY9" s="16"/>
      <c r="OZ9" s="16"/>
      <c r="PA9" s="16"/>
      <c r="PB9" s="16"/>
      <c r="PC9" s="16"/>
      <c r="PD9" s="16"/>
      <c r="PE9" s="16"/>
      <c r="PF9" s="16"/>
      <c r="PG9" s="16"/>
      <c r="PH9" s="16"/>
      <c r="PI9" s="16"/>
      <c r="PJ9" s="16"/>
      <c r="PK9" s="16"/>
      <c r="PL9" s="16"/>
      <c r="PM9" s="16"/>
      <c r="PN9" s="16"/>
      <c r="PO9" s="16"/>
      <c r="PP9" s="16"/>
      <c r="PQ9" s="16"/>
      <c r="PR9" s="16"/>
      <c r="PS9" s="16"/>
      <c r="PT9" s="16"/>
      <c r="PU9" s="16"/>
      <c r="PV9" s="16"/>
      <c r="PW9" s="16"/>
      <c r="PX9" s="16"/>
      <c r="PY9" s="16"/>
      <c r="PZ9" s="16"/>
      <c r="QA9" s="16"/>
      <c r="QB9" s="16"/>
      <c r="QC9" s="16"/>
      <c r="QD9" s="16"/>
      <c r="QE9" s="16"/>
      <c r="QF9" s="16"/>
      <c r="QG9" s="16"/>
      <c r="QH9" s="16"/>
      <c r="QI9" s="16"/>
      <c r="QJ9" s="16"/>
      <c r="QK9" s="16"/>
      <c r="QL9" s="16"/>
      <c r="QM9" s="16"/>
      <c r="QN9" s="16"/>
      <c r="QO9" s="16"/>
      <c r="QP9" s="16"/>
      <c r="QQ9" s="16"/>
      <c r="QR9" s="16"/>
      <c r="QS9" s="16"/>
      <c r="QT9" s="16"/>
      <c r="QU9" s="16"/>
      <c r="QV9" s="16"/>
      <c r="QW9" s="16"/>
      <c r="QX9" s="16"/>
      <c r="QY9" s="16"/>
      <c r="QZ9" s="16"/>
      <c r="RA9" s="16"/>
      <c r="RB9" s="16"/>
      <c r="RC9" s="16"/>
      <c r="RD9" s="16"/>
      <c r="RE9" s="16"/>
      <c r="RF9" s="16"/>
      <c r="RG9" s="16"/>
      <c r="RH9" s="16"/>
      <c r="RI9" s="16"/>
      <c r="RJ9" s="16"/>
      <c r="RK9" s="16"/>
      <c r="RL9" s="16"/>
      <c r="RM9" s="16"/>
      <c r="RN9" s="16"/>
      <c r="RO9" s="16"/>
      <c r="RP9" s="16"/>
      <c r="RQ9" s="16"/>
      <c r="RR9" s="16"/>
      <c r="RS9" s="16"/>
      <c r="RT9" s="16"/>
      <c r="RU9" s="16"/>
      <c r="RV9" s="16"/>
      <c r="RW9" s="16"/>
      <c r="RX9" s="16"/>
      <c r="RY9" s="16"/>
      <c r="RZ9" s="16"/>
      <c r="SA9" s="16"/>
      <c r="SB9" s="16"/>
      <c r="SC9" s="16"/>
      <c r="SD9" s="16"/>
      <c r="SE9" s="16"/>
      <c r="SF9" s="16"/>
      <c r="SG9" s="16"/>
      <c r="SH9" s="16"/>
      <c r="SI9" s="16"/>
      <c r="SJ9" s="16"/>
      <c r="SK9" s="16"/>
      <c r="SL9" s="16"/>
      <c r="SM9" s="16"/>
      <c r="SN9" s="16"/>
      <c r="SO9" s="16"/>
      <c r="SP9" s="16"/>
      <c r="SQ9" s="16"/>
      <c r="SR9" s="16"/>
      <c r="SS9" s="16"/>
      <c r="ST9" s="16"/>
      <c r="SU9" s="16"/>
      <c r="SV9" s="16"/>
      <c r="SW9" s="16"/>
      <c r="SX9" s="16"/>
      <c r="SY9" s="16"/>
      <c r="SZ9" s="16"/>
      <c r="TA9" s="16"/>
      <c r="TB9" s="16"/>
      <c r="TC9" s="16"/>
      <c r="TD9" s="16"/>
      <c r="TE9" s="16"/>
      <c r="TF9" s="16"/>
      <c r="TG9" s="16"/>
      <c r="TH9" s="16"/>
      <c r="TI9" s="16"/>
      <c r="TJ9" s="16"/>
      <c r="TK9" s="16"/>
      <c r="TL9" s="16"/>
      <c r="TM9" s="16"/>
      <c r="TN9" s="16"/>
      <c r="TO9" s="16"/>
      <c r="TP9" s="16"/>
      <c r="TQ9" s="16"/>
      <c r="TR9" s="16"/>
      <c r="TS9" s="16"/>
      <c r="TT9" s="16"/>
      <c r="TU9" s="16"/>
      <c r="TV9" s="16"/>
      <c r="TW9" s="16"/>
      <c r="TX9" s="16"/>
      <c r="TY9" s="16"/>
      <c r="TZ9" s="16"/>
      <c r="UA9" s="16"/>
      <c r="UB9" s="16"/>
      <c r="UC9" s="16"/>
      <c r="UD9" s="16"/>
      <c r="UE9" s="16"/>
      <c r="UF9" s="16"/>
      <c r="UG9" s="16"/>
      <c r="UH9" s="16"/>
      <c r="UI9" s="16"/>
      <c r="UJ9" s="16"/>
      <c r="UK9" s="16"/>
      <c r="UL9" s="16"/>
      <c r="UM9" s="16"/>
      <c r="UN9" s="16"/>
      <c r="UO9" s="16"/>
      <c r="UP9" s="16"/>
      <c r="UQ9" s="16"/>
      <c r="UR9" s="16"/>
      <c r="US9" s="16"/>
      <c r="UT9" s="16"/>
      <c r="UU9" s="16"/>
      <c r="UV9" s="16"/>
      <c r="UW9" s="16"/>
      <c r="UX9" s="16"/>
      <c r="UY9" s="16"/>
      <c r="UZ9" s="16"/>
      <c r="VA9" s="16"/>
      <c r="VB9" s="16"/>
      <c r="VC9" s="16"/>
      <c r="VD9" s="16"/>
      <c r="VE9" s="16"/>
      <c r="VF9" s="16"/>
      <c r="VG9" s="16"/>
      <c r="VH9" s="16"/>
      <c r="VI9" s="16"/>
      <c r="VJ9" s="16"/>
      <c r="VK9" s="16"/>
      <c r="VL9" s="16"/>
      <c r="VM9" s="16"/>
      <c r="VN9" s="16"/>
      <c r="VO9" s="16"/>
      <c r="VP9" s="16"/>
      <c r="VQ9" s="16"/>
      <c r="VR9" s="16"/>
      <c r="VS9" s="16"/>
      <c r="VT9" s="16"/>
      <c r="VU9" s="16"/>
      <c r="VV9" s="16"/>
      <c r="VW9" s="16"/>
      <c r="VX9" s="16"/>
      <c r="VY9" s="16"/>
      <c r="VZ9" s="16"/>
      <c r="WA9" s="16"/>
      <c r="WB9" s="16"/>
      <c r="WC9" s="16"/>
      <c r="WD9" s="16"/>
      <c r="WE9" s="16"/>
      <c r="WF9" s="16"/>
      <c r="WG9" s="16"/>
      <c r="WH9" s="16"/>
      <c r="WI9" s="16"/>
      <c r="WJ9" s="16"/>
      <c r="WK9" s="16"/>
      <c r="WL9" s="16"/>
      <c r="WM9" s="16"/>
      <c r="WN9" s="16"/>
      <c r="WO9" s="16"/>
      <c r="WP9" s="16"/>
      <c r="WQ9" s="16"/>
      <c r="WR9" s="16"/>
      <c r="WS9" s="16"/>
      <c r="WT9" s="16"/>
      <c r="WU9" s="16"/>
      <c r="WV9" s="16"/>
      <c r="WW9" s="16"/>
      <c r="WX9" s="16"/>
      <c r="WY9" s="16"/>
      <c r="WZ9" s="16"/>
      <c r="XA9" s="16"/>
      <c r="XB9" s="16"/>
      <c r="XC9" s="16"/>
      <c r="XD9" s="16"/>
      <c r="XE9" s="16"/>
      <c r="XF9" s="16"/>
      <c r="XG9" s="16"/>
      <c r="XH9" s="16"/>
      <c r="XI9" s="16"/>
      <c r="XJ9" s="16"/>
      <c r="XK9" s="16"/>
      <c r="XL9" s="16"/>
      <c r="XM9" s="16"/>
      <c r="XN9" s="16"/>
      <c r="XO9" s="16"/>
      <c r="XP9" s="16"/>
      <c r="XQ9" s="16"/>
      <c r="XR9" s="16"/>
      <c r="XS9" s="16"/>
      <c r="XT9" s="16"/>
      <c r="XU9" s="16"/>
      <c r="XV9" s="16"/>
      <c r="XW9" s="16"/>
      <c r="XX9" s="16"/>
      <c r="XY9" s="16"/>
      <c r="XZ9" s="16"/>
      <c r="YA9" s="16"/>
      <c r="YB9" s="16"/>
      <c r="YC9" s="16"/>
      <c r="YD9" s="16"/>
      <c r="YE9" s="16"/>
      <c r="YF9" s="16"/>
      <c r="YG9" s="16"/>
      <c r="YH9" s="16"/>
      <c r="YI9" s="16"/>
      <c r="YJ9" s="16"/>
      <c r="YK9" s="16"/>
      <c r="YL9" s="16"/>
      <c r="YM9" s="16"/>
      <c r="YN9" s="16"/>
      <c r="YO9" s="16"/>
      <c r="YP9" s="16"/>
      <c r="YQ9" s="16"/>
      <c r="YR9" s="16"/>
      <c r="YS9" s="16"/>
      <c r="YT9" s="16"/>
      <c r="YU9" s="16"/>
      <c r="YV9" s="16"/>
      <c r="YW9" s="16"/>
      <c r="YX9" s="16"/>
      <c r="YY9" s="16"/>
      <c r="YZ9" s="16"/>
      <c r="ZA9" s="16"/>
      <c r="ZB9" s="16"/>
      <c r="ZC9" s="16"/>
      <c r="ZD9" s="16"/>
      <c r="ZE9" s="16"/>
      <c r="ZF9" s="16"/>
      <c r="ZG9" s="16"/>
      <c r="ZH9" s="16"/>
      <c r="ZI9" s="16"/>
      <c r="ZJ9" s="16"/>
      <c r="ZK9" s="16"/>
      <c r="ZL9" s="16"/>
      <c r="ZM9" s="16"/>
      <c r="ZN9" s="16"/>
      <c r="ZO9" s="16"/>
      <c r="ZP9" s="16"/>
      <c r="ZQ9" s="16"/>
      <c r="ZR9" s="16"/>
      <c r="ZS9" s="16"/>
      <c r="ZT9" s="16"/>
      <c r="ZU9" s="16"/>
      <c r="ZV9" s="16"/>
      <c r="ZW9" s="16"/>
      <c r="ZX9" s="16"/>
      <c r="ZY9" s="16"/>
      <c r="ZZ9" s="16"/>
      <c r="AAA9" s="16"/>
      <c r="AAB9" s="16"/>
      <c r="AAC9" s="16"/>
      <c r="AAD9" s="16"/>
      <c r="AAE9" s="16"/>
      <c r="AAF9" s="16"/>
      <c r="AAG9" s="16"/>
      <c r="AAH9" s="16"/>
      <c r="AAI9" s="16"/>
      <c r="AAJ9" s="16"/>
      <c r="AAK9" s="16"/>
      <c r="AAL9" s="16"/>
      <c r="AAM9" s="16"/>
      <c r="AAN9" s="16"/>
      <c r="AAO9" s="16"/>
      <c r="AAP9" s="16"/>
      <c r="AAQ9" s="16"/>
      <c r="AAR9" s="16"/>
      <c r="AAS9" s="16"/>
      <c r="AAT9" s="16"/>
      <c r="AAU9" s="16"/>
      <c r="AAV9" s="16"/>
      <c r="AAW9" s="16"/>
      <c r="AAX9" s="16"/>
      <c r="AAY9" s="16"/>
      <c r="AAZ9" s="16"/>
      <c r="ABA9" s="16"/>
      <c r="ABB9" s="16"/>
      <c r="ABC9" s="16"/>
      <c r="ABD9" s="16"/>
      <c r="ABE9" s="16"/>
      <c r="ABF9" s="16"/>
      <c r="ABG9" s="16"/>
      <c r="ABH9" s="16"/>
      <c r="ABI9" s="16"/>
      <c r="ABJ9" s="16"/>
      <c r="ABK9" s="16"/>
      <c r="ABL9" s="16"/>
      <c r="ABM9" s="16"/>
      <c r="ABN9" s="16"/>
      <c r="ABO9" s="16"/>
      <c r="ABP9" s="16"/>
      <c r="ABQ9" s="16"/>
      <c r="ABR9" s="16"/>
      <c r="ABS9" s="16"/>
      <c r="ABT9" s="16"/>
      <c r="ABU9" s="16"/>
      <c r="ABV9" s="16"/>
      <c r="ABW9" s="16"/>
      <c r="ABX9" s="16"/>
      <c r="ABY9" s="16"/>
      <c r="ABZ9" s="16"/>
      <c r="ACA9" s="16"/>
      <c r="ACB9" s="16"/>
    </row>
    <row r="10" spans="1:1940" ht="18" customHeight="1" thickBot="1">
      <c r="A10" s="235" t="s">
        <v>416</v>
      </c>
      <c r="B10" s="373"/>
      <c r="C10" s="374"/>
      <c r="D10" s="374"/>
      <c r="E10" s="237" t="s">
        <v>360</v>
      </c>
      <c r="F10" s="375">
        <v>45192</v>
      </c>
      <c r="G10" s="376"/>
      <c r="H10" s="391"/>
      <c r="I10" s="391"/>
      <c r="J10" s="238">
        <v>60</v>
      </c>
      <c r="K10" s="341">
        <v>0</v>
      </c>
      <c r="L10" s="342"/>
      <c r="M10" s="12"/>
      <c r="N10" s="12"/>
      <c r="O10" s="71"/>
      <c r="P10" s="439">
        <f>FJ33</f>
        <v>18.908999999999999</v>
      </c>
      <c r="Q10" s="440"/>
      <c r="R10" s="441"/>
      <c r="S10" s="65"/>
      <c r="T10" s="65"/>
      <c r="U10" s="207"/>
      <c r="V10" s="12"/>
      <c r="W10" s="12"/>
      <c r="X10" s="12"/>
      <c r="Y10" s="12"/>
      <c r="Z10" s="12"/>
      <c r="AF10" s="208"/>
      <c r="AG10" s="208"/>
      <c r="AH10" s="208"/>
      <c r="AI10" s="208"/>
      <c r="BM10" s="12">
        <v>201</v>
      </c>
      <c r="BN10" s="12">
        <v>120</v>
      </c>
      <c r="BO10" s="208">
        <v>2</v>
      </c>
      <c r="BQ10" s="208"/>
      <c r="BR10" s="208"/>
      <c r="BS10" s="209" t="s">
        <v>1</v>
      </c>
      <c r="BT10" s="208">
        <v>2</v>
      </c>
      <c r="BU10" s="3" t="s">
        <v>76</v>
      </c>
      <c r="BV10" s="3" t="s">
        <v>342</v>
      </c>
      <c r="BW10" s="3" t="str">
        <f>BW9</f>
        <v>LIMBE</v>
      </c>
      <c r="BX10" s="3"/>
      <c r="BY10" s="210">
        <f t="shared" ref="BY10:BY47" si="0">IF(BU10=BW10,1,0)*BT10</f>
        <v>0</v>
      </c>
      <c r="BZ10" s="12">
        <v>2</v>
      </c>
      <c r="CA10" s="208" t="s">
        <v>77</v>
      </c>
      <c r="CB10" s="12" t="s">
        <v>388</v>
      </c>
      <c r="CD10" s="12">
        <f>IF(CD9&gt;=100,100,CD9)</f>
        <v>20</v>
      </c>
      <c r="CE10" s="12">
        <v>1</v>
      </c>
      <c r="CF10" s="12">
        <v>1</v>
      </c>
      <c r="CH10" s="12" t="s">
        <v>78</v>
      </c>
      <c r="CO10" s="105">
        <v>10000</v>
      </c>
      <c r="CP10" s="105"/>
      <c r="CQ10" s="12">
        <v>40</v>
      </c>
      <c r="CR10" s="12">
        <f>IF(J10&gt;60,1,0)</f>
        <v>0</v>
      </c>
      <c r="CS10" s="12">
        <f>IF(J10&lt;=120,1,0)</f>
        <v>1</v>
      </c>
      <c r="CT10" s="110">
        <f>CR10*CS10</f>
        <v>0</v>
      </c>
      <c r="CU10" s="12">
        <f>CQ10*CT10</f>
        <v>0</v>
      </c>
      <c r="CW10" s="105">
        <v>15000</v>
      </c>
      <c r="CX10" s="105">
        <v>30000</v>
      </c>
      <c r="CY10" s="105">
        <f>CY9</f>
        <v>1</v>
      </c>
      <c r="CZ10" s="105">
        <f>IF(CY10=2,CW10,IF(CY10=3,CW10,IF(CY10="4A",CW10,IF(CY10="4B",CW10,IF(CY10="4C",CW10,IF(CY10="5B",CW10,CX10))))))</f>
        <v>30000</v>
      </c>
      <c r="DA10" s="105">
        <f>IF(B19&gt;=2,1,0)</f>
        <v>1</v>
      </c>
      <c r="DB10" s="12">
        <f>IF(B19&lt;=7,1,0)</f>
        <v>0</v>
      </c>
      <c r="DC10" s="12">
        <f>DA10*DB10</f>
        <v>0</v>
      </c>
      <c r="DD10" s="141">
        <f>CZ10*DC10</f>
        <v>0</v>
      </c>
      <c r="DE10" s="12">
        <f>IF(E17="TRICYCLE",15000,0)</f>
        <v>0</v>
      </c>
      <c r="DF10" s="105">
        <v>1008</v>
      </c>
      <c r="DG10" s="12">
        <v>250</v>
      </c>
      <c r="DH10" s="105">
        <v>1000</v>
      </c>
      <c r="DJ10" s="12" t="s">
        <v>2</v>
      </c>
      <c r="DO10" s="142" t="s">
        <v>37</v>
      </c>
      <c r="DT10" s="12" t="s">
        <v>72</v>
      </c>
      <c r="DV10" s="208" t="s">
        <v>80</v>
      </c>
      <c r="DY10" s="12" t="s">
        <v>46</v>
      </c>
      <c r="DZ10" s="12">
        <v>16</v>
      </c>
      <c r="EF10" s="12">
        <v>100</v>
      </c>
      <c r="EG10" s="12">
        <f>IF(K10&gt;240,1,0)</f>
        <v>0</v>
      </c>
      <c r="EH10" s="12">
        <f>IF(K10&lt;=365,1,0)</f>
        <v>1</v>
      </c>
      <c r="EI10" s="110">
        <f>EG10*EH10</f>
        <v>0</v>
      </c>
      <c r="EJ10" s="12">
        <f>EF10*EI10</f>
        <v>0</v>
      </c>
      <c r="EL10" s="105">
        <v>100000</v>
      </c>
      <c r="EO10" s="12" t="s">
        <v>307</v>
      </c>
      <c r="FC10" s="12">
        <f>F10-H15</f>
        <v>45192</v>
      </c>
      <c r="FD10" s="105"/>
      <c r="FE10" s="12" t="e">
        <f>FC11*FD11</f>
        <v>#DIV/0!</v>
      </c>
      <c r="FF10" s="209" t="s">
        <v>53</v>
      </c>
      <c r="FG10" s="12" t="s">
        <v>0</v>
      </c>
      <c r="FH10" s="12" t="s">
        <v>1</v>
      </c>
    </row>
    <row r="11" spans="1:1940" ht="18.75" customHeight="1" thickBot="1">
      <c r="A11" s="235" t="s">
        <v>417</v>
      </c>
      <c r="B11" s="427"/>
      <c r="C11" s="428"/>
      <c r="D11" s="428"/>
      <c r="E11" s="237" t="s">
        <v>418</v>
      </c>
      <c r="F11" s="436">
        <f>IF(H7="REMISE EN VIGUEUR",H15+0.75*J11,F10+J10-1)</f>
        <v>45251</v>
      </c>
      <c r="G11" s="437"/>
      <c r="H11" s="391"/>
      <c r="I11" s="391"/>
      <c r="J11" s="239">
        <f>IF(H7="RESILIATION",H15-F15+1,IF(H7="REMISE EN VIGUEUR",F10-F15+1,0))</f>
        <v>0</v>
      </c>
      <c r="K11" s="195">
        <f>EJ25*100</f>
        <v>0</v>
      </c>
      <c r="L11" s="72"/>
      <c r="M11" s="72"/>
      <c r="N11" s="72"/>
      <c r="O11" s="72"/>
      <c r="R11" s="65"/>
      <c r="S11" s="65"/>
      <c r="T11" s="65"/>
      <c r="U11" s="207"/>
      <c r="V11" s="12"/>
      <c r="W11" s="12"/>
      <c r="X11" s="12"/>
      <c r="Y11" s="12"/>
      <c r="Z11" s="12"/>
      <c r="AF11" s="208"/>
      <c r="AG11" s="208"/>
      <c r="AH11" s="208"/>
      <c r="AI11" s="208"/>
      <c r="BM11" s="12">
        <v>202</v>
      </c>
      <c r="BN11" s="12">
        <v>180</v>
      </c>
      <c r="BO11" s="208">
        <v>3</v>
      </c>
      <c r="BQ11" s="208"/>
      <c r="BR11" s="208"/>
      <c r="BT11" s="208">
        <v>3</v>
      </c>
      <c r="BU11" s="3" t="s">
        <v>81</v>
      </c>
      <c r="BV11" s="3" t="s">
        <v>74</v>
      </c>
      <c r="BW11" s="3" t="str">
        <f t="shared" ref="BW11:BW46" si="1">BW10</f>
        <v>LIMBE</v>
      </c>
      <c r="BX11" s="3"/>
      <c r="BY11" s="210">
        <f t="shared" si="0"/>
        <v>0</v>
      </c>
      <c r="BZ11" s="12">
        <v>3</v>
      </c>
      <c r="CA11" s="208"/>
      <c r="CB11" s="12" t="s">
        <v>263</v>
      </c>
      <c r="CE11" s="12">
        <v>2</v>
      </c>
      <c r="CF11" s="12">
        <v>2</v>
      </c>
      <c r="CH11" s="12" t="s">
        <v>82</v>
      </c>
      <c r="CO11" s="105">
        <v>15000</v>
      </c>
      <c r="CP11" s="105">
        <v>30000</v>
      </c>
      <c r="CQ11" s="12">
        <v>60</v>
      </c>
      <c r="CR11" s="12">
        <f>IF(J10&gt;120,1,0)</f>
        <v>0</v>
      </c>
      <c r="CS11" s="12">
        <f>IF(J10&lt;=180,1,0)</f>
        <v>1</v>
      </c>
      <c r="CT11" s="110">
        <f>CR11*CS11</f>
        <v>0</v>
      </c>
      <c r="CU11" s="12">
        <f>CQ11*CT11</f>
        <v>0</v>
      </c>
      <c r="CW11" s="105">
        <v>25000</v>
      </c>
      <c r="CX11" s="105">
        <v>50000</v>
      </c>
      <c r="CY11" s="105">
        <f>CY10</f>
        <v>1</v>
      </c>
      <c r="CZ11" s="105">
        <f>IF(CY11=2,CW11,IF(CY11=3,CW11,IF(CY11="4A",CW11,IF(CY11="4B",CW11,IF(CY11="4C",CW11,IF(CY11="5B",CW11,CX11))))))</f>
        <v>50000</v>
      </c>
      <c r="DA11" s="105">
        <f>IF(B19&gt;=8,1,0)</f>
        <v>1</v>
      </c>
      <c r="DB11" s="12">
        <f>IF(B19&lt;=13,1,0)</f>
        <v>0</v>
      </c>
      <c r="DC11" s="12">
        <f>DA11*DB11</f>
        <v>0</v>
      </c>
      <c r="DD11" s="141">
        <f>CZ11*DC11</f>
        <v>0</v>
      </c>
      <c r="DE11" s="12">
        <f>IF(N3=5,10000,0)</f>
        <v>0</v>
      </c>
      <c r="DF11" s="105">
        <v>1886</v>
      </c>
      <c r="DO11" s="12" t="s">
        <v>327</v>
      </c>
      <c r="DT11" s="12" t="s">
        <v>75</v>
      </c>
      <c r="DV11" s="208">
        <v>18</v>
      </c>
      <c r="DY11" s="12" t="s">
        <v>296</v>
      </c>
      <c r="DZ11" s="12">
        <v>15</v>
      </c>
      <c r="EG11" s="12" t="s">
        <v>92</v>
      </c>
      <c r="EH11" s="12" t="s">
        <v>92</v>
      </c>
      <c r="EJ11" s="12">
        <f>SUM(EJ6:EJ10)</f>
        <v>0</v>
      </c>
      <c r="EO11" s="12" t="s">
        <v>308</v>
      </c>
      <c r="FC11" s="12" t="e">
        <f>FC10/J11</f>
        <v>#DIV/0!</v>
      </c>
      <c r="FD11" s="12">
        <f>CU28</f>
        <v>1</v>
      </c>
      <c r="FE11" s="12" t="e">
        <f>FC11*FD11*M28</f>
        <v>#DIV/0!</v>
      </c>
      <c r="FF11" s="209">
        <v>1</v>
      </c>
      <c r="FG11" s="143">
        <f>B20*5.73/1000</f>
        <v>18.908999999999999</v>
      </c>
      <c r="FH11" s="143">
        <f>B20*4.016/1000</f>
        <v>13.252799999999999</v>
      </c>
      <c r="FI11" s="143">
        <f>IF(D19="ESSENCE",FG11,FH11)</f>
        <v>18.908999999999999</v>
      </c>
      <c r="FJ11" s="209">
        <f>IF(N3=FF11,1,0)*FI11</f>
        <v>18.908999999999999</v>
      </c>
      <c r="FK11" s="143">
        <f>E18</f>
        <v>1</v>
      </c>
      <c r="FL11" s="209">
        <f>IF(FK11=FF11,1,0)</f>
        <v>1</v>
      </c>
      <c r="FM11" s="209">
        <f>FL11*FI11</f>
        <v>18.908999999999999</v>
      </c>
    </row>
    <row r="12" spans="1:1940" ht="17.25" customHeight="1" thickBot="1">
      <c r="A12" s="235" t="s">
        <v>419</v>
      </c>
      <c r="B12" s="377" t="str">
        <f>B8</f>
        <v>ALEMNGE CYPRIAN</v>
      </c>
      <c r="C12" s="378"/>
      <c r="D12" s="379"/>
      <c r="E12" s="237" t="s">
        <v>420</v>
      </c>
      <c r="F12" s="429" t="s">
        <v>402</v>
      </c>
      <c r="G12" s="430"/>
      <c r="H12" s="430"/>
      <c r="I12" s="430"/>
      <c r="J12" s="431"/>
      <c r="M12" s="47"/>
      <c r="N12" s="47"/>
      <c r="O12" s="331"/>
      <c r="P12" s="331"/>
      <c r="Q12" s="331"/>
      <c r="R12" s="331"/>
      <c r="S12" s="331"/>
      <c r="T12" s="331"/>
      <c r="U12" s="207"/>
      <c r="V12" s="12"/>
      <c r="W12" s="12"/>
      <c r="AF12" s="208"/>
      <c r="AG12" s="208"/>
      <c r="AH12" s="208"/>
      <c r="AI12" s="208"/>
      <c r="BM12" s="12">
        <v>203</v>
      </c>
      <c r="BN12" s="12">
        <v>365</v>
      </c>
      <c r="BO12" s="208" t="s">
        <v>33</v>
      </c>
      <c r="BQ12" s="208"/>
      <c r="BR12" s="208"/>
      <c r="BT12" s="208">
        <v>4</v>
      </c>
      <c r="BU12" s="3" t="s">
        <v>84</v>
      </c>
      <c r="BV12" s="3" t="s">
        <v>343</v>
      </c>
      <c r="BW12" s="3" t="str">
        <f t="shared" si="1"/>
        <v>LIMBE</v>
      </c>
      <c r="BX12" s="3"/>
      <c r="BY12" s="210">
        <f t="shared" si="0"/>
        <v>4</v>
      </c>
      <c r="BZ12" s="12">
        <v>4</v>
      </c>
      <c r="CA12" s="208"/>
      <c r="CB12" s="12" t="s">
        <v>399</v>
      </c>
      <c r="CE12" s="12">
        <v>3</v>
      </c>
      <c r="CF12" s="12">
        <v>3</v>
      </c>
      <c r="CH12" s="12" t="s">
        <v>85</v>
      </c>
      <c r="CL12" s="208" t="s">
        <v>261</v>
      </c>
      <c r="CN12" s="209" t="s">
        <v>24</v>
      </c>
      <c r="CO12" s="105">
        <v>25000</v>
      </c>
      <c r="CP12" s="105">
        <v>50000</v>
      </c>
      <c r="CQ12" s="12">
        <v>80</v>
      </c>
      <c r="CR12" s="12">
        <f>IF(J10&gt;180,1,0)</f>
        <v>0</v>
      </c>
      <c r="CS12" s="12">
        <f>IF(J10&lt;=240,1,0)</f>
        <v>1</v>
      </c>
      <c r="CT12" s="110">
        <f>CR12*CS12</f>
        <v>0</v>
      </c>
      <c r="CU12" s="12">
        <f>CQ12*CT12</f>
        <v>0</v>
      </c>
      <c r="CW12" s="105">
        <v>50000</v>
      </c>
      <c r="CX12" s="105">
        <v>75000</v>
      </c>
      <c r="CY12" s="105">
        <f>CY11</f>
        <v>1</v>
      </c>
      <c r="CZ12" s="105">
        <f>IF(CY12=2,CW12,IF(CY12=3,CW12,IF(CY12="4A",CW12,IF(CY12="4B",CW12,IF(CY12="4C",CW12,IF(CY12="5B",CW12,CX12))))))</f>
        <v>75000</v>
      </c>
      <c r="DA12" s="105">
        <f>IF(B19&gt;=14,1,0)</f>
        <v>1</v>
      </c>
      <c r="DB12" s="12">
        <f>IF(B19&lt;=20,1,0)</f>
        <v>1</v>
      </c>
      <c r="DC12" s="12">
        <f>DA12*DB12</f>
        <v>1</v>
      </c>
      <c r="DD12" s="141">
        <f>CZ12*DC12</f>
        <v>75000</v>
      </c>
      <c r="DF12" s="105">
        <v>2500</v>
      </c>
      <c r="DO12" s="12" t="s">
        <v>329</v>
      </c>
      <c r="DT12" s="12" t="s">
        <v>79</v>
      </c>
      <c r="DV12" s="208">
        <v>17</v>
      </c>
      <c r="DX12" s="12">
        <v>123</v>
      </c>
      <c r="DY12" s="12" t="s">
        <v>295</v>
      </c>
      <c r="DZ12" s="12">
        <v>14</v>
      </c>
      <c r="EO12" s="12" t="s">
        <v>309</v>
      </c>
      <c r="FD12" s="12" t="e">
        <f>FD11/FC11</f>
        <v>#DIV/0!</v>
      </c>
      <c r="FF12" s="209">
        <v>2</v>
      </c>
      <c r="FG12" s="143">
        <f>B20*4.77/1000</f>
        <v>15.740999999999998</v>
      </c>
      <c r="FH12" s="143">
        <f>B20*3.34/1000</f>
        <v>11.022</v>
      </c>
      <c r="FI12" s="143">
        <f>IF(D19="ESSENCE",FG12,FH12)</f>
        <v>15.740999999999998</v>
      </c>
      <c r="FJ12" s="209">
        <f>IF(N3=FF12,1,0)*FI12</f>
        <v>0</v>
      </c>
      <c r="FK12" s="143">
        <f>FK11</f>
        <v>1</v>
      </c>
      <c r="FL12" s="209">
        <f t="shared" ref="FL12:FL18" si="2">IF(FK12=FF12,1,0)</f>
        <v>0</v>
      </c>
      <c r="FM12" s="209">
        <f t="shared" ref="FM12:FM24" si="3">FL12*FI12</f>
        <v>0</v>
      </c>
    </row>
    <row r="13" spans="1:1940" ht="19.5" customHeight="1">
      <c r="A13" s="235" t="s">
        <v>421</v>
      </c>
      <c r="B13" s="433" t="str">
        <f>B12</f>
        <v>ALEMNGE CYPRIAN</v>
      </c>
      <c r="C13" s="434"/>
      <c r="D13" s="435"/>
      <c r="E13" s="240" t="s">
        <v>422</v>
      </c>
      <c r="F13" s="385" t="s">
        <v>453</v>
      </c>
      <c r="G13" s="386"/>
      <c r="H13" s="387"/>
      <c r="I13" s="387"/>
      <c r="J13" s="388"/>
      <c r="O13" s="12"/>
      <c r="Q13" s="323"/>
      <c r="R13" s="323"/>
      <c r="S13" s="323"/>
      <c r="T13" s="331"/>
      <c r="U13" s="331"/>
      <c r="V13" s="12"/>
      <c r="W13" s="12"/>
      <c r="AF13" s="208"/>
      <c r="AG13" s="208"/>
      <c r="AH13" s="208"/>
      <c r="AI13" s="208"/>
      <c r="BM13" s="12">
        <v>210</v>
      </c>
      <c r="BO13" s="208" t="s">
        <v>34</v>
      </c>
      <c r="BQ13" s="208"/>
      <c r="BR13" s="208"/>
      <c r="BT13" s="208">
        <v>5</v>
      </c>
      <c r="BU13" s="3" t="s">
        <v>87</v>
      </c>
      <c r="BV13" s="3" t="s">
        <v>354</v>
      </c>
      <c r="BW13" s="3" t="str">
        <f t="shared" si="1"/>
        <v>LIMBE</v>
      </c>
      <c r="BX13" s="3"/>
      <c r="BY13" s="210">
        <f t="shared" si="0"/>
        <v>0</v>
      </c>
      <c r="BZ13" s="12">
        <v>5</v>
      </c>
      <c r="CA13" s="208"/>
      <c r="CB13" s="12" t="s">
        <v>264</v>
      </c>
      <c r="CE13" s="12">
        <v>4</v>
      </c>
      <c r="CF13" s="12">
        <v>4</v>
      </c>
      <c r="CH13" s="12" t="s">
        <v>88</v>
      </c>
      <c r="CN13" s="209" t="s">
        <v>25</v>
      </c>
      <c r="CO13" s="105">
        <v>50000</v>
      </c>
      <c r="CP13" s="105">
        <v>75000</v>
      </c>
      <c r="CQ13" s="12">
        <v>100</v>
      </c>
      <c r="CR13" s="12">
        <f>IF(J10&gt;240,1,0)</f>
        <v>0</v>
      </c>
      <c r="CS13" s="12">
        <f>IF(J10&lt;=365,1,0)</f>
        <v>1</v>
      </c>
      <c r="CT13" s="110">
        <f>CR13*CS13</f>
        <v>0</v>
      </c>
      <c r="CU13" s="12">
        <f>CQ13*CT13</f>
        <v>0</v>
      </c>
      <c r="CW13" s="105">
        <v>150000</v>
      </c>
      <c r="CX13" s="105">
        <v>200000</v>
      </c>
      <c r="CY13" s="105">
        <f>CY12</f>
        <v>1</v>
      </c>
      <c r="CZ13" s="105">
        <f>IF(CY13=2,CW13,IF(CY13=3,CW13,IF(CY13="4A",CW13,IF(CY13="4B",CW13,IF(CY13="4C",CW13,IF(CY13="5B",CW13,CX13))))))</f>
        <v>200000</v>
      </c>
      <c r="DA13" s="105">
        <f>IF(B19&gt;20,1,0)</f>
        <v>0</v>
      </c>
      <c r="DB13" s="12">
        <f>IF(B19&lt;99999999999999900000,1,0)</f>
        <v>1</v>
      </c>
      <c r="DC13" s="12">
        <f>DA13*DB13</f>
        <v>0</v>
      </c>
      <c r="DD13" s="141">
        <f>CZ13*DC13</f>
        <v>0</v>
      </c>
      <c r="DF13" s="105">
        <v>3000</v>
      </c>
      <c r="DT13" s="12" t="s">
        <v>314</v>
      </c>
      <c r="DV13" s="208">
        <v>16</v>
      </c>
      <c r="DX13" s="12">
        <v>6422</v>
      </c>
      <c r="DY13" s="12" t="s">
        <v>379</v>
      </c>
      <c r="DZ13" s="12">
        <v>13</v>
      </c>
      <c r="EO13" s="12" t="s">
        <v>310</v>
      </c>
      <c r="FF13" s="209">
        <v>3</v>
      </c>
      <c r="FG13" s="143">
        <f>B20*2.77/1000</f>
        <v>9.141</v>
      </c>
      <c r="FH13" s="143">
        <f>B20*2.67/1000</f>
        <v>8.8109999999999999</v>
      </c>
      <c r="FI13" s="143">
        <f>IF(D19="ESSENCE",FG13,FH13)</f>
        <v>9.141</v>
      </c>
      <c r="FJ13" s="209">
        <f>IF(N3=FF13,1,0)*FI13</f>
        <v>0</v>
      </c>
      <c r="FK13" s="143">
        <f t="shared" ref="FK13:FK18" si="4">FK12</f>
        <v>1</v>
      </c>
      <c r="FL13" s="209">
        <f t="shared" si="2"/>
        <v>0</v>
      </c>
      <c r="FM13" s="209">
        <f t="shared" si="3"/>
        <v>0</v>
      </c>
    </row>
    <row r="14" spans="1:1940" ht="13.5" customHeight="1">
      <c r="A14" s="316" t="s">
        <v>423</v>
      </c>
      <c r="B14" s="380" t="s">
        <v>401</v>
      </c>
      <c r="C14" s="241" t="s">
        <v>424</v>
      </c>
      <c r="D14" s="242" t="s">
        <v>394</v>
      </c>
      <c r="E14" s="243" t="s">
        <v>395</v>
      </c>
      <c r="F14" s="382"/>
      <c r="G14" s="382"/>
      <c r="H14" s="383" t="s">
        <v>396</v>
      </c>
      <c r="I14" s="383"/>
      <c r="J14" s="384"/>
      <c r="O14" s="12"/>
      <c r="Q14" s="206"/>
      <c r="R14" s="206"/>
      <c r="S14" s="206"/>
      <c r="T14" s="205"/>
      <c r="U14" s="205"/>
      <c r="V14" s="12"/>
      <c r="W14" s="12"/>
      <c r="AF14" s="208"/>
      <c r="AG14" s="208"/>
      <c r="AH14" s="208"/>
      <c r="AI14" s="208"/>
      <c r="BO14" s="208"/>
      <c r="BQ14" s="208"/>
      <c r="BR14" s="208"/>
      <c r="BT14" s="208"/>
      <c r="BU14" s="3"/>
      <c r="BV14" s="3"/>
      <c r="BW14" s="3"/>
      <c r="BX14" s="3"/>
      <c r="BY14" s="210"/>
      <c r="CA14" s="208"/>
      <c r="CB14" s="12" t="s">
        <v>265</v>
      </c>
      <c r="CH14" s="12" t="s">
        <v>91</v>
      </c>
      <c r="CN14" s="209"/>
      <c r="CO14" s="105"/>
      <c r="CP14" s="105"/>
      <c r="CT14" s="110"/>
      <c r="CW14" s="105"/>
      <c r="CX14" s="105"/>
      <c r="CY14" s="105"/>
      <c r="CZ14" s="105"/>
      <c r="DA14" s="105"/>
      <c r="DD14" s="141"/>
      <c r="DF14" s="105"/>
      <c r="DT14" s="12" t="s">
        <v>315</v>
      </c>
      <c r="DV14" s="208"/>
      <c r="DY14" s="12" t="s">
        <v>378</v>
      </c>
      <c r="EO14" s="12" t="s">
        <v>311</v>
      </c>
      <c r="FG14" s="143"/>
      <c r="FH14" s="143"/>
      <c r="FI14" s="143"/>
      <c r="FJ14" s="209"/>
      <c r="FK14" s="143"/>
      <c r="FL14" s="209"/>
      <c r="FM14" s="209"/>
    </row>
    <row r="15" spans="1:1940" ht="19.5" customHeight="1" thickBot="1">
      <c r="A15" s="317"/>
      <c r="B15" s="381"/>
      <c r="C15" s="244"/>
      <c r="D15" s="245"/>
      <c r="E15" s="246"/>
      <c r="F15" s="361"/>
      <c r="G15" s="362"/>
      <c r="H15" s="343"/>
      <c r="I15" s="343"/>
      <c r="J15" s="344"/>
      <c r="O15" s="12"/>
      <c r="Q15" s="323"/>
      <c r="R15" s="323"/>
      <c r="S15" s="323"/>
      <c r="T15" s="331"/>
      <c r="U15" s="331"/>
      <c r="V15" s="12"/>
      <c r="W15" s="12"/>
      <c r="BO15" s="208" t="s">
        <v>35</v>
      </c>
      <c r="BQ15" s="208"/>
      <c r="BR15" s="208"/>
      <c r="BT15" s="208">
        <v>6</v>
      </c>
      <c r="BU15" s="3" t="s">
        <v>90</v>
      </c>
      <c r="BV15" s="3" t="s">
        <v>344</v>
      </c>
      <c r="BW15" s="3" t="str">
        <f>BW13</f>
        <v>LIMBE</v>
      </c>
      <c r="BX15" s="3"/>
      <c r="BY15" s="210">
        <f t="shared" si="0"/>
        <v>0</v>
      </c>
      <c r="BZ15" s="12">
        <v>6</v>
      </c>
      <c r="CA15" s="208"/>
      <c r="CB15" s="12" t="s">
        <v>266</v>
      </c>
      <c r="CE15" s="12">
        <v>5</v>
      </c>
      <c r="CF15" s="12">
        <v>5</v>
      </c>
      <c r="CH15" s="12" t="s">
        <v>94</v>
      </c>
      <c r="CO15" s="105">
        <v>150000</v>
      </c>
      <c r="CP15" s="105">
        <v>200000</v>
      </c>
      <c r="CR15" s="12" t="s">
        <v>92</v>
      </c>
      <c r="CS15" s="12" t="s">
        <v>92</v>
      </c>
      <c r="CU15" s="12">
        <f>SUM(CU9:CU13)</f>
        <v>20</v>
      </c>
      <c r="DD15" s="144">
        <f>SUM(DD9:DD13)</f>
        <v>75000</v>
      </c>
      <c r="DE15" s="144">
        <f>DD15*DE9+DE10</f>
        <v>75000</v>
      </c>
      <c r="DF15" s="105">
        <v>3500</v>
      </c>
      <c r="DT15" s="12" t="s">
        <v>83</v>
      </c>
      <c r="DV15" s="208">
        <v>15</v>
      </c>
      <c r="DY15" s="12" t="s">
        <v>377</v>
      </c>
      <c r="DZ15" s="12">
        <v>12</v>
      </c>
      <c r="EO15" s="12" t="s">
        <v>312</v>
      </c>
      <c r="FF15" s="209" t="s">
        <v>33</v>
      </c>
      <c r="FG15" s="143">
        <f t="shared" ref="FG15:FJ16" si="5">FG11</f>
        <v>18.908999999999999</v>
      </c>
      <c r="FH15" s="143">
        <f t="shared" si="5"/>
        <v>13.252799999999999</v>
      </c>
      <c r="FI15" s="143">
        <f t="shared" si="5"/>
        <v>18.908999999999999</v>
      </c>
      <c r="FJ15" s="143">
        <f t="shared" si="5"/>
        <v>18.908999999999999</v>
      </c>
      <c r="FK15" s="143">
        <f>FK13</f>
        <v>1</v>
      </c>
      <c r="FL15" s="209">
        <f>IF(FK15=FF15,1,0)</f>
        <v>0</v>
      </c>
      <c r="FM15" s="209">
        <f t="shared" si="3"/>
        <v>0</v>
      </c>
    </row>
    <row r="16" spans="1:1940" ht="4.5" customHeight="1" thickBot="1">
      <c r="A16" s="345" t="s">
        <v>358</v>
      </c>
      <c r="B16" s="345"/>
      <c r="C16" s="345"/>
      <c r="D16" s="345"/>
      <c r="E16" s="345"/>
      <c r="F16" s="345"/>
      <c r="G16" s="345"/>
      <c r="H16" s="345"/>
      <c r="I16" s="345"/>
      <c r="J16" s="345"/>
      <c r="K16" s="12"/>
      <c r="L16" s="12"/>
      <c r="M16" s="12"/>
      <c r="N16" s="12"/>
      <c r="O16" s="47"/>
      <c r="BO16" s="208" t="s">
        <v>31</v>
      </c>
      <c r="BQ16" s="208"/>
      <c r="BR16" s="208"/>
      <c r="BT16" s="208">
        <v>7</v>
      </c>
      <c r="BU16" s="3" t="s">
        <v>98</v>
      </c>
      <c r="BV16" s="3" t="s">
        <v>345</v>
      </c>
      <c r="BW16" s="3" t="str">
        <f t="shared" si="1"/>
        <v>LIMBE</v>
      </c>
      <c r="BX16" s="3"/>
      <c r="BY16" s="210">
        <f t="shared" si="0"/>
        <v>0</v>
      </c>
      <c r="BZ16" s="12">
        <v>7</v>
      </c>
      <c r="CA16" s="208"/>
      <c r="CB16" s="12" t="s">
        <v>267</v>
      </c>
      <c r="CE16" s="12">
        <v>6</v>
      </c>
      <c r="CF16" s="12">
        <v>6</v>
      </c>
      <c r="CH16" s="12" t="s">
        <v>99</v>
      </c>
      <c r="DD16" s="144"/>
      <c r="DE16" s="144"/>
      <c r="DF16" s="105">
        <v>4000</v>
      </c>
      <c r="DT16" s="12" t="s">
        <v>86</v>
      </c>
      <c r="DV16" s="208">
        <v>14</v>
      </c>
      <c r="DY16" s="12" t="s">
        <v>376</v>
      </c>
      <c r="DZ16" s="12">
        <v>11</v>
      </c>
      <c r="EF16" s="12">
        <v>20</v>
      </c>
      <c r="EG16" s="12">
        <f>IF(K10&gt;=1,1,0)</f>
        <v>0</v>
      </c>
      <c r="EH16" s="12">
        <f>IF(K10&lt;=60,1,0)</f>
        <v>1</v>
      </c>
      <c r="EI16" s="110">
        <f>EG16*EH16</f>
        <v>0</v>
      </c>
      <c r="EJ16" s="12">
        <f>EF16*EI16</f>
        <v>0</v>
      </c>
      <c r="EO16" s="12" t="s">
        <v>313</v>
      </c>
      <c r="FF16" s="209" t="s">
        <v>34</v>
      </c>
      <c r="FG16" s="143">
        <f t="shared" si="5"/>
        <v>15.740999999999998</v>
      </c>
      <c r="FH16" s="143">
        <f t="shared" si="5"/>
        <v>11.022</v>
      </c>
      <c r="FI16" s="143">
        <f t="shared" si="5"/>
        <v>15.740999999999998</v>
      </c>
      <c r="FJ16" s="143">
        <f t="shared" si="5"/>
        <v>0</v>
      </c>
      <c r="FK16" s="143">
        <f t="shared" si="4"/>
        <v>1</v>
      </c>
      <c r="FL16" s="209">
        <f t="shared" si="2"/>
        <v>0</v>
      </c>
      <c r="FM16" s="209">
        <f t="shared" si="3"/>
        <v>0</v>
      </c>
    </row>
    <row r="17" spans="1:169" ht="21" customHeight="1">
      <c r="A17" s="353" t="s">
        <v>425</v>
      </c>
      <c r="B17" s="355" t="s">
        <v>450</v>
      </c>
      <c r="C17" s="355"/>
      <c r="D17" s="247" t="s">
        <v>96</v>
      </c>
      <c r="E17" s="248" t="s">
        <v>45</v>
      </c>
      <c r="F17" s="356" t="s">
        <v>97</v>
      </c>
      <c r="G17" s="356"/>
      <c r="H17" s="358" t="s">
        <v>452</v>
      </c>
      <c r="I17" s="355"/>
      <c r="J17" s="359"/>
      <c r="K17" s="42"/>
      <c r="M17" s="12"/>
      <c r="N17" s="12"/>
      <c r="O17" s="12"/>
      <c r="T17" s="16"/>
      <c r="AN17" s="12">
        <f>F27/10</f>
        <v>2</v>
      </c>
      <c r="AO17" s="12">
        <f>IF(AN17=10,12,AN17)</f>
        <v>2</v>
      </c>
      <c r="BO17" s="208" t="s">
        <v>32</v>
      </c>
      <c r="BQ17" s="208"/>
      <c r="BR17" s="208"/>
      <c r="BT17" s="208">
        <v>8</v>
      </c>
      <c r="BU17" s="3" t="s">
        <v>102</v>
      </c>
      <c r="BV17" s="3" t="s">
        <v>355</v>
      </c>
      <c r="BW17" s="3" t="str">
        <f t="shared" si="1"/>
        <v>LIMBE</v>
      </c>
      <c r="BX17" s="3"/>
      <c r="BY17" s="210">
        <f t="shared" si="0"/>
        <v>0</v>
      </c>
      <c r="BZ17" s="12">
        <v>8</v>
      </c>
      <c r="CA17" s="208"/>
      <c r="CB17" s="12" t="s">
        <v>268</v>
      </c>
      <c r="CE17" s="12">
        <v>7</v>
      </c>
      <c r="CF17" s="12">
        <v>7</v>
      </c>
      <c r="CH17" s="12" t="s">
        <v>103</v>
      </c>
      <c r="DF17" s="105">
        <v>4500</v>
      </c>
      <c r="DT17" s="12" t="s">
        <v>368</v>
      </c>
      <c r="DV17" s="208">
        <v>13</v>
      </c>
      <c r="DY17" s="12" t="s">
        <v>375</v>
      </c>
      <c r="DZ17" s="12">
        <v>10</v>
      </c>
      <c r="EF17" s="12">
        <v>40</v>
      </c>
      <c r="EG17" s="12">
        <f>IF(K10&gt;60,1,0)</f>
        <v>0</v>
      </c>
      <c r="EH17" s="12">
        <f>IF(K10&lt;=120,1,0)</f>
        <v>1</v>
      </c>
      <c r="EI17" s="110">
        <f>EG17*EH17</f>
        <v>0</v>
      </c>
      <c r="EJ17" s="12">
        <f>EF17*EI17</f>
        <v>0</v>
      </c>
      <c r="FF17" s="209" t="s">
        <v>35</v>
      </c>
      <c r="FG17" s="143">
        <f>FG12</f>
        <v>15.740999999999998</v>
      </c>
      <c r="FH17" s="143">
        <f>FH12</f>
        <v>11.022</v>
      </c>
      <c r="FI17" s="143">
        <f>FI12</f>
        <v>15.740999999999998</v>
      </c>
      <c r="FJ17" s="143">
        <f>FJ12</f>
        <v>0</v>
      </c>
      <c r="FK17" s="143">
        <f t="shared" si="4"/>
        <v>1</v>
      </c>
      <c r="FL17" s="209">
        <f t="shared" si="2"/>
        <v>0</v>
      </c>
      <c r="FM17" s="209">
        <f t="shared" si="3"/>
        <v>0</v>
      </c>
    </row>
    <row r="18" spans="1:169" ht="14.25" customHeight="1">
      <c r="A18" s="354"/>
      <c r="B18" s="346"/>
      <c r="C18" s="346"/>
      <c r="D18" s="242" t="s">
        <v>101</v>
      </c>
      <c r="E18" s="249">
        <v>1</v>
      </c>
      <c r="F18" s="357"/>
      <c r="G18" s="357"/>
      <c r="H18" s="346"/>
      <c r="I18" s="346"/>
      <c r="J18" s="360"/>
      <c r="K18" s="12"/>
      <c r="L18" s="49" t="s">
        <v>101</v>
      </c>
      <c r="M18" s="393" t="s">
        <v>23</v>
      </c>
      <c r="N18" s="393"/>
      <c r="O18" s="332" t="s">
        <v>280</v>
      </c>
      <c r="P18" s="332"/>
      <c r="Q18" s="332"/>
      <c r="R18" s="332"/>
      <c r="S18" s="332"/>
      <c r="T18" s="332" t="s">
        <v>281</v>
      </c>
      <c r="U18" s="332"/>
      <c r="AN18" s="167">
        <f>F27/10</f>
        <v>2</v>
      </c>
      <c r="AO18" s="168">
        <f>AN18+1.5</f>
        <v>3.5</v>
      </c>
      <c r="BO18" s="208">
        <v>6</v>
      </c>
      <c r="BQ18" s="208"/>
      <c r="BR18" s="208"/>
      <c r="BT18" s="208">
        <v>9</v>
      </c>
      <c r="BU18" s="3" t="s">
        <v>105</v>
      </c>
      <c r="BV18" s="3" t="s">
        <v>346</v>
      </c>
      <c r="BW18" s="3" t="str">
        <f t="shared" si="1"/>
        <v>LIMBE</v>
      </c>
      <c r="BX18" s="3"/>
      <c r="BY18" s="210">
        <f t="shared" si="0"/>
        <v>0</v>
      </c>
      <c r="BZ18" s="12">
        <v>9</v>
      </c>
      <c r="CA18" s="208"/>
      <c r="CB18" s="12" t="s">
        <v>269</v>
      </c>
      <c r="CE18" s="12">
        <v>8</v>
      </c>
      <c r="CF18" s="12">
        <v>8</v>
      </c>
      <c r="CH18" s="12" t="s">
        <v>299</v>
      </c>
      <c r="DA18" s="12" t="s">
        <v>92</v>
      </c>
      <c r="DE18" s="12">
        <f>IF(K46="YES",1,0)</f>
        <v>0</v>
      </c>
      <c r="DF18" s="105">
        <v>5000</v>
      </c>
      <c r="DT18" s="12" t="s">
        <v>100</v>
      </c>
      <c r="DV18" s="208">
        <v>12</v>
      </c>
      <c r="DY18" s="12" t="s">
        <v>374</v>
      </c>
      <c r="DZ18" s="12">
        <v>9</v>
      </c>
      <c r="EF18" s="12">
        <v>60</v>
      </c>
      <c r="EG18" s="12">
        <f>IF(K10&gt;120,1,0)</f>
        <v>0</v>
      </c>
      <c r="EH18" s="12">
        <f>IF(K10&lt;=180,1,0)</f>
        <v>1</v>
      </c>
      <c r="EI18" s="110">
        <f>EG18*EH18</f>
        <v>0</v>
      </c>
      <c r="EJ18" s="12">
        <f>EF18*EI18</f>
        <v>0</v>
      </c>
      <c r="FF18" s="209" t="s">
        <v>31</v>
      </c>
      <c r="FG18" s="143">
        <f>'CAT 5A'!E23</f>
        <v>0</v>
      </c>
      <c r="FH18" s="209"/>
      <c r="FI18" s="143">
        <f>IF(D19="ESSENCE",FG18,FG18)</f>
        <v>0</v>
      </c>
      <c r="FJ18" s="209">
        <f>IF(E18=FF18,1,0)*FI18</f>
        <v>0</v>
      </c>
      <c r="FK18" s="143">
        <f t="shared" si="4"/>
        <v>1</v>
      </c>
      <c r="FL18" s="209">
        <f t="shared" si="2"/>
        <v>0</v>
      </c>
      <c r="FM18" s="209">
        <f t="shared" si="3"/>
        <v>0</v>
      </c>
    </row>
    <row r="19" spans="1:169" ht="29.25" customHeight="1">
      <c r="A19" s="250" t="s">
        <v>426</v>
      </c>
      <c r="B19" s="251">
        <v>19</v>
      </c>
      <c r="C19" s="252" t="s">
        <v>427</v>
      </c>
      <c r="D19" s="251" t="s">
        <v>0</v>
      </c>
      <c r="E19" s="253" t="s">
        <v>428</v>
      </c>
      <c r="F19" s="346" t="s">
        <v>451</v>
      </c>
      <c r="G19" s="346"/>
      <c r="H19" s="347" t="s">
        <v>429</v>
      </c>
      <c r="I19" s="348"/>
      <c r="J19" s="236"/>
      <c r="K19" s="12"/>
      <c r="L19" s="50">
        <v>1</v>
      </c>
      <c r="M19" s="321" t="s">
        <v>279</v>
      </c>
      <c r="N19" s="321"/>
      <c r="O19" s="321" t="s">
        <v>285</v>
      </c>
      <c r="P19" s="321"/>
      <c r="Q19" s="321"/>
      <c r="R19" s="321"/>
      <c r="S19" s="321"/>
      <c r="T19" s="321">
        <v>0</v>
      </c>
      <c r="U19" s="321"/>
      <c r="AN19" s="169"/>
      <c r="AO19" s="169">
        <f>IF(H7="PROROGATION",AO18,AO17)</f>
        <v>2</v>
      </c>
      <c r="BO19" s="208">
        <v>7</v>
      </c>
      <c r="BQ19" s="208"/>
      <c r="BR19" s="208"/>
      <c r="BT19" s="208">
        <v>10</v>
      </c>
      <c r="BU19" s="3" t="s">
        <v>107</v>
      </c>
      <c r="BV19" s="3" t="s">
        <v>346</v>
      </c>
      <c r="BW19" s="3" t="str">
        <f t="shared" si="1"/>
        <v>LIMBE</v>
      </c>
      <c r="BX19" s="3"/>
      <c r="BY19" s="210">
        <f t="shared" si="0"/>
        <v>0</v>
      </c>
      <c r="BZ19" s="12">
        <v>10</v>
      </c>
      <c r="CA19" s="208"/>
      <c r="CB19" s="12" t="s">
        <v>389</v>
      </c>
      <c r="CE19" s="12">
        <v>9</v>
      </c>
      <c r="CF19" s="12">
        <v>9</v>
      </c>
      <c r="CH19" s="12" t="s">
        <v>335</v>
      </c>
      <c r="CQ19" s="12">
        <v>20</v>
      </c>
      <c r="CR19" s="12">
        <f>IF(J11&gt;=1,1,0)</f>
        <v>0</v>
      </c>
      <c r="CS19" s="12">
        <f>IF(J11&lt;=60,1,0)</f>
        <v>1</v>
      </c>
      <c r="CT19" s="110">
        <f>CR19*CS19</f>
        <v>0</v>
      </c>
      <c r="CU19" s="12">
        <f>CQ19*CT19</f>
        <v>0</v>
      </c>
      <c r="DB19" s="12" t="s">
        <v>92</v>
      </c>
      <c r="DE19" s="144">
        <f>DE15*DE18</f>
        <v>0</v>
      </c>
      <c r="DT19" s="12" t="s">
        <v>117</v>
      </c>
      <c r="DV19" s="208">
        <v>11</v>
      </c>
      <c r="DY19" s="12" t="s">
        <v>373</v>
      </c>
      <c r="EI19" s="110"/>
      <c r="FF19" s="209" t="s">
        <v>32</v>
      </c>
      <c r="FG19" s="143">
        <f>FG18</f>
        <v>0</v>
      </c>
      <c r="FH19" s="209">
        <f>FH18</f>
        <v>0</v>
      </c>
      <c r="FI19" s="143">
        <f>FI18</f>
        <v>0</v>
      </c>
      <c r="FJ19" s="209">
        <f>IF(E18=FF19,1,0)*FI19</f>
        <v>0</v>
      </c>
      <c r="FK19" s="143">
        <f>FK18</f>
        <v>1</v>
      </c>
      <c r="FL19" s="209">
        <f t="shared" ref="FL19:FL24" si="6">IF(FK19=FF19,1,0)</f>
        <v>0</v>
      </c>
      <c r="FM19" s="209">
        <f t="shared" si="3"/>
        <v>0</v>
      </c>
    </row>
    <row r="20" spans="1:169" ht="27.75" customHeight="1">
      <c r="A20" s="254" t="s">
        <v>430</v>
      </c>
      <c r="B20" s="249">
        <v>3300</v>
      </c>
      <c r="C20" s="255" t="s">
        <v>301</v>
      </c>
      <c r="D20" s="256">
        <v>0</v>
      </c>
      <c r="E20" s="253" t="s">
        <v>302</v>
      </c>
      <c r="F20" s="335">
        <v>0</v>
      </c>
      <c r="G20" s="336"/>
      <c r="H20" s="337" t="s">
        <v>303</v>
      </c>
      <c r="I20" s="338"/>
      <c r="J20" s="236"/>
      <c r="K20" s="12"/>
      <c r="L20" s="69"/>
      <c r="M20" s="69"/>
      <c r="N20" s="69"/>
      <c r="O20" s="69"/>
      <c r="P20" s="199"/>
      <c r="Q20" s="199"/>
      <c r="R20" s="199"/>
      <c r="S20" s="199"/>
      <c r="T20" s="199"/>
      <c r="U20" s="204"/>
      <c r="AN20" s="322" t="s">
        <v>397</v>
      </c>
      <c r="AO20" s="322"/>
      <c r="BO20" s="208">
        <v>8</v>
      </c>
      <c r="BQ20" s="208"/>
      <c r="BR20" s="208"/>
      <c r="BT20" s="208">
        <v>11</v>
      </c>
      <c r="BU20" s="3" t="s">
        <v>109</v>
      </c>
      <c r="BV20" s="3" t="s">
        <v>80</v>
      </c>
      <c r="BW20" s="3" t="str">
        <f t="shared" si="1"/>
        <v>LIMBE</v>
      </c>
      <c r="BX20" s="3"/>
      <c r="BY20" s="210">
        <f t="shared" si="0"/>
        <v>0</v>
      </c>
      <c r="BZ20" s="12">
        <v>11</v>
      </c>
      <c r="CA20" s="208"/>
      <c r="CB20" s="12" t="s">
        <v>390</v>
      </c>
      <c r="CE20" s="12">
        <v>10</v>
      </c>
      <c r="CF20" s="12">
        <v>10</v>
      </c>
      <c r="CH20" s="12" t="s">
        <v>336</v>
      </c>
      <c r="CT20" s="110"/>
      <c r="DE20" s="144"/>
      <c r="DT20" s="12" t="s">
        <v>122</v>
      </c>
      <c r="DV20" s="208">
        <v>10</v>
      </c>
      <c r="DY20" s="12" t="s">
        <v>372</v>
      </c>
      <c r="EI20" s="110"/>
      <c r="FF20" s="209">
        <v>6</v>
      </c>
      <c r="FG20" s="209">
        <f>IF(F20="VEH.CAT.05",FG19,IF(F20="VEH.CAT.01",FG11,IF(F20="VEH.CAT.02",FG12,IF(F20="VEH.CAT.03",FG13,0))))</f>
        <v>0</v>
      </c>
      <c r="FH20" s="209">
        <f>IF(F20="VEH.CAT.05",FH19,IF(F20="VEH.CAT.01",FH11,IF(F20="VEH.CAT.02",FH12,IF(F20="VEH.CAT.03",FH13,0))))</f>
        <v>0</v>
      </c>
      <c r="FI20" s="143">
        <f>IF(D19="ESSENCE",FG20,FH20)</f>
        <v>0</v>
      </c>
      <c r="FJ20" s="209">
        <f>IF(N3=FF20,1,0)*FI20</f>
        <v>0</v>
      </c>
      <c r="FK20" s="143">
        <f>FK18</f>
        <v>1</v>
      </c>
      <c r="FL20" s="209">
        <f t="shared" si="6"/>
        <v>0</v>
      </c>
      <c r="FM20" s="209">
        <f t="shared" si="3"/>
        <v>0</v>
      </c>
    </row>
    <row r="21" spans="1:169" ht="19.5" customHeight="1">
      <c r="A21" s="250" t="s">
        <v>431</v>
      </c>
      <c r="B21" s="257">
        <v>35796</v>
      </c>
      <c r="C21" s="253" t="s">
        <v>432</v>
      </c>
      <c r="D21" s="258"/>
      <c r="E21" s="253" t="s">
        <v>433</v>
      </c>
      <c r="F21" s="329">
        <v>2460</v>
      </c>
      <c r="G21" s="330"/>
      <c r="H21" s="324" t="s">
        <v>434</v>
      </c>
      <c r="I21" s="325"/>
      <c r="J21" s="259">
        <v>5</v>
      </c>
      <c r="K21" s="12"/>
      <c r="L21" s="50">
        <v>2.2999999999999998</v>
      </c>
      <c r="M21" s="321" t="s">
        <v>283</v>
      </c>
      <c r="N21" s="321"/>
      <c r="O21" s="321" t="s">
        <v>285</v>
      </c>
      <c r="P21" s="321"/>
      <c r="Q21" s="321"/>
      <c r="R21" s="321"/>
      <c r="S21" s="321"/>
      <c r="T21" s="321">
        <v>0</v>
      </c>
      <c r="U21" s="321"/>
      <c r="BO21" s="208">
        <v>9</v>
      </c>
      <c r="BQ21" s="208"/>
      <c r="BR21" s="208"/>
      <c r="BT21" s="208">
        <v>12</v>
      </c>
      <c r="BU21" s="3" t="s">
        <v>111</v>
      </c>
      <c r="BV21" s="3" t="s">
        <v>347</v>
      </c>
      <c r="BW21" s="3" t="str">
        <f t="shared" si="1"/>
        <v>LIMBE</v>
      </c>
      <c r="BX21" s="3"/>
      <c r="BY21" s="210">
        <f t="shared" si="0"/>
        <v>0</v>
      </c>
      <c r="BZ21" s="12">
        <v>12</v>
      </c>
      <c r="CA21" s="208"/>
      <c r="CB21" s="12" t="s">
        <v>391</v>
      </c>
      <c r="CE21" s="12">
        <v>11</v>
      </c>
      <c r="CH21" s="12" t="s">
        <v>337</v>
      </c>
      <c r="CQ21" s="12">
        <v>40</v>
      </c>
      <c r="CR21" s="12">
        <f>IF(J11&gt;60,1,0)</f>
        <v>0</v>
      </c>
      <c r="CS21" s="12">
        <f>IF(J11&lt;=120,1,0)</f>
        <v>1</v>
      </c>
      <c r="CT21" s="110">
        <f>CR21*CS21</f>
        <v>0</v>
      </c>
      <c r="CU21" s="12">
        <f>CQ21*CT21</f>
        <v>0</v>
      </c>
      <c r="DB21" s="209" t="s">
        <v>340</v>
      </c>
      <c r="DC21" s="209" t="s">
        <v>271</v>
      </c>
      <c r="DD21" s="209" t="s">
        <v>272</v>
      </c>
      <c r="DE21" s="209" t="s">
        <v>273</v>
      </c>
      <c r="DF21" s="209"/>
      <c r="DT21" s="12" t="s">
        <v>89</v>
      </c>
      <c r="DV21" s="208">
        <v>9</v>
      </c>
      <c r="DY21" s="12" t="s">
        <v>371</v>
      </c>
      <c r="EF21" s="12">
        <v>80</v>
      </c>
      <c r="EG21" s="12">
        <f>IF(K10&gt;180,1,0)</f>
        <v>0</v>
      </c>
      <c r="EH21" s="12">
        <f>IF(K10&lt;=240,1,0)</f>
        <v>1</v>
      </c>
      <c r="EI21" s="110">
        <f>EG21*EH21</f>
        <v>0</v>
      </c>
      <c r="EJ21" s="12">
        <f>EF21*EI21</f>
        <v>0</v>
      </c>
      <c r="FF21" s="209">
        <v>7</v>
      </c>
      <c r="FG21" s="209">
        <f>IF(F20="VEH.CAT.01",FG11,IF(F20="VEH.CAT.02",FG12,IF(F20="VEH.CAT.03",FG13,IF(F20="VEH.CAT.04",FG17,IF(F20="VEH.CAT.05",FG19,0)))))</f>
        <v>0</v>
      </c>
      <c r="FH21" s="209">
        <f>IF(F20="VEH.CAT.01",FH11,IF(F20="VEH.CAT.02",FH12,IF(F20="VEH.CAT.03",FH13,IF(F20="VEH.CAT.04",FH17,IF(F20="VEH.CAT.05",FH19,0)))))</f>
        <v>0</v>
      </c>
      <c r="FI21" s="143">
        <f>IF(D19="ESSENCE",FG21,FH21)</f>
        <v>0</v>
      </c>
      <c r="FJ21" s="209">
        <f>IF(N3=FF21,1,0)*FI21</f>
        <v>0</v>
      </c>
      <c r="FK21" s="143">
        <f>FK20</f>
        <v>1</v>
      </c>
      <c r="FL21" s="209">
        <f t="shared" si="6"/>
        <v>0</v>
      </c>
      <c r="FM21" s="209">
        <f t="shared" si="3"/>
        <v>0</v>
      </c>
    </row>
    <row r="22" spans="1:169" ht="22.5" customHeight="1" thickBot="1">
      <c r="A22" s="260" t="s">
        <v>435</v>
      </c>
      <c r="B22" s="261"/>
      <c r="C22" s="262" t="s">
        <v>436</v>
      </c>
      <c r="D22" s="261"/>
      <c r="E22" s="326" t="s">
        <v>361</v>
      </c>
      <c r="F22" s="326"/>
      <c r="G22" s="261"/>
      <c r="H22" s="326" t="s">
        <v>437</v>
      </c>
      <c r="I22" s="326"/>
      <c r="J22" s="263" t="s">
        <v>77</v>
      </c>
      <c r="K22" s="12"/>
      <c r="L22" s="50">
        <v>4</v>
      </c>
      <c r="M22" s="321" t="s">
        <v>279</v>
      </c>
      <c r="N22" s="321"/>
      <c r="O22" s="321">
        <v>0</v>
      </c>
      <c r="P22" s="321"/>
      <c r="Q22" s="321"/>
      <c r="R22" s="321"/>
      <c r="S22" s="321"/>
      <c r="T22" s="321">
        <v>0</v>
      </c>
      <c r="U22" s="321"/>
      <c r="AL22" s="12">
        <v>1</v>
      </c>
      <c r="AM22" s="12">
        <f>F27/100</f>
        <v>0.2</v>
      </c>
      <c r="AN22" s="12">
        <f>1/12</f>
        <v>8.3333333333333329E-2</v>
      </c>
      <c r="AO22" s="12">
        <f>IF(AM22=AN22,AL22,0)</f>
        <v>0</v>
      </c>
      <c r="BO22" s="208">
        <v>10</v>
      </c>
      <c r="BQ22" s="208"/>
      <c r="BR22" s="208"/>
      <c r="BT22" s="208">
        <v>13</v>
      </c>
      <c r="BU22" s="3" t="s">
        <v>116</v>
      </c>
      <c r="BV22" s="3" t="s">
        <v>347</v>
      </c>
      <c r="BW22" s="3" t="str">
        <f t="shared" si="1"/>
        <v>LIMBE</v>
      </c>
      <c r="BX22" s="3"/>
      <c r="BY22" s="210">
        <f t="shared" si="0"/>
        <v>0</v>
      </c>
      <c r="BZ22" s="12">
        <v>13</v>
      </c>
      <c r="CA22" s="208"/>
      <c r="CB22" s="12" t="s">
        <v>392</v>
      </c>
      <c r="CE22" s="12">
        <v>12</v>
      </c>
      <c r="CQ22" s="12">
        <v>60</v>
      </c>
      <c r="CR22" s="12">
        <f>IF(J11&gt;120,1,0)</f>
        <v>0</v>
      </c>
      <c r="CS22" s="12">
        <f>IF(J11&lt;=180,1,0)</f>
        <v>1</v>
      </c>
      <c r="CT22" s="110">
        <f>CR22*CS22</f>
        <v>0</v>
      </c>
      <c r="CU22" s="12">
        <f>CQ22*CT22</f>
        <v>0</v>
      </c>
      <c r="DB22" s="320"/>
      <c r="DC22" s="145">
        <f>DD15</f>
        <v>75000</v>
      </c>
      <c r="DD22" s="145">
        <f>DC22</f>
        <v>75000</v>
      </c>
      <c r="DE22" s="145">
        <f>DC22</f>
        <v>75000</v>
      </c>
      <c r="DF22" s="209"/>
      <c r="DT22" s="138" t="s">
        <v>362</v>
      </c>
      <c r="DV22" s="208">
        <v>8</v>
      </c>
      <c r="DY22" s="12" t="s">
        <v>370</v>
      </c>
      <c r="EF22" s="12">
        <v>100</v>
      </c>
      <c r="EG22" s="12">
        <f>IF(K10&gt;240,1,0)</f>
        <v>0</v>
      </c>
      <c r="EH22" s="12">
        <f>IF(K10&lt;=365,1,0)</f>
        <v>1</v>
      </c>
      <c r="EI22" s="110">
        <f>EG22*EH22</f>
        <v>0</v>
      </c>
      <c r="EJ22" s="12">
        <f>EF22*EI22</f>
        <v>0</v>
      </c>
      <c r="FF22" s="209">
        <v>8</v>
      </c>
      <c r="FG22" s="209">
        <f>IF(F20="VEH.CAT.01",FG11,IF(F20="VEH.CAT.02",FG12,IF(F20="VEH.CAT.03",FG13,IF(F20="VEH.CAT.09",FG23,IF(F20="VEH.CAT.10",FG24,0)))))</f>
        <v>0</v>
      </c>
      <c r="FH22" s="209">
        <f>IF(F20="VEH.CAT.01",FH11,IF(F20="VEH.CAT.02",FH12,IF(F20="VEH.CAT.03",FH13,IF(F20="VEH.CAT.09",FH23,IF(F20="VEH.CAT.10",FH24,0)))))</f>
        <v>0</v>
      </c>
      <c r="FI22" s="143">
        <f>IF(D19="ESSENCE",FG22,FH22)</f>
        <v>0</v>
      </c>
      <c r="FJ22" s="209">
        <f>IF(N3=FF22,1,0)*FI22</f>
        <v>0</v>
      </c>
      <c r="FK22" s="143">
        <f>FK21</f>
        <v>1</v>
      </c>
      <c r="FL22" s="209">
        <f t="shared" si="6"/>
        <v>0</v>
      </c>
      <c r="FM22" s="209">
        <f t="shared" si="3"/>
        <v>0</v>
      </c>
    </row>
    <row r="23" spans="1:169" ht="3.75" customHeight="1" thickBot="1">
      <c r="A23" s="349" t="s">
        <v>380</v>
      </c>
      <c r="B23" s="349"/>
      <c r="C23" s="349"/>
      <c r="D23" s="349"/>
      <c r="E23" s="349"/>
      <c r="F23" s="349"/>
      <c r="G23" s="349"/>
      <c r="H23" s="349"/>
      <c r="I23" s="349"/>
      <c r="J23" s="350"/>
      <c r="L23" s="321">
        <v>5</v>
      </c>
      <c r="M23" s="321" t="s">
        <v>279</v>
      </c>
      <c r="N23" s="321"/>
      <c r="O23" s="321" t="s">
        <v>285</v>
      </c>
      <c r="P23" s="321"/>
      <c r="Q23" s="321"/>
      <c r="R23" s="321"/>
      <c r="S23" s="321"/>
      <c r="T23" s="321">
        <v>0</v>
      </c>
      <c r="U23" s="321"/>
      <c r="AL23" s="12">
        <v>2</v>
      </c>
      <c r="AM23" s="12">
        <f>AM22</f>
        <v>0.2</v>
      </c>
      <c r="AN23" s="12">
        <f>2/12</f>
        <v>0.16666666666666666</v>
      </c>
      <c r="AO23" s="12">
        <f t="shared" ref="AO23:AO33" si="7">IF(AM23=AN23,AL23,0)</f>
        <v>0</v>
      </c>
      <c r="BO23" s="208"/>
      <c r="BP23" s="208"/>
      <c r="BQ23" s="208"/>
      <c r="BR23" s="208"/>
      <c r="BT23" s="208">
        <v>14</v>
      </c>
      <c r="BU23" s="3" t="s">
        <v>121</v>
      </c>
      <c r="BV23" s="3" t="s">
        <v>348</v>
      </c>
      <c r="BW23" s="3" t="str">
        <f t="shared" si="1"/>
        <v>LIMBE</v>
      </c>
      <c r="BX23" s="3"/>
      <c r="BY23" s="210">
        <f t="shared" si="0"/>
        <v>0</v>
      </c>
      <c r="BZ23" s="12">
        <v>14</v>
      </c>
      <c r="CA23" s="208"/>
      <c r="CB23" s="12" t="s">
        <v>263</v>
      </c>
      <c r="CE23" s="12">
        <v>13</v>
      </c>
      <c r="CH23" s="12" t="s">
        <v>338</v>
      </c>
      <c r="CT23" s="110"/>
      <c r="DB23" s="320"/>
      <c r="DC23" s="145"/>
      <c r="DD23" s="209"/>
      <c r="DE23" s="209"/>
      <c r="DF23" s="209"/>
      <c r="DT23" s="12" t="s">
        <v>93</v>
      </c>
      <c r="DV23" s="208">
        <v>7</v>
      </c>
      <c r="DY23" s="12" t="s">
        <v>387</v>
      </c>
      <c r="EG23" s="12" t="s">
        <v>92</v>
      </c>
      <c r="EH23" s="12" t="s">
        <v>92</v>
      </c>
      <c r="EJ23" s="12">
        <f>SUM(EJ16:EJ22)/100</f>
        <v>0</v>
      </c>
      <c r="EK23" s="12">
        <f>IF(N3=4,0,1)</f>
        <v>1</v>
      </c>
      <c r="EL23" s="12">
        <f>EJ23*EK23</f>
        <v>0</v>
      </c>
      <c r="FF23" s="209">
        <v>9</v>
      </c>
      <c r="FG23" s="143">
        <f>FG13</f>
        <v>9.141</v>
      </c>
      <c r="FH23" s="143">
        <f>FH13</f>
        <v>8.8109999999999999</v>
      </c>
      <c r="FI23" s="143">
        <f>FI13</f>
        <v>9.141</v>
      </c>
      <c r="FJ23" s="209">
        <f>IF(N3=FF23,1,0)*FI23</f>
        <v>0</v>
      </c>
      <c r="FK23" s="143">
        <f>FK22</f>
        <v>1</v>
      </c>
      <c r="FL23" s="209">
        <f t="shared" si="6"/>
        <v>0</v>
      </c>
      <c r="FM23" s="209">
        <f t="shared" si="3"/>
        <v>0</v>
      </c>
    </row>
    <row r="24" spans="1:169" ht="18" customHeight="1" thickBot="1">
      <c r="A24" s="264" t="s">
        <v>27</v>
      </c>
      <c r="B24" s="265" t="s">
        <v>25</v>
      </c>
      <c r="C24" s="314" t="s">
        <v>20</v>
      </c>
      <c r="D24" s="315"/>
      <c r="E24" s="314">
        <v>0</v>
      </c>
      <c r="F24" s="315"/>
      <c r="G24" s="315"/>
      <c r="H24" s="315"/>
      <c r="I24" s="315"/>
      <c r="J24" s="334"/>
      <c r="L24" s="321"/>
      <c r="M24" s="321"/>
      <c r="N24" s="321"/>
      <c r="O24" s="321"/>
      <c r="P24" s="321"/>
      <c r="Q24" s="321"/>
      <c r="R24" s="321"/>
      <c r="S24" s="321"/>
      <c r="T24" s="321"/>
      <c r="U24" s="321"/>
      <c r="AL24" s="12">
        <v>3</v>
      </c>
      <c r="AM24" s="12">
        <f t="shared" ref="AM24:AM33" si="8">AM23</f>
        <v>0.2</v>
      </c>
      <c r="AN24" s="12">
        <f>3/12</f>
        <v>0.25</v>
      </c>
      <c r="AO24" s="12">
        <f t="shared" si="7"/>
        <v>0</v>
      </c>
      <c r="BO24" s="208"/>
      <c r="BP24" s="208"/>
      <c r="BQ24" s="208"/>
      <c r="BR24" s="208"/>
      <c r="BT24" s="208">
        <v>15</v>
      </c>
      <c r="BU24" s="3" t="s">
        <v>125</v>
      </c>
      <c r="BV24" s="3" t="s">
        <v>344</v>
      </c>
      <c r="BW24" s="3" t="str">
        <f t="shared" si="1"/>
        <v>LIMBE</v>
      </c>
      <c r="BX24" s="3"/>
      <c r="BY24" s="210">
        <f t="shared" si="0"/>
        <v>0</v>
      </c>
      <c r="BZ24" s="12">
        <v>15</v>
      </c>
      <c r="CA24" s="208"/>
      <c r="CB24" s="12" t="s">
        <v>402</v>
      </c>
      <c r="CE24" s="12">
        <v>14</v>
      </c>
      <c r="CQ24" s="12">
        <v>80</v>
      </c>
      <c r="CR24" s="12">
        <f>IF(J11&gt;180,1,0)</f>
        <v>0</v>
      </c>
      <c r="CS24" s="12">
        <f>IF(J11&lt;=240,1,0)</f>
        <v>1</v>
      </c>
      <c r="CT24" s="110">
        <f>CR24*CS24</f>
        <v>0</v>
      </c>
      <c r="CU24" s="12">
        <f>CQ24*CT24</f>
        <v>0</v>
      </c>
      <c r="DB24" s="320"/>
      <c r="DC24" s="209">
        <f>IF(N3=5,0,1)*IF(F20="VEH.CAT.05",0,1)</f>
        <v>1</v>
      </c>
      <c r="DD24" s="209">
        <f>IF(E17="TRICYCLE",0,1)</f>
        <v>1</v>
      </c>
      <c r="DE24" s="209">
        <f>IF(E17="TRICYCLE",1,0)</f>
        <v>0</v>
      </c>
      <c r="DF24" s="145"/>
      <c r="DT24" s="12" t="s">
        <v>95</v>
      </c>
      <c r="EJ24" s="12">
        <f>(K10/30)/12</f>
        <v>0</v>
      </c>
      <c r="EK24" s="12">
        <f>IF(N3=4,1,0)</f>
        <v>0</v>
      </c>
      <c r="EL24" s="12">
        <f>EJ24*EK24</f>
        <v>0</v>
      </c>
      <c r="FF24" s="209">
        <v>10</v>
      </c>
      <c r="FG24" s="143">
        <f>FG13</f>
        <v>9.141</v>
      </c>
      <c r="FH24" s="143">
        <f>FH13</f>
        <v>8.8109999999999999</v>
      </c>
      <c r="FI24" s="143">
        <f>FI13</f>
        <v>9.141</v>
      </c>
      <c r="FJ24" s="209">
        <f>IF(N3=FF24,1,0)*FI24</f>
        <v>0</v>
      </c>
      <c r="FK24" s="143">
        <f>FK23</f>
        <v>1</v>
      </c>
      <c r="FL24" s="209">
        <f t="shared" si="6"/>
        <v>0</v>
      </c>
      <c r="FM24" s="209">
        <f t="shared" si="3"/>
        <v>0</v>
      </c>
    </row>
    <row r="25" spans="1:169" ht="11.25" customHeight="1">
      <c r="A25" s="12"/>
      <c r="B25" s="395" t="s">
        <v>113</v>
      </c>
      <c r="C25" s="396"/>
      <c r="D25" s="399" t="s">
        <v>114</v>
      </c>
      <c r="E25" s="401" t="s">
        <v>115</v>
      </c>
      <c r="F25" s="402"/>
      <c r="G25" s="402"/>
      <c r="H25" s="402"/>
      <c r="I25" s="402"/>
      <c r="J25" s="403"/>
      <c r="L25" s="50">
        <v>9</v>
      </c>
      <c r="M25" s="321" t="s">
        <v>284</v>
      </c>
      <c r="N25" s="321"/>
      <c r="O25" s="321" t="s">
        <v>285</v>
      </c>
      <c r="P25" s="321"/>
      <c r="Q25" s="321"/>
      <c r="R25" s="321"/>
      <c r="S25" s="321"/>
      <c r="T25" s="321" t="s">
        <v>282</v>
      </c>
      <c r="U25" s="321"/>
      <c r="AL25" s="12">
        <v>4</v>
      </c>
      <c r="AM25" s="12">
        <f t="shared" si="8"/>
        <v>0.2</v>
      </c>
      <c r="AN25" s="12">
        <f>4/12</f>
        <v>0.33333333333333331</v>
      </c>
      <c r="AO25" s="12">
        <f t="shared" si="7"/>
        <v>0</v>
      </c>
      <c r="BO25" s="208"/>
      <c r="BP25" s="208"/>
      <c r="BQ25" s="208"/>
      <c r="BR25" s="208"/>
      <c r="BT25" s="208">
        <v>16</v>
      </c>
      <c r="BU25" s="3" t="s">
        <v>129</v>
      </c>
      <c r="BV25" s="3" t="s">
        <v>74</v>
      </c>
      <c r="BW25" s="3" t="str">
        <f t="shared" si="1"/>
        <v>LIMBE</v>
      </c>
      <c r="BX25" s="3"/>
      <c r="BY25" s="210">
        <f t="shared" si="0"/>
        <v>0</v>
      </c>
      <c r="BZ25" s="12">
        <v>16</v>
      </c>
      <c r="CA25" s="208"/>
      <c r="CB25" s="12" t="s">
        <v>403</v>
      </c>
      <c r="CE25" s="12">
        <v>15</v>
      </c>
      <c r="CQ25" s="12">
        <v>100</v>
      </c>
      <c r="CR25" s="12">
        <f>IF(J11&gt;240,1,0)</f>
        <v>0</v>
      </c>
      <c r="CS25" s="12">
        <f>IF(J11&lt;=365,1,0)</f>
        <v>1</v>
      </c>
      <c r="CT25" s="110">
        <f>CR25*CS25</f>
        <v>0</v>
      </c>
      <c r="CU25" s="12">
        <f>CQ25*CT25</f>
        <v>0</v>
      </c>
      <c r="DB25" s="320"/>
      <c r="DC25" s="209"/>
      <c r="DD25" s="209">
        <f>1-DC24</f>
        <v>0</v>
      </c>
      <c r="DE25" s="209">
        <f>1-DC24</f>
        <v>0</v>
      </c>
      <c r="DF25" s="209"/>
      <c r="DT25" s="12" t="s">
        <v>104</v>
      </c>
      <c r="EJ25" s="12">
        <f>EL23+EL24</f>
        <v>0</v>
      </c>
      <c r="FG25" s="209"/>
      <c r="FH25" s="209"/>
      <c r="FI25" s="209"/>
      <c r="FJ25" s="209"/>
      <c r="FK25" s="209"/>
      <c r="FL25" s="209"/>
      <c r="FM25" s="209">
        <f>FM11+FM12+FM13+FM15+FM16+FM17+FM18+FM20+FM21+FM22+FM23+FM24+FM19</f>
        <v>18.908999999999999</v>
      </c>
    </row>
    <row r="26" spans="1:169" ht="11.25" customHeight="1" thickBot="1">
      <c r="A26" s="266"/>
      <c r="B26" s="397"/>
      <c r="C26" s="398"/>
      <c r="D26" s="400"/>
      <c r="E26" s="267" t="s">
        <v>118</v>
      </c>
      <c r="F26" s="268" t="s">
        <v>119</v>
      </c>
      <c r="G26" s="268" t="s">
        <v>120</v>
      </c>
      <c r="H26" s="268" t="s">
        <v>61</v>
      </c>
      <c r="I26" s="269" t="s">
        <v>62</v>
      </c>
      <c r="J26" s="270" t="s">
        <v>120</v>
      </c>
      <c r="L26" s="50">
        <v>10</v>
      </c>
      <c r="M26" s="321" t="s">
        <v>279</v>
      </c>
      <c r="N26" s="321"/>
      <c r="O26" s="321">
        <v>0</v>
      </c>
      <c r="P26" s="321"/>
      <c r="Q26" s="321"/>
      <c r="R26" s="321"/>
      <c r="S26" s="321"/>
      <c r="T26" s="321">
        <v>0</v>
      </c>
      <c r="U26" s="321"/>
      <c r="AL26" s="12">
        <v>5</v>
      </c>
      <c r="AM26" s="12">
        <f t="shared" si="8"/>
        <v>0.2</v>
      </c>
      <c r="AN26" s="12">
        <f>5/12</f>
        <v>0.41666666666666669</v>
      </c>
      <c r="AO26" s="12">
        <f t="shared" si="7"/>
        <v>0</v>
      </c>
      <c r="BO26" s="208"/>
      <c r="BP26" s="208"/>
      <c r="BQ26" s="208"/>
      <c r="BR26" s="208"/>
      <c r="BT26" s="208">
        <v>17</v>
      </c>
      <c r="BU26" s="3" t="s">
        <v>133</v>
      </c>
      <c r="BV26" s="3" t="s">
        <v>348</v>
      </c>
      <c r="BW26" s="3" t="str">
        <f t="shared" si="1"/>
        <v>LIMBE</v>
      </c>
      <c r="BX26" s="3"/>
      <c r="BY26" s="210">
        <f t="shared" si="0"/>
        <v>0</v>
      </c>
      <c r="BZ26" s="12">
        <v>17</v>
      </c>
      <c r="CA26" s="208"/>
      <c r="CE26" s="12">
        <v>16</v>
      </c>
      <c r="CR26" s="12" t="s">
        <v>92</v>
      </c>
      <c r="CS26" s="12" t="s">
        <v>92</v>
      </c>
      <c r="CU26" s="12">
        <f>SUM(CU19:CU25)/100</f>
        <v>0</v>
      </c>
      <c r="CV26" s="12">
        <f>IF(N3=4,0,1)</f>
        <v>1</v>
      </c>
      <c r="CW26" s="12">
        <f>CU26*CV26</f>
        <v>0</v>
      </c>
      <c r="DB26" s="320"/>
      <c r="DC26" s="209">
        <f>DC24</f>
        <v>1</v>
      </c>
      <c r="DD26" s="209">
        <f>DD24*DD25</f>
        <v>0</v>
      </c>
      <c r="DE26" s="209">
        <f>DE24*DE25</f>
        <v>0</v>
      </c>
      <c r="DF26" s="209"/>
      <c r="DT26" s="12" t="s">
        <v>106</v>
      </c>
    </row>
    <row r="27" spans="1:169" ht="19.5" customHeight="1" thickBot="1">
      <c r="A27" s="12"/>
      <c r="B27" s="404" t="s">
        <v>438</v>
      </c>
      <c r="C27" s="405"/>
      <c r="D27" s="271" t="s">
        <v>123</v>
      </c>
      <c r="E27" s="272">
        <f>IF(H7="NOUVELLE AFFAIRE",M28,IF(H7="RESILIATION",M28,IF(H7="RENOUVELLEMENT",M28,IF(H7="DUPLICATA",M28,IF(H7="CHANG PROPRIETAIR",M28,IF(H7="CHANG IMMATRI",M28,IF(H7="TRANS GARANTIES",M28,IF(H7="SUSPENSION",M28,IF(H7="PROROGATION",M28,IF(H7="REMISE EN VIGUEUR",M28,0))))))))))</f>
        <v>107951</v>
      </c>
      <c r="F27" s="273">
        <f>((IF(H7="RESILIATION",FE10*0.75,CU15)*EA7+IF(H7="RESILIATION",100*0.75*(F10-H15)/J11,EA6)*CU28)*IF(H7="PROROGATION",0,1)+IF(H7="PROROGATION",105-K11))*IF(H7="REMISE EN VIGUEUR",0,1)+IF(H7="REMISE EN VIGUEUR",1,0)*CU15</f>
        <v>20</v>
      </c>
      <c r="G27" s="272">
        <f>(E27-E27*H27/100+E27*I27/100)*F27/100</f>
        <v>21590.2</v>
      </c>
      <c r="H27" s="274">
        <f>IF(J10=365,10,0)</f>
        <v>0</v>
      </c>
      <c r="I27" s="275">
        <v>0</v>
      </c>
      <c r="J27" s="276">
        <f>G27</f>
        <v>21590.2</v>
      </c>
      <c r="L27" s="51" t="s">
        <v>124</v>
      </c>
      <c r="M27" s="52"/>
      <c r="N27" s="53">
        <f>H27/100*M28</f>
        <v>0</v>
      </c>
      <c r="O27" s="52"/>
      <c r="P27" s="52"/>
      <c r="Q27" s="52"/>
      <c r="R27" s="52"/>
      <c r="S27" s="52"/>
      <c r="T27" s="52"/>
      <c r="U27" s="52"/>
      <c r="AL27" s="12">
        <v>6</v>
      </c>
      <c r="AM27" s="12">
        <f t="shared" si="8"/>
        <v>0.2</v>
      </c>
      <c r="AN27" s="12">
        <f>6/12</f>
        <v>0.5</v>
      </c>
      <c r="AO27" s="12">
        <f t="shared" si="7"/>
        <v>0</v>
      </c>
      <c r="BO27" s="208"/>
      <c r="BP27" s="208"/>
      <c r="BQ27" s="208"/>
      <c r="BR27" s="208"/>
      <c r="BT27" s="208">
        <v>18</v>
      </c>
      <c r="BU27" s="3" t="s">
        <v>135</v>
      </c>
      <c r="BV27" s="3" t="s">
        <v>348</v>
      </c>
      <c r="BW27" s="3" t="str">
        <f t="shared" si="1"/>
        <v>LIMBE</v>
      </c>
      <c r="BX27" s="3"/>
      <c r="BY27" s="210">
        <f t="shared" si="0"/>
        <v>0</v>
      </c>
      <c r="BZ27" s="12">
        <v>18</v>
      </c>
      <c r="CA27" s="208"/>
      <c r="CE27" s="12">
        <v>17</v>
      </c>
      <c r="CU27" s="12">
        <f>(J11/30)/12</f>
        <v>0</v>
      </c>
      <c r="CV27" s="12">
        <f>IF(N3=4,1,0)</f>
        <v>0</v>
      </c>
      <c r="CW27" s="12">
        <f>CU27*CV27</f>
        <v>0</v>
      </c>
      <c r="DB27" s="320"/>
      <c r="DC27" s="209"/>
      <c r="DD27" s="209">
        <v>1</v>
      </c>
      <c r="DE27" s="209">
        <v>1</v>
      </c>
      <c r="DF27" s="209"/>
      <c r="DT27" s="12" t="s">
        <v>108</v>
      </c>
    </row>
    <row r="28" spans="1:169" ht="20.25" customHeight="1" thickBot="1">
      <c r="A28" s="12"/>
      <c r="B28" s="408" t="s">
        <v>439</v>
      </c>
      <c r="C28" s="409"/>
      <c r="D28" s="242" t="s">
        <v>127</v>
      </c>
      <c r="E28" s="277">
        <f>EB9*B22*3%*IF(K28="YES",1,0)</f>
        <v>0</v>
      </c>
      <c r="F28" s="273">
        <f>F27*IF(K28="YES",1,0)*CU28</f>
        <v>0</v>
      </c>
      <c r="G28" s="272">
        <f t="shared" ref="G28:G36" si="9">(E28-E28*H28/100+E28*I28/100)*F28/100</f>
        <v>0</v>
      </c>
      <c r="H28" s="274"/>
      <c r="I28" s="275">
        <v>0</v>
      </c>
      <c r="J28" s="278">
        <f>G28</f>
        <v>0</v>
      </c>
      <c r="K28" s="39" t="s">
        <v>25</v>
      </c>
      <c r="L28" s="41" t="s">
        <v>128</v>
      </c>
      <c r="M28" s="461">
        <f>recap!F18</f>
        <v>107951</v>
      </c>
      <c r="N28" s="461"/>
      <c r="O28" s="43"/>
      <c r="P28" s="47"/>
      <c r="Q28" s="47"/>
      <c r="R28" s="47"/>
      <c r="S28" s="47"/>
      <c r="T28" s="47"/>
      <c r="AL28" s="12">
        <v>7</v>
      </c>
      <c r="AM28" s="12">
        <f t="shared" si="8"/>
        <v>0.2</v>
      </c>
      <c r="AN28" s="12">
        <f>7/12</f>
        <v>0.58333333333333337</v>
      </c>
      <c r="AO28" s="12">
        <f t="shared" si="7"/>
        <v>0</v>
      </c>
      <c r="BO28" s="208"/>
      <c r="BP28" s="208"/>
      <c r="BQ28" s="208"/>
      <c r="BR28" s="208"/>
      <c r="BT28" s="208">
        <v>19</v>
      </c>
      <c r="BU28" s="3" t="s">
        <v>138</v>
      </c>
      <c r="BV28" s="3" t="s">
        <v>342</v>
      </c>
      <c r="BW28" s="3" t="str">
        <f t="shared" si="1"/>
        <v>LIMBE</v>
      </c>
      <c r="BX28" s="3"/>
      <c r="BY28" s="210">
        <f t="shared" si="0"/>
        <v>0</v>
      </c>
      <c r="BZ28" s="12">
        <v>19</v>
      </c>
      <c r="CA28" s="208"/>
      <c r="CE28" s="12">
        <v>18</v>
      </c>
      <c r="CU28" s="12">
        <f>IF(H7="RESILIATION",(CW26+CW27),1)</f>
        <v>1</v>
      </c>
      <c r="DA28" s="12">
        <f>1-(IF(E18=6,1,0)+IF(E18=7,1,0))</f>
        <v>1</v>
      </c>
      <c r="DB28" s="209">
        <v>6</v>
      </c>
      <c r="DC28" s="209">
        <v>1</v>
      </c>
      <c r="DD28" s="209">
        <f>IF(F20="VEH.CAT.05",1,0)*(IF(E18=6,1,0)+IF(E18=7,1,0))+DA28</f>
        <v>1</v>
      </c>
      <c r="DE28" s="209">
        <f>IF(F20="VEH.CAT.05",1,0)*(IF(E18=6,1,0)+IF(E18=7,1,0))+DA28</f>
        <v>1</v>
      </c>
      <c r="DF28" s="209"/>
      <c r="DT28" s="12" t="s">
        <v>110</v>
      </c>
    </row>
    <row r="29" spans="1:169" ht="21" customHeight="1" thickBot="1">
      <c r="A29" s="12"/>
      <c r="B29" s="408" t="s">
        <v>440</v>
      </c>
      <c r="C29" s="409"/>
      <c r="D29" s="242" t="s">
        <v>131</v>
      </c>
      <c r="E29" s="277">
        <f>EB9*B22*6.5%*IF(K29="YES",1,0)</f>
        <v>0</v>
      </c>
      <c r="F29" s="273">
        <f>F27*IF(K29="YES",1,0)*CU28</f>
        <v>0</v>
      </c>
      <c r="G29" s="272">
        <f t="shared" si="9"/>
        <v>0</v>
      </c>
      <c r="H29" s="274"/>
      <c r="I29" s="275">
        <v>0</v>
      </c>
      <c r="J29" s="278">
        <f t="shared" ref="J29:J34" si="10">G29</f>
        <v>0</v>
      </c>
      <c r="K29" s="39" t="s">
        <v>25</v>
      </c>
      <c r="L29" s="16" t="s">
        <v>132</v>
      </c>
      <c r="M29" s="45"/>
      <c r="N29" s="45">
        <f>I27/100*M28</f>
        <v>0</v>
      </c>
      <c r="O29" s="43"/>
      <c r="P29" s="47"/>
      <c r="Q29" s="47"/>
      <c r="R29" s="47"/>
      <c r="S29" s="47"/>
      <c r="T29" s="47"/>
      <c r="U29" s="43"/>
      <c r="AL29" s="12">
        <v>8</v>
      </c>
      <c r="AM29" s="12">
        <f t="shared" si="8"/>
        <v>0.2</v>
      </c>
      <c r="AN29" s="12">
        <f>8/12</f>
        <v>0.66666666666666663</v>
      </c>
      <c r="AO29" s="12">
        <f t="shared" si="7"/>
        <v>0</v>
      </c>
      <c r="BO29" s="208"/>
      <c r="BP29" s="208"/>
      <c r="BQ29" s="208"/>
      <c r="BR29" s="208"/>
      <c r="BT29" s="208">
        <v>20</v>
      </c>
      <c r="BU29" s="3" t="s">
        <v>141</v>
      </c>
      <c r="BV29" s="3" t="s">
        <v>349</v>
      </c>
      <c r="BW29" s="3" t="str">
        <f t="shared" si="1"/>
        <v>LIMBE</v>
      </c>
      <c r="BX29" s="3"/>
      <c r="BY29" s="210">
        <f t="shared" si="0"/>
        <v>0</v>
      </c>
      <c r="BZ29" s="12">
        <v>20</v>
      </c>
      <c r="CA29" s="208"/>
      <c r="CE29" s="12">
        <v>19</v>
      </c>
      <c r="DB29" s="209">
        <v>7</v>
      </c>
      <c r="DC29" s="209">
        <v>1</v>
      </c>
      <c r="DD29" s="209">
        <v>1</v>
      </c>
      <c r="DE29" s="209">
        <v>1</v>
      </c>
      <c r="DF29" s="209"/>
      <c r="DT29" s="12" t="s">
        <v>112</v>
      </c>
    </row>
    <row r="30" spans="1:169" ht="18.75" customHeight="1" thickBot="1">
      <c r="A30" s="12"/>
      <c r="B30" s="408" t="s">
        <v>441</v>
      </c>
      <c r="C30" s="409"/>
      <c r="D30" s="242" t="s">
        <v>134</v>
      </c>
      <c r="E30" s="277">
        <f>EB9*(D22*1.24%)*IF(K30="YES",1,0)</f>
        <v>0</v>
      </c>
      <c r="F30" s="273">
        <f>F27*IF(K30="YES",1,0)</f>
        <v>0</v>
      </c>
      <c r="G30" s="272">
        <f t="shared" si="9"/>
        <v>0</v>
      </c>
      <c r="H30" s="274"/>
      <c r="I30" s="275">
        <v>0</v>
      </c>
      <c r="J30" s="278">
        <f t="shared" si="10"/>
        <v>0</v>
      </c>
      <c r="K30" s="39" t="s">
        <v>25</v>
      </c>
      <c r="L30" s="11"/>
      <c r="M30" s="4"/>
      <c r="N30" s="8"/>
      <c r="O30" s="8"/>
      <c r="P30" s="47"/>
      <c r="Q30" s="47"/>
      <c r="R30" s="47"/>
      <c r="S30" s="47"/>
      <c r="T30" s="47"/>
      <c r="U30" s="43"/>
      <c r="AL30" s="12">
        <v>9</v>
      </c>
      <c r="AM30" s="12">
        <f t="shared" si="8"/>
        <v>0.2</v>
      </c>
      <c r="AN30" s="12">
        <f>9/12</f>
        <v>0.75</v>
      </c>
      <c r="AO30" s="12">
        <f t="shared" si="7"/>
        <v>0</v>
      </c>
      <c r="BO30" s="208"/>
      <c r="BP30" s="208"/>
      <c r="BQ30" s="208"/>
      <c r="BR30" s="208"/>
      <c r="BT30" s="208">
        <v>21</v>
      </c>
      <c r="BU30" s="3" t="s">
        <v>144</v>
      </c>
      <c r="BV30" s="3" t="s">
        <v>356</v>
      </c>
      <c r="BW30" s="3" t="str">
        <f t="shared" si="1"/>
        <v>LIMBE</v>
      </c>
      <c r="BX30" s="3"/>
      <c r="BY30" s="210">
        <f t="shared" si="0"/>
        <v>0</v>
      </c>
      <c r="BZ30" s="12">
        <v>21</v>
      </c>
      <c r="CA30" s="208"/>
      <c r="CE30" s="12">
        <v>20</v>
      </c>
      <c r="DB30" s="209"/>
      <c r="DC30" s="209"/>
      <c r="DD30" s="209"/>
      <c r="DE30" s="209"/>
      <c r="DF30" s="209"/>
      <c r="DT30" s="12" t="s">
        <v>126</v>
      </c>
    </row>
    <row r="31" spans="1:169" ht="21" customHeight="1" thickBot="1">
      <c r="A31" s="12"/>
      <c r="B31" s="408" t="s">
        <v>442</v>
      </c>
      <c r="C31" s="409"/>
      <c r="D31" s="242" t="s">
        <v>136</v>
      </c>
      <c r="E31" s="277">
        <f>EB9*G22*2.5%*IF(K31="YES",1,0)</f>
        <v>0</v>
      </c>
      <c r="F31" s="273">
        <f>F27*IF(K31="YES",1,0)*CU28</f>
        <v>0</v>
      </c>
      <c r="G31" s="272">
        <f t="shared" si="9"/>
        <v>0</v>
      </c>
      <c r="H31" s="274"/>
      <c r="I31" s="275">
        <v>0</v>
      </c>
      <c r="J31" s="278">
        <f t="shared" si="10"/>
        <v>0</v>
      </c>
      <c r="K31" s="39" t="s">
        <v>25</v>
      </c>
      <c r="M31" s="8" t="s">
        <v>137</v>
      </c>
      <c r="N31" s="8"/>
      <c r="O31" s="8"/>
      <c r="P31" s="47"/>
      <c r="Q31" s="47"/>
      <c r="R31" s="47"/>
      <c r="S31" s="47"/>
      <c r="T31" s="47"/>
      <c r="U31" s="43"/>
      <c r="AL31" s="12">
        <v>12</v>
      </c>
      <c r="AM31" s="12">
        <f t="shared" si="8"/>
        <v>0.2</v>
      </c>
      <c r="AN31" s="12">
        <f>10/12</f>
        <v>0.83333333333333337</v>
      </c>
      <c r="AO31" s="12">
        <f t="shared" si="7"/>
        <v>0</v>
      </c>
      <c r="BO31" s="208"/>
      <c r="BP31" s="208"/>
      <c r="BQ31" s="208"/>
      <c r="BR31" s="208"/>
      <c r="BT31" s="208">
        <v>22</v>
      </c>
      <c r="BU31" s="3" t="s">
        <v>350</v>
      </c>
      <c r="BV31" s="3" t="s">
        <v>345</v>
      </c>
      <c r="BW31" s="3" t="str">
        <f t="shared" si="1"/>
        <v>LIMBE</v>
      </c>
      <c r="BX31" s="3"/>
      <c r="BY31" s="210">
        <f t="shared" si="0"/>
        <v>0</v>
      </c>
      <c r="BZ31" s="12">
        <v>22</v>
      </c>
      <c r="CA31" s="208"/>
      <c r="CE31" s="12">
        <v>21</v>
      </c>
      <c r="DB31" s="209"/>
      <c r="DC31" s="146">
        <f>DC22*DC26*DC28*DC29</f>
        <v>75000</v>
      </c>
      <c r="DD31" s="146">
        <f>DD22*DD26*DD28*DD29</f>
        <v>0</v>
      </c>
      <c r="DE31" s="146">
        <f>DE22*DE26*DE28*DE29</f>
        <v>0</v>
      </c>
      <c r="DF31" s="146">
        <f>DC31+DD31+DE31</f>
        <v>75000</v>
      </c>
      <c r="DT31" s="12" t="s">
        <v>130</v>
      </c>
      <c r="FJ31" s="105">
        <f>FM25</f>
        <v>18.908999999999999</v>
      </c>
    </row>
    <row r="32" spans="1:169" ht="21" customHeight="1" thickBot="1">
      <c r="A32" s="12"/>
      <c r="B32" s="410" t="s">
        <v>139</v>
      </c>
      <c r="C32" s="411"/>
      <c r="D32" s="242" t="s">
        <v>140</v>
      </c>
      <c r="E32" s="277">
        <f>EB9*25000*IF(K32="YES",1,0)</f>
        <v>0</v>
      </c>
      <c r="F32" s="273">
        <f>F27*IF(K32="YES",1,0)*CU28</f>
        <v>0</v>
      </c>
      <c r="G32" s="272">
        <f t="shared" si="9"/>
        <v>0</v>
      </c>
      <c r="H32" s="274"/>
      <c r="I32" s="275">
        <v>0</v>
      </c>
      <c r="J32" s="278">
        <f t="shared" si="10"/>
        <v>0</v>
      </c>
      <c r="K32" s="39" t="s">
        <v>25</v>
      </c>
      <c r="M32" s="8"/>
      <c r="N32" s="5"/>
      <c r="O32" s="8"/>
      <c r="P32" s="47"/>
      <c r="Q32" s="47"/>
      <c r="R32" s="47"/>
      <c r="S32" s="47"/>
      <c r="T32" s="47"/>
      <c r="U32" s="43"/>
      <c r="AL32" s="12">
        <v>12</v>
      </c>
      <c r="AM32" s="12">
        <f t="shared" si="8"/>
        <v>0.2</v>
      </c>
      <c r="AN32" s="12">
        <f>11/12</f>
        <v>0.91666666666666663</v>
      </c>
      <c r="AO32" s="12">
        <f t="shared" si="7"/>
        <v>0</v>
      </c>
      <c r="BO32" s="208"/>
      <c r="BP32" s="208"/>
      <c r="BQ32" s="208"/>
      <c r="BR32" s="208"/>
      <c r="BT32" s="208">
        <v>23</v>
      </c>
      <c r="BU32" s="3" t="s">
        <v>147</v>
      </c>
      <c r="BV32" s="3" t="s">
        <v>351</v>
      </c>
      <c r="BW32" s="3" t="str">
        <f t="shared" si="1"/>
        <v>LIMBE</v>
      </c>
      <c r="BX32" s="3"/>
      <c r="BY32" s="210">
        <f t="shared" si="0"/>
        <v>0</v>
      </c>
      <c r="BZ32" s="12">
        <v>23</v>
      </c>
      <c r="CA32" s="208"/>
      <c r="CE32" s="12">
        <v>22</v>
      </c>
      <c r="DF32" s="12">
        <f>IF(B20&gt;175,0,1)</f>
        <v>0</v>
      </c>
      <c r="DT32" s="12" t="s">
        <v>275</v>
      </c>
    </row>
    <row r="33" spans="1:166" ht="21" customHeight="1" thickBot="1">
      <c r="A33" s="12"/>
      <c r="B33" s="408" t="s">
        <v>443</v>
      </c>
      <c r="C33" s="409"/>
      <c r="D33" s="242" t="s">
        <v>142</v>
      </c>
      <c r="E33" s="277">
        <f>EB9*(2000000*1.75%)*IF(K33="YES",1,0)</f>
        <v>0</v>
      </c>
      <c r="F33" s="273">
        <f>F27*IF(K33="YES",1,0)*CU28</f>
        <v>0</v>
      </c>
      <c r="G33" s="272">
        <f t="shared" si="9"/>
        <v>0</v>
      </c>
      <c r="H33" s="274"/>
      <c r="I33" s="275">
        <v>0</v>
      </c>
      <c r="J33" s="278">
        <f>G33</f>
        <v>0</v>
      </c>
      <c r="K33" s="39" t="s">
        <v>25</v>
      </c>
      <c r="M33" s="46" t="s">
        <v>143</v>
      </c>
      <c r="N33" s="8"/>
      <c r="O33" s="8"/>
      <c r="P33" s="47"/>
      <c r="Q33" s="47"/>
      <c r="R33" s="47"/>
      <c r="S33" s="47"/>
      <c r="T33" s="47"/>
      <c r="U33" s="43"/>
      <c r="AL33" s="12">
        <v>12</v>
      </c>
      <c r="AM33" s="12">
        <f t="shared" si="8"/>
        <v>0.2</v>
      </c>
      <c r="AN33" s="12">
        <f>12/12</f>
        <v>1</v>
      </c>
      <c r="AO33" s="12">
        <f t="shared" si="7"/>
        <v>0</v>
      </c>
      <c r="BO33" s="208"/>
      <c r="BP33" s="208"/>
      <c r="BQ33" s="208"/>
      <c r="BR33" s="208"/>
      <c r="BT33" s="208">
        <v>24</v>
      </c>
      <c r="BU33" s="3" t="s">
        <v>149</v>
      </c>
      <c r="BV33" s="3" t="s">
        <v>345</v>
      </c>
      <c r="BW33" s="3" t="str">
        <f t="shared" si="1"/>
        <v>LIMBE</v>
      </c>
      <c r="BX33" s="3"/>
      <c r="BY33" s="210">
        <f t="shared" si="0"/>
        <v>0</v>
      </c>
      <c r="BZ33" s="12">
        <v>24</v>
      </c>
      <c r="CA33" s="208"/>
      <c r="CE33" s="12">
        <v>23</v>
      </c>
      <c r="CW33" s="147"/>
      <c r="CX33" s="147"/>
      <c r="CY33" s="147"/>
      <c r="CZ33" s="147"/>
      <c r="DA33" s="147"/>
      <c r="DB33" s="147"/>
      <c r="DC33" s="147"/>
      <c r="DD33" s="147"/>
      <c r="DT33" s="12" t="s">
        <v>288</v>
      </c>
      <c r="FG33" s="47">
        <f>IF(B20&lt;=50,1,0)</f>
        <v>0</v>
      </c>
      <c r="FH33" s="47">
        <f>IF(N3=5,1,0)+IF(E18=7,IF(F20="VEH.CAT.05",1,0))+IF(E18=6,IF(F20="VEH.CAT.05",1,0))</f>
        <v>0</v>
      </c>
      <c r="FI33" s="47">
        <f>FG33*FH33</f>
        <v>0</v>
      </c>
      <c r="FJ33" s="47">
        <f>IF(FI33=1,"MOINS DE 50CM3",IF(FI34=1,"PLUS DE 625 CM3",FJ31))</f>
        <v>18.908999999999999</v>
      </c>
    </row>
    <row r="34" spans="1:166" ht="21" customHeight="1" thickBot="1">
      <c r="A34" s="12"/>
      <c r="B34" s="408" t="s">
        <v>444</v>
      </c>
      <c r="C34" s="409"/>
      <c r="D34" s="242" t="s">
        <v>145</v>
      </c>
      <c r="E34" s="279">
        <f>EB9*0.5%*B22*IF(K34="YES",1,0)</f>
        <v>0</v>
      </c>
      <c r="F34" s="273">
        <f>F27*IF(K34="YES",1,0)*CU28</f>
        <v>0</v>
      </c>
      <c r="G34" s="272">
        <f t="shared" si="9"/>
        <v>0</v>
      </c>
      <c r="H34" s="274"/>
      <c r="I34" s="275">
        <v>0</v>
      </c>
      <c r="J34" s="278">
        <f t="shared" si="10"/>
        <v>0</v>
      </c>
      <c r="K34" s="39" t="s">
        <v>25</v>
      </c>
      <c r="M34" s="1" t="s">
        <v>92</v>
      </c>
      <c r="AO34" s="12">
        <f>SUM(AO22:AO33)</f>
        <v>0</v>
      </c>
      <c r="BO34" s="208"/>
      <c r="BP34" s="208"/>
      <c r="BQ34" s="208"/>
      <c r="BR34" s="208"/>
      <c r="BT34" s="208">
        <v>25</v>
      </c>
      <c r="BU34" s="3" t="s">
        <v>152</v>
      </c>
      <c r="BV34" s="3" t="s">
        <v>349</v>
      </c>
      <c r="BW34" s="3" t="str">
        <f t="shared" si="1"/>
        <v>LIMBE</v>
      </c>
      <c r="BX34" s="3"/>
      <c r="BY34" s="210">
        <f t="shared" si="0"/>
        <v>0</v>
      </c>
      <c r="BZ34" s="12">
        <v>25</v>
      </c>
      <c r="CA34" s="208"/>
      <c r="CE34" s="12">
        <v>24</v>
      </c>
      <c r="CW34" s="147"/>
      <c r="CX34" s="147"/>
      <c r="CY34" s="147"/>
      <c r="CZ34" s="147"/>
      <c r="DA34" s="147"/>
      <c r="DB34" s="147"/>
      <c r="DC34" s="147"/>
      <c r="DD34" s="147"/>
      <c r="DT34" s="12" t="s">
        <v>276</v>
      </c>
      <c r="FG34" s="12">
        <f>IF(B20&gt;=626,1,0)</f>
        <v>1</v>
      </c>
      <c r="FH34" s="47">
        <f>FH33</f>
        <v>0</v>
      </c>
      <c r="FI34" s="47">
        <f>FG34*FH34</f>
        <v>0</v>
      </c>
      <c r="FJ34" s="47"/>
    </row>
    <row r="35" spans="1:166" ht="19.5" customHeight="1" thickBot="1">
      <c r="A35" s="12"/>
      <c r="B35" s="408" t="s">
        <v>445</v>
      </c>
      <c r="C35" s="409"/>
      <c r="D35" s="280" t="s">
        <v>146</v>
      </c>
      <c r="E35" s="277">
        <f>EB9*IF(N3=4,2000,E27*2.5%)*IF(N3=4,1,0)+IF(N3=4,0,1)*EB9*IF(N3=4,2000,E27*2.5%)*IF(K35="YES",1,0)</f>
        <v>0</v>
      </c>
      <c r="F35" s="273">
        <f>IF(N3=4,F27,F27*IF(K35="YES",1,0))</f>
        <v>0</v>
      </c>
      <c r="G35" s="272">
        <f t="shared" si="9"/>
        <v>0</v>
      </c>
      <c r="H35" s="274">
        <v>0</v>
      </c>
      <c r="I35" s="275">
        <v>0</v>
      </c>
      <c r="J35" s="278">
        <f>G35</f>
        <v>0</v>
      </c>
      <c r="K35" s="39" t="s">
        <v>25</v>
      </c>
      <c r="L35" s="2"/>
      <c r="N35" s="2"/>
      <c r="AO35" s="12">
        <f>IF(L1=4,1,0)</f>
        <v>0</v>
      </c>
      <c r="BO35" s="208"/>
      <c r="BP35" s="208"/>
      <c r="BQ35" s="208"/>
      <c r="BR35" s="208"/>
      <c r="BT35" s="208">
        <v>26</v>
      </c>
      <c r="BU35" s="3" t="s">
        <v>154</v>
      </c>
      <c r="BV35" s="3" t="s">
        <v>349</v>
      </c>
      <c r="BW35" s="3" t="str">
        <f t="shared" si="1"/>
        <v>LIMBE</v>
      </c>
      <c r="BX35" s="3"/>
      <c r="BY35" s="210">
        <f t="shared" si="0"/>
        <v>0</v>
      </c>
      <c r="BZ35" s="12">
        <v>26</v>
      </c>
      <c r="CA35" s="208"/>
      <c r="CE35" s="12">
        <v>25</v>
      </c>
      <c r="DT35" s="12" t="s">
        <v>286</v>
      </c>
    </row>
    <row r="36" spans="1:166" ht="21.75" customHeight="1" thickBot="1">
      <c r="A36" s="12"/>
      <c r="B36" s="408" t="s">
        <v>446</v>
      </c>
      <c r="C36" s="409"/>
      <c r="D36" s="281" t="s">
        <v>148</v>
      </c>
      <c r="E36" s="277">
        <f>EB9*6600*IF(N3=4,1,0)+IF(N3=4,0,1)*IF(K36="YES",1,0)*EB9*6600</f>
        <v>0</v>
      </c>
      <c r="F36" s="282">
        <f>IF(N3=4,F27,100*IF(K36="YES",1,0))*IF(J21=0,0,1)</f>
        <v>0</v>
      </c>
      <c r="G36" s="272">
        <f t="shared" si="9"/>
        <v>0</v>
      </c>
      <c r="H36" s="274">
        <v>0</v>
      </c>
      <c r="I36" s="275">
        <v>0</v>
      </c>
      <c r="J36" s="278">
        <f>G36</f>
        <v>0</v>
      </c>
      <c r="K36" s="39" t="s">
        <v>25</v>
      </c>
      <c r="AO36" s="12">
        <f>AO34*AO35+AO19*(1-AO35)</f>
        <v>2</v>
      </c>
      <c r="BO36" s="208"/>
      <c r="BP36" s="208"/>
      <c r="BQ36" s="208"/>
      <c r="BR36" s="208"/>
      <c r="BT36" s="208">
        <v>27</v>
      </c>
      <c r="BU36" s="3" t="s">
        <v>156</v>
      </c>
      <c r="BV36" s="3" t="s">
        <v>345</v>
      </c>
      <c r="BW36" s="3" t="str">
        <f t="shared" si="1"/>
        <v>LIMBE</v>
      </c>
      <c r="BX36" s="3"/>
      <c r="BY36" s="210">
        <f t="shared" si="0"/>
        <v>0</v>
      </c>
      <c r="BZ36" s="12">
        <v>27</v>
      </c>
      <c r="CA36" s="208"/>
      <c r="CE36" s="12">
        <v>26</v>
      </c>
      <c r="DT36" s="12" t="s">
        <v>404</v>
      </c>
    </row>
    <row r="37" spans="1:166" ht="11.25" customHeight="1">
      <c r="A37" s="12"/>
      <c r="B37" s="480" t="s">
        <v>447</v>
      </c>
      <c r="C37" s="283" t="s">
        <v>150</v>
      </c>
      <c r="D37" s="284">
        <v>1000000</v>
      </c>
      <c r="E37" s="285">
        <f>EB9*D37*0.75/1000*IF(K37="YES",1,0)</f>
        <v>0</v>
      </c>
      <c r="F37" s="472">
        <f>IF(K37="YES",1,0)*(IF(N3=4,F27,100))*IF(J21=0,0,1)</f>
        <v>0</v>
      </c>
      <c r="G37" s="284">
        <f>E37*F37/100</f>
        <v>0</v>
      </c>
      <c r="H37" s="474" t="s">
        <v>151</v>
      </c>
      <c r="I37" s="462">
        <f>J21</f>
        <v>5</v>
      </c>
      <c r="J37" s="465">
        <f>(G37+G38+G39)*I37</f>
        <v>0</v>
      </c>
      <c r="K37" s="483" t="s">
        <v>25</v>
      </c>
      <c r="L37" s="5"/>
      <c r="M37" s="5"/>
      <c r="N37" s="6"/>
      <c r="BO37" s="208"/>
      <c r="BP37" s="208"/>
      <c r="BQ37" s="208"/>
      <c r="BR37" s="208"/>
      <c r="BT37" s="208">
        <v>28</v>
      </c>
      <c r="BU37" s="3" t="s">
        <v>157</v>
      </c>
      <c r="BV37" s="3" t="s">
        <v>74</v>
      </c>
      <c r="BW37" s="3" t="str">
        <f t="shared" si="1"/>
        <v>LIMBE</v>
      </c>
      <c r="BX37" s="3"/>
      <c r="BY37" s="210">
        <f t="shared" si="0"/>
        <v>0</v>
      </c>
      <c r="BZ37" s="12">
        <v>28</v>
      </c>
      <c r="CA37" s="208"/>
      <c r="CE37" s="12">
        <v>27</v>
      </c>
      <c r="DT37" s="12" t="s">
        <v>405</v>
      </c>
    </row>
    <row r="38" spans="1:166" ht="12" customHeight="1">
      <c r="A38" s="12"/>
      <c r="B38" s="481"/>
      <c r="C38" s="283" t="s">
        <v>153</v>
      </c>
      <c r="D38" s="284">
        <v>1000000</v>
      </c>
      <c r="E38" s="285">
        <f>EB9*D38*0.75/1000*IF(K37="YES",1,0)</f>
        <v>0</v>
      </c>
      <c r="F38" s="472"/>
      <c r="G38" s="284">
        <f>E38*F37/100</f>
        <v>0</v>
      </c>
      <c r="H38" s="475"/>
      <c r="I38" s="463"/>
      <c r="J38" s="466"/>
      <c r="K38" s="484"/>
      <c r="L38" s="5"/>
      <c r="M38" s="5"/>
      <c r="N38" s="6"/>
      <c r="BO38" s="208"/>
      <c r="BP38" s="208"/>
      <c r="BQ38" s="208"/>
      <c r="BR38" s="208"/>
      <c r="BT38" s="208">
        <v>29</v>
      </c>
      <c r="BU38" s="3" t="s">
        <v>159</v>
      </c>
      <c r="BV38" s="3" t="s">
        <v>352</v>
      </c>
      <c r="BW38" s="3" t="str">
        <f t="shared" si="1"/>
        <v>LIMBE</v>
      </c>
      <c r="BX38" s="3"/>
      <c r="BY38" s="210">
        <f t="shared" si="0"/>
        <v>0</v>
      </c>
      <c r="BZ38" s="12">
        <v>29</v>
      </c>
      <c r="CA38" s="208"/>
      <c r="CE38" s="12">
        <v>28</v>
      </c>
    </row>
    <row r="39" spans="1:166" ht="14.25" customHeight="1" thickBot="1">
      <c r="A39" s="12"/>
      <c r="B39" s="482"/>
      <c r="C39" s="286" t="s">
        <v>155</v>
      </c>
      <c r="D39" s="287">
        <v>100000</v>
      </c>
      <c r="E39" s="287">
        <f>EB9*1.5/100*D39*IF(K37="YES",1,0)</f>
        <v>0</v>
      </c>
      <c r="F39" s="473"/>
      <c r="G39" s="287">
        <f>E39*F37/100</f>
        <v>0</v>
      </c>
      <c r="H39" s="476"/>
      <c r="I39" s="464"/>
      <c r="J39" s="467"/>
      <c r="K39" s="485"/>
      <c r="L39" s="7"/>
      <c r="M39" s="5"/>
      <c r="N39" s="6"/>
      <c r="BO39" s="208"/>
      <c r="BP39" s="208"/>
      <c r="BQ39" s="208"/>
      <c r="BR39" s="208"/>
      <c r="BT39" s="208">
        <v>30</v>
      </c>
      <c r="BU39" s="3" t="s">
        <v>162</v>
      </c>
      <c r="BV39" s="3" t="s">
        <v>71</v>
      </c>
      <c r="BW39" s="3" t="str">
        <f t="shared" si="1"/>
        <v>LIMBE</v>
      </c>
      <c r="BX39" s="3"/>
      <c r="BY39" s="210">
        <f t="shared" si="0"/>
        <v>0</v>
      </c>
      <c r="BZ39" s="12">
        <v>30</v>
      </c>
      <c r="CA39" s="208"/>
    </row>
    <row r="40" spans="1:166" ht="6" customHeight="1" thickBot="1">
      <c r="A40" s="12"/>
      <c r="B40" s="12"/>
      <c r="C40" s="12"/>
      <c r="D40" s="12"/>
      <c r="E40" s="138"/>
      <c r="F40" s="288"/>
      <c r="G40" s="12"/>
      <c r="H40" s="12"/>
      <c r="I40" s="12"/>
      <c r="J40" s="12"/>
      <c r="K40" s="9"/>
      <c r="BO40" s="208"/>
      <c r="BP40" s="208"/>
      <c r="BQ40" s="208"/>
      <c r="BR40" s="208"/>
      <c r="BT40" s="208">
        <v>31</v>
      </c>
      <c r="BU40" s="3" t="s">
        <v>164</v>
      </c>
      <c r="BV40" s="3" t="s">
        <v>74</v>
      </c>
      <c r="BW40" s="3" t="str">
        <f t="shared" si="1"/>
        <v>LIMBE</v>
      </c>
      <c r="BX40" s="3"/>
      <c r="BY40" s="210">
        <f t="shared" si="0"/>
        <v>0</v>
      </c>
      <c r="BZ40" s="12">
        <v>31</v>
      </c>
      <c r="CA40" s="208"/>
      <c r="CQ40" s="12">
        <f>12/12</f>
        <v>1</v>
      </c>
    </row>
    <row r="41" spans="1:166">
      <c r="A41" s="468" t="str">
        <f>CONCATENATE(C61,F61,J59)</f>
        <v>COUT DE L'AVENANT****30920,0635FCFA</v>
      </c>
      <c r="B41" s="468"/>
      <c r="C41" s="468"/>
      <c r="D41" s="468"/>
      <c r="E41" s="469"/>
      <c r="F41" s="406" t="s">
        <v>158</v>
      </c>
      <c r="G41" s="407"/>
      <c r="H41" s="478">
        <f>J27+J28+J29+J30+J31+J32+J33+J34+J35+J36+J37</f>
        <v>21590.2</v>
      </c>
      <c r="I41" s="478"/>
      <c r="J41" s="479"/>
      <c r="K41" s="9"/>
      <c r="BO41" s="208"/>
      <c r="BP41" s="208"/>
      <c r="BQ41" s="208"/>
      <c r="BR41" s="208"/>
      <c r="BT41" s="208">
        <v>32</v>
      </c>
      <c r="BU41" s="3" t="s">
        <v>167</v>
      </c>
      <c r="BV41" s="3" t="s">
        <v>74</v>
      </c>
      <c r="BW41" s="3" t="str">
        <f t="shared" si="1"/>
        <v>LIMBE</v>
      </c>
      <c r="BX41" s="3"/>
      <c r="BY41" s="210">
        <f t="shared" si="0"/>
        <v>0</v>
      </c>
      <c r="BZ41" s="12">
        <v>32</v>
      </c>
      <c r="CA41" s="208"/>
    </row>
    <row r="42" spans="1:166">
      <c r="A42" s="289" t="s">
        <v>160</v>
      </c>
      <c r="B42" s="12"/>
      <c r="C42" s="12"/>
      <c r="D42" s="47"/>
      <c r="E42" s="290"/>
      <c r="F42" s="451" t="s">
        <v>161</v>
      </c>
      <c r="G42" s="452"/>
      <c r="H42" s="455">
        <v>2500</v>
      </c>
      <c r="I42" s="455"/>
      <c r="J42" s="456"/>
      <c r="K42" s="9"/>
      <c r="BO42" s="208"/>
      <c r="BP42" s="208"/>
      <c r="BQ42" s="208"/>
      <c r="BR42" s="208"/>
      <c r="BT42" s="208">
        <v>33</v>
      </c>
      <c r="BU42" s="3" t="s">
        <v>170</v>
      </c>
      <c r="BV42" s="3" t="s">
        <v>71</v>
      </c>
      <c r="BW42" s="3" t="str">
        <f t="shared" si="1"/>
        <v>LIMBE</v>
      </c>
      <c r="BX42" s="3"/>
      <c r="BY42" s="210">
        <f t="shared" si="0"/>
        <v>0</v>
      </c>
      <c r="BZ42" s="12">
        <v>33</v>
      </c>
      <c r="CA42" s="208"/>
      <c r="CB42" s="12" t="s">
        <v>163</v>
      </c>
      <c r="CD42" s="12">
        <f>1/12</f>
        <v>8.3333333333333329E-2</v>
      </c>
      <c r="CE42" s="12">
        <f>IF(J10&gt;=1,1,0)</f>
        <v>1</v>
      </c>
      <c r="CF42" s="12">
        <f>IF(J10&lt;=30,1,0)</f>
        <v>0</v>
      </c>
      <c r="CG42" s="110">
        <f>CE42*CF42</f>
        <v>0</v>
      </c>
      <c r="CH42" s="12">
        <f>CD42*CG42</f>
        <v>0</v>
      </c>
    </row>
    <row r="43" spans="1:166">
      <c r="A43" s="289"/>
      <c r="B43" s="12"/>
      <c r="C43" s="12"/>
      <c r="D43" s="47"/>
      <c r="E43" s="290"/>
      <c r="F43" s="451" t="s">
        <v>67</v>
      </c>
      <c r="G43" s="452"/>
      <c r="H43" s="455">
        <v>1000</v>
      </c>
      <c r="I43" s="455"/>
      <c r="J43" s="456"/>
      <c r="K43" s="9"/>
      <c r="Q43" s="142"/>
      <c r="R43" s="142"/>
      <c r="S43" s="142"/>
      <c r="BO43" s="208"/>
      <c r="BP43" s="208"/>
      <c r="BQ43" s="208"/>
      <c r="BR43" s="208"/>
      <c r="BT43" s="208">
        <v>34</v>
      </c>
      <c r="BU43" s="3" t="s">
        <v>174</v>
      </c>
      <c r="BV43" s="3" t="s">
        <v>80</v>
      </c>
      <c r="BW43" s="3" t="str">
        <f t="shared" si="1"/>
        <v>LIMBE</v>
      </c>
      <c r="BX43" s="3"/>
      <c r="BY43" s="210">
        <f t="shared" si="0"/>
        <v>0</v>
      </c>
      <c r="BZ43" s="12">
        <v>34</v>
      </c>
      <c r="CA43" s="208"/>
      <c r="CB43" s="12" t="s">
        <v>165</v>
      </c>
      <c r="CD43" s="12">
        <f>2/12</f>
        <v>0.16666666666666666</v>
      </c>
      <c r="CE43" s="12">
        <f>IF(J10&gt;30,1,0)</f>
        <v>1</v>
      </c>
      <c r="CF43" s="12">
        <f>IF(J10&lt;=60,1,0)</f>
        <v>1</v>
      </c>
      <c r="CG43" s="110">
        <f>CE43*CF43</f>
        <v>1</v>
      </c>
      <c r="CH43" s="12">
        <f>CD43*CG43</f>
        <v>0.16666666666666666</v>
      </c>
    </row>
    <row r="44" spans="1:166">
      <c r="A44" s="12"/>
      <c r="B44" s="12"/>
      <c r="C44" s="12"/>
      <c r="D44" s="47"/>
      <c r="E44" s="290"/>
      <c r="F44" s="451" t="s">
        <v>166</v>
      </c>
      <c r="G44" s="452"/>
      <c r="H44" s="449">
        <f>SUM(H41:H43)</f>
        <v>25090.2</v>
      </c>
      <c r="I44" s="449"/>
      <c r="J44" s="450"/>
      <c r="K44" s="9"/>
      <c r="P44" s="364"/>
      <c r="Q44" s="364"/>
      <c r="R44" s="364"/>
      <c r="S44" s="364"/>
      <c r="BO44" s="208"/>
      <c r="BP44" s="208"/>
      <c r="BQ44" s="208"/>
      <c r="BR44" s="208"/>
      <c r="BT44" s="208">
        <v>35</v>
      </c>
      <c r="BU44" s="3" t="s">
        <v>177</v>
      </c>
      <c r="BV44" s="3" t="s">
        <v>345</v>
      </c>
      <c r="BW44" s="3" t="str">
        <f t="shared" si="1"/>
        <v>LIMBE</v>
      </c>
      <c r="BX44" s="3"/>
      <c r="BY44" s="210">
        <f t="shared" si="0"/>
        <v>0</v>
      </c>
      <c r="BZ44" s="12">
        <v>35</v>
      </c>
      <c r="CA44" s="208"/>
      <c r="CB44" s="12" t="s">
        <v>168</v>
      </c>
      <c r="CD44" s="12">
        <f>3/12</f>
        <v>0.25</v>
      </c>
      <c r="CE44" s="12">
        <f>IF(J10&gt;60,1,0)</f>
        <v>0</v>
      </c>
      <c r="CF44" s="12">
        <f>IF(J10&lt;=90,1,0)</f>
        <v>1</v>
      </c>
      <c r="CG44" s="110">
        <f t="shared" ref="CG44:CG53" si="11">CE44*CF44</f>
        <v>0</v>
      </c>
      <c r="CH44" s="12">
        <f t="shared" ref="CH44:CH53" si="12">CD44*CG44</f>
        <v>0</v>
      </c>
    </row>
    <row r="45" spans="1:166" ht="13.5" thickBot="1">
      <c r="A45" s="12"/>
      <c r="B45" s="12"/>
      <c r="C45" s="16"/>
      <c r="D45" s="43"/>
      <c r="E45" s="291"/>
      <c r="F45" s="451" t="s">
        <v>169</v>
      </c>
      <c r="G45" s="452"/>
      <c r="H45" s="449">
        <f>H44*19.25%</f>
        <v>4829.8635000000004</v>
      </c>
      <c r="I45" s="449"/>
      <c r="J45" s="450"/>
      <c r="K45" s="9"/>
      <c r="BO45" s="208"/>
      <c r="BP45" s="208"/>
      <c r="BQ45" s="208"/>
      <c r="BR45" s="208"/>
      <c r="BT45" s="208">
        <v>36</v>
      </c>
      <c r="BU45" s="3" t="s">
        <v>180</v>
      </c>
      <c r="BV45" s="3" t="s">
        <v>349</v>
      </c>
      <c r="BW45" s="3" t="str">
        <f t="shared" si="1"/>
        <v>LIMBE</v>
      </c>
      <c r="BX45" s="3"/>
      <c r="BY45" s="210">
        <f t="shared" si="0"/>
        <v>0</v>
      </c>
      <c r="BZ45" s="12">
        <v>36</v>
      </c>
      <c r="CA45" s="208"/>
      <c r="CB45" s="12" t="s">
        <v>171</v>
      </c>
      <c r="CD45" s="12">
        <f>4/12</f>
        <v>0.33333333333333331</v>
      </c>
      <c r="CE45" s="12">
        <f>IF(J10&gt;90,1,0)</f>
        <v>0</v>
      </c>
      <c r="CF45" s="12">
        <f>IF(J10&lt;=120,1,0)</f>
        <v>1</v>
      </c>
      <c r="CG45" s="110">
        <f t="shared" si="11"/>
        <v>0</v>
      </c>
      <c r="CH45" s="12">
        <f t="shared" si="12"/>
        <v>0</v>
      </c>
    </row>
    <row r="46" spans="1:166" ht="15.75" customHeight="1" thickBot="1">
      <c r="A46" s="292" t="s">
        <v>172</v>
      </c>
      <c r="B46" s="12"/>
      <c r="C46" s="477">
        <f>DF31*IF(K46="YES",1,0)*IF(E17="SEMI-REMORQUE",0,1)+IF(E17="SEMI-REMORQUE",1,0)</f>
        <v>0</v>
      </c>
      <c r="D46" s="477"/>
      <c r="E46" s="477"/>
      <c r="F46" s="470" t="s">
        <v>173</v>
      </c>
      <c r="G46" s="471"/>
      <c r="H46" s="449" t="str">
        <f>IF(E47=1,"SR-PAS D'ENC",E47)</f>
        <v>DÉJÀ PAYE</v>
      </c>
      <c r="I46" s="449"/>
      <c r="J46" s="450"/>
      <c r="K46" s="40" t="s">
        <v>25</v>
      </c>
      <c r="L46" s="1" t="s">
        <v>92</v>
      </c>
      <c r="BO46" s="208"/>
      <c r="BP46" s="208"/>
      <c r="BQ46" s="208"/>
      <c r="BR46" s="208"/>
      <c r="BT46" s="208">
        <v>37</v>
      </c>
      <c r="BU46" s="3" t="s">
        <v>182</v>
      </c>
      <c r="BV46" s="3" t="s">
        <v>74</v>
      </c>
      <c r="BW46" s="3" t="str">
        <f t="shared" si="1"/>
        <v>LIMBE</v>
      </c>
      <c r="BX46" s="3"/>
      <c r="BY46" s="210">
        <f t="shared" si="0"/>
        <v>0</v>
      </c>
      <c r="BZ46" s="12">
        <v>37</v>
      </c>
      <c r="CA46" s="208"/>
      <c r="CB46" s="12" t="s">
        <v>175</v>
      </c>
      <c r="CD46" s="12">
        <f>5/12</f>
        <v>0.41666666666666669</v>
      </c>
      <c r="CE46" s="12">
        <f>IF(J10&gt;120,1,0)</f>
        <v>0</v>
      </c>
      <c r="CF46" s="12">
        <f>IF(J10&lt;=150,1,0)</f>
        <v>1</v>
      </c>
      <c r="CG46" s="110">
        <f t="shared" si="11"/>
        <v>0</v>
      </c>
      <c r="CH46" s="12">
        <f t="shared" si="12"/>
        <v>0</v>
      </c>
    </row>
    <row r="47" spans="1:166">
      <c r="A47" s="12"/>
      <c r="B47" s="12"/>
      <c r="C47" s="16"/>
      <c r="D47" s="43"/>
      <c r="E47" s="293" t="str">
        <f>IF(C46=0,"DÉJÀ PAYE",C46)</f>
        <v>DÉJÀ PAYE</v>
      </c>
      <c r="F47" s="451" t="s">
        <v>176</v>
      </c>
      <c r="G47" s="452"/>
      <c r="H47" s="455">
        <v>1000</v>
      </c>
      <c r="I47" s="455"/>
      <c r="J47" s="456"/>
      <c r="BO47" s="208"/>
      <c r="BP47" s="208"/>
      <c r="BQ47" s="208"/>
      <c r="BR47" s="208"/>
      <c r="BT47" s="208">
        <v>38</v>
      </c>
      <c r="BU47" s="3" t="s">
        <v>184</v>
      </c>
      <c r="BV47" s="3" t="s">
        <v>74</v>
      </c>
      <c r="BW47" s="3" t="str">
        <f>BW46</f>
        <v>LIMBE</v>
      </c>
      <c r="BX47" s="3"/>
      <c r="BY47" s="210">
        <f t="shared" si="0"/>
        <v>0</v>
      </c>
      <c r="BZ47" s="12">
        <v>38</v>
      </c>
      <c r="CA47" s="208"/>
      <c r="CB47" s="12" t="s">
        <v>178</v>
      </c>
      <c r="CD47" s="12">
        <f>6/12</f>
        <v>0.5</v>
      </c>
      <c r="CE47" s="12">
        <f>IF(J10&gt;150,1,0)</f>
        <v>0</v>
      </c>
      <c r="CF47" s="12">
        <f>IF(J10&lt;=180,1,0)</f>
        <v>1</v>
      </c>
      <c r="CG47" s="110">
        <f t="shared" si="11"/>
        <v>0</v>
      </c>
      <c r="CH47" s="12">
        <f t="shared" si="12"/>
        <v>0</v>
      </c>
    </row>
    <row r="48" spans="1:166">
      <c r="A48" s="12"/>
      <c r="B48" s="12"/>
      <c r="C48" s="12"/>
      <c r="D48" s="47"/>
      <c r="E48" s="294"/>
      <c r="F48" s="451" t="s">
        <v>381</v>
      </c>
      <c r="G48" s="452"/>
      <c r="H48" s="295"/>
      <c r="I48" s="295"/>
      <c r="J48" s="296">
        <v>0</v>
      </c>
      <c r="BO48" s="208"/>
      <c r="BP48" s="208"/>
      <c r="BQ48" s="208"/>
      <c r="BR48" s="208"/>
      <c r="BT48" s="208">
        <v>39</v>
      </c>
      <c r="BU48" s="3" t="s">
        <v>188</v>
      </c>
      <c r="BV48" s="3" t="s">
        <v>74</v>
      </c>
      <c r="BW48" s="3" t="str">
        <f t="shared" ref="BW48:BW59" si="13">BW47</f>
        <v>LIMBE</v>
      </c>
      <c r="BX48" s="3"/>
      <c r="BY48" s="210">
        <f t="shared" ref="BY48:BY58" si="14">IF(BU48=BW49,1,0)*BT48</f>
        <v>0</v>
      </c>
      <c r="BZ48" s="12">
        <v>39</v>
      </c>
      <c r="CA48" s="208"/>
      <c r="CG48" s="110"/>
    </row>
    <row r="49" spans="1:162" ht="13.5" thickBot="1">
      <c r="A49" s="12"/>
      <c r="B49" s="12"/>
      <c r="C49" s="12"/>
      <c r="D49" s="12"/>
      <c r="E49" s="138"/>
      <c r="F49" s="457" t="s">
        <v>179</v>
      </c>
      <c r="G49" s="458"/>
      <c r="H49" s="459">
        <f>H44+H45+C46+H47+J48</f>
        <v>30920.0635</v>
      </c>
      <c r="I49" s="459"/>
      <c r="J49" s="460"/>
      <c r="BO49" s="208"/>
      <c r="BP49" s="208"/>
      <c r="BQ49" s="208"/>
      <c r="BR49" s="208"/>
      <c r="BT49" s="208">
        <v>41</v>
      </c>
      <c r="BU49" s="3" t="s">
        <v>193</v>
      </c>
      <c r="BV49" s="3" t="s">
        <v>80</v>
      </c>
      <c r="BW49" s="3" t="str">
        <f t="shared" si="13"/>
        <v>LIMBE</v>
      </c>
      <c r="BX49" s="3"/>
      <c r="BY49" s="210">
        <f t="shared" si="14"/>
        <v>0</v>
      </c>
      <c r="BZ49" s="12">
        <v>41</v>
      </c>
      <c r="CA49" s="208"/>
      <c r="CB49" s="12" t="s">
        <v>181</v>
      </c>
      <c r="CD49" s="12">
        <f>7/12</f>
        <v>0.58333333333333337</v>
      </c>
      <c r="CE49" s="12">
        <f>IF(J10&gt;180,1,0)</f>
        <v>0</v>
      </c>
      <c r="CF49" s="12">
        <f>IF(J10&lt;=210,1,0)</f>
        <v>1</v>
      </c>
      <c r="CG49" s="110">
        <f t="shared" si="11"/>
        <v>0</v>
      </c>
      <c r="CH49" s="12">
        <f t="shared" si="12"/>
        <v>0</v>
      </c>
    </row>
    <row r="50" spans="1:162" ht="11.25" customHeight="1">
      <c r="A50" s="297" t="s">
        <v>183</v>
      </c>
      <c r="B50" s="12"/>
      <c r="C50" s="12"/>
      <c r="D50" s="12"/>
      <c r="E50" s="298"/>
      <c r="F50" s="453" t="s">
        <v>84</v>
      </c>
      <c r="G50" s="453"/>
      <c r="H50" s="454">
        <f ca="1">NOW()</f>
        <v>45192.531511805559</v>
      </c>
      <c r="I50" s="454"/>
      <c r="J50" s="454"/>
      <c r="BO50" s="208"/>
      <c r="BP50" s="208"/>
      <c r="BQ50" s="208"/>
      <c r="BR50" s="208"/>
      <c r="BT50" s="208">
        <v>42</v>
      </c>
      <c r="BU50" s="3" t="s">
        <v>196</v>
      </c>
      <c r="BV50" s="3" t="s">
        <v>345</v>
      </c>
      <c r="BW50" s="3" t="str">
        <f t="shared" si="13"/>
        <v>LIMBE</v>
      </c>
      <c r="BX50" s="3"/>
      <c r="BY50" s="210">
        <f t="shared" si="14"/>
        <v>0</v>
      </c>
      <c r="BZ50" s="12">
        <v>42</v>
      </c>
      <c r="CA50" s="208"/>
      <c r="CB50" s="12" t="s">
        <v>185</v>
      </c>
      <c r="CD50" s="12">
        <f>9/12</f>
        <v>0.75</v>
      </c>
      <c r="CE50" s="12">
        <f>IF(J10&gt;180,1,0)</f>
        <v>0</v>
      </c>
      <c r="CF50" s="12">
        <f>IF(J10&lt;=270,1,0)</f>
        <v>1</v>
      </c>
      <c r="CG50" s="110">
        <f t="shared" si="11"/>
        <v>0</v>
      </c>
      <c r="CH50" s="12">
        <f t="shared" si="12"/>
        <v>0</v>
      </c>
    </row>
    <row r="51" spans="1:162" ht="8.25" customHeight="1">
      <c r="A51" s="299" t="s">
        <v>186</v>
      </c>
      <c r="B51" s="297"/>
      <c r="C51" s="12"/>
      <c r="D51" s="12"/>
      <c r="E51" s="138"/>
      <c r="F51" s="12"/>
      <c r="G51" s="12"/>
      <c r="H51" s="12" t="s">
        <v>187</v>
      </c>
      <c r="I51" s="12"/>
      <c r="J51" s="12"/>
      <c r="BO51" s="208"/>
      <c r="BP51" s="208"/>
      <c r="BQ51" s="208"/>
      <c r="BR51" s="208"/>
      <c r="BT51" s="208">
        <v>43</v>
      </c>
      <c r="BU51" s="3" t="s">
        <v>197</v>
      </c>
      <c r="BV51" s="3" t="s">
        <v>74</v>
      </c>
      <c r="BW51" s="3" t="str">
        <f t="shared" si="13"/>
        <v>LIMBE</v>
      </c>
      <c r="BX51" s="3"/>
      <c r="BY51" s="210">
        <f t="shared" si="14"/>
        <v>0</v>
      </c>
      <c r="BZ51" s="12">
        <v>43</v>
      </c>
      <c r="CA51" s="208"/>
      <c r="CB51" s="12" t="s">
        <v>189</v>
      </c>
      <c r="CD51" s="12">
        <f>10/12</f>
        <v>0.83333333333333337</v>
      </c>
      <c r="CE51" s="12">
        <f>IF(J10&gt;270,1,0)</f>
        <v>0</v>
      </c>
      <c r="CF51" s="12">
        <f>IF(J10&lt;=300,1,0)</f>
        <v>1</v>
      </c>
      <c r="CG51" s="110">
        <f t="shared" si="11"/>
        <v>0</v>
      </c>
      <c r="CH51" s="12">
        <f t="shared" si="12"/>
        <v>0</v>
      </c>
    </row>
    <row r="52" spans="1:162">
      <c r="A52" s="299" t="s">
        <v>190</v>
      </c>
      <c r="B52" s="299"/>
      <c r="C52" s="299"/>
      <c r="D52" s="299"/>
      <c r="E52" s="300"/>
      <c r="F52" s="299"/>
      <c r="G52" s="299"/>
      <c r="H52" s="299"/>
      <c r="I52" s="299"/>
      <c r="J52" s="299"/>
      <c r="K52" s="5" t="s">
        <v>143</v>
      </c>
      <c r="L52" s="56"/>
      <c r="M52" s="5"/>
      <c r="N52" s="5"/>
      <c r="O52" s="5"/>
      <c r="P52" s="200"/>
      <c r="Q52" s="200"/>
      <c r="BO52" s="208"/>
      <c r="BP52" s="208"/>
      <c r="BQ52" s="208"/>
      <c r="BR52" s="208"/>
      <c r="BT52" s="208">
        <v>44</v>
      </c>
      <c r="BU52" s="3" t="s">
        <v>198</v>
      </c>
      <c r="BV52" s="3" t="s">
        <v>353</v>
      </c>
      <c r="BW52" s="3" t="str">
        <f t="shared" si="13"/>
        <v>LIMBE</v>
      </c>
      <c r="BX52" s="3"/>
      <c r="BY52" s="210">
        <f t="shared" si="14"/>
        <v>0</v>
      </c>
      <c r="BZ52" s="12">
        <v>44</v>
      </c>
      <c r="CA52" s="208"/>
      <c r="CB52" s="12" t="s">
        <v>191</v>
      </c>
      <c r="CD52" s="12">
        <f>11/12</f>
        <v>0.91666666666666663</v>
      </c>
      <c r="CE52" s="12">
        <f>IF(J10&gt;270,1,0)</f>
        <v>0</v>
      </c>
      <c r="CF52" s="12">
        <f>IF(J10&lt;=330,1,0)</f>
        <v>1</v>
      </c>
      <c r="CG52" s="110">
        <f t="shared" si="11"/>
        <v>0</v>
      </c>
      <c r="CH52" s="12">
        <f t="shared" si="12"/>
        <v>0</v>
      </c>
    </row>
    <row r="53" spans="1:162">
      <c r="A53" s="299" t="s">
        <v>192</v>
      </c>
      <c r="B53" s="299"/>
      <c r="C53" s="299"/>
      <c r="D53" s="299"/>
      <c r="E53" s="300"/>
      <c r="F53" s="299"/>
      <c r="G53" s="299"/>
      <c r="H53" s="299"/>
      <c r="I53" s="299"/>
      <c r="J53" s="299"/>
      <c r="K53" s="5"/>
      <c r="L53" s="57"/>
      <c r="M53" s="5"/>
      <c r="N53" s="5"/>
      <c r="O53" s="5"/>
      <c r="P53" s="200"/>
      <c r="Q53" s="200"/>
      <c r="BO53" s="208"/>
      <c r="BP53" s="208"/>
      <c r="BQ53" s="208"/>
      <c r="BR53" s="208"/>
      <c r="BT53" s="208">
        <v>45</v>
      </c>
      <c r="BU53" s="3" t="s">
        <v>200</v>
      </c>
      <c r="BV53" s="3" t="s">
        <v>347</v>
      </c>
      <c r="BW53" s="3" t="str">
        <f t="shared" si="13"/>
        <v>LIMBE</v>
      </c>
      <c r="BX53" s="3"/>
      <c r="BY53" s="210">
        <f t="shared" si="14"/>
        <v>0</v>
      </c>
      <c r="BZ53" s="12">
        <v>45</v>
      </c>
      <c r="CA53" s="208"/>
      <c r="CB53" s="12" t="s">
        <v>194</v>
      </c>
      <c r="CD53" s="12">
        <f>12/12</f>
        <v>1</v>
      </c>
      <c r="CE53" s="12">
        <f>IF(J10&gt;330,1,0)</f>
        <v>0</v>
      </c>
      <c r="CF53" s="12">
        <f>IF(J10&lt;=365,1,0)</f>
        <v>1</v>
      </c>
      <c r="CG53" s="110">
        <f t="shared" si="11"/>
        <v>0</v>
      </c>
      <c r="CH53" s="12">
        <f t="shared" si="12"/>
        <v>0</v>
      </c>
    </row>
    <row r="54" spans="1:162">
      <c r="A54" s="299" t="s">
        <v>195</v>
      </c>
      <c r="B54" s="299"/>
      <c r="C54" s="299"/>
      <c r="D54" s="299"/>
      <c r="E54" s="300"/>
      <c r="F54" s="299"/>
      <c r="G54" s="299"/>
      <c r="H54" s="299"/>
      <c r="I54" s="299"/>
      <c r="J54" s="299"/>
      <c r="K54" s="5"/>
      <c r="L54" s="5"/>
      <c r="M54" s="5"/>
      <c r="N54" s="5"/>
      <c r="O54" s="5"/>
      <c r="P54" s="200"/>
      <c r="Q54" s="200"/>
      <c r="BO54" s="208"/>
      <c r="BP54" s="208"/>
      <c r="BQ54" s="208"/>
      <c r="BR54" s="208"/>
      <c r="BT54" s="208">
        <v>46</v>
      </c>
      <c r="BU54" s="3" t="s">
        <v>157</v>
      </c>
      <c r="BV54" s="3"/>
      <c r="BW54" s="3" t="str">
        <f t="shared" si="13"/>
        <v>LIMBE</v>
      </c>
      <c r="BX54" s="3"/>
      <c r="BY54" s="210">
        <f t="shared" si="14"/>
        <v>0</v>
      </c>
      <c r="BZ54" s="12">
        <v>46</v>
      </c>
      <c r="CA54" s="208"/>
      <c r="CH54" s="12">
        <f>SUM(CH42:CH53)*100</f>
        <v>16.666666666666664</v>
      </c>
    </row>
    <row r="55" spans="1:162" ht="15" hidden="1">
      <c r="K55" s="446"/>
      <c r="L55" s="446"/>
      <c r="M55" s="58"/>
      <c r="N55" s="58"/>
      <c r="O55" s="58"/>
      <c r="P55" s="446"/>
      <c r="Q55" s="446"/>
      <c r="BO55" s="208"/>
      <c r="BP55" s="208"/>
      <c r="BQ55" s="208"/>
      <c r="BR55" s="208"/>
      <c r="BT55" s="208">
        <v>47</v>
      </c>
      <c r="BU55" s="3" t="s">
        <v>203</v>
      </c>
      <c r="BV55" s="3"/>
      <c r="BW55" s="3" t="str">
        <f t="shared" si="13"/>
        <v>LIMBE</v>
      </c>
      <c r="BX55" s="3"/>
      <c r="BY55" s="210">
        <f t="shared" si="14"/>
        <v>0</v>
      </c>
      <c r="BZ55" s="12">
        <v>47</v>
      </c>
      <c r="CA55" s="208"/>
    </row>
    <row r="56" spans="1:162" ht="15.75" hidden="1">
      <c r="K56" s="447"/>
      <c r="L56" s="448"/>
      <c r="M56" s="59"/>
      <c r="N56" s="60"/>
      <c r="O56" s="59"/>
      <c r="P56" s="447"/>
      <c r="Q56" s="447"/>
      <c r="BO56" s="208"/>
      <c r="BP56" s="208"/>
      <c r="BQ56" s="208"/>
      <c r="BR56" s="208"/>
      <c r="BT56" s="208">
        <v>48</v>
      </c>
      <c r="BU56" s="3" t="s">
        <v>205</v>
      </c>
      <c r="BV56" s="3" t="s">
        <v>344</v>
      </c>
      <c r="BW56" s="3" t="str">
        <f t="shared" si="13"/>
        <v>LIMBE</v>
      </c>
      <c r="BX56" s="3"/>
      <c r="BY56" s="210">
        <f t="shared" si="14"/>
        <v>0</v>
      </c>
      <c r="BZ56" s="12">
        <v>48</v>
      </c>
      <c r="CA56" s="208"/>
    </row>
    <row r="57" spans="1:162" s="12" customFormat="1" ht="18.75" customHeight="1">
      <c r="A57" s="68">
        <f>SUM(E27:E39)</f>
        <v>107951</v>
      </c>
      <c r="B57" s="108">
        <f>1.05*A57*C60</f>
        <v>28337.137500000001</v>
      </c>
      <c r="E57" s="138"/>
      <c r="U57" s="16"/>
      <c r="V57" s="16"/>
      <c r="W57" s="16"/>
      <c r="X57" s="16"/>
      <c r="Y57" s="16"/>
      <c r="Z57" s="16"/>
      <c r="BO57" s="208"/>
      <c r="BP57" s="208"/>
      <c r="BQ57" s="208"/>
      <c r="BR57" s="208"/>
      <c r="BT57" s="208">
        <v>49</v>
      </c>
      <c r="BU57" s="3" t="s">
        <v>207</v>
      </c>
      <c r="BV57" s="3" t="s">
        <v>345</v>
      </c>
      <c r="BW57" s="3" t="str">
        <f t="shared" si="13"/>
        <v>LIMBE</v>
      </c>
      <c r="BX57" s="3"/>
      <c r="BY57" s="210">
        <f t="shared" si="14"/>
        <v>0</v>
      </c>
      <c r="BZ57" s="12">
        <v>49</v>
      </c>
      <c r="CA57" s="208"/>
      <c r="FF57" s="209"/>
    </row>
    <row r="58" spans="1:162" s="12" customFormat="1" ht="13.5" customHeight="1" thickBot="1">
      <c r="A58" s="416" t="s">
        <v>201</v>
      </c>
      <c r="B58" s="416"/>
      <c r="E58" s="138"/>
      <c r="U58" s="16"/>
      <c r="V58" s="16"/>
      <c r="W58" s="16"/>
      <c r="X58" s="16"/>
      <c r="Y58" s="16"/>
      <c r="Z58" s="16"/>
      <c r="BO58" s="208"/>
      <c r="BP58" s="208"/>
      <c r="BQ58" s="208"/>
      <c r="BR58" s="208"/>
      <c r="BT58" s="208">
        <v>50</v>
      </c>
      <c r="BU58" s="3" t="s">
        <v>98</v>
      </c>
      <c r="BV58" s="3" t="s">
        <v>345</v>
      </c>
      <c r="BW58" s="3" t="str">
        <f t="shared" si="13"/>
        <v>LIMBE</v>
      </c>
      <c r="BX58" s="3"/>
      <c r="BY58" s="210">
        <f t="shared" si="14"/>
        <v>0</v>
      </c>
      <c r="BZ58" s="12">
        <v>50</v>
      </c>
      <c r="CA58" s="208"/>
      <c r="FF58" s="209"/>
    </row>
    <row r="59" spans="1:162" s="12" customFormat="1" ht="15.75" customHeight="1" thickBot="1">
      <c r="A59" s="418" t="s">
        <v>363</v>
      </c>
      <c r="B59" s="419"/>
      <c r="C59" s="301" t="s">
        <v>298</v>
      </c>
      <c r="D59" s="302" t="s">
        <v>206</v>
      </c>
      <c r="E59" s="303">
        <f>C60*H41+A60*H42</f>
        <v>7897.55</v>
      </c>
      <c r="F59" s="420" t="s">
        <v>339</v>
      </c>
      <c r="G59" s="421"/>
      <c r="H59" s="422">
        <f>IF(H7="PROROGATION",E60,((A57*1.05*(1-C60)+H42+H43*2)*1.1925+C46+H47*2)+B57*0.1925)</f>
        <v>114197.25837499999</v>
      </c>
      <c r="I59" s="423"/>
      <c r="J59" s="106" t="s">
        <v>341</v>
      </c>
      <c r="U59" s="16"/>
      <c r="V59" s="16"/>
      <c r="W59" s="16"/>
      <c r="X59" s="16"/>
      <c r="Y59" s="16"/>
      <c r="Z59" s="16"/>
      <c r="BO59" s="208"/>
      <c r="BP59" s="208"/>
      <c r="BQ59" s="208"/>
      <c r="BR59" s="208"/>
      <c r="BT59" s="208">
        <v>51</v>
      </c>
      <c r="BW59" s="3" t="str">
        <f t="shared" si="13"/>
        <v>LIMBE</v>
      </c>
      <c r="BX59" s="3"/>
      <c r="BZ59" s="12">
        <v>51</v>
      </c>
      <c r="CA59" s="208"/>
      <c r="FF59" s="209"/>
    </row>
    <row r="60" spans="1:162" s="12" customFormat="1" ht="24.75" customHeight="1" thickBot="1">
      <c r="A60" s="413">
        <v>1</v>
      </c>
      <c r="B60" s="414"/>
      <c r="C60" s="304">
        <v>0.25</v>
      </c>
      <c r="D60" s="305" t="s">
        <v>208</v>
      </c>
      <c r="E60" s="303">
        <f>H49-E59</f>
        <v>23022.513500000001</v>
      </c>
      <c r="F60" s="420" t="s">
        <v>297</v>
      </c>
      <c r="G60" s="421"/>
      <c r="H60" s="422">
        <f>(H59-E60)</f>
        <v>91174.744874999989</v>
      </c>
      <c r="I60" s="423"/>
      <c r="U60" s="16"/>
      <c r="V60" s="16"/>
      <c r="W60" s="16"/>
      <c r="X60" s="16"/>
      <c r="Y60" s="16"/>
      <c r="Z60" s="16"/>
      <c r="BO60" s="208"/>
      <c r="BP60" s="208"/>
      <c r="BQ60" s="208"/>
      <c r="BR60" s="208"/>
      <c r="BT60" s="208">
        <v>52</v>
      </c>
      <c r="BV60" s="3"/>
      <c r="BW60" s="3"/>
      <c r="BX60" s="3"/>
      <c r="BY60" s="3"/>
      <c r="BZ60" s="12">
        <v>52</v>
      </c>
      <c r="CA60" s="208"/>
      <c r="FF60" s="209"/>
    </row>
    <row r="61" spans="1:162" s="12" customFormat="1" ht="15" customHeight="1" thickBot="1">
      <c r="A61" s="16"/>
      <c r="B61" s="16"/>
      <c r="C61" s="420" t="s">
        <v>359</v>
      </c>
      <c r="D61" s="421"/>
      <c r="E61" s="306">
        <v>5000</v>
      </c>
      <c r="F61" s="111">
        <f>IF(H7="REMISE EN VIGUEUR",E61,IF(H7="TRANS GARANTIES",E61,IF(H7="DUPLICATA",E61,IF(H7="CHANG IMMATRI",E61,IF(H7="CHANG PROPRIETAIR",E61,IF(H7="ANNULATION",E61,H49))))))</f>
        <v>30920.0635</v>
      </c>
      <c r="H61" s="219"/>
      <c r="U61" s="16"/>
      <c r="V61" s="16"/>
      <c r="W61" s="16"/>
      <c r="X61" s="16"/>
      <c r="Y61" s="16"/>
      <c r="Z61" s="16"/>
      <c r="BO61" s="208"/>
      <c r="BP61" s="208"/>
      <c r="BQ61" s="208"/>
      <c r="BR61" s="208"/>
      <c r="BT61" s="208">
        <v>53</v>
      </c>
      <c r="BZ61" s="12">
        <v>53</v>
      </c>
      <c r="CA61" s="208"/>
      <c r="FF61" s="209"/>
    </row>
    <row r="62" spans="1:162" s="12" customFormat="1" ht="15.75" customHeight="1">
      <c r="A62" s="16"/>
      <c r="B62" s="16"/>
      <c r="E62" s="138"/>
      <c r="H62" s="36"/>
      <c r="I62" s="107"/>
      <c r="J62" s="107"/>
      <c r="U62" s="16"/>
      <c r="V62" s="16"/>
      <c r="W62" s="16"/>
      <c r="X62" s="16"/>
      <c r="Y62" s="16"/>
      <c r="Z62" s="16"/>
      <c r="BO62" s="208"/>
      <c r="BP62" s="208"/>
      <c r="BQ62" s="208"/>
      <c r="BR62" s="208"/>
      <c r="BT62" s="208">
        <v>54</v>
      </c>
      <c r="BZ62" s="12">
        <v>54</v>
      </c>
      <c r="CA62" s="208"/>
      <c r="FF62" s="209"/>
    </row>
    <row r="63" spans="1:162" s="12" customFormat="1" ht="15.75" customHeight="1">
      <c r="A63" s="16"/>
      <c r="B63" s="16"/>
      <c r="C63" s="16"/>
      <c r="D63" s="16"/>
      <c r="E63" s="139"/>
      <c r="U63" s="16"/>
      <c r="V63" s="16"/>
      <c r="W63" s="16"/>
      <c r="X63" s="16"/>
      <c r="Y63" s="16"/>
      <c r="Z63" s="16"/>
      <c r="BO63" s="208"/>
      <c r="BP63" s="208"/>
      <c r="BQ63" s="208"/>
      <c r="BR63" s="208"/>
      <c r="BT63" s="208">
        <v>55</v>
      </c>
      <c r="BU63" s="3"/>
      <c r="BV63" s="3"/>
      <c r="BW63" s="3"/>
      <c r="BX63" s="3"/>
      <c r="BY63" s="3"/>
      <c r="BZ63" s="12">
        <v>55</v>
      </c>
      <c r="CA63" s="208"/>
      <c r="FF63" s="209"/>
    </row>
    <row r="64" spans="1:162" s="12" customFormat="1" ht="15" customHeight="1">
      <c r="A64" s="415" t="s">
        <v>209</v>
      </c>
      <c r="B64" s="416"/>
      <c r="C64" s="61"/>
      <c r="D64" s="61"/>
      <c r="E64" s="138"/>
      <c r="U64" s="16"/>
      <c r="V64" s="16"/>
      <c r="W64" s="16"/>
      <c r="X64" s="16"/>
      <c r="Y64" s="16"/>
      <c r="Z64" s="16"/>
      <c r="BO64" s="208"/>
      <c r="BP64" s="208"/>
      <c r="BQ64" s="208"/>
      <c r="BR64" s="208"/>
      <c r="BT64" s="208">
        <v>56</v>
      </c>
      <c r="BU64" s="3"/>
      <c r="BV64" s="3"/>
      <c r="BW64" s="3"/>
      <c r="BX64" s="3"/>
      <c r="BY64" s="3"/>
      <c r="BZ64" s="12">
        <v>56</v>
      </c>
      <c r="CA64" s="208"/>
      <c r="FF64" s="209"/>
    </row>
    <row r="65" spans="1:162" s="12" customFormat="1">
      <c r="A65" s="412" t="s">
        <v>210</v>
      </c>
      <c r="B65" s="412"/>
      <c r="C65" s="61" t="s">
        <v>211</v>
      </c>
      <c r="D65" s="16"/>
      <c r="E65" s="138"/>
      <c r="U65" s="16"/>
      <c r="V65" s="16"/>
      <c r="W65" s="16"/>
      <c r="X65" s="16"/>
      <c r="Y65" s="16"/>
      <c r="Z65" s="16"/>
      <c r="BO65" s="208"/>
      <c r="BP65" s="208"/>
      <c r="BQ65" s="208"/>
      <c r="BR65" s="208"/>
      <c r="BT65" s="208">
        <v>57</v>
      </c>
      <c r="BU65" s="3"/>
      <c r="BV65" s="3"/>
      <c r="BW65" s="3"/>
      <c r="BX65" s="3"/>
      <c r="BY65" s="3"/>
      <c r="BZ65" s="12">
        <v>57</v>
      </c>
      <c r="CA65" s="208"/>
      <c r="FF65" s="209"/>
    </row>
    <row r="66" spans="1:162" s="12" customFormat="1">
      <c r="A66" s="415" t="s">
        <v>212</v>
      </c>
      <c r="B66" s="417"/>
      <c r="C66" s="16" t="s">
        <v>213</v>
      </c>
      <c r="D66" s="104"/>
      <c r="E66" s="138"/>
      <c r="U66" s="16"/>
      <c r="V66" s="16"/>
      <c r="W66" s="16"/>
      <c r="X66" s="16"/>
      <c r="Y66" s="16"/>
      <c r="Z66" s="16"/>
      <c r="BO66" s="208"/>
      <c r="BP66" s="208"/>
      <c r="BQ66" s="208"/>
      <c r="BR66" s="208"/>
      <c r="BT66" s="208">
        <v>58</v>
      </c>
      <c r="BU66" s="3"/>
      <c r="BV66" s="3"/>
      <c r="BW66" s="3"/>
      <c r="BX66" s="3"/>
      <c r="BY66" s="3"/>
      <c r="BZ66" s="12">
        <v>58</v>
      </c>
      <c r="CA66" s="208"/>
      <c r="FF66" s="209"/>
    </row>
    <row r="67" spans="1:162" s="12" customFormat="1">
      <c r="A67" s="62" t="s">
        <v>214</v>
      </c>
      <c r="B67" s="16"/>
      <c r="C67" s="16" t="s">
        <v>215</v>
      </c>
      <c r="D67" s="63" t="s">
        <v>216</v>
      </c>
      <c r="E67" s="140">
        <v>0</v>
      </c>
      <c r="M67" s="12" t="s">
        <v>213</v>
      </c>
      <c r="N67" s="12" t="s">
        <v>217</v>
      </c>
      <c r="U67" s="16"/>
      <c r="V67" s="16"/>
      <c r="W67" s="16"/>
      <c r="X67" s="16"/>
      <c r="Y67" s="16"/>
      <c r="Z67" s="16"/>
      <c r="BO67" s="208"/>
      <c r="BP67" s="208"/>
      <c r="BQ67" s="208"/>
      <c r="BR67" s="208"/>
      <c r="BT67" s="208">
        <v>59</v>
      </c>
      <c r="BU67" s="3"/>
      <c r="BV67" s="3"/>
      <c r="BW67" s="3"/>
      <c r="BX67" s="3"/>
      <c r="BY67" s="3"/>
      <c r="BZ67" s="12">
        <v>59</v>
      </c>
      <c r="CA67" s="208"/>
      <c r="FF67" s="209"/>
    </row>
    <row r="68" spans="1:162" s="12" customFormat="1">
      <c r="A68" s="412" t="s">
        <v>218</v>
      </c>
      <c r="B68" s="412"/>
      <c r="C68" s="64">
        <v>51936</v>
      </c>
      <c r="D68" s="16"/>
      <c r="E68" s="138"/>
      <c r="M68" s="12" t="s">
        <v>219</v>
      </c>
      <c r="N68" s="12" t="s">
        <v>215</v>
      </c>
      <c r="U68" s="16"/>
      <c r="V68" s="16"/>
      <c r="W68" s="16"/>
      <c r="X68" s="16"/>
      <c r="Y68" s="16"/>
      <c r="Z68" s="16"/>
      <c r="BO68" s="208"/>
      <c r="BP68" s="208"/>
      <c r="BQ68" s="208"/>
      <c r="BR68" s="208"/>
      <c r="BT68" s="208">
        <v>60</v>
      </c>
      <c r="BU68" s="3"/>
      <c r="BV68" s="3"/>
      <c r="BW68" s="3"/>
      <c r="BX68" s="3"/>
      <c r="BY68" s="3"/>
      <c r="BZ68" s="12">
        <v>60</v>
      </c>
      <c r="CA68" s="208"/>
      <c r="FF68" s="209"/>
    </row>
    <row r="69" spans="1:162" s="12" customFormat="1">
      <c r="A69" s="16"/>
      <c r="B69" s="16"/>
      <c r="C69" s="16"/>
      <c r="D69" s="16"/>
      <c r="E69" s="138"/>
      <c r="M69" s="12" t="s">
        <v>220</v>
      </c>
      <c r="U69" s="16"/>
      <c r="V69" s="16"/>
      <c r="W69" s="16"/>
      <c r="X69" s="16"/>
      <c r="Y69" s="16"/>
      <c r="Z69" s="16"/>
      <c r="BO69" s="208"/>
      <c r="BP69" s="208"/>
      <c r="BQ69" s="208"/>
      <c r="BR69" s="208"/>
      <c r="BT69" s="208">
        <v>61</v>
      </c>
      <c r="BU69" s="3"/>
      <c r="BV69" s="3"/>
      <c r="BW69" s="3"/>
      <c r="BX69" s="3"/>
      <c r="BY69" s="3"/>
      <c r="BZ69" s="12">
        <v>61</v>
      </c>
      <c r="CA69" s="208"/>
      <c r="FF69" s="209"/>
    </row>
    <row r="70" spans="1:162">
      <c r="M70" s="16" t="s">
        <v>221</v>
      </c>
      <c r="N70" s="16"/>
      <c r="O70" s="16"/>
      <c r="BO70" s="208"/>
      <c r="BP70" s="208"/>
      <c r="BQ70" s="208"/>
      <c r="BR70" s="208"/>
      <c r="BT70" s="208">
        <v>62</v>
      </c>
      <c r="BU70" s="3"/>
      <c r="BV70" s="3"/>
      <c r="BW70" s="3"/>
      <c r="BX70" s="3"/>
      <c r="BY70" s="3"/>
      <c r="BZ70" s="12">
        <v>62</v>
      </c>
      <c r="CA70" s="208"/>
    </row>
    <row r="71" spans="1:162">
      <c r="M71" s="16"/>
      <c r="N71" s="16"/>
      <c r="O71" s="16"/>
      <c r="BO71" s="208"/>
      <c r="BP71" s="208"/>
      <c r="BQ71" s="208"/>
      <c r="BR71" s="208"/>
      <c r="BT71" s="208">
        <v>63</v>
      </c>
      <c r="BU71" s="3"/>
      <c r="BV71" s="3"/>
      <c r="BW71" s="3"/>
      <c r="BX71" s="3"/>
      <c r="BY71" s="3"/>
      <c r="BZ71" s="12">
        <v>63</v>
      </c>
      <c r="CA71" s="208"/>
    </row>
    <row r="72" spans="1:162">
      <c r="BO72" s="208"/>
      <c r="BP72" s="208"/>
      <c r="BQ72" s="208"/>
      <c r="BR72" s="208"/>
      <c r="BT72" s="208">
        <v>64</v>
      </c>
      <c r="BU72" s="3"/>
      <c r="BV72" s="3"/>
      <c r="BW72" s="3"/>
      <c r="BX72" s="3"/>
      <c r="BY72" s="3"/>
      <c r="BZ72" s="12">
        <v>64</v>
      </c>
      <c r="CA72" s="208"/>
    </row>
    <row r="73" spans="1:162">
      <c r="BO73" s="208"/>
      <c r="BP73" s="208"/>
      <c r="BQ73" s="208"/>
      <c r="BR73" s="208"/>
      <c r="BT73" s="208">
        <v>65</v>
      </c>
      <c r="BU73" s="3"/>
      <c r="BV73" s="3"/>
      <c r="BW73" s="3"/>
      <c r="BX73" s="3"/>
      <c r="BY73" s="3"/>
      <c r="BZ73" s="12">
        <v>65</v>
      </c>
      <c r="CA73" s="208"/>
    </row>
    <row r="74" spans="1:162">
      <c r="BO74" s="208"/>
      <c r="BP74" s="208"/>
      <c r="BQ74" s="208"/>
      <c r="BR74" s="208"/>
      <c r="BT74" s="208">
        <v>66</v>
      </c>
      <c r="BU74" s="3"/>
      <c r="BV74" s="3"/>
      <c r="BW74" s="3"/>
      <c r="BX74" s="3"/>
      <c r="BY74" s="3"/>
      <c r="BZ74" s="12">
        <v>66</v>
      </c>
      <c r="CA74" s="208"/>
    </row>
    <row r="75" spans="1:162">
      <c r="BO75" s="208"/>
      <c r="BP75" s="208"/>
      <c r="BQ75" s="208"/>
      <c r="BR75" s="208"/>
      <c r="BT75" s="208">
        <v>67</v>
      </c>
      <c r="BU75" s="3"/>
      <c r="BV75" s="3"/>
      <c r="BW75" s="3"/>
      <c r="BX75" s="3"/>
      <c r="BY75" s="3"/>
      <c r="BZ75" s="12">
        <v>67</v>
      </c>
      <c r="CA75" s="208"/>
    </row>
    <row r="76" spans="1:162">
      <c r="BO76" s="208"/>
      <c r="BP76" s="208"/>
      <c r="BQ76" s="208"/>
      <c r="BR76" s="208"/>
      <c r="BT76" s="208">
        <v>68</v>
      </c>
      <c r="BU76" s="3"/>
      <c r="BV76" s="3"/>
      <c r="BW76" s="3"/>
      <c r="BX76" s="3"/>
      <c r="BY76" s="3"/>
      <c r="BZ76" s="12">
        <v>68</v>
      </c>
      <c r="CA76" s="208"/>
    </row>
    <row r="77" spans="1:162">
      <c r="BO77" s="208"/>
      <c r="BP77" s="208"/>
      <c r="BQ77" s="208"/>
      <c r="BR77" s="208"/>
      <c r="BT77" s="208">
        <v>69</v>
      </c>
      <c r="BU77" s="3"/>
      <c r="BV77" s="3"/>
      <c r="BW77" s="3"/>
      <c r="BX77" s="3"/>
      <c r="BY77" s="3"/>
      <c r="BZ77" s="12">
        <v>69</v>
      </c>
      <c r="CA77" s="208"/>
    </row>
    <row r="78" spans="1:162">
      <c r="BO78" s="208"/>
      <c r="BP78" s="208"/>
      <c r="BQ78" s="208"/>
      <c r="BR78" s="208"/>
      <c r="BT78" s="208">
        <v>70</v>
      </c>
      <c r="BU78" s="3"/>
      <c r="BV78" s="3"/>
      <c r="BW78" s="3"/>
      <c r="BX78" s="3"/>
      <c r="BY78" s="3"/>
      <c r="BZ78" s="12">
        <v>70</v>
      </c>
      <c r="CA78" s="208"/>
    </row>
    <row r="79" spans="1:162">
      <c r="BO79" s="208"/>
      <c r="BP79" s="208"/>
      <c r="BQ79" s="208"/>
      <c r="BR79" s="208"/>
      <c r="BT79" s="208">
        <v>71</v>
      </c>
      <c r="BU79" s="3"/>
      <c r="BV79" s="3"/>
      <c r="BW79" s="3"/>
      <c r="BX79" s="3"/>
      <c r="BY79" s="3"/>
      <c r="BZ79" s="12">
        <v>71</v>
      </c>
      <c r="CA79" s="208"/>
    </row>
    <row r="80" spans="1:162">
      <c r="BO80" s="208"/>
      <c r="BP80" s="208"/>
      <c r="BQ80" s="208"/>
      <c r="BR80" s="208"/>
      <c r="BT80" s="208">
        <v>72</v>
      </c>
      <c r="BU80" s="3"/>
      <c r="BV80" s="3"/>
      <c r="BW80" s="3"/>
      <c r="BX80" s="3"/>
      <c r="BY80" s="3"/>
      <c r="BZ80" s="12">
        <v>72</v>
      </c>
      <c r="CA80" s="208"/>
    </row>
    <row r="81" spans="67:79">
      <c r="BO81" s="208"/>
      <c r="BP81" s="208"/>
      <c r="BQ81" s="208"/>
      <c r="BR81" s="208"/>
      <c r="BT81" s="208">
        <v>73</v>
      </c>
      <c r="BU81" s="3"/>
      <c r="BV81" s="3"/>
      <c r="BW81" s="3"/>
      <c r="BX81" s="3"/>
      <c r="BY81" s="3"/>
      <c r="BZ81" s="12">
        <v>73</v>
      </c>
      <c r="CA81" s="208"/>
    </row>
    <row r="82" spans="67:79">
      <c r="BO82" s="208"/>
      <c r="BP82" s="208"/>
      <c r="BQ82" s="208"/>
      <c r="BR82" s="208"/>
      <c r="BT82" s="208">
        <v>74</v>
      </c>
      <c r="BU82" s="3"/>
      <c r="BV82" s="3"/>
      <c r="BW82" s="3"/>
      <c r="BX82" s="3"/>
      <c r="BY82" s="3"/>
      <c r="BZ82" s="12">
        <v>74</v>
      </c>
      <c r="CA82" s="208"/>
    </row>
    <row r="83" spans="67:79">
      <c r="BO83" s="208"/>
      <c r="BP83" s="208"/>
      <c r="BQ83" s="208"/>
      <c r="BR83" s="208"/>
      <c r="BT83" s="208">
        <v>75</v>
      </c>
      <c r="BU83" s="3"/>
      <c r="BV83" s="3"/>
      <c r="BW83" s="3"/>
      <c r="BX83" s="3"/>
      <c r="BY83" s="3"/>
      <c r="BZ83" s="12">
        <v>75</v>
      </c>
      <c r="CA83" s="208"/>
    </row>
    <row r="84" spans="67:79">
      <c r="BO84" s="208"/>
      <c r="BP84" s="208"/>
      <c r="BQ84" s="208"/>
      <c r="BR84" s="208"/>
      <c r="BT84" s="208">
        <v>76</v>
      </c>
      <c r="BU84" s="3"/>
      <c r="BV84" s="3"/>
      <c r="BW84" s="3"/>
      <c r="BX84" s="3"/>
      <c r="BY84" s="3"/>
      <c r="BZ84" s="12">
        <v>76</v>
      </c>
      <c r="CA84" s="208"/>
    </row>
    <row r="85" spans="67:79">
      <c r="BO85" s="208"/>
      <c r="BP85" s="208"/>
      <c r="BQ85" s="208"/>
      <c r="BR85" s="208"/>
      <c r="BT85" s="208">
        <v>77</v>
      </c>
      <c r="BU85" s="3"/>
      <c r="BV85" s="3"/>
      <c r="BW85" s="3"/>
      <c r="BX85" s="3"/>
      <c r="BY85" s="3"/>
      <c r="BZ85" s="12">
        <v>77</v>
      </c>
      <c r="CA85" s="208"/>
    </row>
    <row r="86" spans="67:79">
      <c r="BO86" s="208"/>
      <c r="BP86" s="208"/>
      <c r="BQ86" s="208"/>
      <c r="BR86" s="208"/>
      <c r="BT86" s="208">
        <v>78</v>
      </c>
      <c r="BU86" s="3"/>
      <c r="BV86" s="3"/>
      <c r="BW86" s="3"/>
      <c r="BX86" s="3"/>
      <c r="BY86" s="3"/>
      <c r="BZ86" s="12">
        <v>78</v>
      </c>
      <c r="CA86" s="208"/>
    </row>
    <row r="87" spans="67:79">
      <c r="BO87" s="208"/>
      <c r="BP87" s="208"/>
      <c r="BQ87" s="208"/>
      <c r="BR87" s="208"/>
      <c r="BT87" s="208">
        <v>79</v>
      </c>
      <c r="BU87" s="3"/>
      <c r="BV87" s="3"/>
      <c r="BW87" s="3"/>
      <c r="BX87" s="3"/>
      <c r="BY87" s="3"/>
      <c r="BZ87" s="12">
        <v>79</v>
      </c>
      <c r="CA87" s="208"/>
    </row>
    <row r="88" spans="67:79">
      <c r="BO88" s="208"/>
      <c r="BP88" s="208"/>
      <c r="BQ88" s="208"/>
      <c r="BR88" s="208"/>
      <c r="BT88" s="208">
        <v>80</v>
      </c>
      <c r="BU88" s="3"/>
      <c r="BV88" s="3"/>
      <c r="BW88" s="3"/>
      <c r="BX88" s="3"/>
      <c r="BY88" s="3"/>
      <c r="BZ88" s="12">
        <v>80</v>
      </c>
      <c r="CA88" s="208"/>
    </row>
    <row r="89" spans="67:79">
      <c r="BO89" s="208"/>
      <c r="BP89" s="208"/>
      <c r="BQ89" s="208"/>
      <c r="BR89" s="208"/>
      <c r="BT89" s="208">
        <v>81</v>
      </c>
      <c r="BU89" s="3"/>
      <c r="BV89" s="3"/>
      <c r="BW89" s="3"/>
      <c r="BX89" s="3"/>
      <c r="BY89" s="3"/>
      <c r="BZ89" s="12">
        <v>81</v>
      </c>
      <c r="CA89" s="208"/>
    </row>
    <row r="90" spans="67:79">
      <c r="BO90" s="208"/>
      <c r="BP90" s="208"/>
      <c r="BQ90" s="208"/>
      <c r="BR90" s="208"/>
      <c r="BT90" s="208">
        <v>82</v>
      </c>
      <c r="BU90" s="3"/>
      <c r="BV90" s="3"/>
      <c r="BW90" s="3"/>
      <c r="BX90" s="3"/>
      <c r="BY90" s="3"/>
      <c r="BZ90" s="12">
        <v>82</v>
      </c>
      <c r="CA90" s="208"/>
    </row>
    <row r="91" spans="67:79">
      <c r="BO91" s="208"/>
      <c r="BP91" s="208"/>
      <c r="BQ91" s="208"/>
      <c r="BR91" s="208"/>
      <c r="BU91" s="3"/>
      <c r="BV91" s="3"/>
      <c r="BW91" s="3"/>
      <c r="BX91" s="3"/>
      <c r="BY91" s="3"/>
      <c r="BZ91" s="12">
        <v>83</v>
      </c>
      <c r="CA91" s="208"/>
    </row>
    <row r="92" spans="67:79">
      <c r="BO92" s="208"/>
      <c r="BP92" s="208"/>
      <c r="BQ92" s="208"/>
      <c r="BR92" s="208"/>
      <c r="BT92" s="208"/>
      <c r="BU92" s="3"/>
      <c r="BV92" s="3"/>
      <c r="BW92" s="3"/>
      <c r="BX92" s="3"/>
      <c r="BY92" s="3"/>
      <c r="BZ92" s="12">
        <v>84</v>
      </c>
      <c r="CA92" s="208"/>
    </row>
    <row r="93" spans="67:79">
      <c r="BO93" s="208"/>
      <c r="BP93" s="208"/>
      <c r="BQ93" s="208"/>
      <c r="BR93" s="208"/>
      <c r="BT93" s="208"/>
      <c r="BU93" s="3"/>
      <c r="BV93" s="3"/>
      <c r="BW93" s="3"/>
      <c r="BX93" s="3"/>
      <c r="BY93" s="3"/>
      <c r="BZ93" s="12">
        <v>85</v>
      </c>
      <c r="CA93" s="208"/>
    </row>
    <row r="94" spans="67:79">
      <c r="BO94" s="208"/>
      <c r="BP94" s="208"/>
      <c r="BQ94" s="208"/>
      <c r="BR94" s="208"/>
      <c r="BT94" s="208"/>
      <c r="BU94" s="3"/>
      <c r="BV94" s="3"/>
      <c r="BW94" s="3"/>
      <c r="BX94" s="3"/>
      <c r="BY94" s="3"/>
      <c r="BZ94" s="12">
        <v>86</v>
      </c>
      <c r="CA94" s="208"/>
    </row>
    <row r="95" spans="67:79">
      <c r="BO95" s="208"/>
      <c r="BP95" s="208"/>
      <c r="BQ95" s="208"/>
      <c r="BR95" s="208"/>
      <c r="BT95" s="208"/>
      <c r="BU95" s="3"/>
      <c r="BV95" s="3"/>
      <c r="BW95" s="3"/>
      <c r="BX95" s="3"/>
      <c r="BY95" s="3"/>
      <c r="BZ95" s="12">
        <v>87</v>
      </c>
      <c r="CA95" s="208"/>
    </row>
    <row r="96" spans="67:79">
      <c r="BO96" s="208"/>
      <c r="BP96" s="208"/>
      <c r="BQ96" s="208"/>
      <c r="BR96" s="208"/>
      <c r="BT96" s="208"/>
      <c r="BU96" s="3"/>
      <c r="BV96" s="3"/>
      <c r="BW96" s="3"/>
      <c r="BX96" s="3"/>
      <c r="BY96" s="3"/>
      <c r="BZ96" s="12">
        <v>88</v>
      </c>
      <c r="CA96" s="208"/>
    </row>
    <row r="97" spans="67:79">
      <c r="BO97" s="208"/>
      <c r="BP97" s="208"/>
      <c r="BQ97" s="208"/>
      <c r="BR97" s="208"/>
      <c r="BT97" s="208"/>
      <c r="BU97" s="3"/>
      <c r="BV97" s="3"/>
      <c r="BW97" s="3"/>
      <c r="BX97" s="3"/>
      <c r="BY97" s="3"/>
      <c r="BZ97" s="12">
        <v>89</v>
      </c>
      <c r="CA97" s="208"/>
    </row>
    <row r="98" spans="67:79">
      <c r="BO98" s="208"/>
      <c r="BP98" s="208"/>
      <c r="BQ98" s="208"/>
      <c r="BR98" s="208"/>
      <c r="BT98" s="208"/>
      <c r="BU98" s="3"/>
      <c r="BV98" s="3"/>
      <c r="BW98" s="3"/>
      <c r="BX98" s="3"/>
      <c r="BY98" s="3"/>
      <c r="BZ98" s="12">
        <v>90</v>
      </c>
      <c r="CA98" s="208"/>
    </row>
    <row r="99" spans="67:79">
      <c r="BO99" s="208"/>
      <c r="BP99" s="208"/>
      <c r="BQ99" s="208"/>
      <c r="BR99" s="208"/>
      <c r="BT99" s="208"/>
      <c r="BU99" s="3"/>
      <c r="BV99" s="3"/>
      <c r="BW99" s="3"/>
      <c r="BX99" s="3"/>
      <c r="BY99" s="3"/>
      <c r="BZ99" s="12">
        <v>91</v>
      </c>
      <c r="CA99" s="208"/>
    </row>
    <row r="100" spans="67:79">
      <c r="BO100" s="208"/>
      <c r="BP100" s="208"/>
      <c r="BQ100" s="208"/>
      <c r="BR100" s="208"/>
      <c r="BT100" s="208"/>
      <c r="BU100" s="3"/>
      <c r="BV100" s="3"/>
      <c r="BW100" s="3"/>
      <c r="BX100" s="3"/>
      <c r="BY100" s="3"/>
      <c r="BZ100" s="12">
        <v>92</v>
      </c>
      <c r="CA100" s="208"/>
    </row>
    <row r="101" spans="67:79">
      <c r="BO101" s="208"/>
      <c r="BP101" s="208"/>
      <c r="BQ101" s="208"/>
      <c r="BR101" s="208"/>
      <c r="BT101" s="208"/>
      <c r="BU101" s="3"/>
      <c r="BV101" s="3"/>
      <c r="BW101" s="3"/>
      <c r="BX101" s="3"/>
      <c r="BY101" s="3"/>
      <c r="BZ101" s="12">
        <v>93</v>
      </c>
      <c r="CA101" s="208"/>
    </row>
    <row r="102" spans="67:79">
      <c r="BO102" s="208"/>
      <c r="BP102" s="208"/>
      <c r="BQ102" s="208"/>
      <c r="BR102" s="208"/>
      <c r="BT102" s="208"/>
      <c r="BU102" s="3"/>
      <c r="BV102" s="3"/>
      <c r="BW102" s="3"/>
      <c r="BX102" s="3"/>
      <c r="BY102" s="3"/>
      <c r="BZ102" s="12">
        <v>94</v>
      </c>
      <c r="CA102" s="208"/>
    </row>
    <row r="103" spans="67:79">
      <c r="BO103" s="208"/>
      <c r="BP103" s="208"/>
      <c r="BQ103" s="208"/>
      <c r="BR103" s="208"/>
      <c r="BT103" s="208"/>
      <c r="BU103" s="3"/>
      <c r="BV103" s="3"/>
      <c r="BW103" s="3"/>
      <c r="BX103" s="3"/>
      <c r="BY103" s="3"/>
      <c r="BZ103" s="12">
        <v>95</v>
      </c>
      <c r="CA103" s="208"/>
    </row>
    <row r="104" spans="67:79">
      <c r="BO104" s="208"/>
      <c r="BP104" s="208"/>
      <c r="BQ104" s="208"/>
      <c r="BR104" s="208"/>
      <c r="BT104" s="208"/>
      <c r="BU104" s="3"/>
      <c r="BV104" s="3"/>
      <c r="BW104" s="3"/>
      <c r="BX104" s="3"/>
      <c r="BY104" s="3"/>
      <c r="BZ104" s="12">
        <v>96</v>
      </c>
      <c r="CA104" s="208"/>
    </row>
    <row r="105" spans="67:79">
      <c r="BO105" s="208"/>
      <c r="BP105" s="208"/>
      <c r="BQ105" s="208"/>
      <c r="BR105" s="208"/>
      <c r="BT105" s="208"/>
      <c r="BU105" s="3"/>
      <c r="BV105" s="3"/>
      <c r="BW105" s="3"/>
      <c r="BX105" s="3"/>
      <c r="BY105" s="3"/>
      <c r="BZ105" s="12">
        <v>97</v>
      </c>
      <c r="CA105" s="208"/>
    </row>
    <row r="106" spans="67:79">
      <c r="BO106" s="208"/>
      <c r="BP106" s="208"/>
      <c r="BQ106" s="208"/>
      <c r="BR106" s="208"/>
      <c r="BT106" s="208"/>
      <c r="BU106" s="3"/>
      <c r="BV106" s="3"/>
      <c r="BW106" s="3"/>
      <c r="BX106" s="3"/>
      <c r="BY106" s="3"/>
      <c r="BZ106" s="12">
        <v>98</v>
      </c>
      <c r="CA106" s="208"/>
    </row>
    <row r="107" spans="67:79">
      <c r="BO107" s="208"/>
      <c r="BP107" s="208"/>
      <c r="BQ107" s="208"/>
      <c r="BR107" s="208"/>
      <c r="BT107" s="208"/>
      <c r="BU107" s="3"/>
      <c r="BV107" s="3"/>
      <c r="BW107" s="3"/>
      <c r="BX107" s="3"/>
      <c r="BY107" s="3"/>
      <c r="BZ107" s="12">
        <v>99</v>
      </c>
      <c r="CA107" s="208"/>
    </row>
    <row r="108" spans="67:79">
      <c r="BO108" s="208"/>
      <c r="BP108" s="208"/>
      <c r="BQ108" s="208"/>
      <c r="BR108" s="208"/>
      <c r="BT108" s="208"/>
      <c r="BU108" s="3"/>
      <c r="BV108" s="3"/>
      <c r="BW108" s="3"/>
      <c r="BX108" s="3"/>
      <c r="BY108" s="3"/>
      <c r="BZ108" s="12">
        <v>100</v>
      </c>
      <c r="CA108" s="208"/>
    </row>
    <row r="109" spans="67:79">
      <c r="BO109" s="208"/>
      <c r="BP109" s="208"/>
      <c r="BQ109" s="208"/>
      <c r="BR109" s="208"/>
      <c r="BT109" s="208"/>
      <c r="BU109" s="3"/>
      <c r="BV109" s="3"/>
      <c r="BW109" s="3"/>
      <c r="BX109" s="3"/>
      <c r="BY109" s="3"/>
      <c r="BZ109" s="12">
        <v>101</v>
      </c>
      <c r="CA109" s="208"/>
    </row>
    <row r="110" spans="67:79">
      <c r="BO110" s="208"/>
      <c r="BP110" s="208"/>
      <c r="BQ110" s="208"/>
      <c r="BR110" s="208"/>
      <c r="BT110" s="208"/>
      <c r="BU110" s="3"/>
      <c r="BV110" s="3"/>
      <c r="BW110" s="3"/>
      <c r="BX110" s="3"/>
      <c r="BY110" s="3"/>
      <c r="BZ110" s="12">
        <v>102</v>
      </c>
      <c r="CA110" s="208"/>
    </row>
    <row r="111" spans="67:79">
      <c r="BO111" s="208"/>
      <c r="BP111" s="208"/>
      <c r="BQ111" s="208"/>
      <c r="BR111" s="208"/>
      <c r="BT111" s="208"/>
      <c r="BU111" s="3"/>
      <c r="BV111" s="3"/>
      <c r="BW111" s="3"/>
      <c r="BX111" s="3"/>
      <c r="BY111" s="3"/>
      <c r="BZ111" s="12">
        <v>103</v>
      </c>
      <c r="CA111" s="208"/>
    </row>
    <row r="112" spans="67:79">
      <c r="BO112" s="208"/>
      <c r="BP112" s="208"/>
      <c r="BQ112" s="208"/>
      <c r="BR112" s="208"/>
      <c r="BT112" s="208"/>
      <c r="BU112" s="3"/>
      <c r="BV112" s="3"/>
      <c r="BW112" s="3"/>
      <c r="BX112" s="3"/>
      <c r="BY112" s="3"/>
      <c r="BZ112" s="12">
        <v>104</v>
      </c>
      <c r="CA112" s="208"/>
    </row>
    <row r="115" spans="77:77">
      <c r="BY115" s="12">
        <f>SUM(BY9:BY113)</f>
        <v>4</v>
      </c>
    </row>
    <row r="191" spans="5:162" s="12" customFormat="1">
      <c r="E191" s="138"/>
      <c r="U191" s="16"/>
      <c r="V191" s="16"/>
      <c r="W191" s="16"/>
      <c r="X191" s="16"/>
      <c r="Y191" s="16"/>
      <c r="Z191" s="16"/>
      <c r="FF191" s="209"/>
    </row>
  </sheetData>
  <sheetProtection algorithmName="SHA-512" hashValue="zynx65McOVk/VhRXYahfm9ghpFF1H0/PUffDYZ87wYhU+1fIoD3y8ZufhHs2cwsky2IUKvzG6zCJ+2gPWS67Dw==" saltValue="7mE6+OsUuCeRgG9FCael0A==" spinCount="100000" sheet="1" objects="1" scenarios="1"/>
  <protectedRanges>
    <protectedRange sqref="F10:G10" name="Range30"/>
    <protectedRange sqref="H36:I36" name="Range20"/>
    <protectedRange sqref="D37:D39" name="Range19"/>
    <protectedRange sqref="F50:G50" name="Range18"/>
    <protectedRange sqref="K28:K39" name="Range15"/>
    <protectedRange sqref="B8:D9" name="Range1"/>
    <protectedRange sqref="F13" name="Range2"/>
    <protectedRange sqref="J10" name="Range3"/>
    <protectedRange sqref="F12:J13" name="Range4"/>
    <protectedRange sqref="B19:B21" name="Range5"/>
    <protectedRange sqref="B17" name="Range6"/>
    <protectedRange sqref="D19" name="Range7"/>
    <protectedRange sqref="E17:E18" name="Range8"/>
    <protectedRange sqref="F19:G21" name="Range9"/>
    <protectedRange sqref="H17" name="Range10"/>
    <protectedRange sqref="J21:J22" name="Range11"/>
    <protectedRange sqref="H42" name="Range12"/>
    <protectedRange sqref="J48" name="Range13"/>
    <protectedRange sqref="K10" name="Range14"/>
    <protectedRange sqref="K46" name="Range16"/>
    <protectedRange sqref="A60:C60" name="Range17"/>
    <protectedRange sqref="B24:J24" name="Range21"/>
    <protectedRange sqref="B22" name="Range22"/>
    <protectedRange sqref="D22" name="Range23"/>
    <protectedRange sqref="G22" name="Range24"/>
    <protectedRange sqref="D20" name="Range25"/>
    <protectedRange sqref="J19:J22" name="Range26"/>
    <protectedRange sqref="C15:J15" name="Range27"/>
    <protectedRange sqref="F14" name="Range28"/>
    <protectedRange sqref="E9" name="Range29"/>
  </protectedRanges>
  <dataConsolidate/>
  <mergeCells count="145">
    <mergeCell ref="M28:N28"/>
    <mergeCell ref="I37:I39"/>
    <mergeCell ref="J37:J39"/>
    <mergeCell ref="A41:E41"/>
    <mergeCell ref="F45:G45"/>
    <mergeCell ref="F46:G46"/>
    <mergeCell ref="F37:F39"/>
    <mergeCell ref="H37:H39"/>
    <mergeCell ref="C46:E46"/>
    <mergeCell ref="H41:J41"/>
    <mergeCell ref="H44:J44"/>
    <mergeCell ref="B35:C35"/>
    <mergeCell ref="B36:C36"/>
    <mergeCell ref="B37:B39"/>
    <mergeCell ref="B29:C29"/>
    <mergeCell ref="B31:C31"/>
    <mergeCell ref="F42:G42"/>
    <mergeCell ref="H42:J42"/>
    <mergeCell ref="F43:G43"/>
    <mergeCell ref="H43:J43"/>
    <mergeCell ref="F44:G44"/>
    <mergeCell ref="K37:K39"/>
    <mergeCell ref="P44:S44"/>
    <mergeCell ref="F59:G59"/>
    <mergeCell ref="H59:I59"/>
    <mergeCell ref="K55:L55"/>
    <mergeCell ref="P55:Q55"/>
    <mergeCell ref="K56:L56"/>
    <mergeCell ref="P56:Q56"/>
    <mergeCell ref="H46:J46"/>
    <mergeCell ref="F48:G48"/>
    <mergeCell ref="F50:G50"/>
    <mergeCell ref="H50:J50"/>
    <mergeCell ref="H47:J47"/>
    <mergeCell ref="H45:J45"/>
    <mergeCell ref="F47:G47"/>
    <mergeCell ref="F49:G49"/>
    <mergeCell ref="H49:J49"/>
    <mergeCell ref="CQ7:CU7"/>
    <mergeCell ref="CW7:DE8"/>
    <mergeCell ref="B8:D8"/>
    <mergeCell ref="B11:D11"/>
    <mergeCell ref="F12:J12"/>
    <mergeCell ref="O12:T12"/>
    <mergeCell ref="K7:L7"/>
    <mergeCell ref="B13:D13"/>
    <mergeCell ref="F11:G11"/>
    <mergeCell ref="P9:R9"/>
    <mergeCell ref="P10:R10"/>
    <mergeCell ref="P7:T7"/>
    <mergeCell ref="T13:U13"/>
    <mergeCell ref="E8:G8"/>
    <mergeCell ref="E9:G9"/>
    <mergeCell ref="A68:B68"/>
    <mergeCell ref="A60:B60"/>
    <mergeCell ref="A64:B64"/>
    <mergeCell ref="A65:B65"/>
    <mergeCell ref="A66:B66"/>
    <mergeCell ref="A59:B59"/>
    <mergeCell ref="A58:B58"/>
    <mergeCell ref="F60:G60"/>
    <mergeCell ref="H60:I60"/>
    <mergeCell ref="C61:D61"/>
    <mergeCell ref="B25:C26"/>
    <mergeCell ref="D25:D26"/>
    <mergeCell ref="E25:J25"/>
    <mergeCell ref="B27:C27"/>
    <mergeCell ref="F41:G41"/>
    <mergeCell ref="B28:C28"/>
    <mergeCell ref="B30:C30"/>
    <mergeCell ref="B32:C32"/>
    <mergeCell ref="B33:C33"/>
    <mergeCell ref="B34:C34"/>
    <mergeCell ref="F15:G15"/>
    <mergeCell ref="O21:S21"/>
    <mergeCell ref="C2:I2"/>
    <mergeCell ref="P4:T4"/>
    <mergeCell ref="E5:J5"/>
    <mergeCell ref="H6:J6"/>
    <mergeCell ref="B7:G7"/>
    <mergeCell ref="H7:J7"/>
    <mergeCell ref="B10:D10"/>
    <mergeCell ref="F10:G10"/>
    <mergeCell ref="B12:D12"/>
    <mergeCell ref="B14:B15"/>
    <mergeCell ref="F14:G14"/>
    <mergeCell ref="H14:J14"/>
    <mergeCell ref="F13:J13"/>
    <mergeCell ref="H8:I8"/>
    <mergeCell ref="H9:I11"/>
    <mergeCell ref="K2:T2"/>
    <mergeCell ref="O19:S19"/>
    <mergeCell ref="M18:N18"/>
    <mergeCell ref="M19:N19"/>
    <mergeCell ref="P5:T5"/>
    <mergeCell ref="P6:T6"/>
    <mergeCell ref="K4:L6"/>
    <mergeCell ref="F21:G21"/>
    <mergeCell ref="T15:U15"/>
    <mergeCell ref="O18:S18"/>
    <mergeCell ref="T18:U18"/>
    <mergeCell ref="T19:U19"/>
    <mergeCell ref="P8:T8"/>
    <mergeCell ref="E24:J24"/>
    <mergeCell ref="M21:N21"/>
    <mergeCell ref="L23:L24"/>
    <mergeCell ref="F20:G20"/>
    <mergeCell ref="H20:I20"/>
    <mergeCell ref="K9:L9"/>
    <mergeCell ref="K10:L10"/>
    <mergeCell ref="M22:N22"/>
    <mergeCell ref="H15:J15"/>
    <mergeCell ref="A16:J16"/>
    <mergeCell ref="F19:G19"/>
    <mergeCell ref="H19:I19"/>
    <mergeCell ref="A23:J23"/>
    <mergeCell ref="B9:D9"/>
    <mergeCell ref="A17:A18"/>
    <mergeCell ref="B17:C18"/>
    <mergeCell ref="F17:G18"/>
    <mergeCell ref="H17:J18"/>
    <mergeCell ref="C24:D24"/>
    <mergeCell ref="A14:A15"/>
    <mergeCell ref="C3:I3"/>
    <mergeCell ref="C4:J4"/>
    <mergeCell ref="DB22:DB27"/>
    <mergeCell ref="M23:N24"/>
    <mergeCell ref="O22:S22"/>
    <mergeCell ref="AN20:AO20"/>
    <mergeCell ref="Q15:S15"/>
    <mergeCell ref="Q13:S13"/>
    <mergeCell ref="T23:U24"/>
    <mergeCell ref="T22:U22"/>
    <mergeCell ref="T21:U21"/>
    <mergeCell ref="T26:U26"/>
    <mergeCell ref="O25:S25"/>
    <mergeCell ref="T25:U25"/>
    <mergeCell ref="O26:S26"/>
    <mergeCell ref="O23:S24"/>
    <mergeCell ref="M25:N25"/>
    <mergeCell ref="M26:N26"/>
    <mergeCell ref="H21:I21"/>
    <mergeCell ref="E22:F22"/>
    <mergeCell ref="H22:I22"/>
    <mergeCell ref="B6:G6"/>
  </mergeCells>
  <dataValidations xWindow="206" yWindow="660" count="69">
    <dataValidation type="date" operator="greaterThanOrEqual" allowBlank="1" showInputMessage="1" showErrorMessage="1" errorTitle="anti-datée" error="Anti-datée" promptTitle="SAISIR UNE DATE" prompt=" DATE D'EFFET" sqref="JL10:JM10 TH10:TI10 ADD10:ADE10 AMZ10:ANA10 AWV10:AWW10 BGR10:BGS10 BQN10:BQO10 CAJ10:CAK10 CKF10:CKG10 CUB10:CUC10 DDX10:DDY10 DNT10:DNU10 DXP10:DXQ10 EHL10:EHM10 ERH10:ERI10 FBD10:FBE10 FKZ10:FLA10 FUV10:FUW10 GER10:GES10 GON10:GOO10 GYJ10:GYK10 HIF10:HIG10 HSB10:HSC10 IBX10:IBY10 ILT10:ILU10 IVP10:IVQ10 JFL10:JFM10 JPH10:JPI10 JZD10:JZE10 KIZ10:KJA10 KSV10:KSW10 LCR10:LCS10 LMN10:LMO10 LWJ10:LWK10 MGF10:MGG10 MQB10:MQC10 MZX10:MZY10 NJT10:NJU10 NTP10:NTQ10 ODL10:ODM10 ONH10:ONI10 OXD10:OXE10 PGZ10:PHA10 PQV10:PQW10 QAR10:QAS10 QKN10:QKO10 QUJ10:QUK10 REF10:REG10 ROB10:ROC10 RXX10:RXY10 SHT10:SHU10 SRP10:SRQ10 TBL10:TBM10 TLH10:TLI10 TVD10:TVE10 UEZ10:UFA10 UOV10:UOW10 UYR10:UYS10 VIN10:VIO10 VSJ10:VSK10 WCF10:WCG10 WMB10:WMC10 WVX10:WVY10 JL65549:JM65549 TH65549:TI65549 ADD65549:ADE65549 AMZ65549:ANA65549 AWV65549:AWW65549 BGR65549:BGS65549 BQN65549:BQO65549 CAJ65549:CAK65549 CKF65549:CKG65549 CUB65549:CUC65549 DDX65549:DDY65549 DNT65549:DNU65549 DXP65549:DXQ65549 EHL65549:EHM65549 ERH65549:ERI65549 FBD65549:FBE65549 FKZ65549:FLA65549 FUV65549:FUW65549 GER65549:GES65549 GON65549:GOO65549 GYJ65549:GYK65549 HIF65549:HIG65549 HSB65549:HSC65549 IBX65549:IBY65549 ILT65549:ILU65549 IVP65549:IVQ65549 JFL65549:JFM65549 JPH65549:JPI65549 JZD65549:JZE65549 KIZ65549:KJA65549 KSV65549:KSW65549 LCR65549:LCS65549 LMN65549:LMO65549 LWJ65549:LWK65549 MGF65549:MGG65549 MQB65549:MQC65549 MZX65549:MZY65549 NJT65549:NJU65549 NTP65549:NTQ65549 ODL65549:ODM65549 ONH65549:ONI65549 OXD65549:OXE65549 PGZ65549:PHA65549 PQV65549:PQW65549 QAR65549:QAS65549 QKN65549:QKO65549 QUJ65549:QUK65549 REF65549:REG65549 ROB65549:ROC65549 RXX65549:RXY65549 SHT65549:SHU65549 SRP65549:SRQ65549 TBL65549:TBM65549 TLH65549:TLI65549 TVD65549:TVE65549 UEZ65549:UFA65549 UOV65549:UOW65549 UYR65549:UYS65549 VIN65549:VIO65549 VSJ65549:VSK65549 WCF65549:WCG65549 WMB65549:WMC65549 WVX65549:WVY65549 JL131085:JM131085 TH131085:TI131085 ADD131085:ADE131085 AMZ131085:ANA131085 AWV131085:AWW131085 BGR131085:BGS131085 BQN131085:BQO131085 CAJ131085:CAK131085 CKF131085:CKG131085 CUB131085:CUC131085 DDX131085:DDY131085 DNT131085:DNU131085 DXP131085:DXQ131085 EHL131085:EHM131085 ERH131085:ERI131085 FBD131085:FBE131085 FKZ131085:FLA131085 FUV131085:FUW131085 GER131085:GES131085 GON131085:GOO131085 GYJ131085:GYK131085 HIF131085:HIG131085 HSB131085:HSC131085 IBX131085:IBY131085 ILT131085:ILU131085 IVP131085:IVQ131085 JFL131085:JFM131085 JPH131085:JPI131085 JZD131085:JZE131085 KIZ131085:KJA131085 KSV131085:KSW131085 LCR131085:LCS131085 LMN131085:LMO131085 LWJ131085:LWK131085 MGF131085:MGG131085 MQB131085:MQC131085 MZX131085:MZY131085 NJT131085:NJU131085 NTP131085:NTQ131085 ODL131085:ODM131085 ONH131085:ONI131085 OXD131085:OXE131085 PGZ131085:PHA131085 PQV131085:PQW131085 QAR131085:QAS131085 QKN131085:QKO131085 QUJ131085:QUK131085 REF131085:REG131085 ROB131085:ROC131085 RXX131085:RXY131085 SHT131085:SHU131085 SRP131085:SRQ131085 TBL131085:TBM131085 TLH131085:TLI131085 TVD131085:TVE131085 UEZ131085:UFA131085 UOV131085:UOW131085 UYR131085:UYS131085 VIN131085:VIO131085 VSJ131085:VSK131085 WCF131085:WCG131085 WMB131085:WMC131085 WVX131085:WVY131085 JL196621:JM196621 TH196621:TI196621 ADD196621:ADE196621 AMZ196621:ANA196621 AWV196621:AWW196621 BGR196621:BGS196621 BQN196621:BQO196621 CAJ196621:CAK196621 CKF196621:CKG196621 CUB196621:CUC196621 DDX196621:DDY196621 DNT196621:DNU196621 DXP196621:DXQ196621 EHL196621:EHM196621 ERH196621:ERI196621 FBD196621:FBE196621 FKZ196621:FLA196621 FUV196621:FUW196621 GER196621:GES196621 GON196621:GOO196621 GYJ196621:GYK196621 HIF196621:HIG196621 HSB196621:HSC196621 IBX196621:IBY196621 ILT196621:ILU196621 IVP196621:IVQ196621 JFL196621:JFM196621 JPH196621:JPI196621 JZD196621:JZE196621 KIZ196621:KJA196621 KSV196621:KSW196621 LCR196621:LCS196621 LMN196621:LMO196621 LWJ196621:LWK196621 MGF196621:MGG196621 MQB196621:MQC196621 MZX196621:MZY196621 NJT196621:NJU196621 NTP196621:NTQ196621 ODL196621:ODM196621 ONH196621:ONI196621 OXD196621:OXE196621 PGZ196621:PHA196621 PQV196621:PQW196621 QAR196621:QAS196621 QKN196621:QKO196621 QUJ196621:QUK196621 REF196621:REG196621 ROB196621:ROC196621 RXX196621:RXY196621 SHT196621:SHU196621 SRP196621:SRQ196621 TBL196621:TBM196621 TLH196621:TLI196621 TVD196621:TVE196621 UEZ196621:UFA196621 UOV196621:UOW196621 UYR196621:UYS196621 VIN196621:VIO196621 VSJ196621:VSK196621 WCF196621:WCG196621 WMB196621:WMC196621 WVX196621:WVY196621 JL262157:JM262157 TH262157:TI262157 ADD262157:ADE262157 AMZ262157:ANA262157 AWV262157:AWW262157 BGR262157:BGS262157 BQN262157:BQO262157 CAJ262157:CAK262157 CKF262157:CKG262157 CUB262157:CUC262157 DDX262157:DDY262157 DNT262157:DNU262157 DXP262157:DXQ262157 EHL262157:EHM262157 ERH262157:ERI262157 FBD262157:FBE262157 FKZ262157:FLA262157 FUV262157:FUW262157 GER262157:GES262157 GON262157:GOO262157 GYJ262157:GYK262157 HIF262157:HIG262157 HSB262157:HSC262157 IBX262157:IBY262157 ILT262157:ILU262157 IVP262157:IVQ262157 JFL262157:JFM262157 JPH262157:JPI262157 JZD262157:JZE262157 KIZ262157:KJA262157 KSV262157:KSW262157 LCR262157:LCS262157 LMN262157:LMO262157 LWJ262157:LWK262157 MGF262157:MGG262157 MQB262157:MQC262157 MZX262157:MZY262157 NJT262157:NJU262157 NTP262157:NTQ262157 ODL262157:ODM262157 ONH262157:ONI262157 OXD262157:OXE262157 PGZ262157:PHA262157 PQV262157:PQW262157 QAR262157:QAS262157 QKN262157:QKO262157 QUJ262157:QUK262157 REF262157:REG262157 ROB262157:ROC262157 RXX262157:RXY262157 SHT262157:SHU262157 SRP262157:SRQ262157 TBL262157:TBM262157 TLH262157:TLI262157 TVD262157:TVE262157 UEZ262157:UFA262157 UOV262157:UOW262157 UYR262157:UYS262157 VIN262157:VIO262157 VSJ262157:VSK262157 WCF262157:WCG262157 WMB262157:WMC262157 WVX262157:WVY262157 JL327693:JM327693 TH327693:TI327693 ADD327693:ADE327693 AMZ327693:ANA327693 AWV327693:AWW327693 BGR327693:BGS327693 BQN327693:BQO327693 CAJ327693:CAK327693 CKF327693:CKG327693 CUB327693:CUC327693 DDX327693:DDY327693 DNT327693:DNU327693 DXP327693:DXQ327693 EHL327693:EHM327693 ERH327693:ERI327693 FBD327693:FBE327693 FKZ327693:FLA327693 FUV327693:FUW327693 GER327693:GES327693 GON327693:GOO327693 GYJ327693:GYK327693 HIF327693:HIG327693 HSB327693:HSC327693 IBX327693:IBY327693 ILT327693:ILU327693 IVP327693:IVQ327693 JFL327693:JFM327693 JPH327693:JPI327693 JZD327693:JZE327693 KIZ327693:KJA327693 KSV327693:KSW327693 LCR327693:LCS327693 LMN327693:LMO327693 LWJ327693:LWK327693 MGF327693:MGG327693 MQB327693:MQC327693 MZX327693:MZY327693 NJT327693:NJU327693 NTP327693:NTQ327693 ODL327693:ODM327693 ONH327693:ONI327693 OXD327693:OXE327693 PGZ327693:PHA327693 PQV327693:PQW327693 QAR327693:QAS327693 QKN327693:QKO327693 QUJ327693:QUK327693 REF327693:REG327693 ROB327693:ROC327693 RXX327693:RXY327693 SHT327693:SHU327693 SRP327693:SRQ327693 TBL327693:TBM327693 TLH327693:TLI327693 TVD327693:TVE327693 UEZ327693:UFA327693 UOV327693:UOW327693 UYR327693:UYS327693 VIN327693:VIO327693 VSJ327693:VSK327693 WCF327693:WCG327693 WMB327693:WMC327693 WVX327693:WVY327693 JL393229:JM393229 TH393229:TI393229 ADD393229:ADE393229 AMZ393229:ANA393229 AWV393229:AWW393229 BGR393229:BGS393229 BQN393229:BQO393229 CAJ393229:CAK393229 CKF393229:CKG393229 CUB393229:CUC393229 DDX393229:DDY393229 DNT393229:DNU393229 DXP393229:DXQ393229 EHL393229:EHM393229 ERH393229:ERI393229 FBD393229:FBE393229 FKZ393229:FLA393229 FUV393229:FUW393229 GER393229:GES393229 GON393229:GOO393229 GYJ393229:GYK393229 HIF393229:HIG393229 HSB393229:HSC393229 IBX393229:IBY393229 ILT393229:ILU393229 IVP393229:IVQ393229 JFL393229:JFM393229 JPH393229:JPI393229 JZD393229:JZE393229 KIZ393229:KJA393229 KSV393229:KSW393229 LCR393229:LCS393229 LMN393229:LMO393229 LWJ393229:LWK393229 MGF393229:MGG393229 MQB393229:MQC393229 MZX393229:MZY393229 NJT393229:NJU393229 NTP393229:NTQ393229 ODL393229:ODM393229 ONH393229:ONI393229 OXD393229:OXE393229 PGZ393229:PHA393229 PQV393229:PQW393229 QAR393229:QAS393229 QKN393229:QKO393229 QUJ393229:QUK393229 REF393229:REG393229 ROB393229:ROC393229 RXX393229:RXY393229 SHT393229:SHU393229 SRP393229:SRQ393229 TBL393229:TBM393229 TLH393229:TLI393229 TVD393229:TVE393229 UEZ393229:UFA393229 UOV393229:UOW393229 UYR393229:UYS393229 VIN393229:VIO393229 VSJ393229:VSK393229 WCF393229:WCG393229 WMB393229:WMC393229 WVX393229:WVY393229 JL458765:JM458765 TH458765:TI458765 ADD458765:ADE458765 AMZ458765:ANA458765 AWV458765:AWW458765 BGR458765:BGS458765 BQN458765:BQO458765 CAJ458765:CAK458765 CKF458765:CKG458765 CUB458765:CUC458765 DDX458765:DDY458765 DNT458765:DNU458765 DXP458765:DXQ458765 EHL458765:EHM458765 ERH458765:ERI458765 FBD458765:FBE458765 FKZ458765:FLA458765 FUV458765:FUW458765 GER458765:GES458765 GON458765:GOO458765 GYJ458765:GYK458765 HIF458765:HIG458765 HSB458765:HSC458765 IBX458765:IBY458765 ILT458765:ILU458765 IVP458765:IVQ458765 JFL458765:JFM458765 JPH458765:JPI458765 JZD458765:JZE458765 KIZ458765:KJA458765 KSV458765:KSW458765 LCR458765:LCS458765 LMN458765:LMO458765 LWJ458765:LWK458765 MGF458765:MGG458765 MQB458765:MQC458765 MZX458765:MZY458765 NJT458765:NJU458765 NTP458765:NTQ458765 ODL458765:ODM458765 ONH458765:ONI458765 OXD458765:OXE458765 PGZ458765:PHA458765 PQV458765:PQW458765 QAR458765:QAS458765 QKN458765:QKO458765 QUJ458765:QUK458765 REF458765:REG458765 ROB458765:ROC458765 RXX458765:RXY458765 SHT458765:SHU458765 SRP458765:SRQ458765 TBL458765:TBM458765 TLH458765:TLI458765 TVD458765:TVE458765 UEZ458765:UFA458765 UOV458765:UOW458765 UYR458765:UYS458765 VIN458765:VIO458765 VSJ458765:VSK458765 WCF458765:WCG458765 WMB458765:WMC458765 WVX458765:WVY458765 JL524301:JM524301 TH524301:TI524301 ADD524301:ADE524301 AMZ524301:ANA524301 AWV524301:AWW524301 BGR524301:BGS524301 BQN524301:BQO524301 CAJ524301:CAK524301 CKF524301:CKG524301 CUB524301:CUC524301 DDX524301:DDY524301 DNT524301:DNU524301 DXP524301:DXQ524301 EHL524301:EHM524301 ERH524301:ERI524301 FBD524301:FBE524301 FKZ524301:FLA524301 FUV524301:FUW524301 GER524301:GES524301 GON524301:GOO524301 GYJ524301:GYK524301 HIF524301:HIG524301 HSB524301:HSC524301 IBX524301:IBY524301 ILT524301:ILU524301 IVP524301:IVQ524301 JFL524301:JFM524301 JPH524301:JPI524301 JZD524301:JZE524301 KIZ524301:KJA524301 KSV524301:KSW524301 LCR524301:LCS524301 LMN524301:LMO524301 LWJ524301:LWK524301 MGF524301:MGG524301 MQB524301:MQC524301 MZX524301:MZY524301 NJT524301:NJU524301 NTP524301:NTQ524301 ODL524301:ODM524301 ONH524301:ONI524301 OXD524301:OXE524301 PGZ524301:PHA524301 PQV524301:PQW524301 QAR524301:QAS524301 QKN524301:QKO524301 QUJ524301:QUK524301 REF524301:REG524301 ROB524301:ROC524301 RXX524301:RXY524301 SHT524301:SHU524301 SRP524301:SRQ524301 TBL524301:TBM524301 TLH524301:TLI524301 TVD524301:TVE524301 UEZ524301:UFA524301 UOV524301:UOW524301 UYR524301:UYS524301 VIN524301:VIO524301 VSJ524301:VSK524301 WCF524301:WCG524301 WMB524301:WMC524301 WVX524301:WVY524301 JL589837:JM589837 TH589837:TI589837 ADD589837:ADE589837 AMZ589837:ANA589837 AWV589837:AWW589837 BGR589837:BGS589837 BQN589837:BQO589837 CAJ589837:CAK589837 CKF589837:CKG589837 CUB589837:CUC589837 DDX589837:DDY589837 DNT589837:DNU589837 DXP589837:DXQ589837 EHL589837:EHM589837 ERH589837:ERI589837 FBD589837:FBE589837 FKZ589837:FLA589837 FUV589837:FUW589837 GER589837:GES589837 GON589837:GOO589837 GYJ589837:GYK589837 HIF589837:HIG589837 HSB589837:HSC589837 IBX589837:IBY589837 ILT589837:ILU589837 IVP589837:IVQ589837 JFL589837:JFM589837 JPH589837:JPI589837 JZD589837:JZE589837 KIZ589837:KJA589837 KSV589837:KSW589837 LCR589837:LCS589837 LMN589837:LMO589837 LWJ589837:LWK589837 MGF589837:MGG589837 MQB589837:MQC589837 MZX589837:MZY589837 NJT589837:NJU589837 NTP589837:NTQ589837 ODL589837:ODM589837 ONH589837:ONI589837 OXD589837:OXE589837 PGZ589837:PHA589837 PQV589837:PQW589837 QAR589837:QAS589837 QKN589837:QKO589837 QUJ589837:QUK589837 REF589837:REG589837 ROB589837:ROC589837 RXX589837:RXY589837 SHT589837:SHU589837 SRP589837:SRQ589837 TBL589837:TBM589837 TLH589837:TLI589837 TVD589837:TVE589837 UEZ589837:UFA589837 UOV589837:UOW589837 UYR589837:UYS589837 VIN589837:VIO589837 VSJ589837:VSK589837 WCF589837:WCG589837 WMB589837:WMC589837 WVX589837:WVY589837 JL655373:JM655373 TH655373:TI655373 ADD655373:ADE655373 AMZ655373:ANA655373 AWV655373:AWW655373 BGR655373:BGS655373 BQN655373:BQO655373 CAJ655373:CAK655373 CKF655373:CKG655373 CUB655373:CUC655373 DDX655373:DDY655373 DNT655373:DNU655373 DXP655373:DXQ655373 EHL655373:EHM655373 ERH655373:ERI655373 FBD655373:FBE655373 FKZ655373:FLA655373 FUV655373:FUW655373 GER655373:GES655373 GON655373:GOO655373 GYJ655373:GYK655373 HIF655373:HIG655373 HSB655373:HSC655373 IBX655373:IBY655373 ILT655373:ILU655373 IVP655373:IVQ655373 JFL655373:JFM655373 JPH655373:JPI655373 JZD655373:JZE655373 KIZ655373:KJA655373 KSV655373:KSW655373 LCR655373:LCS655373 LMN655373:LMO655373 LWJ655373:LWK655373 MGF655373:MGG655373 MQB655373:MQC655373 MZX655373:MZY655373 NJT655373:NJU655373 NTP655373:NTQ655373 ODL655373:ODM655373 ONH655373:ONI655373 OXD655373:OXE655373 PGZ655373:PHA655373 PQV655373:PQW655373 QAR655373:QAS655373 QKN655373:QKO655373 QUJ655373:QUK655373 REF655373:REG655373 ROB655373:ROC655373 RXX655373:RXY655373 SHT655373:SHU655373 SRP655373:SRQ655373 TBL655373:TBM655373 TLH655373:TLI655373 TVD655373:TVE655373 UEZ655373:UFA655373 UOV655373:UOW655373 UYR655373:UYS655373 VIN655373:VIO655373 VSJ655373:VSK655373 WCF655373:WCG655373 WMB655373:WMC655373 WVX655373:WVY655373 JL720909:JM720909 TH720909:TI720909 ADD720909:ADE720909 AMZ720909:ANA720909 AWV720909:AWW720909 BGR720909:BGS720909 BQN720909:BQO720909 CAJ720909:CAK720909 CKF720909:CKG720909 CUB720909:CUC720909 DDX720909:DDY720909 DNT720909:DNU720909 DXP720909:DXQ720909 EHL720909:EHM720909 ERH720909:ERI720909 FBD720909:FBE720909 FKZ720909:FLA720909 FUV720909:FUW720909 GER720909:GES720909 GON720909:GOO720909 GYJ720909:GYK720909 HIF720909:HIG720909 HSB720909:HSC720909 IBX720909:IBY720909 ILT720909:ILU720909 IVP720909:IVQ720909 JFL720909:JFM720909 JPH720909:JPI720909 JZD720909:JZE720909 KIZ720909:KJA720909 KSV720909:KSW720909 LCR720909:LCS720909 LMN720909:LMO720909 LWJ720909:LWK720909 MGF720909:MGG720909 MQB720909:MQC720909 MZX720909:MZY720909 NJT720909:NJU720909 NTP720909:NTQ720909 ODL720909:ODM720909 ONH720909:ONI720909 OXD720909:OXE720909 PGZ720909:PHA720909 PQV720909:PQW720909 QAR720909:QAS720909 QKN720909:QKO720909 QUJ720909:QUK720909 REF720909:REG720909 ROB720909:ROC720909 RXX720909:RXY720909 SHT720909:SHU720909 SRP720909:SRQ720909 TBL720909:TBM720909 TLH720909:TLI720909 TVD720909:TVE720909 UEZ720909:UFA720909 UOV720909:UOW720909 UYR720909:UYS720909 VIN720909:VIO720909 VSJ720909:VSK720909 WCF720909:WCG720909 WMB720909:WMC720909 WVX720909:WVY720909 JL786445:JM786445 TH786445:TI786445 ADD786445:ADE786445 AMZ786445:ANA786445 AWV786445:AWW786445 BGR786445:BGS786445 BQN786445:BQO786445 CAJ786445:CAK786445 CKF786445:CKG786445 CUB786445:CUC786445 DDX786445:DDY786445 DNT786445:DNU786445 DXP786445:DXQ786445 EHL786445:EHM786445 ERH786445:ERI786445 FBD786445:FBE786445 FKZ786445:FLA786445 FUV786445:FUW786445 GER786445:GES786445 GON786445:GOO786445 GYJ786445:GYK786445 HIF786445:HIG786445 HSB786445:HSC786445 IBX786445:IBY786445 ILT786445:ILU786445 IVP786445:IVQ786445 JFL786445:JFM786445 JPH786445:JPI786445 JZD786445:JZE786445 KIZ786445:KJA786445 KSV786445:KSW786445 LCR786445:LCS786445 LMN786445:LMO786445 LWJ786445:LWK786445 MGF786445:MGG786445 MQB786445:MQC786445 MZX786445:MZY786445 NJT786445:NJU786445 NTP786445:NTQ786445 ODL786445:ODM786445 ONH786445:ONI786445 OXD786445:OXE786445 PGZ786445:PHA786445 PQV786445:PQW786445 QAR786445:QAS786445 QKN786445:QKO786445 QUJ786445:QUK786445 REF786445:REG786445 ROB786445:ROC786445 RXX786445:RXY786445 SHT786445:SHU786445 SRP786445:SRQ786445 TBL786445:TBM786445 TLH786445:TLI786445 TVD786445:TVE786445 UEZ786445:UFA786445 UOV786445:UOW786445 UYR786445:UYS786445 VIN786445:VIO786445 VSJ786445:VSK786445 WCF786445:WCG786445 WMB786445:WMC786445 WVX786445:WVY786445 JL851981:JM851981 TH851981:TI851981 ADD851981:ADE851981 AMZ851981:ANA851981 AWV851981:AWW851981 BGR851981:BGS851981 BQN851981:BQO851981 CAJ851981:CAK851981 CKF851981:CKG851981 CUB851981:CUC851981 DDX851981:DDY851981 DNT851981:DNU851981 DXP851981:DXQ851981 EHL851981:EHM851981 ERH851981:ERI851981 FBD851981:FBE851981 FKZ851981:FLA851981 FUV851981:FUW851981 GER851981:GES851981 GON851981:GOO851981 GYJ851981:GYK851981 HIF851981:HIG851981 HSB851981:HSC851981 IBX851981:IBY851981 ILT851981:ILU851981 IVP851981:IVQ851981 JFL851981:JFM851981 JPH851981:JPI851981 JZD851981:JZE851981 KIZ851981:KJA851981 KSV851981:KSW851981 LCR851981:LCS851981 LMN851981:LMO851981 LWJ851981:LWK851981 MGF851981:MGG851981 MQB851981:MQC851981 MZX851981:MZY851981 NJT851981:NJU851981 NTP851981:NTQ851981 ODL851981:ODM851981 ONH851981:ONI851981 OXD851981:OXE851981 PGZ851981:PHA851981 PQV851981:PQW851981 QAR851981:QAS851981 QKN851981:QKO851981 QUJ851981:QUK851981 REF851981:REG851981 ROB851981:ROC851981 RXX851981:RXY851981 SHT851981:SHU851981 SRP851981:SRQ851981 TBL851981:TBM851981 TLH851981:TLI851981 TVD851981:TVE851981 UEZ851981:UFA851981 UOV851981:UOW851981 UYR851981:UYS851981 VIN851981:VIO851981 VSJ851981:VSK851981 WCF851981:WCG851981 WMB851981:WMC851981 WVX851981:WVY851981 JL917517:JM917517 TH917517:TI917517 ADD917517:ADE917517 AMZ917517:ANA917517 AWV917517:AWW917517 BGR917517:BGS917517 BQN917517:BQO917517 CAJ917517:CAK917517 CKF917517:CKG917517 CUB917517:CUC917517 DDX917517:DDY917517 DNT917517:DNU917517 DXP917517:DXQ917517 EHL917517:EHM917517 ERH917517:ERI917517 FBD917517:FBE917517 FKZ917517:FLA917517 FUV917517:FUW917517 GER917517:GES917517 GON917517:GOO917517 GYJ917517:GYK917517 HIF917517:HIG917517 HSB917517:HSC917517 IBX917517:IBY917517 ILT917517:ILU917517 IVP917517:IVQ917517 JFL917517:JFM917517 JPH917517:JPI917517 JZD917517:JZE917517 KIZ917517:KJA917517 KSV917517:KSW917517 LCR917517:LCS917517 LMN917517:LMO917517 LWJ917517:LWK917517 MGF917517:MGG917517 MQB917517:MQC917517 MZX917517:MZY917517 NJT917517:NJU917517 NTP917517:NTQ917517 ODL917517:ODM917517 ONH917517:ONI917517 OXD917517:OXE917517 PGZ917517:PHA917517 PQV917517:PQW917517 QAR917517:QAS917517 QKN917517:QKO917517 QUJ917517:QUK917517 REF917517:REG917517 ROB917517:ROC917517 RXX917517:RXY917517 SHT917517:SHU917517 SRP917517:SRQ917517 TBL917517:TBM917517 TLH917517:TLI917517 TVD917517:TVE917517 UEZ917517:UFA917517 UOV917517:UOW917517 UYR917517:UYS917517 VIN917517:VIO917517 VSJ917517:VSK917517 WCF917517:WCG917517 WMB917517:WMC917517 WVX917517:WVY917517 JL983053:JM983053 TH983053:TI983053 ADD983053:ADE983053 AMZ983053:ANA983053 AWV983053:AWW983053 BGR983053:BGS983053 BQN983053:BQO983053 CAJ983053:CAK983053 CKF983053:CKG983053 CUB983053:CUC983053 DDX983053:DDY983053 DNT983053:DNU983053 DXP983053:DXQ983053 EHL983053:EHM983053 ERH983053:ERI983053 FBD983053:FBE983053 FKZ983053:FLA983053 FUV983053:FUW983053 GER983053:GES983053 GON983053:GOO983053 GYJ983053:GYK983053 HIF983053:HIG983053 HSB983053:HSC983053 IBX983053:IBY983053 ILT983053:ILU983053 IVP983053:IVQ983053 JFL983053:JFM983053 JPH983053:JPI983053 JZD983053:JZE983053 KIZ983053:KJA983053 KSV983053:KSW983053 LCR983053:LCS983053 LMN983053:LMO983053 LWJ983053:LWK983053 MGF983053:MGG983053 MQB983053:MQC983053 MZX983053:MZY983053 NJT983053:NJU983053 NTP983053:NTQ983053 ODL983053:ODM983053 ONH983053:ONI983053 OXD983053:OXE983053 PGZ983053:PHA983053 PQV983053:PQW983053 QAR983053:QAS983053 QKN983053:QKO983053 QUJ983053:QUK983053 REF983053:REG983053 ROB983053:ROC983053 RXX983053:RXY983053 SHT983053:SHU983053 SRP983053:SRQ983053 TBL983053:TBM983053 TLH983053:TLI983053 TVD983053:TVE983053 UEZ983053:UFA983053 UOV983053:UOW983053 UYR983053:UYS983053 VIN983053:VIO983053 VSJ983053:VSK983053 WCF983053:WCG983053 WMB983053:WMC983053 WVX983053:WVY983053">
      <formula1>IF(JN7="TRANS GARANTIES",1/1/1990,IF(JN7="CHANG IMMATRI",1/1/1990,IF(JN7="CHANG PROPRIETAIR",1/1/1990,IF(JN7="DUPLICATA",1/1/1990,MG9))))</formula1>
    </dataValidation>
    <dataValidation type="list" allowBlank="1" showInputMessage="1" showErrorMessage="1" sqref="N3 JT1 TP1 ADL1 ANH1 AXD1 BGZ1 BQV1 CAR1 CKN1 CUJ1 DEF1 DOB1 DXX1 EHT1 ERP1 FBL1 FLH1 FVD1 GEZ1 GOV1 GYR1 HIN1 HSJ1 ICF1 IMB1 IVX1 JFT1 JPP1 JZL1 KJH1 KTD1 LCZ1 LMV1 LWR1 MGN1 MQJ1 NAF1 NKB1 NTX1 ODT1 ONP1 OXL1 PHH1 PRD1 QAZ1 QKV1 QUR1 REN1 ROJ1 RYF1 SIB1 SRX1 TBT1 TLP1 TVL1 UFH1 UPD1 UYZ1 VIV1 VSR1 WCN1 WMJ1 WWF1 N65540 JT65540 TP65540 ADL65540 ANH65540 AXD65540 BGZ65540 BQV65540 CAR65540 CKN65540 CUJ65540 DEF65540 DOB65540 DXX65540 EHT65540 ERP65540 FBL65540 FLH65540 FVD65540 GEZ65540 GOV65540 GYR65540 HIN65540 HSJ65540 ICF65540 IMB65540 IVX65540 JFT65540 JPP65540 JZL65540 KJH65540 KTD65540 LCZ65540 LMV65540 LWR65540 MGN65540 MQJ65540 NAF65540 NKB65540 NTX65540 ODT65540 ONP65540 OXL65540 PHH65540 PRD65540 QAZ65540 QKV65540 QUR65540 REN65540 ROJ65540 RYF65540 SIB65540 SRX65540 TBT65540 TLP65540 TVL65540 UFH65540 UPD65540 UYZ65540 VIV65540 VSR65540 WCN65540 WMJ65540 WWF65540 N131076 JT131076 TP131076 ADL131076 ANH131076 AXD131076 BGZ131076 BQV131076 CAR131076 CKN131076 CUJ131076 DEF131076 DOB131076 DXX131076 EHT131076 ERP131076 FBL131076 FLH131076 FVD131076 GEZ131076 GOV131076 GYR131076 HIN131076 HSJ131076 ICF131076 IMB131076 IVX131076 JFT131076 JPP131076 JZL131076 KJH131076 KTD131076 LCZ131076 LMV131076 LWR131076 MGN131076 MQJ131076 NAF131076 NKB131076 NTX131076 ODT131076 ONP131076 OXL131076 PHH131076 PRD131076 QAZ131076 QKV131076 QUR131076 REN131076 ROJ131076 RYF131076 SIB131076 SRX131076 TBT131076 TLP131076 TVL131076 UFH131076 UPD131076 UYZ131076 VIV131076 VSR131076 WCN131076 WMJ131076 WWF131076 N196612 JT196612 TP196612 ADL196612 ANH196612 AXD196612 BGZ196612 BQV196612 CAR196612 CKN196612 CUJ196612 DEF196612 DOB196612 DXX196612 EHT196612 ERP196612 FBL196612 FLH196612 FVD196612 GEZ196612 GOV196612 GYR196612 HIN196612 HSJ196612 ICF196612 IMB196612 IVX196612 JFT196612 JPP196612 JZL196612 KJH196612 KTD196612 LCZ196612 LMV196612 LWR196612 MGN196612 MQJ196612 NAF196612 NKB196612 NTX196612 ODT196612 ONP196612 OXL196612 PHH196612 PRD196612 QAZ196612 QKV196612 QUR196612 REN196612 ROJ196612 RYF196612 SIB196612 SRX196612 TBT196612 TLP196612 TVL196612 UFH196612 UPD196612 UYZ196612 VIV196612 VSR196612 WCN196612 WMJ196612 WWF196612 N262148 JT262148 TP262148 ADL262148 ANH262148 AXD262148 BGZ262148 BQV262148 CAR262148 CKN262148 CUJ262148 DEF262148 DOB262148 DXX262148 EHT262148 ERP262148 FBL262148 FLH262148 FVD262148 GEZ262148 GOV262148 GYR262148 HIN262148 HSJ262148 ICF262148 IMB262148 IVX262148 JFT262148 JPP262148 JZL262148 KJH262148 KTD262148 LCZ262148 LMV262148 LWR262148 MGN262148 MQJ262148 NAF262148 NKB262148 NTX262148 ODT262148 ONP262148 OXL262148 PHH262148 PRD262148 QAZ262148 QKV262148 QUR262148 REN262148 ROJ262148 RYF262148 SIB262148 SRX262148 TBT262148 TLP262148 TVL262148 UFH262148 UPD262148 UYZ262148 VIV262148 VSR262148 WCN262148 WMJ262148 WWF262148 N327684 JT327684 TP327684 ADL327684 ANH327684 AXD327684 BGZ327684 BQV327684 CAR327684 CKN327684 CUJ327684 DEF327684 DOB327684 DXX327684 EHT327684 ERP327684 FBL327684 FLH327684 FVD327684 GEZ327684 GOV327684 GYR327684 HIN327684 HSJ327684 ICF327684 IMB327684 IVX327684 JFT327684 JPP327684 JZL327684 KJH327684 KTD327684 LCZ327684 LMV327684 LWR327684 MGN327684 MQJ327684 NAF327684 NKB327684 NTX327684 ODT327684 ONP327684 OXL327684 PHH327684 PRD327684 QAZ327684 QKV327684 QUR327684 REN327684 ROJ327684 RYF327684 SIB327684 SRX327684 TBT327684 TLP327684 TVL327684 UFH327684 UPD327684 UYZ327684 VIV327684 VSR327684 WCN327684 WMJ327684 WWF327684 N393220 JT393220 TP393220 ADL393220 ANH393220 AXD393220 BGZ393220 BQV393220 CAR393220 CKN393220 CUJ393220 DEF393220 DOB393220 DXX393220 EHT393220 ERP393220 FBL393220 FLH393220 FVD393220 GEZ393220 GOV393220 GYR393220 HIN393220 HSJ393220 ICF393220 IMB393220 IVX393220 JFT393220 JPP393220 JZL393220 KJH393220 KTD393220 LCZ393220 LMV393220 LWR393220 MGN393220 MQJ393220 NAF393220 NKB393220 NTX393220 ODT393220 ONP393220 OXL393220 PHH393220 PRD393220 QAZ393220 QKV393220 QUR393220 REN393220 ROJ393220 RYF393220 SIB393220 SRX393220 TBT393220 TLP393220 TVL393220 UFH393220 UPD393220 UYZ393220 VIV393220 VSR393220 WCN393220 WMJ393220 WWF393220 N458756 JT458756 TP458756 ADL458756 ANH458756 AXD458756 BGZ458756 BQV458756 CAR458756 CKN458756 CUJ458756 DEF458756 DOB458756 DXX458756 EHT458756 ERP458756 FBL458756 FLH458756 FVD458756 GEZ458756 GOV458756 GYR458756 HIN458756 HSJ458756 ICF458756 IMB458756 IVX458756 JFT458756 JPP458756 JZL458756 KJH458756 KTD458756 LCZ458756 LMV458756 LWR458756 MGN458756 MQJ458756 NAF458756 NKB458756 NTX458756 ODT458756 ONP458756 OXL458756 PHH458756 PRD458756 QAZ458756 QKV458756 QUR458756 REN458756 ROJ458756 RYF458756 SIB458756 SRX458756 TBT458756 TLP458756 TVL458756 UFH458756 UPD458756 UYZ458756 VIV458756 VSR458756 WCN458756 WMJ458756 WWF458756 N524292 JT524292 TP524292 ADL524292 ANH524292 AXD524292 BGZ524292 BQV524292 CAR524292 CKN524292 CUJ524292 DEF524292 DOB524292 DXX524292 EHT524292 ERP524292 FBL524292 FLH524292 FVD524292 GEZ524292 GOV524292 GYR524292 HIN524292 HSJ524292 ICF524292 IMB524292 IVX524292 JFT524292 JPP524292 JZL524292 KJH524292 KTD524292 LCZ524292 LMV524292 LWR524292 MGN524292 MQJ524292 NAF524292 NKB524292 NTX524292 ODT524292 ONP524292 OXL524292 PHH524292 PRD524292 QAZ524292 QKV524292 QUR524292 REN524292 ROJ524292 RYF524292 SIB524292 SRX524292 TBT524292 TLP524292 TVL524292 UFH524292 UPD524292 UYZ524292 VIV524292 VSR524292 WCN524292 WMJ524292 WWF524292 N589828 JT589828 TP589828 ADL589828 ANH589828 AXD589828 BGZ589828 BQV589828 CAR589828 CKN589828 CUJ589828 DEF589828 DOB589828 DXX589828 EHT589828 ERP589828 FBL589828 FLH589828 FVD589828 GEZ589828 GOV589828 GYR589828 HIN589828 HSJ589828 ICF589828 IMB589828 IVX589828 JFT589828 JPP589828 JZL589828 KJH589828 KTD589828 LCZ589828 LMV589828 LWR589828 MGN589828 MQJ589828 NAF589828 NKB589828 NTX589828 ODT589828 ONP589828 OXL589828 PHH589828 PRD589828 QAZ589828 QKV589828 QUR589828 REN589828 ROJ589828 RYF589828 SIB589828 SRX589828 TBT589828 TLP589828 TVL589828 UFH589828 UPD589828 UYZ589828 VIV589828 VSR589828 WCN589828 WMJ589828 WWF589828 N655364 JT655364 TP655364 ADL655364 ANH655364 AXD655364 BGZ655364 BQV655364 CAR655364 CKN655364 CUJ655364 DEF655364 DOB655364 DXX655364 EHT655364 ERP655364 FBL655364 FLH655364 FVD655364 GEZ655364 GOV655364 GYR655364 HIN655364 HSJ655364 ICF655364 IMB655364 IVX655364 JFT655364 JPP655364 JZL655364 KJH655364 KTD655364 LCZ655364 LMV655364 LWR655364 MGN655364 MQJ655364 NAF655364 NKB655364 NTX655364 ODT655364 ONP655364 OXL655364 PHH655364 PRD655364 QAZ655364 QKV655364 QUR655364 REN655364 ROJ655364 RYF655364 SIB655364 SRX655364 TBT655364 TLP655364 TVL655364 UFH655364 UPD655364 UYZ655364 VIV655364 VSR655364 WCN655364 WMJ655364 WWF655364 N720900 JT720900 TP720900 ADL720900 ANH720900 AXD720900 BGZ720900 BQV720900 CAR720900 CKN720900 CUJ720900 DEF720900 DOB720900 DXX720900 EHT720900 ERP720900 FBL720900 FLH720900 FVD720900 GEZ720900 GOV720900 GYR720900 HIN720900 HSJ720900 ICF720900 IMB720900 IVX720900 JFT720900 JPP720900 JZL720900 KJH720900 KTD720900 LCZ720900 LMV720900 LWR720900 MGN720900 MQJ720900 NAF720900 NKB720900 NTX720900 ODT720900 ONP720900 OXL720900 PHH720900 PRD720900 QAZ720900 QKV720900 QUR720900 REN720900 ROJ720900 RYF720900 SIB720900 SRX720900 TBT720900 TLP720900 TVL720900 UFH720900 UPD720900 UYZ720900 VIV720900 VSR720900 WCN720900 WMJ720900 WWF720900 N786436 JT786436 TP786436 ADL786436 ANH786436 AXD786436 BGZ786436 BQV786436 CAR786436 CKN786436 CUJ786436 DEF786436 DOB786436 DXX786436 EHT786436 ERP786436 FBL786436 FLH786436 FVD786436 GEZ786436 GOV786436 GYR786436 HIN786436 HSJ786436 ICF786436 IMB786436 IVX786436 JFT786436 JPP786436 JZL786436 KJH786436 KTD786436 LCZ786436 LMV786436 LWR786436 MGN786436 MQJ786436 NAF786436 NKB786436 NTX786436 ODT786436 ONP786436 OXL786436 PHH786436 PRD786436 QAZ786436 QKV786436 QUR786436 REN786436 ROJ786436 RYF786436 SIB786436 SRX786436 TBT786436 TLP786436 TVL786436 UFH786436 UPD786436 UYZ786436 VIV786436 VSR786436 WCN786436 WMJ786436 WWF786436 N851972 JT851972 TP851972 ADL851972 ANH851972 AXD851972 BGZ851972 BQV851972 CAR851972 CKN851972 CUJ851972 DEF851972 DOB851972 DXX851972 EHT851972 ERP851972 FBL851972 FLH851972 FVD851972 GEZ851972 GOV851972 GYR851972 HIN851972 HSJ851972 ICF851972 IMB851972 IVX851972 JFT851972 JPP851972 JZL851972 KJH851972 KTD851972 LCZ851972 LMV851972 LWR851972 MGN851972 MQJ851972 NAF851972 NKB851972 NTX851972 ODT851972 ONP851972 OXL851972 PHH851972 PRD851972 QAZ851972 QKV851972 QUR851972 REN851972 ROJ851972 RYF851972 SIB851972 SRX851972 TBT851972 TLP851972 TVL851972 UFH851972 UPD851972 UYZ851972 VIV851972 VSR851972 WCN851972 WMJ851972 WWF851972 N917508 JT917508 TP917508 ADL917508 ANH917508 AXD917508 BGZ917508 BQV917508 CAR917508 CKN917508 CUJ917508 DEF917508 DOB917508 DXX917508 EHT917508 ERP917508 FBL917508 FLH917508 FVD917508 GEZ917508 GOV917508 GYR917508 HIN917508 HSJ917508 ICF917508 IMB917508 IVX917508 JFT917508 JPP917508 JZL917508 KJH917508 KTD917508 LCZ917508 LMV917508 LWR917508 MGN917508 MQJ917508 NAF917508 NKB917508 NTX917508 ODT917508 ONP917508 OXL917508 PHH917508 PRD917508 QAZ917508 QKV917508 QUR917508 REN917508 ROJ917508 RYF917508 SIB917508 SRX917508 TBT917508 TLP917508 TVL917508 UFH917508 UPD917508 UYZ917508 VIV917508 VSR917508 WCN917508 WMJ917508 WWF917508 N983044 JT983044 TP983044 ADL983044 ANH983044 AXD983044 BGZ983044 BQV983044 CAR983044 CKN983044 CUJ983044 DEF983044 DOB983044 DXX983044 EHT983044 ERP983044 FBL983044 FLH983044 FVD983044 GEZ983044 GOV983044 GYR983044 HIN983044 HSJ983044 ICF983044 IMB983044 IVX983044 JFT983044 JPP983044 JZL983044 KJH983044 KTD983044 LCZ983044 LMV983044 LWR983044 MGN983044 MQJ983044 NAF983044 NKB983044 NTX983044 ODT983044 ONP983044 OXL983044 PHH983044 PRD983044 QAZ983044 QKV983044 QUR983044 REN983044 ROJ983044 RYF983044 SIB983044 SRX983044 TBT983044 TLP983044 TVL983044 UFH983044 UPD983044 UYZ983044 VIV983044 VSR983044 WCN983044 WMJ983044 WWF983044">
      <formula1>$BT$9:$BT$19</formula1>
    </dataValidation>
    <dataValidation type="list" allowBlank="1" showInputMessage="1" showErrorMessage="1" sqref="P3:T3 JV1:JY1 TR1:TU1 ADN1:ADQ1 ANJ1:ANM1 AXF1:AXI1 BHB1:BHE1 BQX1:BRA1 CAT1:CAW1 CKP1:CKS1 CUL1:CUO1 DEH1:DEK1 DOD1:DOG1 DXZ1:DYC1 EHV1:EHY1 ERR1:ERU1 FBN1:FBQ1 FLJ1:FLM1 FVF1:FVI1 GFB1:GFE1 GOX1:GPA1 GYT1:GYW1 HIP1:HIS1 HSL1:HSO1 ICH1:ICK1 IMD1:IMG1 IVZ1:IWC1 JFV1:JFY1 JPR1:JPU1 JZN1:JZQ1 KJJ1:KJM1 KTF1:KTI1 LDB1:LDE1 LMX1:LNA1 LWT1:LWW1 MGP1:MGS1 MQL1:MQO1 NAH1:NAK1 NKD1:NKG1 NTZ1:NUC1 ODV1:ODY1 ONR1:ONU1 OXN1:OXQ1 PHJ1:PHM1 PRF1:PRI1 QBB1:QBE1 QKX1:QLA1 QUT1:QUW1 REP1:RES1 ROL1:ROO1 RYH1:RYK1 SID1:SIG1 SRZ1:SSC1 TBV1:TBY1 TLR1:TLU1 TVN1:TVQ1 UFJ1:UFM1 UPF1:UPI1 UZB1:UZE1 VIX1:VJA1 VST1:VSW1 WCP1:WCS1 WML1:WMO1 WWH1:WWK1 Q65540:T65540 JV65540:JY65540 TR65540:TU65540 ADN65540:ADQ65540 ANJ65540:ANM65540 AXF65540:AXI65540 BHB65540:BHE65540 BQX65540:BRA65540 CAT65540:CAW65540 CKP65540:CKS65540 CUL65540:CUO65540 DEH65540:DEK65540 DOD65540:DOG65540 DXZ65540:DYC65540 EHV65540:EHY65540 ERR65540:ERU65540 FBN65540:FBQ65540 FLJ65540:FLM65540 FVF65540:FVI65540 GFB65540:GFE65540 GOX65540:GPA65540 GYT65540:GYW65540 HIP65540:HIS65540 HSL65540:HSO65540 ICH65540:ICK65540 IMD65540:IMG65540 IVZ65540:IWC65540 JFV65540:JFY65540 JPR65540:JPU65540 JZN65540:JZQ65540 KJJ65540:KJM65540 KTF65540:KTI65540 LDB65540:LDE65540 LMX65540:LNA65540 LWT65540:LWW65540 MGP65540:MGS65540 MQL65540:MQO65540 NAH65540:NAK65540 NKD65540:NKG65540 NTZ65540:NUC65540 ODV65540:ODY65540 ONR65540:ONU65540 OXN65540:OXQ65540 PHJ65540:PHM65540 PRF65540:PRI65540 QBB65540:QBE65540 QKX65540:QLA65540 QUT65540:QUW65540 REP65540:RES65540 ROL65540:ROO65540 RYH65540:RYK65540 SID65540:SIG65540 SRZ65540:SSC65540 TBV65540:TBY65540 TLR65540:TLU65540 TVN65540:TVQ65540 UFJ65540:UFM65540 UPF65540:UPI65540 UZB65540:UZE65540 VIX65540:VJA65540 VST65540:VSW65540 WCP65540:WCS65540 WML65540:WMO65540 WWH65540:WWK65540 Q131076:T131076 JV131076:JY131076 TR131076:TU131076 ADN131076:ADQ131076 ANJ131076:ANM131076 AXF131076:AXI131076 BHB131076:BHE131076 BQX131076:BRA131076 CAT131076:CAW131076 CKP131076:CKS131076 CUL131076:CUO131076 DEH131076:DEK131076 DOD131076:DOG131076 DXZ131076:DYC131076 EHV131076:EHY131076 ERR131076:ERU131076 FBN131076:FBQ131076 FLJ131076:FLM131076 FVF131076:FVI131076 GFB131076:GFE131076 GOX131076:GPA131076 GYT131076:GYW131076 HIP131076:HIS131076 HSL131076:HSO131076 ICH131076:ICK131076 IMD131076:IMG131076 IVZ131076:IWC131076 JFV131076:JFY131076 JPR131076:JPU131076 JZN131076:JZQ131076 KJJ131076:KJM131076 KTF131076:KTI131076 LDB131076:LDE131076 LMX131076:LNA131076 LWT131076:LWW131076 MGP131076:MGS131076 MQL131076:MQO131076 NAH131076:NAK131076 NKD131076:NKG131076 NTZ131076:NUC131076 ODV131076:ODY131076 ONR131076:ONU131076 OXN131076:OXQ131076 PHJ131076:PHM131076 PRF131076:PRI131076 QBB131076:QBE131076 QKX131076:QLA131076 QUT131076:QUW131076 REP131076:RES131076 ROL131076:ROO131076 RYH131076:RYK131076 SID131076:SIG131076 SRZ131076:SSC131076 TBV131076:TBY131076 TLR131076:TLU131076 TVN131076:TVQ131076 UFJ131076:UFM131076 UPF131076:UPI131076 UZB131076:UZE131076 VIX131076:VJA131076 VST131076:VSW131076 WCP131076:WCS131076 WML131076:WMO131076 WWH131076:WWK131076 Q196612:T196612 JV196612:JY196612 TR196612:TU196612 ADN196612:ADQ196612 ANJ196612:ANM196612 AXF196612:AXI196612 BHB196612:BHE196612 BQX196612:BRA196612 CAT196612:CAW196612 CKP196612:CKS196612 CUL196612:CUO196612 DEH196612:DEK196612 DOD196612:DOG196612 DXZ196612:DYC196612 EHV196612:EHY196612 ERR196612:ERU196612 FBN196612:FBQ196612 FLJ196612:FLM196612 FVF196612:FVI196612 GFB196612:GFE196612 GOX196612:GPA196612 GYT196612:GYW196612 HIP196612:HIS196612 HSL196612:HSO196612 ICH196612:ICK196612 IMD196612:IMG196612 IVZ196612:IWC196612 JFV196612:JFY196612 JPR196612:JPU196612 JZN196612:JZQ196612 KJJ196612:KJM196612 KTF196612:KTI196612 LDB196612:LDE196612 LMX196612:LNA196612 LWT196612:LWW196612 MGP196612:MGS196612 MQL196612:MQO196612 NAH196612:NAK196612 NKD196612:NKG196612 NTZ196612:NUC196612 ODV196612:ODY196612 ONR196612:ONU196612 OXN196612:OXQ196612 PHJ196612:PHM196612 PRF196612:PRI196612 QBB196612:QBE196612 QKX196612:QLA196612 QUT196612:QUW196612 REP196612:RES196612 ROL196612:ROO196612 RYH196612:RYK196612 SID196612:SIG196612 SRZ196612:SSC196612 TBV196612:TBY196612 TLR196612:TLU196612 TVN196612:TVQ196612 UFJ196612:UFM196612 UPF196612:UPI196612 UZB196612:UZE196612 VIX196612:VJA196612 VST196612:VSW196612 WCP196612:WCS196612 WML196612:WMO196612 WWH196612:WWK196612 Q262148:T262148 JV262148:JY262148 TR262148:TU262148 ADN262148:ADQ262148 ANJ262148:ANM262148 AXF262148:AXI262148 BHB262148:BHE262148 BQX262148:BRA262148 CAT262148:CAW262148 CKP262148:CKS262148 CUL262148:CUO262148 DEH262148:DEK262148 DOD262148:DOG262148 DXZ262148:DYC262148 EHV262148:EHY262148 ERR262148:ERU262148 FBN262148:FBQ262148 FLJ262148:FLM262148 FVF262148:FVI262148 GFB262148:GFE262148 GOX262148:GPA262148 GYT262148:GYW262148 HIP262148:HIS262148 HSL262148:HSO262148 ICH262148:ICK262148 IMD262148:IMG262148 IVZ262148:IWC262148 JFV262148:JFY262148 JPR262148:JPU262148 JZN262148:JZQ262148 KJJ262148:KJM262148 KTF262148:KTI262148 LDB262148:LDE262148 LMX262148:LNA262148 LWT262148:LWW262148 MGP262148:MGS262148 MQL262148:MQO262148 NAH262148:NAK262148 NKD262148:NKG262148 NTZ262148:NUC262148 ODV262148:ODY262148 ONR262148:ONU262148 OXN262148:OXQ262148 PHJ262148:PHM262148 PRF262148:PRI262148 QBB262148:QBE262148 QKX262148:QLA262148 QUT262148:QUW262148 REP262148:RES262148 ROL262148:ROO262148 RYH262148:RYK262148 SID262148:SIG262148 SRZ262148:SSC262148 TBV262148:TBY262148 TLR262148:TLU262148 TVN262148:TVQ262148 UFJ262148:UFM262148 UPF262148:UPI262148 UZB262148:UZE262148 VIX262148:VJA262148 VST262148:VSW262148 WCP262148:WCS262148 WML262148:WMO262148 WWH262148:WWK262148 Q327684:T327684 JV327684:JY327684 TR327684:TU327684 ADN327684:ADQ327684 ANJ327684:ANM327684 AXF327684:AXI327684 BHB327684:BHE327684 BQX327684:BRA327684 CAT327684:CAW327684 CKP327684:CKS327684 CUL327684:CUO327684 DEH327684:DEK327684 DOD327684:DOG327684 DXZ327684:DYC327684 EHV327684:EHY327684 ERR327684:ERU327684 FBN327684:FBQ327684 FLJ327684:FLM327684 FVF327684:FVI327684 GFB327684:GFE327684 GOX327684:GPA327684 GYT327684:GYW327684 HIP327684:HIS327684 HSL327684:HSO327684 ICH327684:ICK327684 IMD327684:IMG327684 IVZ327684:IWC327684 JFV327684:JFY327684 JPR327684:JPU327684 JZN327684:JZQ327684 KJJ327684:KJM327684 KTF327684:KTI327684 LDB327684:LDE327684 LMX327684:LNA327684 LWT327684:LWW327684 MGP327684:MGS327684 MQL327684:MQO327684 NAH327684:NAK327684 NKD327684:NKG327684 NTZ327684:NUC327684 ODV327684:ODY327684 ONR327684:ONU327684 OXN327684:OXQ327684 PHJ327684:PHM327684 PRF327684:PRI327684 QBB327684:QBE327684 QKX327684:QLA327684 QUT327684:QUW327684 REP327684:RES327684 ROL327684:ROO327684 RYH327684:RYK327684 SID327684:SIG327684 SRZ327684:SSC327684 TBV327684:TBY327684 TLR327684:TLU327684 TVN327684:TVQ327684 UFJ327684:UFM327684 UPF327684:UPI327684 UZB327684:UZE327684 VIX327684:VJA327684 VST327684:VSW327684 WCP327684:WCS327684 WML327684:WMO327684 WWH327684:WWK327684 Q393220:T393220 JV393220:JY393220 TR393220:TU393220 ADN393220:ADQ393220 ANJ393220:ANM393220 AXF393220:AXI393220 BHB393220:BHE393220 BQX393220:BRA393220 CAT393220:CAW393220 CKP393220:CKS393220 CUL393220:CUO393220 DEH393220:DEK393220 DOD393220:DOG393220 DXZ393220:DYC393220 EHV393220:EHY393220 ERR393220:ERU393220 FBN393220:FBQ393220 FLJ393220:FLM393220 FVF393220:FVI393220 GFB393220:GFE393220 GOX393220:GPA393220 GYT393220:GYW393220 HIP393220:HIS393220 HSL393220:HSO393220 ICH393220:ICK393220 IMD393220:IMG393220 IVZ393220:IWC393220 JFV393220:JFY393220 JPR393220:JPU393220 JZN393220:JZQ393220 KJJ393220:KJM393220 KTF393220:KTI393220 LDB393220:LDE393220 LMX393220:LNA393220 LWT393220:LWW393220 MGP393220:MGS393220 MQL393220:MQO393220 NAH393220:NAK393220 NKD393220:NKG393220 NTZ393220:NUC393220 ODV393220:ODY393220 ONR393220:ONU393220 OXN393220:OXQ393220 PHJ393220:PHM393220 PRF393220:PRI393220 QBB393220:QBE393220 QKX393220:QLA393220 QUT393220:QUW393220 REP393220:RES393220 ROL393220:ROO393220 RYH393220:RYK393220 SID393220:SIG393220 SRZ393220:SSC393220 TBV393220:TBY393220 TLR393220:TLU393220 TVN393220:TVQ393220 UFJ393220:UFM393220 UPF393220:UPI393220 UZB393220:UZE393220 VIX393220:VJA393220 VST393220:VSW393220 WCP393220:WCS393220 WML393220:WMO393220 WWH393220:WWK393220 Q458756:T458756 JV458756:JY458756 TR458756:TU458756 ADN458756:ADQ458756 ANJ458756:ANM458756 AXF458756:AXI458756 BHB458756:BHE458756 BQX458756:BRA458756 CAT458756:CAW458756 CKP458756:CKS458756 CUL458756:CUO458756 DEH458756:DEK458756 DOD458756:DOG458756 DXZ458756:DYC458756 EHV458756:EHY458756 ERR458756:ERU458756 FBN458756:FBQ458756 FLJ458756:FLM458756 FVF458756:FVI458756 GFB458756:GFE458756 GOX458756:GPA458756 GYT458756:GYW458756 HIP458756:HIS458756 HSL458756:HSO458756 ICH458756:ICK458756 IMD458756:IMG458756 IVZ458756:IWC458756 JFV458756:JFY458756 JPR458756:JPU458756 JZN458756:JZQ458756 KJJ458756:KJM458756 KTF458756:KTI458756 LDB458756:LDE458756 LMX458756:LNA458756 LWT458756:LWW458756 MGP458756:MGS458756 MQL458756:MQO458756 NAH458756:NAK458756 NKD458756:NKG458756 NTZ458756:NUC458756 ODV458756:ODY458756 ONR458756:ONU458756 OXN458756:OXQ458756 PHJ458756:PHM458756 PRF458756:PRI458756 QBB458756:QBE458756 QKX458756:QLA458756 QUT458756:QUW458756 REP458756:RES458756 ROL458756:ROO458756 RYH458756:RYK458756 SID458756:SIG458756 SRZ458756:SSC458756 TBV458756:TBY458756 TLR458756:TLU458756 TVN458756:TVQ458756 UFJ458756:UFM458756 UPF458756:UPI458756 UZB458756:UZE458756 VIX458756:VJA458756 VST458756:VSW458756 WCP458756:WCS458756 WML458756:WMO458756 WWH458756:WWK458756 Q524292:T524292 JV524292:JY524292 TR524292:TU524292 ADN524292:ADQ524292 ANJ524292:ANM524292 AXF524292:AXI524292 BHB524292:BHE524292 BQX524292:BRA524292 CAT524292:CAW524292 CKP524292:CKS524292 CUL524292:CUO524292 DEH524292:DEK524292 DOD524292:DOG524292 DXZ524292:DYC524292 EHV524292:EHY524292 ERR524292:ERU524292 FBN524292:FBQ524292 FLJ524292:FLM524292 FVF524292:FVI524292 GFB524292:GFE524292 GOX524292:GPA524292 GYT524292:GYW524292 HIP524292:HIS524292 HSL524292:HSO524292 ICH524292:ICK524292 IMD524292:IMG524292 IVZ524292:IWC524292 JFV524292:JFY524292 JPR524292:JPU524292 JZN524292:JZQ524292 KJJ524292:KJM524292 KTF524292:KTI524292 LDB524292:LDE524292 LMX524292:LNA524292 LWT524292:LWW524292 MGP524292:MGS524292 MQL524292:MQO524292 NAH524292:NAK524292 NKD524292:NKG524292 NTZ524292:NUC524292 ODV524292:ODY524292 ONR524292:ONU524292 OXN524292:OXQ524292 PHJ524292:PHM524292 PRF524292:PRI524292 QBB524292:QBE524292 QKX524292:QLA524292 QUT524292:QUW524292 REP524292:RES524292 ROL524292:ROO524292 RYH524292:RYK524292 SID524292:SIG524292 SRZ524292:SSC524292 TBV524292:TBY524292 TLR524292:TLU524292 TVN524292:TVQ524292 UFJ524292:UFM524292 UPF524292:UPI524292 UZB524292:UZE524292 VIX524292:VJA524292 VST524292:VSW524292 WCP524292:WCS524292 WML524292:WMO524292 WWH524292:WWK524292 Q589828:T589828 JV589828:JY589828 TR589828:TU589828 ADN589828:ADQ589828 ANJ589828:ANM589828 AXF589828:AXI589828 BHB589828:BHE589828 BQX589828:BRA589828 CAT589828:CAW589828 CKP589828:CKS589828 CUL589828:CUO589828 DEH589828:DEK589828 DOD589828:DOG589828 DXZ589828:DYC589828 EHV589828:EHY589828 ERR589828:ERU589828 FBN589828:FBQ589828 FLJ589828:FLM589828 FVF589828:FVI589828 GFB589828:GFE589828 GOX589828:GPA589828 GYT589828:GYW589828 HIP589828:HIS589828 HSL589828:HSO589828 ICH589828:ICK589828 IMD589828:IMG589828 IVZ589828:IWC589828 JFV589828:JFY589828 JPR589828:JPU589828 JZN589828:JZQ589828 KJJ589828:KJM589828 KTF589828:KTI589828 LDB589828:LDE589828 LMX589828:LNA589828 LWT589828:LWW589828 MGP589828:MGS589828 MQL589828:MQO589828 NAH589828:NAK589828 NKD589828:NKG589828 NTZ589828:NUC589828 ODV589828:ODY589828 ONR589828:ONU589828 OXN589828:OXQ589828 PHJ589828:PHM589828 PRF589828:PRI589828 QBB589828:QBE589828 QKX589828:QLA589828 QUT589828:QUW589828 REP589828:RES589828 ROL589828:ROO589828 RYH589828:RYK589828 SID589828:SIG589828 SRZ589828:SSC589828 TBV589828:TBY589828 TLR589828:TLU589828 TVN589828:TVQ589828 UFJ589828:UFM589828 UPF589828:UPI589828 UZB589828:UZE589828 VIX589828:VJA589828 VST589828:VSW589828 WCP589828:WCS589828 WML589828:WMO589828 WWH589828:WWK589828 Q655364:T655364 JV655364:JY655364 TR655364:TU655364 ADN655364:ADQ655364 ANJ655364:ANM655364 AXF655364:AXI655364 BHB655364:BHE655364 BQX655364:BRA655364 CAT655364:CAW655364 CKP655364:CKS655364 CUL655364:CUO655364 DEH655364:DEK655364 DOD655364:DOG655364 DXZ655364:DYC655364 EHV655364:EHY655364 ERR655364:ERU655364 FBN655364:FBQ655364 FLJ655364:FLM655364 FVF655364:FVI655364 GFB655364:GFE655364 GOX655364:GPA655364 GYT655364:GYW655364 HIP655364:HIS655364 HSL655364:HSO655364 ICH655364:ICK655364 IMD655364:IMG655364 IVZ655364:IWC655364 JFV655364:JFY655364 JPR655364:JPU655364 JZN655364:JZQ655364 KJJ655364:KJM655364 KTF655364:KTI655364 LDB655364:LDE655364 LMX655364:LNA655364 LWT655364:LWW655364 MGP655364:MGS655364 MQL655364:MQO655364 NAH655364:NAK655364 NKD655364:NKG655364 NTZ655364:NUC655364 ODV655364:ODY655364 ONR655364:ONU655364 OXN655364:OXQ655364 PHJ655364:PHM655364 PRF655364:PRI655364 QBB655364:QBE655364 QKX655364:QLA655364 QUT655364:QUW655364 REP655364:RES655364 ROL655364:ROO655364 RYH655364:RYK655364 SID655364:SIG655364 SRZ655364:SSC655364 TBV655364:TBY655364 TLR655364:TLU655364 TVN655364:TVQ655364 UFJ655364:UFM655364 UPF655364:UPI655364 UZB655364:UZE655364 VIX655364:VJA655364 VST655364:VSW655364 WCP655364:WCS655364 WML655364:WMO655364 WWH655364:WWK655364 Q720900:T720900 JV720900:JY720900 TR720900:TU720900 ADN720900:ADQ720900 ANJ720900:ANM720900 AXF720900:AXI720900 BHB720900:BHE720900 BQX720900:BRA720900 CAT720900:CAW720900 CKP720900:CKS720900 CUL720900:CUO720900 DEH720900:DEK720900 DOD720900:DOG720900 DXZ720900:DYC720900 EHV720900:EHY720900 ERR720900:ERU720900 FBN720900:FBQ720900 FLJ720900:FLM720900 FVF720900:FVI720900 GFB720900:GFE720900 GOX720900:GPA720900 GYT720900:GYW720900 HIP720900:HIS720900 HSL720900:HSO720900 ICH720900:ICK720900 IMD720900:IMG720900 IVZ720900:IWC720900 JFV720900:JFY720900 JPR720900:JPU720900 JZN720900:JZQ720900 KJJ720900:KJM720900 KTF720900:KTI720900 LDB720900:LDE720900 LMX720900:LNA720900 LWT720900:LWW720900 MGP720900:MGS720900 MQL720900:MQO720900 NAH720900:NAK720900 NKD720900:NKG720900 NTZ720900:NUC720900 ODV720900:ODY720900 ONR720900:ONU720900 OXN720900:OXQ720900 PHJ720900:PHM720900 PRF720900:PRI720900 QBB720900:QBE720900 QKX720900:QLA720900 QUT720900:QUW720900 REP720900:RES720900 ROL720900:ROO720900 RYH720900:RYK720900 SID720900:SIG720900 SRZ720900:SSC720900 TBV720900:TBY720900 TLR720900:TLU720900 TVN720900:TVQ720900 UFJ720900:UFM720900 UPF720900:UPI720900 UZB720900:UZE720900 VIX720900:VJA720900 VST720900:VSW720900 WCP720900:WCS720900 WML720900:WMO720900 WWH720900:WWK720900 Q786436:T786436 JV786436:JY786436 TR786436:TU786436 ADN786436:ADQ786436 ANJ786436:ANM786436 AXF786436:AXI786436 BHB786436:BHE786436 BQX786436:BRA786436 CAT786436:CAW786436 CKP786436:CKS786436 CUL786436:CUO786436 DEH786436:DEK786436 DOD786436:DOG786436 DXZ786436:DYC786436 EHV786436:EHY786436 ERR786436:ERU786436 FBN786436:FBQ786436 FLJ786436:FLM786436 FVF786436:FVI786436 GFB786436:GFE786436 GOX786436:GPA786436 GYT786436:GYW786436 HIP786436:HIS786436 HSL786436:HSO786436 ICH786436:ICK786436 IMD786436:IMG786436 IVZ786436:IWC786436 JFV786436:JFY786436 JPR786436:JPU786436 JZN786436:JZQ786436 KJJ786436:KJM786436 KTF786436:KTI786436 LDB786436:LDE786436 LMX786436:LNA786436 LWT786436:LWW786436 MGP786436:MGS786436 MQL786436:MQO786436 NAH786436:NAK786436 NKD786436:NKG786436 NTZ786436:NUC786436 ODV786436:ODY786436 ONR786436:ONU786436 OXN786436:OXQ786436 PHJ786436:PHM786436 PRF786436:PRI786436 QBB786436:QBE786436 QKX786436:QLA786436 QUT786436:QUW786436 REP786436:RES786436 ROL786436:ROO786436 RYH786436:RYK786436 SID786436:SIG786436 SRZ786436:SSC786436 TBV786436:TBY786436 TLR786436:TLU786436 TVN786436:TVQ786436 UFJ786436:UFM786436 UPF786436:UPI786436 UZB786436:UZE786436 VIX786436:VJA786436 VST786436:VSW786436 WCP786436:WCS786436 WML786436:WMO786436 WWH786436:WWK786436 Q851972:T851972 JV851972:JY851972 TR851972:TU851972 ADN851972:ADQ851972 ANJ851972:ANM851972 AXF851972:AXI851972 BHB851972:BHE851972 BQX851972:BRA851972 CAT851972:CAW851972 CKP851972:CKS851972 CUL851972:CUO851972 DEH851972:DEK851972 DOD851972:DOG851972 DXZ851972:DYC851972 EHV851972:EHY851972 ERR851972:ERU851972 FBN851972:FBQ851972 FLJ851972:FLM851972 FVF851972:FVI851972 GFB851972:GFE851972 GOX851972:GPA851972 GYT851972:GYW851972 HIP851972:HIS851972 HSL851972:HSO851972 ICH851972:ICK851972 IMD851972:IMG851972 IVZ851972:IWC851972 JFV851972:JFY851972 JPR851972:JPU851972 JZN851972:JZQ851972 KJJ851972:KJM851972 KTF851972:KTI851972 LDB851972:LDE851972 LMX851972:LNA851972 LWT851972:LWW851972 MGP851972:MGS851972 MQL851972:MQO851972 NAH851972:NAK851972 NKD851972:NKG851972 NTZ851972:NUC851972 ODV851972:ODY851972 ONR851972:ONU851972 OXN851972:OXQ851972 PHJ851972:PHM851972 PRF851972:PRI851972 QBB851972:QBE851972 QKX851972:QLA851972 QUT851972:QUW851972 REP851972:RES851972 ROL851972:ROO851972 RYH851972:RYK851972 SID851972:SIG851972 SRZ851972:SSC851972 TBV851972:TBY851972 TLR851972:TLU851972 TVN851972:TVQ851972 UFJ851972:UFM851972 UPF851972:UPI851972 UZB851972:UZE851972 VIX851972:VJA851972 VST851972:VSW851972 WCP851972:WCS851972 WML851972:WMO851972 WWH851972:WWK851972 Q917508:T917508 JV917508:JY917508 TR917508:TU917508 ADN917508:ADQ917508 ANJ917508:ANM917508 AXF917508:AXI917508 BHB917508:BHE917508 BQX917508:BRA917508 CAT917508:CAW917508 CKP917508:CKS917508 CUL917508:CUO917508 DEH917508:DEK917508 DOD917508:DOG917508 DXZ917508:DYC917508 EHV917508:EHY917508 ERR917508:ERU917508 FBN917508:FBQ917508 FLJ917508:FLM917508 FVF917508:FVI917508 GFB917508:GFE917508 GOX917508:GPA917508 GYT917508:GYW917508 HIP917508:HIS917508 HSL917508:HSO917508 ICH917508:ICK917508 IMD917508:IMG917508 IVZ917508:IWC917508 JFV917508:JFY917508 JPR917508:JPU917508 JZN917508:JZQ917508 KJJ917508:KJM917508 KTF917508:KTI917508 LDB917508:LDE917508 LMX917508:LNA917508 LWT917508:LWW917508 MGP917508:MGS917508 MQL917508:MQO917508 NAH917508:NAK917508 NKD917508:NKG917508 NTZ917508:NUC917508 ODV917508:ODY917508 ONR917508:ONU917508 OXN917508:OXQ917508 PHJ917508:PHM917508 PRF917508:PRI917508 QBB917508:QBE917508 QKX917508:QLA917508 QUT917508:QUW917508 REP917508:RES917508 ROL917508:ROO917508 RYH917508:RYK917508 SID917508:SIG917508 SRZ917508:SSC917508 TBV917508:TBY917508 TLR917508:TLU917508 TVN917508:TVQ917508 UFJ917508:UFM917508 UPF917508:UPI917508 UZB917508:UZE917508 VIX917508:VJA917508 VST917508:VSW917508 WCP917508:WCS917508 WML917508:WMO917508 WWH917508:WWK917508 Q983044:T983044 JV983044:JY983044 TR983044:TU983044 ADN983044:ADQ983044 ANJ983044:ANM983044 AXF983044:AXI983044 BHB983044:BHE983044 BQX983044:BRA983044 CAT983044:CAW983044 CKP983044:CKS983044 CUL983044:CUO983044 DEH983044:DEK983044 DOD983044:DOG983044 DXZ983044:DYC983044 EHV983044:EHY983044 ERR983044:ERU983044 FBN983044:FBQ983044 FLJ983044:FLM983044 FVF983044:FVI983044 GFB983044:GFE983044 GOX983044:GPA983044 GYT983044:GYW983044 HIP983044:HIS983044 HSL983044:HSO983044 ICH983044:ICK983044 IMD983044:IMG983044 IVZ983044:IWC983044 JFV983044:JFY983044 JPR983044:JPU983044 JZN983044:JZQ983044 KJJ983044:KJM983044 KTF983044:KTI983044 LDB983044:LDE983044 LMX983044:LNA983044 LWT983044:LWW983044 MGP983044:MGS983044 MQL983044:MQO983044 NAH983044:NAK983044 NKD983044:NKG983044 NTZ983044:NUC983044 ODV983044:ODY983044 ONR983044:ONU983044 OXN983044:OXQ983044 PHJ983044:PHM983044 PRF983044:PRI983044 QBB983044:QBE983044 QKX983044:QLA983044 QUT983044:QUW983044 REP983044:RES983044 ROL983044:ROO983044 RYH983044:RYK983044 SID983044:SIG983044 SRZ983044:SSC983044 TBV983044:TBY983044 TLR983044:TLU983044 TVN983044:TVQ983044 UFJ983044:UFM983044 UPF983044:UPI983044 UZB983044:UZE983044 VIX983044:VJA983044 VST983044:VSW983044 WCP983044:WCS983044 WML983044:WMO983044 WWH983044:WWK983044">
      <formula1>$BT$8:$BT$18</formula1>
    </dataValidation>
    <dataValidation type="list" allowBlank="1" showInputMessage="1" showErrorMessage="1" sqref="WWG983044 JU1 TQ1 ADM1 ANI1 AXE1 BHA1 BQW1 CAS1 CKO1 CUK1 DEG1 DOC1 DXY1 EHU1 ERQ1 FBM1 FLI1 FVE1 GFA1 GOW1 GYS1 HIO1 HSK1 ICG1 IMC1 IVY1 JFU1 JPQ1 JZM1 KJI1 KTE1 LDA1 LMW1 LWS1 MGO1 MQK1 NAG1 NKC1 NTY1 ODU1 ONQ1 OXM1 PHI1 PRE1 QBA1 QKW1 QUS1 REO1 ROK1 RYG1 SIC1 SRY1 TBU1 TLQ1 TVM1 UFI1 UPE1 UZA1 VIW1 VSS1 WCO1 WMK1 WWG1 O65540:P65540 JU65540 TQ65540 ADM65540 ANI65540 AXE65540 BHA65540 BQW65540 CAS65540 CKO65540 CUK65540 DEG65540 DOC65540 DXY65540 EHU65540 ERQ65540 FBM65540 FLI65540 FVE65540 GFA65540 GOW65540 GYS65540 HIO65540 HSK65540 ICG65540 IMC65540 IVY65540 JFU65540 JPQ65540 JZM65540 KJI65540 KTE65540 LDA65540 LMW65540 LWS65540 MGO65540 MQK65540 NAG65540 NKC65540 NTY65540 ODU65540 ONQ65540 OXM65540 PHI65540 PRE65540 QBA65540 QKW65540 QUS65540 REO65540 ROK65540 RYG65540 SIC65540 SRY65540 TBU65540 TLQ65540 TVM65540 UFI65540 UPE65540 UZA65540 VIW65540 VSS65540 WCO65540 WMK65540 WWG65540 O131076:P131076 JU131076 TQ131076 ADM131076 ANI131076 AXE131076 BHA131076 BQW131076 CAS131076 CKO131076 CUK131076 DEG131076 DOC131076 DXY131076 EHU131076 ERQ131076 FBM131076 FLI131076 FVE131076 GFA131076 GOW131076 GYS131076 HIO131076 HSK131076 ICG131076 IMC131076 IVY131076 JFU131076 JPQ131076 JZM131076 KJI131076 KTE131076 LDA131076 LMW131076 LWS131076 MGO131076 MQK131076 NAG131076 NKC131076 NTY131076 ODU131076 ONQ131076 OXM131076 PHI131076 PRE131076 QBA131076 QKW131076 QUS131076 REO131076 ROK131076 RYG131076 SIC131076 SRY131076 TBU131076 TLQ131076 TVM131076 UFI131076 UPE131076 UZA131076 VIW131076 VSS131076 WCO131076 WMK131076 WWG131076 O196612:P196612 JU196612 TQ196612 ADM196612 ANI196612 AXE196612 BHA196612 BQW196612 CAS196612 CKO196612 CUK196612 DEG196612 DOC196612 DXY196612 EHU196612 ERQ196612 FBM196612 FLI196612 FVE196612 GFA196612 GOW196612 GYS196612 HIO196612 HSK196612 ICG196612 IMC196612 IVY196612 JFU196612 JPQ196612 JZM196612 KJI196612 KTE196612 LDA196612 LMW196612 LWS196612 MGO196612 MQK196612 NAG196612 NKC196612 NTY196612 ODU196612 ONQ196612 OXM196612 PHI196612 PRE196612 QBA196612 QKW196612 QUS196612 REO196612 ROK196612 RYG196612 SIC196612 SRY196612 TBU196612 TLQ196612 TVM196612 UFI196612 UPE196612 UZA196612 VIW196612 VSS196612 WCO196612 WMK196612 WWG196612 O262148:P262148 JU262148 TQ262148 ADM262148 ANI262148 AXE262148 BHA262148 BQW262148 CAS262148 CKO262148 CUK262148 DEG262148 DOC262148 DXY262148 EHU262148 ERQ262148 FBM262148 FLI262148 FVE262148 GFA262148 GOW262148 GYS262148 HIO262148 HSK262148 ICG262148 IMC262148 IVY262148 JFU262148 JPQ262148 JZM262148 KJI262148 KTE262148 LDA262148 LMW262148 LWS262148 MGO262148 MQK262148 NAG262148 NKC262148 NTY262148 ODU262148 ONQ262148 OXM262148 PHI262148 PRE262148 QBA262148 QKW262148 QUS262148 REO262148 ROK262148 RYG262148 SIC262148 SRY262148 TBU262148 TLQ262148 TVM262148 UFI262148 UPE262148 UZA262148 VIW262148 VSS262148 WCO262148 WMK262148 WWG262148 O327684:P327684 JU327684 TQ327684 ADM327684 ANI327684 AXE327684 BHA327684 BQW327684 CAS327684 CKO327684 CUK327684 DEG327684 DOC327684 DXY327684 EHU327684 ERQ327684 FBM327684 FLI327684 FVE327684 GFA327684 GOW327684 GYS327684 HIO327684 HSK327684 ICG327684 IMC327684 IVY327684 JFU327684 JPQ327684 JZM327684 KJI327684 KTE327684 LDA327684 LMW327684 LWS327684 MGO327684 MQK327684 NAG327684 NKC327684 NTY327684 ODU327684 ONQ327684 OXM327684 PHI327684 PRE327684 QBA327684 QKW327684 QUS327684 REO327684 ROK327684 RYG327684 SIC327684 SRY327684 TBU327684 TLQ327684 TVM327684 UFI327684 UPE327684 UZA327684 VIW327684 VSS327684 WCO327684 WMK327684 WWG327684 O393220:P393220 JU393220 TQ393220 ADM393220 ANI393220 AXE393220 BHA393220 BQW393220 CAS393220 CKO393220 CUK393220 DEG393220 DOC393220 DXY393220 EHU393220 ERQ393220 FBM393220 FLI393220 FVE393220 GFA393220 GOW393220 GYS393220 HIO393220 HSK393220 ICG393220 IMC393220 IVY393220 JFU393220 JPQ393220 JZM393220 KJI393220 KTE393220 LDA393220 LMW393220 LWS393220 MGO393220 MQK393220 NAG393220 NKC393220 NTY393220 ODU393220 ONQ393220 OXM393220 PHI393220 PRE393220 QBA393220 QKW393220 QUS393220 REO393220 ROK393220 RYG393220 SIC393220 SRY393220 TBU393220 TLQ393220 TVM393220 UFI393220 UPE393220 UZA393220 VIW393220 VSS393220 WCO393220 WMK393220 WWG393220 O458756:P458756 JU458756 TQ458756 ADM458756 ANI458756 AXE458756 BHA458756 BQW458756 CAS458756 CKO458756 CUK458756 DEG458756 DOC458756 DXY458756 EHU458756 ERQ458756 FBM458756 FLI458756 FVE458756 GFA458756 GOW458756 GYS458756 HIO458756 HSK458756 ICG458756 IMC458756 IVY458756 JFU458756 JPQ458756 JZM458756 KJI458756 KTE458756 LDA458756 LMW458756 LWS458756 MGO458756 MQK458756 NAG458756 NKC458756 NTY458756 ODU458756 ONQ458756 OXM458756 PHI458756 PRE458756 QBA458756 QKW458756 QUS458756 REO458756 ROK458756 RYG458756 SIC458756 SRY458756 TBU458756 TLQ458756 TVM458756 UFI458756 UPE458756 UZA458756 VIW458756 VSS458756 WCO458756 WMK458756 WWG458756 O524292:P524292 JU524292 TQ524292 ADM524292 ANI524292 AXE524292 BHA524292 BQW524292 CAS524292 CKO524292 CUK524292 DEG524292 DOC524292 DXY524292 EHU524292 ERQ524292 FBM524292 FLI524292 FVE524292 GFA524292 GOW524292 GYS524292 HIO524292 HSK524292 ICG524292 IMC524292 IVY524292 JFU524292 JPQ524292 JZM524292 KJI524292 KTE524292 LDA524292 LMW524292 LWS524292 MGO524292 MQK524292 NAG524292 NKC524292 NTY524292 ODU524292 ONQ524292 OXM524292 PHI524292 PRE524292 QBA524292 QKW524292 QUS524292 REO524292 ROK524292 RYG524292 SIC524292 SRY524292 TBU524292 TLQ524292 TVM524292 UFI524292 UPE524292 UZA524292 VIW524292 VSS524292 WCO524292 WMK524292 WWG524292 O589828:P589828 JU589828 TQ589828 ADM589828 ANI589828 AXE589828 BHA589828 BQW589828 CAS589828 CKO589828 CUK589828 DEG589828 DOC589828 DXY589828 EHU589828 ERQ589828 FBM589828 FLI589828 FVE589828 GFA589828 GOW589828 GYS589828 HIO589828 HSK589828 ICG589828 IMC589828 IVY589828 JFU589828 JPQ589828 JZM589828 KJI589828 KTE589828 LDA589828 LMW589828 LWS589828 MGO589828 MQK589828 NAG589828 NKC589828 NTY589828 ODU589828 ONQ589828 OXM589828 PHI589828 PRE589828 QBA589828 QKW589828 QUS589828 REO589828 ROK589828 RYG589828 SIC589828 SRY589828 TBU589828 TLQ589828 TVM589828 UFI589828 UPE589828 UZA589828 VIW589828 VSS589828 WCO589828 WMK589828 WWG589828 O655364:P655364 JU655364 TQ655364 ADM655364 ANI655364 AXE655364 BHA655364 BQW655364 CAS655364 CKO655364 CUK655364 DEG655364 DOC655364 DXY655364 EHU655364 ERQ655364 FBM655364 FLI655364 FVE655364 GFA655364 GOW655364 GYS655364 HIO655364 HSK655364 ICG655364 IMC655364 IVY655364 JFU655364 JPQ655364 JZM655364 KJI655364 KTE655364 LDA655364 LMW655364 LWS655364 MGO655364 MQK655364 NAG655364 NKC655364 NTY655364 ODU655364 ONQ655364 OXM655364 PHI655364 PRE655364 QBA655364 QKW655364 QUS655364 REO655364 ROK655364 RYG655364 SIC655364 SRY655364 TBU655364 TLQ655364 TVM655364 UFI655364 UPE655364 UZA655364 VIW655364 VSS655364 WCO655364 WMK655364 WWG655364 O720900:P720900 JU720900 TQ720900 ADM720900 ANI720900 AXE720900 BHA720900 BQW720900 CAS720900 CKO720900 CUK720900 DEG720900 DOC720900 DXY720900 EHU720900 ERQ720900 FBM720900 FLI720900 FVE720900 GFA720900 GOW720900 GYS720900 HIO720900 HSK720900 ICG720900 IMC720900 IVY720900 JFU720900 JPQ720900 JZM720900 KJI720900 KTE720900 LDA720900 LMW720900 LWS720900 MGO720900 MQK720900 NAG720900 NKC720900 NTY720900 ODU720900 ONQ720900 OXM720900 PHI720900 PRE720900 QBA720900 QKW720900 QUS720900 REO720900 ROK720900 RYG720900 SIC720900 SRY720900 TBU720900 TLQ720900 TVM720900 UFI720900 UPE720900 UZA720900 VIW720900 VSS720900 WCO720900 WMK720900 WWG720900 O786436:P786436 JU786436 TQ786436 ADM786436 ANI786436 AXE786436 BHA786436 BQW786436 CAS786436 CKO786436 CUK786436 DEG786436 DOC786436 DXY786436 EHU786436 ERQ786436 FBM786436 FLI786436 FVE786436 GFA786436 GOW786436 GYS786436 HIO786436 HSK786436 ICG786436 IMC786436 IVY786436 JFU786436 JPQ786436 JZM786436 KJI786436 KTE786436 LDA786436 LMW786436 LWS786436 MGO786436 MQK786436 NAG786436 NKC786436 NTY786436 ODU786436 ONQ786436 OXM786436 PHI786436 PRE786436 QBA786436 QKW786436 QUS786436 REO786436 ROK786436 RYG786436 SIC786436 SRY786436 TBU786436 TLQ786436 TVM786436 UFI786436 UPE786436 UZA786436 VIW786436 VSS786436 WCO786436 WMK786436 WWG786436 O851972:P851972 JU851972 TQ851972 ADM851972 ANI851972 AXE851972 BHA851972 BQW851972 CAS851972 CKO851972 CUK851972 DEG851972 DOC851972 DXY851972 EHU851972 ERQ851972 FBM851972 FLI851972 FVE851972 GFA851972 GOW851972 GYS851972 HIO851972 HSK851972 ICG851972 IMC851972 IVY851972 JFU851972 JPQ851972 JZM851972 KJI851972 KTE851972 LDA851972 LMW851972 LWS851972 MGO851972 MQK851972 NAG851972 NKC851972 NTY851972 ODU851972 ONQ851972 OXM851972 PHI851972 PRE851972 QBA851972 QKW851972 QUS851972 REO851972 ROK851972 RYG851972 SIC851972 SRY851972 TBU851972 TLQ851972 TVM851972 UFI851972 UPE851972 UZA851972 VIW851972 VSS851972 WCO851972 WMK851972 WWG851972 O917508:P917508 JU917508 TQ917508 ADM917508 ANI917508 AXE917508 BHA917508 BQW917508 CAS917508 CKO917508 CUK917508 DEG917508 DOC917508 DXY917508 EHU917508 ERQ917508 FBM917508 FLI917508 FVE917508 GFA917508 GOW917508 GYS917508 HIO917508 HSK917508 ICG917508 IMC917508 IVY917508 JFU917508 JPQ917508 JZM917508 KJI917508 KTE917508 LDA917508 LMW917508 LWS917508 MGO917508 MQK917508 NAG917508 NKC917508 NTY917508 ODU917508 ONQ917508 OXM917508 PHI917508 PRE917508 QBA917508 QKW917508 QUS917508 REO917508 ROK917508 RYG917508 SIC917508 SRY917508 TBU917508 TLQ917508 TVM917508 UFI917508 UPE917508 UZA917508 VIW917508 VSS917508 WCO917508 WMK917508 WWG917508 O983044:P983044 JU983044 TQ983044 ADM983044 ANI983044 AXE983044 BHA983044 BQW983044 CAS983044 CKO983044 CUK983044 DEG983044 DOC983044 DXY983044 EHU983044 ERQ983044 FBM983044 FLI983044 FVE983044 GFA983044 GOW983044 GYS983044 HIO983044 HSK983044 ICG983044 IMC983044 IVY983044 JFU983044 JPQ983044 JZM983044 KJI983044 KTE983044 LDA983044 LMW983044 LWS983044 MGO983044 MQK983044 NAG983044 NKC983044 NTY983044 ODU983044 ONQ983044 OXM983044 PHI983044 PRE983044 QBA983044 QKW983044 QUS983044 REO983044 ROK983044 RYG983044 SIC983044 SRY983044 TBU983044 TLQ983044 TVM983044 UFI983044 UPE983044 UZA983044 VIW983044 VSS983044 WCO983044 WMK983044 O3">
      <formula1>$DV$9:$DV$22</formula1>
    </dataValidation>
    <dataValidation type="list" allowBlank="1" showInputMessage="1" showErrorMessage="1" sqref="WVU983064:WVV983064 JI24:JJ24 TE24:TF24 ADA24:ADB24 AMW24:AMX24 AWS24:AWT24 BGO24:BGP24 BQK24:BQL24 CAG24:CAH24 CKC24:CKD24 CTY24:CTZ24 DDU24:DDV24 DNQ24:DNR24 DXM24:DXN24 EHI24:EHJ24 ERE24:ERF24 FBA24:FBB24 FKW24:FKX24 FUS24:FUT24 GEO24:GEP24 GOK24:GOL24 GYG24:GYH24 HIC24:HID24 HRY24:HRZ24 IBU24:IBV24 ILQ24:ILR24 IVM24:IVN24 JFI24:JFJ24 JPE24:JPF24 JZA24:JZB24 KIW24:KIX24 KSS24:KST24 LCO24:LCP24 LMK24:LML24 LWG24:LWH24 MGC24:MGD24 MPY24:MPZ24 MZU24:MZV24 NJQ24:NJR24 NTM24:NTN24 ODI24:ODJ24 ONE24:ONF24 OXA24:OXB24 PGW24:PGX24 PQS24:PQT24 QAO24:QAP24 QKK24:QKL24 QUG24:QUH24 REC24:RED24 RNY24:RNZ24 RXU24:RXV24 SHQ24:SHR24 SRM24:SRN24 TBI24:TBJ24 TLE24:TLF24 TVA24:TVB24 UEW24:UEX24 UOS24:UOT24 UYO24:UYP24 VIK24:VIL24 VSG24:VSH24 WCC24:WCD24 WLY24:WLZ24 WVU24:WVV24 C65560:D65560 JI65560:JJ65560 TE65560:TF65560 ADA65560:ADB65560 AMW65560:AMX65560 AWS65560:AWT65560 BGO65560:BGP65560 BQK65560:BQL65560 CAG65560:CAH65560 CKC65560:CKD65560 CTY65560:CTZ65560 DDU65560:DDV65560 DNQ65560:DNR65560 DXM65560:DXN65560 EHI65560:EHJ65560 ERE65560:ERF65560 FBA65560:FBB65560 FKW65560:FKX65560 FUS65560:FUT65560 GEO65560:GEP65560 GOK65560:GOL65560 GYG65560:GYH65560 HIC65560:HID65560 HRY65560:HRZ65560 IBU65560:IBV65560 ILQ65560:ILR65560 IVM65560:IVN65560 JFI65560:JFJ65560 JPE65560:JPF65560 JZA65560:JZB65560 KIW65560:KIX65560 KSS65560:KST65560 LCO65560:LCP65560 LMK65560:LML65560 LWG65560:LWH65560 MGC65560:MGD65560 MPY65560:MPZ65560 MZU65560:MZV65560 NJQ65560:NJR65560 NTM65560:NTN65560 ODI65560:ODJ65560 ONE65560:ONF65560 OXA65560:OXB65560 PGW65560:PGX65560 PQS65560:PQT65560 QAO65560:QAP65560 QKK65560:QKL65560 QUG65560:QUH65560 REC65560:RED65560 RNY65560:RNZ65560 RXU65560:RXV65560 SHQ65560:SHR65560 SRM65560:SRN65560 TBI65560:TBJ65560 TLE65560:TLF65560 TVA65560:TVB65560 UEW65560:UEX65560 UOS65560:UOT65560 UYO65560:UYP65560 VIK65560:VIL65560 VSG65560:VSH65560 WCC65560:WCD65560 WLY65560:WLZ65560 WVU65560:WVV65560 C131096:D131096 JI131096:JJ131096 TE131096:TF131096 ADA131096:ADB131096 AMW131096:AMX131096 AWS131096:AWT131096 BGO131096:BGP131096 BQK131096:BQL131096 CAG131096:CAH131096 CKC131096:CKD131096 CTY131096:CTZ131096 DDU131096:DDV131096 DNQ131096:DNR131096 DXM131096:DXN131096 EHI131096:EHJ131096 ERE131096:ERF131096 FBA131096:FBB131096 FKW131096:FKX131096 FUS131096:FUT131096 GEO131096:GEP131096 GOK131096:GOL131096 GYG131096:GYH131096 HIC131096:HID131096 HRY131096:HRZ131096 IBU131096:IBV131096 ILQ131096:ILR131096 IVM131096:IVN131096 JFI131096:JFJ131096 JPE131096:JPF131096 JZA131096:JZB131096 KIW131096:KIX131096 KSS131096:KST131096 LCO131096:LCP131096 LMK131096:LML131096 LWG131096:LWH131096 MGC131096:MGD131096 MPY131096:MPZ131096 MZU131096:MZV131096 NJQ131096:NJR131096 NTM131096:NTN131096 ODI131096:ODJ131096 ONE131096:ONF131096 OXA131096:OXB131096 PGW131096:PGX131096 PQS131096:PQT131096 QAO131096:QAP131096 QKK131096:QKL131096 QUG131096:QUH131096 REC131096:RED131096 RNY131096:RNZ131096 RXU131096:RXV131096 SHQ131096:SHR131096 SRM131096:SRN131096 TBI131096:TBJ131096 TLE131096:TLF131096 TVA131096:TVB131096 UEW131096:UEX131096 UOS131096:UOT131096 UYO131096:UYP131096 VIK131096:VIL131096 VSG131096:VSH131096 WCC131096:WCD131096 WLY131096:WLZ131096 WVU131096:WVV131096 C196632:D196632 JI196632:JJ196632 TE196632:TF196632 ADA196632:ADB196632 AMW196632:AMX196632 AWS196632:AWT196632 BGO196632:BGP196632 BQK196632:BQL196632 CAG196632:CAH196632 CKC196632:CKD196632 CTY196632:CTZ196632 DDU196632:DDV196632 DNQ196632:DNR196632 DXM196632:DXN196632 EHI196632:EHJ196632 ERE196632:ERF196632 FBA196632:FBB196632 FKW196632:FKX196632 FUS196632:FUT196632 GEO196632:GEP196632 GOK196632:GOL196632 GYG196632:GYH196632 HIC196632:HID196632 HRY196632:HRZ196632 IBU196632:IBV196632 ILQ196632:ILR196632 IVM196632:IVN196632 JFI196632:JFJ196632 JPE196632:JPF196632 JZA196632:JZB196632 KIW196632:KIX196632 KSS196632:KST196632 LCO196632:LCP196632 LMK196632:LML196632 LWG196632:LWH196632 MGC196632:MGD196632 MPY196632:MPZ196632 MZU196632:MZV196632 NJQ196632:NJR196632 NTM196632:NTN196632 ODI196632:ODJ196632 ONE196632:ONF196632 OXA196632:OXB196632 PGW196632:PGX196632 PQS196632:PQT196632 QAO196632:QAP196632 QKK196632:QKL196632 QUG196632:QUH196632 REC196632:RED196632 RNY196632:RNZ196632 RXU196632:RXV196632 SHQ196632:SHR196632 SRM196632:SRN196632 TBI196632:TBJ196632 TLE196632:TLF196632 TVA196632:TVB196632 UEW196632:UEX196632 UOS196632:UOT196632 UYO196632:UYP196632 VIK196632:VIL196632 VSG196632:VSH196632 WCC196632:WCD196632 WLY196632:WLZ196632 WVU196632:WVV196632 C262168:D262168 JI262168:JJ262168 TE262168:TF262168 ADA262168:ADB262168 AMW262168:AMX262168 AWS262168:AWT262168 BGO262168:BGP262168 BQK262168:BQL262168 CAG262168:CAH262168 CKC262168:CKD262168 CTY262168:CTZ262168 DDU262168:DDV262168 DNQ262168:DNR262168 DXM262168:DXN262168 EHI262168:EHJ262168 ERE262168:ERF262168 FBA262168:FBB262168 FKW262168:FKX262168 FUS262168:FUT262168 GEO262168:GEP262168 GOK262168:GOL262168 GYG262168:GYH262168 HIC262168:HID262168 HRY262168:HRZ262168 IBU262168:IBV262168 ILQ262168:ILR262168 IVM262168:IVN262168 JFI262168:JFJ262168 JPE262168:JPF262168 JZA262168:JZB262168 KIW262168:KIX262168 KSS262168:KST262168 LCO262168:LCP262168 LMK262168:LML262168 LWG262168:LWH262168 MGC262168:MGD262168 MPY262168:MPZ262168 MZU262168:MZV262168 NJQ262168:NJR262168 NTM262168:NTN262168 ODI262168:ODJ262168 ONE262168:ONF262168 OXA262168:OXB262168 PGW262168:PGX262168 PQS262168:PQT262168 QAO262168:QAP262168 QKK262168:QKL262168 QUG262168:QUH262168 REC262168:RED262168 RNY262168:RNZ262168 RXU262168:RXV262168 SHQ262168:SHR262168 SRM262168:SRN262168 TBI262168:TBJ262168 TLE262168:TLF262168 TVA262168:TVB262168 UEW262168:UEX262168 UOS262168:UOT262168 UYO262168:UYP262168 VIK262168:VIL262168 VSG262168:VSH262168 WCC262168:WCD262168 WLY262168:WLZ262168 WVU262168:WVV262168 C327704:D327704 JI327704:JJ327704 TE327704:TF327704 ADA327704:ADB327704 AMW327704:AMX327704 AWS327704:AWT327704 BGO327704:BGP327704 BQK327704:BQL327704 CAG327704:CAH327704 CKC327704:CKD327704 CTY327704:CTZ327704 DDU327704:DDV327704 DNQ327704:DNR327704 DXM327704:DXN327704 EHI327704:EHJ327704 ERE327704:ERF327704 FBA327704:FBB327704 FKW327704:FKX327704 FUS327704:FUT327704 GEO327704:GEP327704 GOK327704:GOL327704 GYG327704:GYH327704 HIC327704:HID327704 HRY327704:HRZ327704 IBU327704:IBV327704 ILQ327704:ILR327704 IVM327704:IVN327704 JFI327704:JFJ327704 JPE327704:JPF327704 JZA327704:JZB327704 KIW327704:KIX327704 KSS327704:KST327704 LCO327704:LCP327704 LMK327704:LML327704 LWG327704:LWH327704 MGC327704:MGD327704 MPY327704:MPZ327704 MZU327704:MZV327704 NJQ327704:NJR327704 NTM327704:NTN327704 ODI327704:ODJ327704 ONE327704:ONF327704 OXA327704:OXB327704 PGW327704:PGX327704 PQS327704:PQT327704 QAO327704:QAP327704 QKK327704:QKL327704 QUG327704:QUH327704 REC327704:RED327704 RNY327704:RNZ327704 RXU327704:RXV327704 SHQ327704:SHR327704 SRM327704:SRN327704 TBI327704:TBJ327704 TLE327704:TLF327704 TVA327704:TVB327704 UEW327704:UEX327704 UOS327704:UOT327704 UYO327704:UYP327704 VIK327704:VIL327704 VSG327704:VSH327704 WCC327704:WCD327704 WLY327704:WLZ327704 WVU327704:WVV327704 C393240:D393240 JI393240:JJ393240 TE393240:TF393240 ADA393240:ADB393240 AMW393240:AMX393240 AWS393240:AWT393240 BGO393240:BGP393240 BQK393240:BQL393240 CAG393240:CAH393240 CKC393240:CKD393240 CTY393240:CTZ393240 DDU393240:DDV393240 DNQ393240:DNR393240 DXM393240:DXN393240 EHI393240:EHJ393240 ERE393240:ERF393240 FBA393240:FBB393240 FKW393240:FKX393240 FUS393240:FUT393240 GEO393240:GEP393240 GOK393240:GOL393240 GYG393240:GYH393240 HIC393240:HID393240 HRY393240:HRZ393240 IBU393240:IBV393240 ILQ393240:ILR393240 IVM393240:IVN393240 JFI393240:JFJ393240 JPE393240:JPF393240 JZA393240:JZB393240 KIW393240:KIX393240 KSS393240:KST393240 LCO393240:LCP393240 LMK393240:LML393240 LWG393240:LWH393240 MGC393240:MGD393240 MPY393240:MPZ393240 MZU393240:MZV393240 NJQ393240:NJR393240 NTM393240:NTN393240 ODI393240:ODJ393240 ONE393240:ONF393240 OXA393240:OXB393240 PGW393240:PGX393240 PQS393240:PQT393240 QAO393240:QAP393240 QKK393240:QKL393240 QUG393240:QUH393240 REC393240:RED393240 RNY393240:RNZ393240 RXU393240:RXV393240 SHQ393240:SHR393240 SRM393240:SRN393240 TBI393240:TBJ393240 TLE393240:TLF393240 TVA393240:TVB393240 UEW393240:UEX393240 UOS393240:UOT393240 UYO393240:UYP393240 VIK393240:VIL393240 VSG393240:VSH393240 WCC393240:WCD393240 WLY393240:WLZ393240 WVU393240:WVV393240 C458776:D458776 JI458776:JJ458776 TE458776:TF458776 ADA458776:ADB458776 AMW458776:AMX458776 AWS458776:AWT458776 BGO458776:BGP458776 BQK458776:BQL458776 CAG458776:CAH458776 CKC458776:CKD458776 CTY458776:CTZ458776 DDU458776:DDV458776 DNQ458776:DNR458776 DXM458776:DXN458776 EHI458776:EHJ458776 ERE458776:ERF458776 FBA458776:FBB458776 FKW458776:FKX458776 FUS458776:FUT458776 GEO458776:GEP458776 GOK458776:GOL458776 GYG458776:GYH458776 HIC458776:HID458776 HRY458776:HRZ458776 IBU458776:IBV458776 ILQ458776:ILR458776 IVM458776:IVN458776 JFI458776:JFJ458776 JPE458776:JPF458776 JZA458776:JZB458776 KIW458776:KIX458776 KSS458776:KST458776 LCO458776:LCP458776 LMK458776:LML458776 LWG458776:LWH458776 MGC458776:MGD458776 MPY458776:MPZ458776 MZU458776:MZV458776 NJQ458776:NJR458776 NTM458776:NTN458776 ODI458776:ODJ458776 ONE458776:ONF458776 OXA458776:OXB458776 PGW458776:PGX458776 PQS458776:PQT458776 QAO458776:QAP458776 QKK458776:QKL458776 QUG458776:QUH458776 REC458776:RED458776 RNY458776:RNZ458776 RXU458776:RXV458776 SHQ458776:SHR458776 SRM458776:SRN458776 TBI458776:TBJ458776 TLE458776:TLF458776 TVA458776:TVB458776 UEW458776:UEX458776 UOS458776:UOT458776 UYO458776:UYP458776 VIK458776:VIL458776 VSG458776:VSH458776 WCC458776:WCD458776 WLY458776:WLZ458776 WVU458776:WVV458776 C524312:D524312 JI524312:JJ524312 TE524312:TF524312 ADA524312:ADB524312 AMW524312:AMX524312 AWS524312:AWT524312 BGO524312:BGP524312 BQK524312:BQL524312 CAG524312:CAH524312 CKC524312:CKD524312 CTY524312:CTZ524312 DDU524312:DDV524312 DNQ524312:DNR524312 DXM524312:DXN524312 EHI524312:EHJ524312 ERE524312:ERF524312 FBA524312:FBB524312 FKW524312:FKX524312 FUS524312:FUT524312 GEO524312:GEP524312 GOK524312:GOL524312 GYG524312:GYH524312 HIC524312:HID524312 HRY524312:HRZ524312 IBU524312:IBV524312 ILQ524312:ILR524312 IVM524312:IVN524312 JFI524312:JFJ524312 JPE524312:JPF524312 JZA524312:JZB524312 KIW524312:KIX524312 KSS524312:KST524312 LCO524312:LCP524312 LMK524312:LML524312 LWG524312:LWH524312 MGC524312:MGD524312 MPY524312:MPZ524312 MZU524312:MZV524312 NJQ524312:NJR524312 NTM524312:NTN524312 ODI524312:ODJ524312 ONE524312:ONF524312 OXA524312:OXB524312 PGW524312:PGX524312 PQS524312:PQT524312 QAO524312:QAP524312 QKK524312:QKL524312 QUG524312:QUH524312 REC524312:RED524312 RNY524312:RNZ524312 RXU524312:RXV524312 SHQ524312:SHR524312 SRM524312:SRN524312 TBI524312:TBJ524312 TLE524312:TLF524312 TVA524312:TVB524312 UEW524312:UEX524312 UOS524312:UOT524312 UYO524312:UYP524312 VIK524312:VIL524312 VSG524312:VSH524312 WCC524312:WCD524312 WLY524312:WLZ524312 WVU524312:WVV524312 C589848:D589848 JI589848:JJ589848 TE589848:TF589848 ADA589848:ADB589848 AMW589848:AMX589848 AWS589848:AWT589848 BGO589848:BGP589848 BQK589848:BQL589848 CAG589848:CAH589848 CKC589848:CKD589848 CTY589848:CTZ589848 DDU589848:DDV589848 DNQ589848:DNR589848 DXM589848:DXN589848 EHI589848:EHJ589848 ERE589848:ERF589848 FBA589848:FBB589848 FKW589848:FKX589848 FUS589848:FUT589848 GEO589848:GEP589848 GOK589848:GOL589848 GYG589848:GYH589848 HIC589848:HID589848 HRY589848:HRZ589848 IBU589848:IBV589848 ILQ589848:ILR589848 IVM589848:IVN589848 JFI589848:JFJ589848 JPE589848:JPF589848 JZA589848:JZB589848 KIW589848:KIX589848 KSS589848:KST589848 LCO589848:LCP589848 LMK589848:LML589848 LWG589848:LWH589848 MGC589848:MGD589848 MPY589848:MPZ589848 MZU589848:MZV589848 NJQ589848:NJR589848 NTM589848:NTN589848 ODI589848:ODJ589848 ONE589848:ONF589848 OXA589848:OXB589848 PGW589848:PGX589848 PQS589848:PQT589848 QAO589848:QAP589848 QKK589848:QKL589848 QUG589848:QUH589848 REC589848:RED589848 RNY589848:RNZ589848 RXU589848:RXV589848 SHQ589848:SHR589848 SRM589848:SRN589848 TBI589848:TBJ589848 TLE589848:TLF589848 TVA589848:TVB589848 UEW589848:UEX589848 UOS589848:UOT589848 UYO589848:UYP589848 VIK589848:VIL589848 VSG589848:VSH589848 WCC589848:WCD589848 WLY589848:WLZ589848 WVU589848:WVV589848 C655384:D655384 JI655384:JJ655384 TE655384:TF655384 ADA655384:ADB655384 AMW655384:AMX655384 AWS655384:AWT655384 BGO655384:BGP655384 BQK655384:BQL655384 CAG655384:CAH655384 CKC655384:CKD655384 CTY655384:CTZ655384 DDU655384:DDV655384 DNQ655384:DNR655384 DXM655384:DXN655384 EHI655384:EHJ655384 ERE655384:ERF655384 FBA655384:FBB655384 FKW655384:FKX655384 FUS655384:FUT655384 GEO655384:GEP655384 GOK655384:GOL655384 GYG655384:GYH655384 HIC655384:HID655384 HRY655384:HRZ655384 IBU655384:IBV655384 ILQ655384:ILR655384 IVM655384:IVN655384 JFI655384:JFJ655384 JPE655384:JPF655384 JZA655384:JZB655384 KIW655384:KIX655384 KSS655384:KST655384 LCO655384:LCP655384 LMK655384:LML655384 LWG655384:LWH655384 MGC655384:MGD655384 MPY655384:MPZ655384 MZU655384:MZV655384 NJQ655384:NJR655384 NTM655384:NTN655384 ODI655384:ODJ655384 ONE655384:ONF655384 OXA655384:OXB655384 PGW655384:PGX655384 PQS655384:PQT655384 QAO655384:QAP655384 QKK655384:QKL655384 QUG655384:QUH655384 REC655384:RED655384 RNY655384:RNZ655384 RXU655384:RXV655384 SHQ655384:SHR655384 SRM655384:SRN655384 TBI655384:TBJ655384 TLE655384:TLF655384 TVA655384:TVB655384 UEW655384:UEX655384 UOS655384:UOT655384 UYO655384:UYP655384 VIK655384:VIL655384 VSG655384:VSH655384 WCC655384:WCD655384 WLY655384:WLZ655384 WVU655384:WVV655384 C720920:D720920 JI720920:JJ720920 TE720920:TF720920 ADA720920:ADB720920 AMW720920:AMX720920 AWS720920:AWT720920 BGO720920:BGP720920 BQK720920:BQL720920 CAG720920:CAH720920 CKC720920:CKD720920 CTY720920:CTZ720920 DDU720920:DDV720920 DNQ720920:DNR720920 DXM720920:DXN720920 EHI720920:EHJ720920 ERE720920:ERF720920 FBA720920:FBB720920 FKW720920:FKX720920 FUS720920:FUT720920 GEO720920:GEP720920 GOK720920:GOL720920 GYG720920:GYH720920 HIC720920:HID720920 HRY720920:HRZ720920 IBU720920:IBV720920 ILQ720920:ILR720920 IVM720920:IVN720920 JFI720920:JFJ720920 JPE720920:JPF720920 JZA720920:JZB720920 KIW720920:KIX720920 KSS720920:KST720920 LCO720920:LCP720920 LMK720920:LML720920 LWG720920:LWH720920 MGC720920:MGD720920 MPY720920:MPZ720920 MZU720920:MZV720920 NJQ720920:NJR720920 NTM720920:NTN720920 ODI720920:ODJ720920 ONE720920:ONF720920 OXA720920:OXB720920 PGW720920:PGX720920 PQS720920:PQT720920 QAO720920:QAP720920 QKK720920:QKL720920 QUG720920:QUH720920 REC720920:RED720920 RNY720920:RNZ720920 RXU720920:RXV720920 SHQ720920:SHR720920 SRM720920:SRN720920 TBI720920:TBJ720920 TLE720920:TLF720920 TVA720920:TVB720920 UEW720920:UEX720920 UOS720920:UOT720920 UYO720920:UYP720920 VIK720920:VIL720920 VSG720920:VSH720920 WCC720920:WCD720920 WLY720920:WLZ720920 WVU720920:WVV720920 C786456:D786456 JI786456:JJ786456 TE786456:TF786456 ADA786456:ADB786456 AMW786456:AMX786456 AWS786456:AWT786456 BGO786456:BGP786456 BQK786456:BQL786456 CAG786456:CAH786456 CKC786456:CKD786456 CTY786456:CTZ786456 DDU786456:DDV786456 DNQ786456:DNR786456 DXM786456:DXN786456 EHI786456:EHJ786456 ERE786456:ERF786456 FBA786456:FBB786456 FKW786456:FKX786456 FUS786456:FUT786456 GEO786456:GEP786456 GOK786456:GOL786456 GYG786456:GYH786456 HIC786456:HID786456 HRY786456:HRZ786456 IBU786456:IBV786456 ILQ786456:ILR786456 IVM786456:IVN786456 JFI786456:JFJ786456 JPE786456:JPF786456 JZA786456:JZB786456 KIW786456:KIX786456 KSS786456:KST786456 LCO786456:LCP786456 LMK786456:LML786456 LWG786456:LWH786456 MGC786456:MGD786456 MPY786456:MPZ786456 MZU786456:MZV786456 NJQ786456:NJR786456 NTM786456:NTN786456 ODI786456:ODJ786456 ONE786456:ONF786456 OXA786456:OXB786456 PGW786456:PGX786456 PQS786456:PQT786456 QAO786456:QAP786456 QKK786456:QKL786456 QUG786456:QUH786456 REC786456:RED786456 RNY786456:RNZ786456 RXU786456:RXV786456 SHQ786456:SHR786456 SRM786456:SRN786456 TBI786456:TBJ786456 TLE786456:TLF786456 TVA786456:TVB786456 UEW786456:UEX786456 UOS786456:UOT786456 UYO786456:UYP786456 VIK786456:VIL786456 VSG786456:VSH786456 WCC786456:WCD786456 WLY786456:WLZ786456 WVU786456:WVV786456 C851992:D851992 JI851992:JJ851992 TE851992:TF851992 ADA851992:ADB851992 AMW851992:AMX851992 AWS851992:AWT851992 BGO851992:BGP851992 BQK851992:BQL851992 CAG851992:CAH851992 CKC851992:CKD851992 CTY851992:CTZ851992 DDU851992:DDV851992 DNQ851992:DNR851992 DXM851992:DXN851992 EHI851992:EHJ851992 ERE851992:ERF851992 FBA851992:FBB851992 FKW851992:FKX851992 FUS851992:FUT851992 GEO851992:GEP851992 GOK851992:GOL851992 GYG851992:GYH851992 HIC851992:HID851992 HRY851992:HRZ851992 IBU851992:IBV851992 ILQ851992:ILR851992 IVM851992:IVN851992 JFI851992:JFJ851992 JPE851992:JPF851992 JZA851992:JZB851992 KIW851992:KIX851992 KSS851992:KST851992 LCO851992:LCP851992 LMK851992:LML851992 LWG851992:LWH851992 MGC851992:MGD851992 MPY851992:MPZ851992 MZU851992:MZV851992 NJQ851992:NJR851992 NTM851992:NTN851992 ODI851992:ODJ851992 ONE851992:ONF851992 OXA851992:OXB851992 PGW851992:PGX851992 PQS851992:PQT851992 QAO851992:QAP851992 QKK851992:QKL851992 QUG851992:QUH851992 REC851992:RED851992 RNY851992:RNZ851992 RXU851992:RXV851992 SHQ851992:SHR851992 SRM851992:SRN851992 TBI851992:TBJ851992 TLE851992:TLF851992 TVA851992:TVB851992 UEW851992:UEX851992 UOS851992:UOT851992 UYO851992:UYP851992 VIK851992:VIL851992 VSG851992:VSH851992 WCC851992:WCD851992 WLY851992:WLZ851992 WVU851992:WVV851992 C917528:D917528 JI917528:JJ917528 TE917528:TF917528 ADA917528:ADB917528 AMW917528:AMX917528 AWS917528:AWT917528 BGO917528:BGP917528 BQK917528:BQL917528 CAG917528:CAH917528 CKC917528:CKD917528 CTY917528:CTZ917528 DDU917528:DDV917528 DNQ917528:DNR917528 DXM917528:DXN917528 EHI917528:EHJ917528 ERE917528:ERF917528 FBA917528:FBB917528 FKW917528:FKX917528 FUS917528:FUT917528 GEO917528:GEP917528 GOK917528:GOL917528 GYG917528:GYH917528 HIC917528:HID917528 HRY917528:HRZ917528 IBU917528:IBV917528 ILQ917528:ILR917528 IVM917528:IVN917528 JFI917528:JFJ917528 JPE917528:JPF917528 JZA917528:JZB917528 KIW917528:KIX917528 KSS917528:KST917528 LCO917528:LCP917528 LMK917528:LML917528 LWG917528:LWH917528 MGC917528:MGD917528 MPY917528:MPZ917528 MZU917528:MZV917528 NJQ917528:NJR917528 NTM917528:NTN917528 ODI917528:ODJ917528 ONE917528:ONF917528 OXA917528:OXB917528 PGW917528:PGX917528 PQS917528:PQT917528 QAO917528:QAP917528 QKK917528:QKL917528 QUG917528:QUH917528 REC917528:RED917528 RNY917528:RNZ917528 RXU917528:RXV917528 SHQ917528:SHR917528 SRM917528:SRN917528 TBI917528:TBJ917528 TLE917528:TLF917528 TVA917528:TVB917528 UEW917528:UEX917528 UOS917528:UOT917528 UYO917528:UYP917528 VIK917528:VIL917528 VSG917528:VSH917528 WCC917528:WCD917528 WLY917528:WLZ917528 WVU917528:WVV917528 C983064:D983064 JI983064:JJ983064 TE983064:TF983064 ADA983064:ADB983064 AMW983064:AMX983064 AWS983064:AWT983064 BGO983064:BGP983064 BQK983064:BQL983064 CAG983064:CAH983064 CKC983064:CKD983064 CTY983064:CTZ983064 DDU983064:DDV983064 DNQ983064:DNR983064 DXM983064:DXN983064 EHI983064:EHJ983064 ERE983064:ERF983064 FBA983064:FBB983064 FKW983064:FKX983064 FUS983064:FUT983064 GEO983064:GEP983064 GOK983064:GOL983064 GYG983064:GYH983064 HIC983064:HID983064 HRY983064:HRZ983064 IBU983064:IBV983064 ILQ983064:ILR983064 IVM983064:IVN983064 JFI983064:JFJ983064 JPE983064:JPF983064 JZA983064:JZB983064 KIW983064:KIX983064 KSS983064:KST983064 LCO983064:LCP983064 LMK983064:LML983064 LWG983064:LWH983064 MGC983064:MGD983064 MPY983064:MPZ983064 MZU983064:MZV983064 NJQ983064:NJR983064 NTM983064:NTN983064 ODI983064:ODJ983064 ONE983064:ONF983064 OXA983064:OXB983064 PGW983064:PGX983064 PQS983064:PQT983064 QAO983064:QAP983064 QKK983064:QKL983064 QUG983064:QUH983064 REC983064:RED983064 RNY983064:RNZ983064 RXU983064:RXV983064 SHQ983064:SHR983064 SRM983064:SRN983064 TBI983064:TBJ983064 TLE983064:TLF983064 TVA983064:TVB983064 UEW983064:UEX983064 UOS983064:UOT983064 UYO983064:UYP983064 VIK983064:VIL983064 VSG983064:VSH983064 WCC983064:WCD983064 WLY983064:WLZ983064 C24:D24">
      <formula1>$DJ$8:$DJ$10</formula1>
    </dataValidation>
    <dataValidation type="list" allowBlank="1" showInputMessage="1" showErrorMessage="1" sqref="WVW983064:WWB983064 JK24:JP24 TG24:TL24 ADC24:ADH24 AMY24:AND24 AWU24:AWZ24 BGQ24:BGV24 BQM24:BQR24 CAI24:CAN24 CKE24:CKJ24 CUA24:CUF24 DDW24:DEB24 DNS24:DNX24 DXO24:DXT24 EHK24:EHP24 ERG24:ERL24 FBC24:FBH24 FKY24:FLD24 FUU24:FUZ24 GEQ24:GEV24 GOM24:GOR24 GYI24:GYN24 HIE24:HIJ24 HSA24:HSF24 IBW24:ICB24 ILS24:ILX24 IVO24:IVT24 JFK24:JFP24 JPG24:JPL24 JZC24:JZH24 KIY24:KJD24 KSU24:KSZ24 LCQ24:LCV24 LMM24:LMR24 LWI24:LWN24 MGE24:MGJ24 MQA24:MQF24 MZW24:NAB24 NJS24:NJX24 NTO24:NTT24 ODK24:ODP24 ONG24:ONL24 OXC24:OXH24 PGY24:PHD24 PQU24:PQZ24 QAQ24:QAV24 QKM24:QKR24 QUI24:QUN24 REE24:REJ24 ROA24:ROF24 RXW24:RYB24 SHS24:SHX24 SRO24:SRT24 TBK24:TBP24 TLG24:TLL24 TVC24:TVH24 UEY24:UFD24 UOU24:UOZ24 UYQ24:UYV24 VIM24:VIR24 VSI24:VSN24 WCE24:WCJ24 WMA24:WMF24 WVW24:WWB24 E65560:J65560 JK65560:JP65560 TG65560:TL65560 ADC65560:ADH65560 AMY65560:AND65560 AWU65560:AWZ65560 BGQ65560:BGV65560 BQM65560:BQR65560 CAI65560:CAN65560 CKE65560:CKJ65560 CUA65560:CUF65560 DDW65560:DEB65560 DNS65560:DNX65560 DXO65560:DXT65560 EHK65560:EHP65560 ERG65560:ERL65560 FBC65560:FBH65560 FKY65560:FLD65560 FUU65560:FUZ65560 GEQ65560:GEV65560 GOM65560:GOR65560 GYI65560:GYN65560 HIE65560:HIJ65560 HSA65560:HSF65560 IBW65560:ICB65560 ILS65560:ILX65560 IVO65560:IVT65560 JFK65560:JFP65560 JPG65560:JPL65560 JZC65560:JZH65560 KIY65560:KJD65560 KSU65560:KSZ65560 LCQ65560:LCV65560 LMM65560:LMR65560 LWI65560:LWN65560 MGE65560:MGJ65560 MQA65560:MQF65560 MZW65560:NAB65560 NJS65560:NJX65560 NTO65560:NTT65560 ODK65560:ODP65560 ONG65560:ONL65560 OXC65560:OXH65560 PGY65560:PHD65560 PQU65560:PQZ65560 QAQ65560:QAV65560 QKM65560:QKR65560 QUI65560:QUN65560 REE65560:REJ65560 ROA65560:ROF65560 RXW65560:RYB65560 SHS65560:SHX65560 SRO65560:SRT65560 TBK65560:TBP65560 TLG65560:TLL65560 TVC65560:TVH65560 UEY65560:UFD65560 UOU65560:UOZ65560 UYQ65560:UYV65560 VIM65560:VIR65560 VSI65560:VSN65560 WCE65560:WCJ65560 WMA65560:WMF65560 WVW65560:WWB65560 E131096:J131096 JK131096:JP131096 TG131096:TL131096 ADC131096:ADH131096 AMY131096:AND131096 AWU131096:AWZ131096 BGQ131096:BGV131096 BQM131096:BQR131096 CAI131096:CAN131096 CKE131096:CKJ131096 CUA131096:CUF131096 DDW131096:DEB131096 DNS131096:DNX131096 DXO131096:DXT131096 EHK131096:EHP131096 ERG131096:ERL131096 FBC131096:FBH131096 FKY131096:FLD131096 FUU131096:FUZ131096 GEQ131096:GEV131096 GOM131096:GOR131096 GYI131096:GYN131096 HIE131096:HIJ131096 HSA131096:HSF131096 IBW131096:ICB131096 ILS131096:ILX131096 IVO131096:IVT131096 JFK131096:JFP131096 JPG131096:JPL131096 JZC131096:JZH131096 KIY131096:KJD131096 KSU131096:KSZ131096 LCQ131096:LCV131096 LMM131096:LMR131096 LWI131096:LWN131096 MGE131096:MGJ131096 MQA131096:MQF131096 MZW131096:NAB131096 NJS131096:NJX131096 NTO131096:NTT131096 ODK131096:ODP131096 ONG131096:ONL131096 OXC131096:OXH131096 PGY131096:PHD131096 PQU131096:PQZ131096 QAQ131096:QAV131096 QKM131096:QKR131096 QUI131096:QUN131096 REE131096:REJ131096 ROA131096:ROF131096 RXW131096:RYB131096 SHS131096:SHX131096 SRO131096:SRT131096 TBK131096:TBP131096 TLG131096:TLL131096 TVC131096:TVH131096 UEY131096:UFD131096 UOU131096:UOZ131096 UYQ131096:UYV131096 VIM131096:VIR131096 VSI131096:VSN131096 WCE131096:WCJ131096 WMA131096:WMF131096 WVW131096:WWB131096 E196632:J196632 JK196632:JP196632 TG196632:TL196632 ADC196632:ADH196632 AMY196632:AND196632 AWU196632:AWZ196632 BGQ196632:BGV196632 BQM196632:BQR196632 CAI196632:CAN196632 CKE196632:CKJ196632 CUA196632:CUF196632 DDW196632:DEB196632 DNS196632:DNX196632 DXO196632:DXT196632 EHK196632:EHP196632 ERG196632:ERL196632 FBC196632:FBH196632 FKY196632:FLD196632 FUU196632:FUZ196632 GEQ196632:GEV196632 GOM196632:GOR196632 GYI196632:GYN196632 HIE196632:HIJ196632 HSA196632:HSF196632 IBW196632:ICB196632 ILS196632:ILX196632 IVO196632:IVT196632 JFK196632:JFP196632 JPG196632:JPL196632 JZC196632:JZH196632 KIY196632:KJD196632 KSU196632:KSZ196632 LCQ196632:LCV196632 LMM196632:LMR196632 LWI196632:LWN196632 MGE196632:MGJ196632 MQA196632:MQF196632 MZW196632:NAB196632 NJS196632:NJX196632 NTO196632:NTT196632 ODK196632:ODP196632 ONG196632:ONL196632 OXC196632:OXH196632 PGY196632:PHD196632 PQU196632:PQZ196632 QAQ196632:QAV196632 QKM196632:QKR196632 QUI196632:QUN196632 REE196632:REJ196632 ROA196632:ROF196632 RXW196632:RYB196632 SHS196632:SHX196632 SRO196632:SRT196632 TBK196632:TBP196632 TLG196632:TLL196632 TVC196632:TVH196632 UEY196632:UFD196632 UOU196632:UOZ196632 UYQ196632:UYV196632 VIM196632:VIR196632 VSI196632:VSN196632 WCE196632:WCJ196632 WMA196632:WMF196632 WVW196632:WWB196632 E262168:J262168 JK262168:JP262168 TG262168:TL262168 ADC262168:ADH262168 AMY262168:AND262168 AWU262168:AWZ262168 BGQ262168:BGV262168 BQM262168:BQR262168 CAI262168:CAN262168 CKE262168:CKJ262168 CUA262168:CUF262168 DDW262168:DEB262168 DNS262168:DNX262168 DXO262168:DXT262168 EHK262168:EHP262168 ERG262168:ERL262168 FBC262168:FBH262168 FKY262168:FLD262168 FUU262168:FUZ262168 GEQ262168:GEV262168 GOM262168:GOR262168 GYI262168:GYN262168 HIE262168:HIJ262168 HSA262168:HSF262168 IBW262168:ICB262168 ILS262168:ILX262168 IVO262168:IVT262168 JFK262168:JFP262168 JPG262168:JPL262168 JZC262168:JZH262168 KIY262168:KJD262168 KSU262168:KSZ262168 LCQ262168:LCV262168 LMM262168:LMR262168 LWI262168:LWN262168 MGE262168:MGJ262168 MQA262168:MQF262168 MZW262168:NAB262168 NJS262168:NJX262168 NTO262168:NTT262168 ODK262168:ODP262168 ONG262168:ONL262168 OXC262168:OXH262168 PGY262168:PHD262168 PQU262168:PQZ262168 QAQ262168:QAV262168 QKM262168:QKR262168 QUI262168:QUN262168 REE262168:REJ262168 ROA262168:ROF262168 RXW262168:RYB262168 SHS262168:SHX262168 SRO262168:SRT262168 TBK262168:TBP262168 TLG262168:TLL262168 TVC262168:TVH262168 UEY262168:UFD262168 UOU262168:UOZ262168 UYQ262168:UYV262168 VIM262168:VIR262168 VSI262168:VSN262168 WCE262168:WCJ262168 WMA262168:WMF262168 WVW262168:WWB262168 E327704:J327704 JK327704:JP327704 TG327704:TL327704 ADC327704:ADH327704 AMY327704:AND327704 AWU327704:AWZ327704 BGQ327704:BGV327704 BQM327704:BQR327704 CAI327704:CAN327704 CKE327704:CKJ327704 CUA327704:CUF327704 DDW327704:DEB327704 DNS327704:DNX327704 DXO327704:DXT327704 EHK327704:EHP327704 ERG327704:ERL327704 FBC327704:FBH327704 FKY327704:FLD327704 FUU327704:FUZ327704 GEQ327704:GEV327704 GOM327704:GOR327704 GYI327704:GYN327704 HIE327704:HIJ327704 HSA327704:HSF327704 IBW327704:ICB327704 ILS327704:ILX327704 IVO327704:IVT327704 JFK327704:JFP327704 JPG327704:JPL327704 JZC327704:JZH327704 KIY327704:KJD327704 KSU327704:KSZ327704 LCQ327704:LCV327704 LMM327704:LMR327704 LWI327704:LWN327704 MGE327704:MGJ327704 MQA327704:MQF327704 MZW327704:NAB327704 NJS327704:NJX327704 NTO327704:NTT327704 ODK327704:ODP327704 ONG327704:ONL327704 OXC327704:OXH327704 PGY327704:PHD327704 PQU327704:PQZ327704 QAQ327704:QAV327704 QKM327704:QKR327704 QUI327704:QUN327704 REE327704:REJ327704 ROA327704:ROF327704 RXW327704:RYB327704 SHS327704:SHX327704 SRO327704:SRT327704 TBK327704:TBP327704 TLG327704:TLL327704 TVC327704:TVH327704 UEY327704:UFD327704 UOU327704:UOZ327704 UYQ327704:UYV327704 VIM327704:VIR327704 VSI327704:VSN327704 WCE327704:WCJ327704 WMA327704:WMF327704 WVW327704:WWB327704 E393240:J393240 JK393240:JP393240 TG393240:TL393240 ADC393240:ADH393240 AMY393240:AND393240 AWU393240:AWZ393240 BGQ393240:BGV393240 BQM393240:BQR393240 CAI393240:CAN393240 CKE393240:CKJ393240 CUA393240:CUF393240 DDW393240:DEB393240 DNS393240:DNX393240 DXO393240:DXT393240 EHK393240:EHP393240 ERG393240:ERL393240 FBC393240:FBH393240 FKY393240:FLD393240 FUU393240:FUZ393240 GEQ393240:GEV393240 GOM393240:GOR393240 GYI393240:GYN393240 HIE393240:HIJ393240 HSA393240:HSF393240 IBW393240:ICB393240 ILS393240:ILX393240 IVO393240:IVT393240 JFK393240:JFP393240 JPG393240:JPL393240 JZC393240:JZH393240 KIY393240:KJD393240 KSU393240:KSZ393240 LCQ393240:LCV393240 LMM393240:LMR393240 LWI393240:LWN393240 MGE393240:MGJ393240 MQA393240:MQF393240 MZW393240:NAB393240 NJS393240:NJX393240 NTO393240:NTT393240 ODK393240:ODP393240 ONG393240:ONL393240 OXC393240:OXH393240 PGY393240:PHD393240 PQU393240:PQZ393240 QAQ393240:QAV393240 QKM393240:QKR393240 QUI393240:QUN393240 REE393240:REJ393240 ROA393240:ROF393240 RXW393240:RYB393240 SHS393240:SHX393240 SRO393240:SRT393240 TBK393240:TBP393240 TLG393240:TLL393240 TVC393240:TVH393240 UEY393240:UFD393240 UOU393240:UOZ393240 UYQ393240:UYV393240 VIM393240:VIR393240 VSI393240:VSN393240 WCE393240:WCJ393240 WMA393240:WMF393240 WVW393240:WWB393240 E458776:J458776 JK458776:JP458776 TG458776:TL458776 ADC458776:ADH458776 AMY458776:AND458776 AWU458776:AWZ458776 BGQ458776:BGV458776 BQM458776:BQR458776 CAI458776:CAN458776 CKE458776:CKJ458776 CUA458776:CUF458776 DDW458776:DEB458776 DNS458776:DNX458776 DXO458776:DXT458776 EHK458776:EHP458776 ERG458776:ERL458776 FBC458776:FBH458776 FKY458776:FLD458776 FUU458776:FUZ458776 GEQ458776:GEV458776 GOM458776:GOR458776 GYI458776:GYN458776 HIE458776:HIJ458776 HSA458776:HSF458776 IBW458776:ICB458776 ILS458776:ILX458776 IVO458776:IVT458776 JFK458776:JFP458776 JPG458776:JPL458776 JZC458776:JZH458776 KIY458776:KJD458776 KSU458776:KSZ458776 LCQ458776:LCV458776 LMM458776:LMR458776 LWI458776:LWN458776 MGE458776:MGJ458776 MQA458776:MQF458776 MZW458776:NAB458776 NJS458776:NJX458776 NTO458776:NTT458776 ODK458776:ODP458776 ONG458776:ONL458776 OXC458776:OXH458776 PGY458776:PHD458776 PQU458776:PQZ458776 QAQ458776:QAV458776 QKM458776:QKR458776 QUI458776:QUN458776 REE458776:REJ458776 ROA458776:ROF458776 RXW458776:RYB458776 SHS458776:SHX458776 SRO458776:SRT458776 TBK458776:TBP458776 TLG458776:TLL458776 TVC458776:TVH458776 UEY458776:UFD458776 UOU458776:UOZ458776 UYQ458776:UYV458776 VIM458776:VIR458776 VSI458776:VSN458776 WCE458776:WCJ458776 WMA458776:WMF458776 WVW458776:WWB458776 E524312:J524312 JK524312:JP524312 TG524312:TL524312 ADC524312:ADH524312 AMY524312:AND524312 AWU524312:AWZ524312 BGQ524312:BGV524312 BQM524312:BQR524312 CAI524312:CAN524312 CKE524312:CKJ524312 CUA524312:CUF524312 DDW524312:DEB524312 DNS524312:DNX524312 DXO524312:DXT524312 EHK524312:EHP524312 ERG524312:ERL524312 FBC524312:FBH524312 FKY524312:FLD524312 FUU524312:FUZ524312 GEQ524312:GEV524312 GOM524312:GOR524312 GYI524312:GYN524312 HIE524312:HIJ524312 HSA524312:HSF524312 IBW524312:ICB524312 ILS524312:ILX524312 IVO524312:IVT524312 JFK524312:JFP524312 JPG524312:JPL524312 JZC524312:JZH524312 KIY524312:KJD524312 KSU524312:KSZ524312 LCQ524312:LCV524312 LMM524312:LMR524312 LWI524312:LWN524312 MGE524312:MGJ524312 MQA524312:MQF524312 MZW524312:NAB524312 NJS524312:NJX524312 NTO524312:NTT524312 ODK524312:ODP524312 ONG524312:ONL524312 OXC524312:OXH524312 PGY524312:PHD524312 PQU524312:PQZ524312 QAQ524312:QAV524312 QKM524312:QKR524312 QUI524312:QUN524312 REE524312:REJ524312 ROA524312:ROF524312 RXW524312:RYB524312 SHS524312:SHX524312 SRO524312:SRT524312 TBK524312:TBP524312 TLG524312:TLL524312 TVC524312:TVH524312 UEY524312:UFD524312 UOU524312:UOZ524312 UYQ524312:UYV524312 VIM524312:VIR524312 VSI524312:VSN524312 WCE524312:WCJ524312 WMA524312:WMF524312 WVW524312:WWB524312 E589848:J589848 JK589848:JP589848 TG589848:TL589848 ADC589848:ADH589848 AMY589848:AND589848 AWU589848:AWZ589848 BGQ589848:BGV589848 BQM589848:BQR589848 CAI589848:CAN589848 CKE589848:CKJ589848 CUA589848:CUF589848 DDW589848:DEB589848 DNS589848:DNX589848 DXO589848:DXT589848 EHK589848:EHP589848 ERG589848:ERL589848 FBC589848:FBH589848 FKY589848:FLD589848 FUU589848:FUZ589848 GEQ589848:GEV589848 GOM589848:GOR589848 GYI589848:GYN589848 HIE589848:HIJ589848 HSA589848:HSF589848 IBW589848:ICB589848 ILS589848:ILX589848 IVO589848:IVT589848 JFK589848:JFP589848 JPG589848:JPL589848 JZC589848:JZH589848 KIY589848:KJD589848 KSU589848:KSZ589848 LCQ589848:LCV589848 LMM589848:LMR589848 LWI589848:LWN589848 MGE589848:MGJ589848 MQA589848:MQF589848 MZW589848:NAB589848 NJS589848:NJX589848 NTO589848:NTT589848 ODK589848:ODP589848 ONG589848:ONL589848 OXC589848:OXH589848 PGY589848:PHD589848 PQU589848:PQZ589848 QAQ589848:QAV589848 QKM589848:QKR589848 QUI589848:QUN589848 REE589848:REJ589848 ROA589848:ROF589848 RXW589848:RYB589848 SHS589848:SHX589848 SRO589848:SRT589848 TBK589848:TBP589848 TLG589848:TLL589848 TVC589848:TVH589848 UEY589848:UFD589848 UOU589848:UOZ589848 UYQ589848:UYV589848 VIM589848:VIR589848 VSI589848:VSN589848 WCE589848:WCJ589848 WMA589848:WMF589848 WVW589848:WWB589848 E655384:J655384 JK655384:JP655384 TG655384:TL655384 ADC655384:ADH655384 AMY655384:AND655384 AWU655384:AWZ655384 BGQ655384:BGV655384 BQM655384:BQR655384 CAI655384:CAN655384 CKE655384:CKJ655384 CUA655384:CUF655384 DDW655384:DEB655384 DNS655384:DNX655384 DXO655384:DXT655384 EHK655384:EHP655384 ERG655384:ERL655384 FBC655384:FBH655384 FKY655384:FLD655384 FUU655384:FUZ655384 GEQ655384:GEV655384 GOM655384:GOR655384 GYI655384:GYN655384 HIE655384:HIJ655384 HSA655384:HSF655384 IBW655384:ICB655384 ILS655384:ILX655384 IVO655384:IVT655384 JFK655384:JFP655384 JPG655384:JPL655384 JZC655384:JZH655384 KIY655384:KJD655384 KSU655384:KSZ655384 LCQ655384:LCV655384 LMM655384:LMR655384 LWI655384:LWN655384 MGE655384:MGJ655384 MQA655384:MQF655384 MZW655384:NAB655384 NJS655384:NJX655384 NTO655384:NTT655384 ODK655384:ODP655384 ONG655384:ONL655384 OXC655384:OXH655384 PGY655384:PHD655384 PQU655384:PQZ655384 QAQ655384:QAV655384 QKM655384:QKR655384 QUI655384:QUN655384 REE655384:REJ655384 ROA655384:ROF655384 RXW655384:RYB655384 SHS655384:SHX655384 SRO655384:SRT655384 TBK655384:TBP655384 TLG655384:TLL655384 TVC655384:TVH655384 UEY655384:UFD655384 UOU655384:UOZ655384 UYQ655384:UYV655384 VIM655384:VIR655384 VSI655384:VSN655384 WCE655384:WCJ655384 WMA655384:WMF655384 WVW655384:WWB655384 E720920:J720920 JK720920:JP720920 TG720920:TL720920 ADC720920:ADH720920 AMY720920:AND720920 AWU720920:AWZ720920 BGQ720920:BGV720920 BQM720920:BQR720920 CAI720920:CAN720920 CKE720920:CKJ720920 CUA720920:CUF720920 DDW720920:DEB720920 DNS720920:DNX720920 DXO720920:DXT720920 EHK720920:EHP720920 ERG720920:ERL720920 FBC720920:FBH720920 FKY720920:FLD720920 FUU720920:FUZ720920 GEQ720920:GEV720920 GOM720920:GOR720920 GYI720920:GYN720920 HIE720920:HIJ720920 HSA720920:HSF720920 IBW720920:ICB720920 ILS720920:ILX720920 IVO720920:IVT720920 JFK720920:JFP720920 JPG720920:JPL720920 JZC720920:JZH720920 KIY720920:KJD720920 KSU720920:KSZ720920 LCQ720920:LCV720920 LMM720920:LMR720920 LWI720920:LWN720920 MGE720920:MGJ720920 MQA720920:MQF720920 MZW720920:NAB720920 NJS720920:NJX720920 NTO720920:NTT720920 ODK720920:ODP720920 ONG720920:ONL720920 OXC720920:OXH720920 PGY720920:PHD720920 PQU720920:PQZ720920 QAQ720920:QAV720920 QKM720920:QKR720920 QUI720920:QUN720920 REE720920:REJ720920 ROA720920:ROF720920 RXW720920:RYB720920 SHS720920:SHX720920 SRO720920:SRT720920 TBK720920:TBP720920 TLG720920:TLL720920 TVC720920:TVH720920 UEY720920:UFD720920 UOU720920:UOZ720920 UYQ720920:UYV720920 VIM720920:VIR720920 VSI720920:VSN720920 WCE720920:WCJ720920 WMA720920:WMF720920 WVW720920:WWB720920 E786456:J786456 JK786456:JP786456 TG786456:TL786456 ADC786456:ADH786456 AMY786456:AND786456 AWU786456:AWZ786456 BGQ786456:BGV786456 BQM786456:BQR786456 CAI786456:CAN786456 CKE786456:CKJ786456 CUA786456:CUF786456 DDW786456:DEB786456 DNS786456:DNX786456 DXO786456:DXT786456 EHK786456:EHP786456 ERG786456:ERL786456 FBC786456:FBH786456 FKY786456:FLD786456 FUU786456:FUZ786456 GEQ786456:GEV786456 GOM786456:GOR786456 GYI786456:GYN786456 HIE786456:HIJ786456 HSA786456:HSF786456 IBW786456:ICB786456 ILS786456:ILX786456 IVO786456:IVT786456 JFK786456:JFP786456 JPG786456:JPL786456 JZC786456:JZH786456 KIY786456:KJD786456 KSU786456:KSZ786456 LCQ786456:LCV786456 LMM786456:LMR786456 LWI786456:LWN786456 MGE786456:MGJ786456 MQA786456:MQF786456 MZW786456:NAB786456 NJS786456:NJX786456 NTO786456:NTT786456 ODK786456:ODP786456 ONG786456:ONL786456 OXC786456:OXH786456 PGY786456:PHD786456 PQU786456:PQZ786456 QAQ786456:QAV786456 QKM786456:QKR786456 QUI786456:QUN786456 REE786456:REJ786456 ROA786456:ROF786456 RXW786456:RYB786456 SHS786456:SHX786456 SRO786456:SRT786456 TBK786456:TBP786456 TLG786456:TLL786456 TVC786456:TVH786456 UEY786456:UFD786456 UOU786456:UOZ786456 UYQ786456:UYV786456 VIM786456:VIR786456 VSI786456:VSN786456 WCE786456:WCJ786456 WMA786456:WMF786456 WVW786456:WWB786456 E851992:J851992 JK851992:JP851992 TG851992:TL851992 ADC851992:ADH851992 AMY851992:AND851992 AWU851992:AWZ851992 BGQ851992:BGV851992 BQM851992:BQR851992 CAI851992:CAN851992 CKE851992:CKJ851992 CUA851992:CUF851992 DDW851992:DEB851992 DNS851992:DNX851992 DXO851992:DXT851992 EHK851992:EHP851992 ERG851992:ERL851992 FBC851992:FBH851992 FKY851992:FLD851992 FUU851992:FUZ851992 GEQ851992:GEV851992 GOM851992:GOR851992 GYI851992:GYN851992 HIE851992:HIJ851992 HSA851992:HSF851992 IBW851992:ICB851992 ILS851992:ILX851992 IVO851992:IVT851992 JFK851992:JFP851992 JPG851992:JPL851992 JZC851992:JZH851992 KIY851992:KJD851992 KSU851992:KSZ851992 LCQ851992:LCV851992 LMM851992:LMR851992 LWI851992:LWN851992 MGE851992:MGJ851992 MQA851992:MQF851992 MZW851992:NAB851992 NJS851992:NJX851992 NTO851992:NTT851992 ODK851992:ODP851992 ONG851992:ONL851992 OXC851992:OXH851992 PGY851992:PHD851992 PQU851992:PQZ851992 QAQ851992:QAV851992 QKM851992:QKR851992 QUI851992:QUN851992 REE851992:REJ851992 ROA851992:ROF851992 RXW851992:RYB851992 SHS851992:SHX851992 SRO851992:SRT851992 TBK851992:TBP851992 TLG851992:TLL851992 TVC851992:TVH851992 UEY851992:UFD851992 UOU851992:UOZ851992 UYQ851992:UYV851992 VIM851992:VIR851992 VSI851992:VSN851992 WCE851992:WCJ851992 WMA851992:WMF851992 WVW851992:WWB851992 E917528:J917528 JK917528:JP917528 TG917528:TL917528 ADC917528:ADH917528 AMY917528:AND917528 AWU917528:AWZ917528 BGQ917528:BGV917528 BQM917528:BQR917528 CAI917528:CAN917528 CKE917528:CKJ917528 CUA917528:CUF917528 DDW917528:DEB917528 DNS917528:DNX917528 DXO917528:DXT917528 EHK917528:EHP917528 ERG917528:ERL917528 FBC917528:FBH917528 FKY917528:FLD917528 FUU917528:FUZ917528 GEQ917528:GEV917528 GOM917528:GOR917528 GYI917528:GYN917528 HIE917528:HIJ917528 HSA917528:HSF917528 IBW917528:ICB917528 ILS917528:ILX917528 IVO917528:IVT917528 JFK917528:JFP917528 JPG917528:JPL917528 JZC917528:JZH917528 KIY917528:KJD917528 KSU917528:KSZ917528 LCQ917528:LCV917528 LMM917528:LMR917528 LWI917528:LWN917528 MGE917528:MGJ917528 MQA917528:MQF917528 MZW917528:NAB917528 NJS917528:NJX917528 NTO917528:NTT917528 ODK917528:ODP917528 ONG917528:ONL917528 OXC917528:OXH917528 PGY917528:PHD917528 PQU917528:PQZ917528 QAQ917528:QAV917528 QKM917528:QKR917528 QUI917528:QUN917528 REE917528:REJ917528 ROA917528:ROF917528 RXW917528:RYB917528 SHS917528:SHX917528 SRO917528:SRT917528 TBK917528:TBP917528 TLG917528:TLL917528 TVC917528:TVH917528 UEY917528:UFD917528 UOU917528:UOZ917528 UYQ917528:UYV917528 VIM917528:VIR917528 VSI917528:VSN917528 WCE917528:WCJ917528 WMA917528:WMF917528 WVW917528:WWB917528 E983064:J983064 JK983064:JP983064 TG983064:TL983064 ADC983064:ADH983064 AMY983064:AND983064 AWU983064:AWZ983064 BGQ983064:BGV983064 BQM983064:BQR983064 CAI983064:CAN983064 CKE983064:CKJ983064 CUA983064:CUF983064 DDW983064:DEB983064 DNS983064:DNX983064 DXO983064:DXT983064 EHK983064:EHP983064 ERG983064:ERL983064 FBC983064:FBH983064 FKY983064:FLD983064 FUU983064:FUZ983064 GEQ983064:GEV983064 GOM983064:GOR983064 GYI983064:GYN983064 HIE983064:HIJ983064 HSA983064:HSF983064 IBW983064:ICB983064 ILS983064:ILX983064 IVO983064:IVT983064 JFK983064:JFP983064 JPG983064:JPL983064 JZC983064:JZH983064 KIY983064:KJD983064 KSU983064:KSZ983064 LCQ983064:LCV983064 LMM983064:LMR983064 LWI983064:LWN983064 MGE983064:MGJ983064 MQA983064:MQF983064 MZW983064:NAB983064 NJS983064:NJX983064 NTO983064:NTT983064 ODK983064:ODP983064 ONG983064:ONL983064 OXC983064:OXH983064 PGY983064:PHD983064 PQU983064:PQZ983064 QAQ983064:QAV983064 QKM983064:QKR983064 QUI983064:QUN983064 REE983064:REJ983064 ROA983064:ROF983064 RXW983064:RYB983064 SHS983064:SHX983064 SRO983064:SRT983064 TBK983064:TBP983064 TLG983064:TLL983064 TVC983064:TVH983064 UEY983064:UFD983064 UOU983064:UOZ983064 UYQ983064:UYV983064 VIM983064:VIR983064 VSI983064:VSN983064 WCE983064:WCJ983064 WMA983064:WMF983064">
      <formula1>$DO$8:$DO$10</formula1>
    </dataValidation>
    <dataValidation type="list" allowBlank="1" showInputMessage="1" showErrorMessage="1" sqref="WVZ983087:WWB983087 JN47:JP48 TJ47:TL48 ADF47:ADH48 ANB47:AND48 AWX47:AWZ48 BGT47:BGV48 BQP47:BQR48 CAL47:CAN48 CKH47:CKJ48 CUD47:CUF48 DDZ47:DEB48 DNV47:DNX48 DXR47:DXT48 EHN47:EHP48 ERJ47:ERL48 FBF47:FBH48 FLB47:FLD48 FUX47:FUZ48 GET47:GEV48 GOP47:GOR48 GYL47:GYN48 HIH47:HIJ48 HSD47:HSF48 IBZ47:ICB48 ILV47:ILX48 IVR47:IVT48 JFN47:JFP48 JPJ47:JPL48 JZF47:JZH48 KJB47:KJD48 KSX47:KSZ48 LCT47:LCV48 LMP47:LMR48 LWL47:LWN48 MGH47:MGJ48 MQD47:MQF48 MZZ47:NAB48 NJV47:NJX48 NTR47:NTT48 ODN47:ODP48 ONJ47:ONL48 OXF47:OXH48 PHB47:PHD48 PQX47:PQZ48 QAT47:QAV48 QKP47:QKR48 QUL47:QUN48 REH47:REJ48 ROD47:ROF48 RXZ47:RYB48 SHV47:SHX48 SRR47:SRT48 TBN47:TBP48 TLJ47:TLL48 TVF47:TVH48 UFB47:UFD48 UOX47:UOZ48 UYT47:UYV48 VIP47:VIR48 VSL47:VSN48 WCH47:WCJ48 WMD47:WMF48 WVZ47:WWB48 H65583:J65583 JN65583:JP65583 TJ65583:TL65583 ADF65583:ADH65583 ANB65583:AND65583 AWX65583:AWZ65583 BGT65583:BGV65583 BQP65583:BQR65583 CAL65583:CAN65583 CKH65583:CKJ65583 CUD65583:CUF65583 DDZ65583:DEB65583 DNV65583:DNX65583 DXR65583:DXT65583 EHN65583:EHP65583 ERJ65583:ERL65583 FBF65583:FBH65583 FLB65583:FLD65583 FUX65583:FUZ65583 GET65583:GEV65583 GOP65583:GOR65583 GYL65583:GYN65583 HIH65583:HIJ65583 HSD65583:HSF65583 IBZ65583:ICB65583 ILV65583:ILX65583 IVR65583:IVT65583 JFN65583:JFP65583 JPJ65583:JPL65583 JZF65583:JZH65583 KJB65583:KJD65583 KSX65583:KSZ65583 LCT65583:LCV65583 LMP65583:LMR65583 LWL65583:LWN65583 MGH65583:MGJ65583 MQD65583:MQF65583 MZZ65583:NAB65583 NJV65583:NJX65583 NTR65583:NTT65583 ODN65583:ODP65583 ONJ65583:ONL65583 OXF65583:OXH65583 PHB65583:PHD65583 PQX65583:PQZ65583 QAT65583:QAV65583 QKP65583:QKR65583 QUL65583:QUN65583 REH65583:REJ65583 ROD65583:ROF65583 RXZ65583:RYB65583 SHV65583:SHX65583 SRR65583:SRT65583 TBN65583:TBP65583 TLJ65583:TLL65583 TVF65583:TVH65583 UFB65583:UFD65583 UOX65583:UOZ65583 UYT65583:UYV65583 VIP65583:VIR65583 VSL65583:VSN65583 WCH65583:WCJ65583 WMD65583:WMF65583 WVZ65583:WWB65583 H131119:J131119 JN131119:JP131119 TJ131119:TL131119 ADF131119:ADH131119 ANB131119:AND131119 AWX131119:AWZ131119 BGT131119:BGV131119 BQP131119:BQR131119 CAL131119:CAN131119 CKH131119:CKJ131119 CUD131119:CUF131119 DDZ131119:DEB131119 DNV131119:DNX131119 DXR131119:DXT131119 EHN131119:EHP131119 ERJ131119:ERL131119 FBF131119:FBH131119 FLB131119:FLD131119 FUX131119:FUZ131119 GET131119:GEV131119 GOP131119:GOR131119 GYL131119:GYN131119 HIH131119:HIJ131119 HSD131119:HSF131119 IBZ131119:ICB131119 ILV131119:ILX131119 IVR131119:IVT131119 JFN131119:JFP131119 JPJ131119:JPL131119 JZF131119:JZH131119 KJB131119:KJD131119 KSX131119:KSZ131119 LCT131119:LCV131119 LMP131119:LMR131119 LWL131119:LWN131119 MGH131119:MGJ131119 MQD131119:MQF131119 MZZ131119:NAB131119 NJV131119:NJX131119 NTR131119:NTT131119 ODN131119:ODP131119 ONJ131119:ONL131119 OXF131119:OXH131119 PHB131119:PHD131119 PQX131119:PQZ131119 QAT131119:QAV131119 QKP131119:QKR131119 QUL131119:QUN131119 REH131119:REJ131119 ROD131119:ROF131119 RXZ131119:RYB131119 SHV131119:SHX131119 SRR131119:SRT131119 TBN131119:TBP131119 TLJ131119:TLL131119 TVF131119:TVH131119 UFB131119:UFD131119 UOX131119:UOZ131119 UYT131119:UYV131119 VIP131119:VIR131119 VSL131119:VSN131119 WCH131119:WCJ131119 WMD131119:WMF131119 WVZ131119:WWB131119 H196655:J196655 JN196655:JP196655 TJ196655:TL196655 ADF196655:ADH196655 ANB196655:AND196655 AWX196655:AWZ196655 BGT196655:BGV196655 BQP196655:BQR196655 CAL196655:CAN196655 CKH196655:CKJ196655 CUD196655:CUF196655 DDZ196655:DEB196655 DNV196655:DNX196655 DXR196655:DXT196655 EHN196655:EHP196655 ERJ196655:ERL196655 FBF196655:FBH196655 FLB196655:FLD196655 FUX196655:FUZ196655 GET196655:GEV196655 GOP196655:GOR196655 GYL196655:GYN196655 HIH196655:HIJ196655 HSD196655:HSF196655 IBZ196655:ICB196655 ILV196655:ILX196655 IVR196655:IVT196655 JFN196655:JFP196655 JPJ196655:JPL196655 JZF196655:JZH196655 KJB196655:KJD196655 KSX196655:KSZ196655 LCT196655:LCV196655 LMP196655:LMR196655 LWL196655:LWN196655 MGH196655:MGJ196655 MQD196655:MQF196655 MZZ196655:NAB196655 NJV196655:NJX196655 NTR196655:NTT196655 ODN196655:ODP196655 ONJ196655:ONL196655 OXF196655:OXH196655 PHB196655:PHD196655 PQX196655:PQZ196655 QAT196655:QAV196655 QKP196655:QKR196655 QUL196655:QUN196655 REH196655:REJ196655 ROD196655:ROF196655 RXZ196655:RYB196655 SHV196655:SHX196655 SRR196655:SRT196655 TBN196655:TBP196655 TLJ196655:TLL196655 TVF196655:TVH196655 UFB196655:UFD196655 UOX196655:UOZ196655 UYT196655:UYV196655 VIP196655:VIR196655 VSL196655:VSN196655 WCH196655:WCJ196655 WMD196655:WMF196655 WVZ196655:WWB196655 H262191:J262191 JN262191:JP262191 TJ262191:TL262191 ADF262191:ADH262191 ANB262191:AND262191 AWX262191:AWZ262191 BGT262191:BGV262191 BQP262191:BQR262191 CAL262191:CAN262191 CKH262191:CKJ262191 CUD262191:CUF262191 DDZ262191:DEB262191 DNV262191:DNX262191 DXR262191:DXT262191 EHN262191:EHP262191 ERJ262191:ERL262191 FBF262191:FBH262191 FLB262191:FLD262191 FUX262191:FUZ262191 GET262191:GEV262191 GOP262191:GOR262191 GYL262191:GYN262191 HIH262191:HIJ262191 HSD262191:HSF262191 IBZ262191:ICB262191 ILV262191:ILX262191 IVR262191:IVT262191 JFN262191:JFP262191 JPJ262191:JPL262191 JZF262191:JZH262191 KJB262191:KJD262191 KSX262191:KSZ262191 LCT262191:LCV262191 LMP262191:LMR262191 LWL262191:LWN262191 MGH262191:MGJ262191 MQD262191:MQF262191 MZZ262191:NAB262191 NJV262191:NJX262191 NTR262191:NTT262191 ODN262191:ODP262191 ONJ262191:ONL262191 OXF262191:OXH262191 PHB262191:PHD262191 PQX262191:PQZ262191 QAT262191:QAV262191 QKP262191:QKR262191 QUL262191:QUN262191 REH262191:REJ262191 ROD262191:ROF262191 RXZ262191:RYB262191 SHV262191:SHX262191 SRR262191:SRT262191 TBN262191:TBP262191 TLJ262191:TLL262191 TVF262191:TVH262191 UFB262191:UFD262191 UOX262191:UOZ262191 UYT262191:UYV262191 VIP262191:VIR262191 VSL262191:VSN262191 WCH262191:WCJ262191 WMD262191:WMF262191 WVZ262191:WWB262191 H327727:J327727 JN327727:JP327727 TJ327727:TL327727 ADF327727:ADH327727 ANB327727:AND327727 AWX327727:AWZ327727 BGT327727:BGV327727 BQP327727:BQR327727 CAL327727:CAN327727 CKH327727:CKJ327727 CUD327727:CUF327727 DDZ327727:DEB327727 DNV327727:DNX327727 DXR327727:DXT327727 EHN327727:EHP327727 ERJ327727:ERL327727 FBF327727:FBH327727 FLB327727:FLD327727 FUX327727:FUZ327727 GET327727:GEV327727 GOP327727:GOR327727 GYL327727:GYN327727 HIH327727:HIJ327727 HSD327727:HSF327727 IBZ327727:ICB327727 ILV327727:ILX327727 IVR327727:IVT327727 JFN327727:JFP327727 JPJ327727:JPL327727 JZF327727:JZH327727 KJB327727:KJD327727 KSX327727:KSZ327727 LCT327727:LCV327727 LMP327727:LMR327727 LWL327727:LWN327727 MGH327727:MGJ327727 MQD327727:MQF327727 MZZ327727:NAB327727 NJV327727:NJX327727 NTR327727:NTT327727 ODN327727:ODP327727 ONJ327727:ONL327727 OXF327727:OXH327727 PHB327727:PHD327727 PQX327727:PQZ327727 QAT327727:QAV327727 QKP327727:QKR327727 QUL327727:QUN327727 REH327727:REJ327727 ROD327727:ROF327727 RXZ327727:RYB327727 SHV327727:SHX327727 SRR327727:SRT327727 TBN327727:TBP327727 TLJ327727:TLL327727 TVF327727:TVH327727 UFB327727:UFD327727 UOX327727:UOZ327727 UYT327727:UYV327727 VIP327727:VIR327727 VSL327727:VSN327727 WCH327727:WCJ327727 WMD327727:WMF327727 WVZ327727:WWB327727 H393263:J393263 JN393263:JP393263 TJ393263:TL393263 ADF393263:ADH393263 ANB393263:AND393263 AWX393263:AWZ393263 BGT393263:BGV393263 BQP393263:BQR393263 CAL393263:CAN393263 CKH393263:CKJ393263 CUD393263:CUF393263 DDZ393263:DEB393263 DNV393263:DNX393263 DXR393263:DXT393263 EHN393263:EHP393263 ERJ393263:ERL393263 FBF393263:FBH393263 FLB393263:FLD393263 FUX393263:FUZ393263 GET393263:GEV393263 GOP393263:GOR393263 GYL393263:GYN393263 HIH393263:HIJ393263 HSD393263:HSF393263 IBZ393263:ICB393263 ILV393263:ILX393263 IVR393263:IVT393263 JFN393263:JFP393263 JPJ393263:JPL393263 JZF393263:JZH393263 KJB393263:KJD393263 KSX393263:KSZ393263 LCT393263:LCV393263 LMP393263:LMR393263 LWL393263:LWN393263 MGH393263:MGJ393263 MQD393263:MQF393263 MZZ393263:NAB393263 NJV393263:NJX393263 NTR393263:NTT393263 ODN393263:ODP393263 ONJ393263:ONL393263 OXF393263:OXH393263 PHB393263:PHD393263 PQX393263:PQZ393263 QAT393263:QAV393263 QKP393263:QKR393263 QUL393263:QUN393263 REH393263:REJ393263 ROD393263:ROF393263 RXZ393263:RYB393263 SHV393263:SHX393263 SRR393263:SRT393263 TBN393263:TBP393263 TLJ393263:TLL393263 TVF393263:TVH393263 UFB393263:UFD393263 UOX393263:UOZ393263 UYT393263:UYV393263 VIP393263:VIR393263 VSL393263:VSN393263 WCH393263:WCJ393263 WMD393263:WMF393263 WVZ393263:WWB393263 H458799:J458799 JN458799:JP458799 TJ458799:TL458799 ADF458799:ADH458799 ANB458799:AND458799 AWX458799:AWZ458799 BGT458799:BGV458799 BQP458799:BQR458799 CAL458799:CAN458799 CKH458799:CKJ458799 CUD458799:CUF458799 DDZ458799:DEB458799 DNV458799:DNX458799 DXR458799:DXT458799 EHN458799:EHP458799 ERJ458799:ERL458799 FBF458799:FBH458799 FLB458799:FLD458799 FUX458799:FUZ458799 GET458799:GEV458799 GOP458799:GOR458799 GYL458799:GYN458799 HIH458799:HIJ458799 HSD458799:HSF458799 IBZ458799:ICB458799 ILV458799:ILX458799 IVR458799:IVT458799 JFN458799:JFP458799 JPJ458799:JPL458799 JZF458799:JZH458799 KJB458799:KJD458799 KSX458799:KSZ458799 LCT458799:LCV458799 LMP458799:LMR458799 LWL458799:LWN458799 MGH458799:MGJ458799 MQD458799:MQF458799 MZZ458799:NAB458799 NJV458799:NJX458799 NTR458799:NTT458799 ODN458799:ODP458799 ONJ458799:ONL458799 OXF458799:OXH458799 PHB458799:PHD458799 PQX458799:PQZ458799 QAT458799:QAV458799 QKP458799:QKR458799 QUL458799:QUN458799 REH458799:REJ458799 ROD458799:ROF458799 RXZ458799:RYB458799 SHV458799:SHX458799 SRR458799:SRT458799 TBN458799:TBP458799 TLJ458799:TLL458799 TVF458799:TVH458799 UFB458799:UFD458799 UOX458799:UOZ458799 UYT458799:UYV458799 VIP458799:VIR458799 VSL458799:VSN458799 WCH458799:WCJ458799 WMD458799:WMF458799 WVZ458799:WWB458799 H524335:J524335 JN524335:JP524335 TJ524335:TL524335 ADF524335:ADH524335 ANB524335:AND524335 AWX524335:AWZ524335 BGT524335:BGV524335 BQP524335:BQR524335 CAL524335:CAN524335 CKH524335:CKJ524335 CUD524335:CUF524335 DDZ524335:DEB524335 DNV524335:DNX524335 DXR524335:DXT524335 EHN524335:EHP524335 ERJ524335:ERL524335 FBF524335:FBH524335 FLB524335:FLD524335 FUX524335:FUZ524335 GET524335:GEV524335 GOP524335:GOR524335 GYL524335:GYN524335 HIH524335:HIJ524335 HSD524335:HSF524335 IBZ524335:ICB524335 ILV524335:ILX524335 IVR524335:IVT524335 JFN524335:JFP524335 JPJ524335:JPL524335 JZF524335:JZH524335 KJB524335:KJD524335 KSX524335:KSZ524335 LCT524335:LCV524335 LMP524335:LMR524335 LWL524335:LWN524335 MGH524335:MGJ524335 MQD524335:MQF524335 MZZ524335:NAB524335 NJV524335:NJX524335 NTR524335:NTT524335 ODN524335:ODP524335 ONJ524335:ONL524335 OXF524335:OXH524335 PHB524335:PHD524335 PQX524335:PQZ524335 QAT524335:QAV524335 QKP524335:QKR524335 QUL524335:QUN524335 REH524335:REJ524335 ROD524335:ROF524335 RXZ524335:RYB524335 SHV524335:SHX524335 SRR524335:SRT524335 TBN524335:TBP524335 TLJ524335:TLL524335 TVF524335:TVH524335 UFB524335:UFD524335 UOX524335:UOZ524335 UYT524335:UYV524335 VIP524335:VIR524335 VSL524335:VSN524335 WCH524335:WCJ524335 WMD524335:WMF524335 WVZ524335:WWB524335 H589871:J589871 JN589871:JP589871 TJ589871:TL589871 ADF589871:ADH589871 ANB589871:AND589871 AWX589871:AWZ589871 BGT589871:BGV589871 BQP589871:BQR589871 CAL589871:CAN589871 CKH589871:CKJ589871 CUD589871:CUF589871 DDZ589871:DEB589871 DNV589871:DNX589871 DXR589871:DXT589871 EHN589871:EHP589871 ERJ589871:ERL589871 FBF589871:FBH589871 FLB589871:FLD589871 FUX589871:FUZ589871 GET589871:GEV589871 GOP589871:GOR589871 GYL589871:GYN589871 HIH589871:HIJ589871 HSD589871:HSF589871 IBZ589871:ICB589871 ILV589871:ILX589871 IVR589871:IVT589871 JFN589871:JFP589871 JPJ589871:JPL589871 JZF589871:JZH589871 KJB589871:KJD589871 KSX589871:KSZ589871 LCT589871:LCV589871 LMP589871:LMR589871 LWL589871:LWN589871 MGH589871:MGJ589871 MQD589871:MQF589871 MZZ589871:NAB589871 NJV589871:NJX589871 NTR589871:NTT589871 ODN589871:ODP589871 ONJ589871:ONL589871 OXF589871:OXH589871 PHB589871:PHD589871 PQX589871:PQZ589871 QAT589871:QAV589871 QKP589871:QKR589871 QUL589871:QUN589871 REH589871:REJ589871 ROD589871:ROF589871 RXZ589871:RYB589871 SHV589871:SHX589871 SRR589871:SRT589871 TBN589871:TBP589871 TLJ589871:TLL589871 TVF589871:TVH589871 UFB589871:UFD589871 UOX589871:UOZ589871 UYT589871:UYV589871 VIP589871:VIR589871 VSL589871:VSN589871 WCH589871:WCJ589871 WMD589871:WMF589871 WVZ589871:WWB589871 H655407:J655407 JN655407:JP655407 TJ655407:TL655407 ADF655407:ADH655407 ANB655407:AND655407 AWX655407:AWZ655407 BGT655407:BGV655407 BQP655407:BQR655407 CAL655407:CAN655407 CKH655407:CKJ655407 CUD655407:CUF655407 DDZ655407:DEB655407 DNV655407:DNX655407 DXR655407:DXT655407 EHN655407:EHP655407 ERJ655407:ERL655407 FBF655407:FBH655407 FLB655407:FLD655407 FUX655407:FUZ655407 GET655407:GEV655407 GOP655407:GOR655407 GYL655407:GYN655407 HIH655407:HIJ655407 HSD655407:HSF655407 IBZ655407:ICB655407 ILV655407:ILX655407 IVR655407:IVT655407 JFN655407:JFP655407 JPJ655407:JPL655407 JZF655407:JZH655407 KJB655407:KJD655407 KSX655407:KSZ655407 LCT655407:LCV655407 LMP655407:LMR655407 LWL655407:LWN655407 MGH655407:MGJ655407 MQD655407:MQF655407 MZZ655407:NAB655407 NJV655407:NJX655407 NTR655407:NTT655407 ODN655407:ODP655407 ONJ655407:ONL655407 OXF655407:OXH655407 PHB655407:PHD655407 PQX655407:PQZ655407 QAT655407:QAV655407 QKP655407:QKR655407 QUL655407:QUN655407 REH655407:REJ655407 ROD655407:ROF655407 RXZ655407:RYB655407 SHV655407:SHX655407 SRR655407:SRT655407 TBN655407:TBP655407 TLJ655407:TLL655407 TVF655407:TVH655407 UFB655407:UFD655407 UOX655407:UOZ655407 UYT655407:UYV655407 VIP655407:VIR655407 VSL655407:VSN655407 WCH655407:WCJ655407 WMD655407:WMF655407 WVZ655407:WWB655407 H720943:J720943 JN720943:JP720943 TJ720943:TL720943 ADF720943:ADH720943 ANB720943:AND720943 AWX720943:AWZ720943 BGT720943:BGV720943 BQP720943:BQR720943 CAL720943:CAN720943 CKH720943:CKJ720943 CUD720943:CUF720943 DDZ720943:DEB720943 DNV720943:DNX720943 DXR720943:DXT720943 EHN720943:EHP720943 ERJ720943:ERL720943 FBF720943:FBH720943 FLB720943:FLD720943 FUX720943:FUZ720943 GET720943:GEV720943 GOP720943:GOR720943 GYL720943:GYN720943 HIH720943:HIJ720943 HSD720943:HSF720943 IBZ720943:ICB720943 ILV720943:ILX720943 IVR720943:IVT720943 JFN720943:JFP720943 JPJ720943:JPL720943 JZF720943:JZH720943 KJB720943:KJD720943 KSX720943:KSZ720943 LCT720943:LCV720943 LMP720943:LMR720943 LWL720943:LWN720943 MGH720943:MGJ720943 MQD720943:MQF720943 MZZ720943:NAB720943 NJV720943:NJX720943 NTR720943:NTT720943 ODN720943:ODP720943 ONJ720943:ONL720943 OXF720943:OXH720943 PHB720943:PHD720943 PQX720943:PQZ720943 QAT720943:QAV720943 QKP720943:QKR720943 QUL720943:QUN720943 REH720943:REJ720943 ROD720943:ROF720943 RXZ720943:RYB720943 SHV720943:SHX720943 SRR720943:SRT720943 TBN720943:TBP720943 TLJ720943:TLL720943 TVF720943:TVH720943 UFB720943:UFD720943 UOX720943:UOZ720943 UYT720943:UYV720943 VIP720943:VIR720943 VSL720943:VSN720943 WCH720943:WCJ720943 WMD720943:WMF720943 WVZ720943:WWB720943 H786479:J786479 JN786479:JP786479 TJ786479:TL786479 ADF786479:ADH786479 ANB786479:AND786479 AWX786479:AWZ786479 BGT786479:BGV786479 BQP786479:BQR786479 CAL786479:CAN786479 CKH786479:CKJ786479 CUD786479:CUF786479 DDZ786479:DEB786479 DNV786479:DNX786479 DXR786479:DXT786479 EHN786479:EHP786479 ERJ786479:ERL786479 FBF786479:FBH786479 FLB786479:FLD786479 FUX786479:FUZ786479 GET786479:GEV786479 GOP786479:GOR786479 GYL786479:GYN786479 HIH786479:HIJ786479 HSD786479:HSF786479 IBZ786479:ICB786479 ILV786479:ILX786479 IVR786479:IVT786479 JFN786479:JFP786479 JPJ786479:JPL786479 JZF786479:JZH786479 KJB786479:KJD786479 KSX786479:KSZ786479 LCT786479:LCV786479 LMP786479:LMR786479 LWL786479:LWN786479 MGH786479:MGJ786479 MQD786479:MQF786479 MZZ786479:NAB786479 NJV786479:NJX786479 NTR786479:NTT786479 ODN786479:ODP786479 ONJ786479:ONL786479 OXF786479:OXH786479 PHB786479:PHD786479 PQX786479:PQZ786479 QAT786479:QAV786479 QKP786479:QKR786479 QUL786479:QUN786479 REH786479:REJ786479 ROD786479:ROF786479 RXZ786479:RYB786479 SHV786479:SHX786479 SRR786479:SRT786479 TBN786479:TBP786479 TLJ786479:TLL786479 TVF786479:TVH786479 UFB786479:UFD786479 UOX786479:UOZ786479 UYT786479:UYV786479 VIP786479:VIR786479 VSL786479:VSN786479 WCH786479:WCJ786479 WMD786479:WMF786479 WVZ786479:WWB786479 H852015:J852015 JN852015:JP852015 TJ852015:TL852015 ADF852015:ADH852015 ANB852015:AND852015 AWX852015:AWZ852015 BGT852015:BGV852015 BQP852015:BQR852015 CAL852015:CAN852015 CKH852015:CKJ852015 CUD852015:CUF852015 DDZ852015:DEB852015 DNV852015:DNX852015 DXR852015:DXT852015 EHN852015:EHP852015 ERJ852015:ERL852015 FBF852015:FBH852015 FLB852015:FLD852015 FUX852015:FUZ852015 GET852015:GEV852015 GOP852015:GOR852015 GYL852015:GYN852015 HIH852015:HIJ852015 HSD852015:HSF852015 IBZ852015:ICB852015 ILV852015:ILX852015 IVR852015:IVT852015 JFN852015:JFP852015 JPJ852015:JPL852015 JZF852015:JZH852015 KJB852015:KJD852015 KSX852015:KSZ852015 LCT852015:LCV852015 LMP852015:LMR852015 LWL852015:LWN852015 MGH852015:MGJ852015 MQD852015:MQF852015 MZZ852015:NAB852015 NJV852015:NJX852015 NTR852015:NTT852015 ODN852015:ODP852015 ONJ852015:ONL852015 OXF852015:OXH852015 PHB852015:PHD852015 PQX852015:PQZ852015 QAT852015:QAV852015 QKP852015:QKR852015 QUL852015:QUN852015 REH852015:REJ852015 ROD852015:ROF852015 RXZ852015:RYB852015 SHV852015:SHX852015 SRR852015:SRT852015 TBN852015:TBP852015 TLJ852015:TLL852015 TVF852015:TVH852015 UFB852015:UFD852015 UOX852015:UOZ852015 UYT852015:UYV852015 VIP852015:VIR852015 VSL852015:VSN852015 WCH852015:WCJ852015 WMD852015:WMF852015 WVZ852015:WWB852015 H917551:J917551 JN917551:JP917551 TJ917551:TL917551 ADF917551:ADH917551 ANB917551:AND917551 AWX917551:AWZ917551 BGT917551:BGV917551 BQP917551:BQR917551 CAL917551:CAN917551 CKH917551:CKJ917551 CUD917551:CUF917551 DDZ917551:DEB917551 DNV917551:DNX917551 DXR917551:DXT917551 EHN917551:EHP917551 ERJ917551:ERL917551 FBF917551:FBH917551 FLB917551:FLD917551 FUX917551:FUZ917551 GET917551:GEV917551 GOP917551:GOR917551 GYL917551:GYN917551 HIH917551:HIJ917551 HSD917551:HSF917551 IBZ917551:ICB917551 ILV917551:ILX917551 IVR917551:IVT917551 JFN917551:JFP917551 JPJ917551:JPL917551 JZF917551:JZH917551 KJB917551:KJD917551 KSX917551:KSZ917551 LCT917551:LCV917551 LMP917551:LMR917551 LWL917551:LWN917551 MGH917551:MGJ917551 MQD917551:MQF917551 MZZ917551:NAB917551 NJV917551:NJX917551 NTR917551:NTT917551 ODN917551:ODP917551 ONJ917551:ONL917551 OXF917551:OXH917551 PHB917551:PHD917551 PQX917551:PQZ917551 QAT917551:QAV917551 QKP917551:QKR917551 QUL917551:QUN917551 REH917551:REJ917551 ROD917551:ROF917551 RXZ917551:RYB917551 SHV917551:SHX917551 SRR917551:SRT917551 TBN917551:TBP917551 TLJ917551:TLL917551 TVF917551:TVH917551 UFB917551:UFD917551 UOX917551:UOZ917551 UYT917551:UYV917551 VIP917551:VIR917551 VSL917551:VSN917551 WCH917551:WCJ917551 WMD917551:WMF917551 WVZ917551:WWB917551 H983087:J983087 JN983087:JP983087 TJ983087:TL983087 ADF983087:ADH983087 ANB983087:AND983087 AWX983087:AWZ983087 BGT983087:BGV983087 BQP983087:BQR983087 CAL983087:CAN983087 CKH983087:CKJ983087 CUD983087:CUF983087 DDZ983087:DEB983087 DNV983087:DNX983087 DXR983087:DXT983087 EHN983087:EHP983087 ERJ983087:ERL983087 FBF983087:FBH983087 FLB983087:FLD983087 FUX983087:FUZ983087 GET983087:GEV983087 GOP983087:GOR983087 GYL983087:GYN983087 HIH983087:HIJ983087 HSD983087:HSF983087 IBZ983087:ICB983087 ILV983087:ILX983087 IVR983087:IVT983087 JFN983087:JFP983087 JPJ983087:JPL983087 JZF983087:JZH983087 KJB983087:KJD983087 KSX983087:KSZ983087 LCT983087:LCV983087 LMP983087:LMR983087 LWL983087:LWN983087 MGH983087:MGJ983087 MQD983087:MQF983087 MZZ983087:NAB983087 NJV983087:NJX983087 NTR983087:NTT983087 ODN983087:ODP983087 ONJ983087:ONL983087 OXF983087:OXH983087 PHB983087:PHD983087 PQX983087:PQZ983087 QAT983087:QAV983087 QKP983087:QKR983087 QUL983087:QUN983087 REH983087:REJ983087 ROD983087:ROF983087 RXZ983087:RYB983087 SHV983087:SHX983087 SRR983087:SRT983087 TBN983087:TBP983087 TLJ983087:TLL983087 TVF983087:TVH983087 UFB983087:UFD983087 UOX983087:UOZ983087 UYT983087:UYV983087 VIP983087:VIR983087 VSL983087:VSN983087 WCH983087:WCJ983087 WMD983087:WMF983087">
      <formula1>$DH$9:$DH$10</formula1>
    </dataValidation>
    <dataValidation type="list" allowBlank="1" showInputMessage="1" showErrorMessage="1" sqref="WVZ983083:WWB983083 JN43:JP43 TJ43:TL43 ADF43:ADH43 ANB43:AND43 AWX43:AWZ43 BGT43:BGV43 BQP43:BQR43 CAL43:CAN43 CKH43:CKJ43 CUD43:CUF43 DDZ43:DEB43 DNV43:DNX43 DXR43:DXT43 EHN43:EHP43 ERJ43:ERL43 FBF43:FBH43 FLB43:FLD43 FUX43:FUZ43 GET43:GEV43 GOP43:GOR43 GYL43:GYN43 HIH43:HIJ43 HSD43:HSF43 IBZ43:ICB43 ILV43:ILX43 IVR43:IVT43 JFN43:JFP43 JPJ43:JPL43 JZF43:JZH43 KJB43:KJD43 KSX43:KSZ43 LCT43:LCV43 LMP43:LMR43 LWL43:LWN43 MGH43:MGJ43 MQD43:MQF43 MZZ43:NAB43 NJV43:NJX43 NTR43:NTT43 ODN43:ODP43 ONJ43:ONL43 OXF43:OXH43 PHB43:PHD43 PQX43:PQZ43 QAT43:QAV43 QKP43:QKR43 QUL43:QUN43 REH43:REJ43 ROD43:ROF43 RXZ43:RYB43 SHV43:SHX43 SRR43:SRT43 TBN43:TBP43 TLJ43:TLL43 TVF43:TVH43 UFB43:UFD43 UOX43:UOZ43 UYT43:UYV43 VIP43:VIR43 VSL43:VSN43 WCH43:WCJ43 WMD43:WMF43 WVZ43:WWB43 H65579:J65579 JN65579:JP65579 TJ65579:TL65579 ADF65579:ADH65579 ANB65579:AND65579 AWX65579:AWZ65579 BGT65579:BGV65579 BQP65579:BQR65579 CAL65579:CAN65579 CKH65579:CKJ65579 CUD65579:CUF65579 DDZ65579:DEB65579 DNV65579:DNX65579 DXR65579:DXT65579 EHN65579:EHP65579 ERJ65579:ERL65579 FBF65579:FBH65579 FLB65579:FLD65579 FUX65579:FUZ65579 GET65579:GEV65579 GOP65579:GOR65579 GYL65579:GYN65579 HIH65579:HIJ65579 HSD65579:HSF65579 IBZ65579:ICB65579 ILV65579:ILX65579 IVR65579:IVT65579 JFN65579:JFP65579 JPJ65579:JPL65579 JZF65579:JZH65579 KJB65579:KJD65579 KSX65579:KSZ65579 LCT65579:LCV65579 LMP65579:LMR65579 LWL65579:LWN65579 MGH65579:MGJ65579 MQD65579:MQF65579 MZZ65579:NAB65579 NJV65579:NJX65579 NTR65579:NTT65579 ODN65579:ODP65579 ONJ65579:ONL65579 OXF65579:OXH65579 PHB65579:PHD65579 PQX65579:PQZ65579 QAT65579:QAV65579 QKP65579:QKR65579 QUL65579:QUN65579 REH65579:REJ65579 ROD65579:ROF65579 RXZ65579:RYB65579 SHV65579:SHX65579 SRR65579:SRT65579 TBN65579:TBP65579 TLJ65579:TLL65579 TVF65579:TVH65579 UFB65579:UFD65579 UOX65579:UOZ65579 UYT65579:UYV65579 VIP65579:VIR65579 VSL65579:VSN65579 WCH65579:WCJ65579 WMD65579:WMF65579 WVZ65579:WWB65579 H131115:J131115 JN131115:JP131115 TJ131115:TL131115 ADF131115:ADH131115 ANB131115:AND131115 AWX131115:AWZ131115 BGT131115:BGV131115 BQP131115:BQR131115 CAL131115:CAN131115 CKH131115:CKJ131115 CUD131115:CUF131115 DDZ131115:DEB131115 DNV131115:DNX131115 DXR131115:DXT131115 EHN131115:EHP131115 ERJ131115:ERL131115 FBF131115:FBH131115 FLB131115:FLD131115 FUX131115:FUZ131115 GET131115:GEV131115 GOP131115:GOR131115 GYL131115:GYN131115 HIH131115:HIJ131115 HSD131115:HSF131115 IBZ131115:ICB131115 ILV131115:ILX131115 IVR131115:IVT131115 JFN131115:JFP131115 JPJ131115:JPL131115 JZF131115:JZH131115 KJB131115:KJD131115 KSX131115:KSZ131115 LCT131115:LCV131115 LMP131115:LMR131115 LWL131115:LWN131115 MGH131115:MGJ131115 MQD131115:MQF131115 MZZ131115:NAB131115 NJV131115:NJX131115 NTR131115:NTT131115 ODN131115:ODP131115 ONJ131115:ONL131115 OXF131115:OXH131115 PHB131115:PHD131115 PQX131115:PQZ131115 QAT131115:QAV131115 QKP131115:QKR131115 QUL131115:QUN131115 REH131115:REJ131115 ROD131115:ROF131115 RXZ131115:RYB131115 SHV131115:SHX131115 SRR131115:SRT131115 TBN131115:TBP131115 TLJ131115:TLL131115 TVF131115:TVH131115 UFB131115:UFD131115 UOX131115:UOZ131115 UYT131115:UYV131115 VIP131115:VIR131115 VSL131115:VSN131115 WCH131115:WCJ131115 WMD131115:WMF131115 WVZ131115:WWB131115 H196651:J196651 JN196651:JP196651 TJ196651:TL196651 ADF196651:ADH196651 ANB196651:AND196651 AWX196651:AWZ196651 BGT196651:BGV196651 BQP196651:BQR196651 CAL196651:CAN196651 CKH196651:CKJ196651 CUD196651:CUF196651 DDZ196651:DEB196651 DNV196651:DNX196651 DXR196651:DXT196651 EHN196651:EHP196651 ERJ196651:ERL196651 FBF196651:FBH196651 FLB196651:FLD196651 FUX196651:FUZ196651 GET196651:GEV196651 GOP196651:GOR196651 GYL196651:GYN196651 HIH196651:HIJ196651 HSD196651:HSF196651 IBZ196651:ICB196651 ILV196651:ILX196651 IVR196651:IVT196651 JFN196651:JFP196651 JPJ196651:JPL196651 JZF196651:JZH196651 KJB196651:KJD196651 KSX196651:KSZ196651 LCT196651:LCV196651 LMP196651:LMR196651 LWL196651:LWN196651 MGH196651:MGJ196651 MQD196651:MQF196651 MZZ196651:NAB196651 NJV196651:NJX196651 NTR196651:NTT196651 ODN196651:ODP196651 ONJ196651:ONL196651 OXF196651:OXH196651 PHB196651:PHD196651 PQX196651:PQZ196651 QAT196651:QAV196651 QKP196651:QKR196651 QUL196651:QUN196651 REH196651:REJ196651 ROD196651:ROF196651 RXZ196651:RYB196651 SHV196651:SHX196651 SRR196651:SRT196651 TBN196651:TBP196651 TLJ196651:TLL196651 TVF196651:TVH196651 UFB196651:UFD196651 UOX196651:UOZ196651 UYT196651:UYV196651 VIP196651:VIR196651 VSL196651:VSN196651 WCH196651:WCJ196651 WMD196651:WMF196651 WVZ196651:WWB196651 H262187:J262187 JN262187:JP262187 TJ262187:TL262187 ADF262187:ADH262187 ANB262187:AND262187 AWX262187:AWZ262187 BGT262187:BGV262187 BQP262187:BQR262187 CAL262187:CAN262187 CKH262187:CKJ262187 CUD262187:CUF262187 DDZ262187:DEB262187 DNV262187:DNX262187 DXR262187:DXT262187 EHN262187:EHP262187 ERJ262187:ERL262187 FBF262187:FBH262187 FLB262187:FLD262187 FUX262187:FUZ262187 GET262187:GEV262187 GOP262187:GOR262187 GYL262187:GYN262187 HIH262187:HIJ262187 HSD262187:HSF262187 IBZ262187:ICB262187 ILV262187:ILX262187 IVR262187:IVT262187 JFN262187:JFP262187 JPJ262187:JPL262187 JZF262187:JZH262187 KJB262187:KJD262187 KSX262187:KSZ262187 LCT262187:LCV262187 LMP262187:LMR262187 LWL262187:LWN262187 MGH262187:MGJ262187 MQD262187:MQF262187 MZZ262187:NAB262187 NJV262187:NJX262187 NTR262187:NTT262187 ODN262187:ODP262187 ONJ262187:ONL262187 OXF262187:OXH262187 PHB262187:PHD262187 PQX262187:PQZ262187 QAT262187:QAV262187 QKP262187:QKR262187 QUL262187:QUN262187 REH262187:REJ262187 ROD262187:ROF262187 RXZ262187:RYB262187 SHV262187:SHX262187 SRR262187:SRT262187 TBN262187:TBP262187 TLJ262187:TLL262187 TVF262187:TVH262187 UFB262187:UFD262187 UOX262187:UOZ262187 UYT262187:UYV262187 VIP262187:VIR262187 VSL262187:VSN262187 WCH262187:WCJ262187 WMD262187:WMF262187 WVZ262187:WWB262187 H327723:J327723 JN327723:JP327723 TJ327723:TL327723 ADF327723:ADH327723 ANB327723:AND327723 AWX327723:AWZ327723 BGT327723:BGV327723 BQP327723:BQR327723 CAL327723:CAN327723 CKH327723:CKJ327723 CUD327723:CUF327723 DDZ327723:DEB327723 DNV327723:DNX327723 DXR327723:DXT327723 EHN327723:EHP327723 ERJ327723:ERL327723 FBF327723:FBH327723 FLB327723:FLD327723 FUX327723:FUZ327723 GET327723:GEV327723 GOP327723:GOR327723 GYL327723:GYN327723 HIH327723:HIJ327723 HSD327723:HSF327723 IBZ327723:ICB327723 ILV327723:ILX327723 IVR327723:IVT327723 JFN327723:JFP327723 JPJ327723:JPL327723 JZF327723:JZH327723 KJB327723:KJD327723 KSX327723:KSZ327723 LCT327723:LCV327723 LMP327723:LMR327723 LWL327723:LWN327723 MGH327723:MGJ327723 MQD327723:MQF327723 MZZ327723:NAB327723 NJV327723:NJX327723 NTR327723:NTT327723 ODN327723:ODP327723 ONJ327723:ONL327723 OXF327723:OXH327723 PHB327723:PHD327723 PQX327723:PQZ327723 QAT327723:QAV327723 QKP327723:QKR327723 QUL327723:QUN327723 REH327723:REJ327723 ROD327723:ROF327723 RXZ327723:RYB327723 SHV327723:SHX327723 SRR327723:SRT327723 TBN327723:TBP327723 TLJ327723:TLL327723 TVF327723:TVH327723 UFB327723:UFD327723 UOX327723:UOZ327723 UYT327723:UYV327723 VIP327723:VIR327723 VSL327723:VSN327723 WCH327723:WCJ327723 WMD327723:WMF327723 WVZ327723:WWB327723 H393259:J393259 JN393259:JP393259 TJ393259:TL393259 ADF393259:ADH393259 ANB393259:AND393259 AWX393259:AWZ393259 BGT393259:BGV393259 BQP393259:BQR393259 CAL393259:CAN393259 CKH393259:CKJ393259 CUD393259:CUF393259 DDZ393259:DEB393259 DNV393259:DNX393259 DXR393259:DXT393259 EHN393259:EHP393259 ERJ393259:ERL393259 FBF393259:FBH393259 FLB393259:FLD393259 FUX393259:FUZ393259 GET393259:GEV393259 GOP393259:GOR393259 GYL393259:GYN393259 HIH393259:HIJ393259 HSD393259:HSF393259 IBZ393259:ICB393259 ILV393259:ILX393259 IVR393259:IVT393259 JFN393259:JFP393259 JPJ393259:JPL393259 JZF393259:JZH393259 KJB393259:KJD393259 KSX393259:KSZ393259 LCT393259:LCV393259 LMP393259:LMR393259 LWL393259:LWN393259 MGH393259:MGJ393259 MQD393259:MQF393259 MZZ393259:NAB393259 NJV393259:NJX393259 NTR393259:NTT393259 ODN393259:ODP393259 ONJ393259:ONL393259 OXF393259:OXH393259 PHB393259:PHD393259 PQX393259:PQZ393259 QAT393259:QAV393259 QKP393259:QKR393259 QUL393259:QUN393259 REH393259:REJ393259 ROD393259:ROF393259 RXZ393259:RYB393259 SHV393259:SHX393259 SRR393259:SRT393259 TBN393259:TBP393259 TLJ393259:TLL393259 TVF393259:TVH393259 UFB393259:UFD393259 UOX393259:UOZ393259 UYT393259:UYV393259 VIP393259:VIR393259 VSL393259:VSN393259 WCH393259:WCJ393259 WMD393259:WMF393259 WVZ393259:WWB393259 H458795:J458795 JN458795:JP458795 TJ458795:TL458795 ADF458795:ADH458795 ANB458795:AND458795 AWX458795:AWZ458795 BGT458795:BGV458795 BQP458795:BQR458795 CAL458795:CAN458795 CKH458795:CKJ458795 CUD458795:CUF458795 DDZ458795:DEB458795 DNV458795:DNX458795 DXR458795:DXT458795 EHN458795:EHP458795 ERJ458795:ERL458795 FBF458795:FBH458795 FLB458795:FLD458795 FUX458795:FUZ458795 GET458795:GEV458795 GOP458795:GOR458795 GYL458795:GYN458795 HIH458795:HIJ458795 HSD458795:HSF458795 IBZ458795:ICB458795 ILV458795:ILX458795 IVR458795:IVT458795 JFN458795:JFP458795 JPJ458795:JPL458795 JZF458795:JZH458795 KJB458795:KJD458795 KSX458795:KSZ458795 LCT458795:LCV458795 LMP458795:LMR458795 LWL458795:LWN458795 MGH458795:MGJ458795 MQD458795:MQF458795 MZZ458795:NAB458795 NJV458795:NJX458795 NTR458795:NTT458795 ODN458795:ODP458795 ONJ458795:ONL458795 OXF458795:OXH458795 PHB458795:PHD458795 PQX458795:PQZ458795 QAT458795:QAV458795 QKP458795:QKR458795 QUL458795:QUN458795 REH458795:REJ458795 ROD458795:ROF458795 RXZ458795:RYB458795 SHV458795:SHX458795 SRR458795:SRT458795 TBN458795:TBP458795 TLJ458795:TLL458795 TVF458795:TVH458795 UFB458795:UFD458795 UOX458795:UOZ458795 UYT458795:UYV458795 VIP458795:VIR458795 VSL458795:VSN458795 WCH458795:WCJ458795 WMD458795:WMF458795 WVZ458795:WWB458795 H524331:J524331 JN524331:JP524331 TJ524331:TL524331 ADF524331:ADH524331 ANB524331:AND524331 AWX524331:AWZ524331 BGT524331:BGV524331 BQP524331:BQR524331 CAL524331:CAN524331 CKH524331:CKJ524331 CUD524331:CUF524331 DDZ524331:DEB524331 DNV524331:DNX524331 DXR524331:DXT524331 EHN524331:EHP524331 ERJ524331:ERL524331 FBF524331:FBH524331 FLB524331:FLD524331 FUX524331:FUZ524331 GET524331:GEV524331 GOP524331:GOR524331 GYL524331:GYN524331 HIH524331:HIJ524331 HSD524331:HSF524331 IBZ524331:ICB524331 ILV524331:ILX524331 IVR524331:IVT524331 JFN524331:JFP524331 JPJ524331:JPL524331 JZF524331:JZH524331 KJB524331:KJD524331 KSX524331:KSZ524331 LCT524331:LCV524331 LMP524331:LMR524331 LWL524331:LWN524331 MGH524331:MGJ524331 MQD524331:MQF524331 MZZ524331:NAB524331 NJV524331:NJX524331 NTR524331:NTT524331 ODN524331:ODP524331 ONJ524331:ONL524331 OXF524331:OXH524331 PHB524331:PHD524331 PQX524331:PQZ524331 QAT524331:QAV524331 QKP524331:QKR524331 QUL524331:QUN524331 REH524331:REJ524331 ROD524331:ROF524331 RXZ524331:RYB524331 SHV524331:SHX524331 SRR524331:SRT524331 TBN524331:TBP524331 TLJ524331:TLL524331 TVF524331:TVH524331 UFB524331:UFD524331 UOX524331:UOZ524331 UYT524331:UYV524331 VIP524331:VIR524331 VSL524331:VSN524331 WCH524331:WCJ524331 WMD524331:WMF524331 WVZ524331:WWB524331 H589867:J589867 JN589867:JP589867 TJ589867:TL589867 ADF589867:ADH589867 ANB589867:AND589867 AWX589867:AWZ589867 BGT589867:BGV589867 BQP589867:BQR589867 CAL589867:CAN589867 CKH589867:CKJ589867 CUD589867:CUF589867 DDZ589867:DEB589867 DNV589867:DNX589867 DXR589867:DXT589867 EHN589867:EHP589867 ERJ589867:ERL589867 FBF589867:FBH589867 FLB589867:FLD589867 FUX589867:FUZ589867 GET589867:GEV589867 GOP589867:GOR589867 GYL589867:GYN589867 HIH589867:HIJ589867 HSD589867:HSF589867 IBZ589867:ICB589867 ILV589867:ILX589867 IVR589867:IVT589867 JFN589867:JFP589867 JPJ589867:JPL589867 JZF589867:JZH589867 KJB589867:KJD589867 KSX589867:KSZ589867 LCT589867:LCV589867 LMP589867:LMR589867 LWL589867:LWN589867 MGH589867:MGJ589867 MQD589867:MQF589867 MZZ589867:NAB589867 NJV589867:NJX589867 NTR589867:NTT589867 ODN589867:ODP589867 ONJ589867:ONL589867 OXF589867:OXH589867 PHB589867:PHD589867 PQX589867:PQZ589867 QAT589867:QAV589867 QKP589867:QKR589867 QUL589867:QUN589867 REH589867:REJ589867 ROD589867:ROF589867 RXZ589867:RYB589867 SHV589867:SHX589867 SRR589867:SRT589867 TBN589867:TBP589867 TLJ589867:TLL589867 TVF589867:TVH589867 UFB589867:UFD589867 UOX589867:UOZ589867 UYT589867:UYV589867 VIP589867:VIR589867 VSL589867:VSN589867 WCH589867:WCJ589867 WMD589867:WMF589867 WVZ589867:WWB589867 H655403:J655403 JN655403:JP655403 TJ655403:TL655403 ADF655403:ADH655403 ANB655403:AND655403 AWX655403:AWZ655403 BGT655403:BGV655403 BQP655403:BQR655403 CAL655403:CAN655403 CKH655403:CKJ655403 CUD655403:CUF655403 DDZ655403:DEB655403 DNV655403:DNX655403 DXR655403:DXT655403 EHN655403:EHP655403 ERJ655403:ERL655403 FBF655403:FBH655403 FLB655403:FLD655403 FUX655403:FUZ655403 GET655403:GEV655403 GOP655403:GOR655403 GYL655403:GYN655403 HIH655403:HIJ655403 HSD655403:HSF655403 IBZ655403:ICB655403 ILV655403:ILX655403 IVR655403:IVT655403 JFN655403:JFP655403 JPJ655403:JPL655403 JZF655403:JZH655403 KJB655403:KJD655403 KSX655403:KSZ655403 LCT655403:LCV655403 LMP655403:LMR655403 LWL655403:LWN655403 MGH655403:MGJ655403 MQD655403:MQF655403 MZZ655403:NAB655403 NJV655403:NJX655403 NTR655403:NTT655403 ODN655403:ODP655403 ONJ655403:ONL655403 OXF655403:OXH655403 PHB655403:PHD655403 PQX655403:PQZ655403 QAT655403:QAV655403 QKP655403:QKR655403 QUL655403:QUN655403 REH655403:REJ655403 ROD655403:ROF655403 RXZ655403:RYB655403 SHV655403:SHX655403 SRR655403:SRT655403 TBN655403:TBP655403 TLJ655403:TLL655403 TVF655403:TVH655403 UFB655403:UFD655403 UOX655403:UOZ655403 UYT655403:UYV655403 VIP655403:VIR655403 VSL655403:VSN655403 WCH655403:WCJ655403 WMD655403:WMF655403 WVZ655403:WWB655403 H720939:J720939 JN720939:JP720939 TJ720939:TL720939 ADF720939:ADH720939 ANB720939:AND720939 AWX720939:AWZ720939 BGT720939:BGV720939 BQP720939:BQR720939 CAL720939:CAN720939 CKH720939:CKJ720939 CUD720939:CUF720939 DDZ720939:DEB720939 DNV720939:DNX720939 DXR720939:DXT720939 EHN720939:EHP720939 ERJ720939:ERL720939 FBF720939:FBH720939 FLB720939:FLD720939 FUX720939:FUZ720939 GET720939:GEV720939 GOP720939:GOR720939 GYL720939:GYN720939 HIH720939:HIJ720939 HSD720939:HSF720939 IBZ720939:ICB720939 ILV720939:ILX720939 IVR720939:IVT720939 JFN720939:JFP720939 JPJ720939:JPL720939 JZF720939:JZH720939 KJB720939:KJD720939 KSX720939:KSZ720939 LCT720939:LCV720939 LMP720939:LMR720939 LWL720939:LWN720939 MGH720939:MGJ720939 MQD720939:MQF720939 MZZ720939:NAB720939 NJV720939:NJX720939 NTR720939:NTT720939 ODN720939:ODP720939 ONJ720939:ONL720939 OXF720939:OXH720939 PHB720939:PHD720939 PQX720939:PQZ720939 QAT720939:QAV720939 QKP720939:QKR720939 QUL720939:QUN720939 REH720939:REJ720939 ROD720939:ROF720939 RXZ720939:RYB720939 SHV720939:SHX720939 SRR720939:SRT720939 TBN720939:TBP720939 TLJ720939:TLL720939 TVF720939:TVH720939 UFB720939:UFD720939 UOX720939:UOZ720939 UYT720939:UYV720939 VIP720939:VIR720939 VSL720939:VSN720939 WCH720939:WCJ720939 WMD720939:WMF720939 WVZ720939:WWB720939 H786475:J786475 JN786475:JP786475 TJ786475:TL786475 ADF786475:ADH786475 ANB786475:AND786475 AWX786475:AWZ786475 BGT786475:BGV786475 BQP786475:BQR786475 CAL786475:CAN786475 CKH786475:CKJ786475 CUD786475:CUF786475 DDZ786475:DEB786475 DNV786475:DNX786475 DXR786475:DXT786475 EHN786475:EHP786475 ERJ786475:ERL786475 FBF786475:FBH786475 FLB786475:FLD786475 FUX786475:FUZ786475 GET786475:GEV786475 GOP786475:GOR786475 GYL786475:GYN786475 HIH786475:HIJ786475 HSD786475:HSF786475 IBZ786475:ICB786475 ILV786475:ILX786475 IVR786475:IVT786475 JFN786475:JFP786475 JPJ786475:JPL786475 JZF786475:JZH786475 KJB786475:KJD786475 KSX786475:KSZ786475 LCT786475:LCV786475 LMP786475:LMR786475 LWL786475:LWN786475 MGH786475:MGJ786475 MQD786475:MQF786475 MZZ786475:NAB786475 NJV786475:NJX786475 NTR786475:NTT786475 ODN786475:ODP786475 ONJ786475:ONL786475 OXF786475:OXH786475 PHB786475:PHD786475 PQX786475:PQZ786475 QAT786475:QAV786475 QKP786475:QKR786475 QUL786475:QUN786475 REH786475:REJ786475 ROD786475:ROF786475 RXZ786475:RYB786475 SHV786475:SHX786475 SRR786475:SRT786475 TBN786475:TBP786475 TLJ786475:TLL786475 TVF786475:TVH786475 UFB786475:UFD786475 UOX786475:UOZ786475 UYT786475:UYV786475 VIP786475:VIR786475 VSL786475:VSN786475 WCH786475:WCJ786475 WMD786475:WMF786475 WVZ786475:WWB786475 H852011:J852011 JN852011:JP852011 TJ852011:TL852011 ADF852011:ADH852011 ANB852011:AND852011 AWX852011:AWZ852011 BGT852011:BGV852011 BQP852011:BQR852011 CAL852011:CAN852011 CKH852011:CKJ852011 CUD852011:CUF852011 DDZ852011:DEB852011 DNV852011:DNX852011 DXR852011:DXT852011 EHN852011:EHP852011 ERJ852011:ERL852011 FBF852011:FBH852011 FLB852011:FLD852011 FUX852011:FUZ852011 GET852011:GEV852011 GOP852011:GOR852011 GYL852011:GYN852011 HIH852011:HIJ852011 HSD852011:HSF852011 IBZ852011:ICB852011 ILV852011:ILX852011 IVR852011:IVT852011 JFN852011:JFP852011 JPJ852011:JPL852011 JZF852011:JZH852011 KJB852011:KJD852011 KSX852011:KSZ852011 LCT852011:LCV852011 LMP852011:LMR852011 LWL852011:LWN852011 MGH852011:MGJ852011 MQD852011:MQF852011 MZZ852011:NAB852011 NJV852011:NJX852011 NTR852011:NTT852011 ODN852011:ODP852011 ONJ852011:ONL852011 OXF852011:OXH852011 PHB852011:PHD852011 PQX852011:PQZ852011 QAT852011:QAV852011 QKP852011:QKR852011 QUL852011:QUN852011 REH852011:REJ852011 ROD852011:ROF852011 RXZ852011:RYB852011 SHV852011:SHX852011 SRR852011:SRT852011 TBN852011:TBP852011 TLJ852011:TLL852011 TVF852011:TVH852011 UFB852011:UFD852011 UOX852011:UOZ852011 UYT852011:UYV852011 VIP852011:VIR852011 VSL852011:VSN852011 WCH852011:WCJ852011 WMD852011:WMF852011 WVZ852011:WWB852011 H917547:J917547 JN917547:JP917547 TJ917547:TL917547 ADF917547:ADH917547 ANB917547:AND917547 AWX917547:AWZ917547 BGT917547:BGV917547 BQP917547:BQR917547 CAL917547:CAN917547 CKH917547:CKJ917547 CUD917547:CUF917547 DDZ917547:DEB917547 DNV917547:DNX917547 DXR917547:DXT917547 EHN917547:EHP917547 ERJ917547:ERL917547 FBF917547:FBH917547 FLB917547:FLD917547 FUX917547:FUZ917547 GET917547:GEV917547 GOP917547:GOR917547 GYL917547:GYN917547 HIH917547:HIJ917547 HSD917547:HSF917547 IBZ917547:ICB917547 ILV917547:ILX917547 IVR917547:IVT917547 JFN917547:JFP917547 JPJ917547:JPL917547 JZF917547:JZH917547 KJB917547:KJD917547 KSX917547:KSZ917547 LCT917547:LCV917547 LMP917547:LMR917547 LWL917547:LWN917547 MGH917547:MGJ917547 MQD917547:MQF917547 MZZ917547:NAB917547 NJV917547:NJX917547 NTR917547:NTT917547 ODN917547:ODP917547 ONJ917547:ONL917547 OXF917547:OXH917547 PHB917547:PHD917547 PQX917547:PQZ917547 QAT917547:QAV917547 QKP917547:QKR917547 QUL917547:QUN917547 REH917547:REJ917547 ROD917547:ROF917547 RXZ917547:RYB917547 SHV917547:SHX917547 SRR917547:SRT917547 TBN917547:TBP917547 TLJ917547:TLL917547 TVF917547:TVH917547 UFB917547:UFD917547 UOX917547:UOZ917547 UYT917547:UYV917547 VIP917547:VIR917547 VSL917547:VSN917547 WCH917547:WCJ917547 WMD917547:WMF917547 WVZ917547:WWB917547 H983083:J983083 JN983083:JP983083 TJ983083:TL983083 ADF983083:ADH983083 ANB983083:AND983083 AWX983083:AWZ983083 BGT983083:BGV983083 BQP983083:BQR983083 CAL983083:CAN983083 CKH983083:CKJ983083 CUD983083:CUF983083 DDZ983083:DEB983083 DNV983083:DNX983083 DXR983083:DXT983083 EHN983083:EHP983083 ERJ983083:ERL983083 FBF983083:FBH983083 FLB983083:FLD983083 FUX983083:FUZ983083 GET983083:GEV983083 GOP983083:GOR983083 GYL983083:GYN983083 HIH983083:HIJ983083 HSD983083:HSF983083 IBZ983083:ICB983083 ILV983083:ILX983083 IVR983083:IVT983083 JFN983083:JFP983083 JPJ983083:JPL983083 JZF983083:JZH983083 KJB983083:KJD983083 KSX983083:KSZ983083 LCT983083:LCV983083 LMP983083:LMR983083 LWL983083:LWN983083 MGH983083:MGJ983083 MQD983083:MQF983083 MZZ983083:NAB983083 NJV983083:NJX983083 NTR983083:NTT983083 ODN983083:ODP983083 ONJ983083:ONL983083 OXF983083:OXH983083 PHB983083:PHD983083 PQX983083:PQZ983083 QAT983083:QAV983083 QKP983083:QKR983083 QUL983083:QUN983083 REH983083:REJ983083 ROD983083:ROF983083 RXZ983083:RYB983083 SHV983083:SHX983083 SRR983083:SRT983083 TBN983083:TBP983083 TLJ983083:TLL983083 TVF983083:TVH983083 UFB983083:UFD983083 UOX983083:UOZ983083 UYT983083:UYV983083 VIP983083:VIR983083 VSL983083:VSN983083 WCH983083:WCJ983083 WMD983083:WMF983083">
      <formula1>$DG$9:$DG$10</formula1>
    </dataValidation>
    <dataValidation type="list" allowBlank="1" showInputMessage="1" showErrorMessage="1" sqref="WVZ983082:WWB983082 JN42:JP42 WMD983082:WMF983082 WCH983082:WCJ983082 VSL983082:VSN983082 VIP983082:VIR983082 UYT983082:UYV983082 UOX983082:UOZ983082 UFB983082:UFD983082 TVF983082:TVH983082 TLJ983082:TLL983082 TBN983082:TBP983082 SRR983082:SRT983082 SHV983082:SHX983082 RXZ983082:RYB983082 ROD983082:ROF983082 REH983082:REJ983082 QUL983082:QUN983082 QKP983082:QKR983082 QAT983082:QAV983082 PQX983082:PQZ983082 PHB983082:PHD983082 OXF983082:OXH983082 ONJ983082:ONL983082 ODN983082:ODP983082 NTR983082:NTT983082 NJV983082:NJX983082 MZZ983082:NAB983082 MQD983082:MQF983082 MGH983082:MGJ983082 LWL983082:LWN983082 LMP983082:LMR983082 LCT983082:LCV983082 KSX983082:KSZ983082 KJB983082:KJD983082 JZF983082:JZH983082 JPJ983082:JPL983082 JFN983082:JFP983082 IVR983082:IVT983082 ILV983082:ILX983082 IBZ983082:ICB983082 HSD983082:HSF983082 HIH983082:HIJ983082 GYL983082:GYN983082 GOP983082:GOR983082 GET983082:GEV983082 FUX983082:FUZ983082 FLB983082:FLD983082 FBF983082:FBH983082 ERJ983082:ERL983082 EHN983082:EHP983082 DXR983082:DXT983082 DNV983082:DNX983082 DDZ983082:DEB983082 CUD983082:CUF983082 CKH983082:CKJ983082 CAL983082:CAN983082 BQP983082:BQR983082 BGT983082:BGV983082 AWX983082:AWZ983082 ANB983082:AND983082 ADF983082:ADH983082 TJ983082:TL983082 JN983082:JP983082 H983082:J983082 WVZ917546:WWB917546 WMD917546:WMF917546 WCH917546:WCJ917546 VSL917546:VSN917546 VIP917546:VIR917546 UYT917546:UYV917546 UOX917546:UOZ917546 UFB917546:UFD917546 TVF917546:TVH917546 TLJ917546:TLL917546 TBN917546:TBP917546 SRR917546:SRT917546 SHV917546:SHX917546 RXZ917546:RYB917546 ROD917546:ROF917546 REH917546:REJ917546 QUL917546:QUN917546 QKP917546:QKR917546 QAT917546:QAV917546 PQX917546:PQZ917546 PHB917546:PHD917546 OXF917546:OXH917546 ONJ917546:ONL917546 ODN917546:ODP917546 NTR917546:NTT917546 NJV917546:NJX917546 MZZ917546:NAB917546 MQD917546:MQF917546 MGH917546:MGJ917546 LWL917546:LWN917546 LMP917546:LMR917546 LCT917546:LCV917546 KSX917546:KSZ917546 KJB917546:KJD917546 JZF917546:JZH917546 JPJ917546:JPL917546 JFN917546:JFP917546 IVR917546:IVT917546 ILV917546:ILX917546 IBZ917546:ICB917546 HSD917546:HSF917546 HIH917546:HIJ917546 GYL917546:GYN917546 GOP917546:GOR917546 GET917546:GEV917546 FUX917546:FUZ917546 FLB917546:FLD917546 FBF917546:FBH917546 ERJ917546:ERL917546 EHN917546:EHP917546 DXR917546:DXT917546 DNV917546:DNX917546 DDZ917546:DEB917546 CUD917546:CUF917546 CKH917546:CKJ917546 CAL917546:CAN917546 BQP917546:BQR917546 BGT917546:BGV917546 AWX917546:AWZ917546 ANB917546:AND917546 ADF917546:ADH917546 TJ917546:TL917546 JN917546:JP917546 H917546:J917546 WVZ852010:WWB852010 WMD852010:WMF852010 WCH852010:WCJ852010 VSL852010:VSN852010 VIP852010:VIR852010 UYT852010:UYV852010 UOX852010:UOZ852010 UFB852010:UFD852010 TVF852010:TVH852010 TLJ852010:TLL852010 TBN852010:TBP852010 SRR852010:SRT852010 SHV852010:SHX852010 RXZ852010:RYB852010 ROD852010:ROF852010 REH852010:REJ852010 QUL852010:QUN852010 QKP852010:QKR852010 QAT852010:QAV852010 PQX852010:PQZ852010 PHB852010:PHD852010 OXF852010:OXH852010 ONJ852010:ONL852010 ODN852010:ODP852010 NTR852010:NTT852010 NJV852010:NJX852010 MZZ852010:NAB852010 MQD852010:MQF852010 MGH852010:MGJ852010 LWL852010:LWN852010 LMP852010:LMR852010 LCT852010:LCV852010 KSX852010:KSZ852010 KJB852010:KJD852010 JZF852010:JZH852010 JPJ852010:JPL852010 JFN852010:JFP852010 IVR852010:IVT852010 ILV852010:ILX852010 IBZ852010:ICB852010 HSD852010:HSF852010 HIH852010:HIJ852010 GYL852010:GYN852010 GOP852010:GOR852010 GET852010:GEV852010 FUX852010:FUZ852010 FLB852010:FLD852010 FBF852010:FBH852010 ERJ852010:ERL852010 EHN852010:EHP852010 DXR852010:DXT852010 DNV852010:DNX852010 DDZ852010:DEB852010 CUD852010:CUF852010 CKH852010:CKJ852010 CAL852010:CAN852010 BQP852010:BQR852010 BGT852010:BGV852010 AWX852010:AWZ852010 ANB852010:AND852010 ADF852010:ADH852010 TJ852010:TL852010 JN852010:JP852010 H852010:J852010 WVZ786474:WWB786474 WMD786474:WMF786474 WCH786474:WCJ786474 VSL786474:VSN786474 VIP786474:VIR786474 UYT786474:UYV786474 UOX786474:UOZ786474 UFB786474:UFD786474 TVF786474:TVH786474 TLJ786474:TLL786474 TBN786474:TBP786474 SRR786474:SRT786474 SHV786474:SHX786474 RXZ786474:RYB786474 ROD786474:ROF786474 REH786474:REJ786474 QUL786474:QUN786474 QKP786474:QKR786474 QAT786474:QAV786474 PQX786474:PQZ786474 PHB786474:PHD786474 OXF786474:OXH786474 ONJ786474:ONL786474 ODN786474:ODP786474 NTR786474:NTT786474 NJV786474:NJX786474 MZZ786474:NAB786474 MQD786474:MQF786474 MGH786474:MGJ786474 LWL786474:LWN786474 LMP786474:LMR786474 LCT786474:LCV786474 KSX786474:KSZ786474 KJB786474:KJD786474 JZF786474:JZH786474 JPJ786474:JPL786474 JFN786474:JFP786474 IVR786474:IVT786474 ILV786474:ILX786474 IBZ786474:ICB786474 HSD786474:HSF786474 HIH786474:HIJ786474 GYL786474:GYN786474 GOP786474:GOR786474 GET786474:GEV786474 FUX786474:FUZ786474 FLB786474:FLD786474 FBF786474:FBH786474 ERJ786474:ERL786474 EHN786474:EHP786474 DXR786474:DXT786474 DNV786474:DNX786474 DDZ786474:DEB786474 CUD786474:CUF786474 CKH786474:CKJ786474 CAL786474:CAN786474 BQP786474:BQR786474 BGT786474:BGV786474 AWX786474:AWZ786474 ANB786474:AND786474 ADF786474:ADH786474 TJ786474:TL786474 JN786474:JP786474 H786474:J786474 WVZ720938:WWB720938 WMD720938:WMF720938 WCH720938:WCJ720938 VSL720938:VSN720938 VIP720938:VIR720938 UYT720938:UYV720938 UOX720938:UOZ720938 UFB720938:UFD720938 TVF720938:TVH720938 TLJ720938:TLL720938 TBN720938:TBP720938 SRR720938:SRT720938 SHV720938:SHX720938 RXZ720938:RYB720938 ROD720938:ROF720938 REH720938:REJ720938 QUL720938:QUN720938 QKP720938:QKR720938 QAT720938:QAV720938 PQX720938:PQZ720938 PHB720938:PHD720938 OXF720938:OXH720938 ONJ720938:ONL720938 ODN720938:ODP720938 NTR720938:NTT720938 NJV720938:NJX720938 MZZ720938:NAB720938 MQD720938:MQF720938 MGH720938:MGJ720938 LWL720938:LWN720938 LMP720938:LMR720938 LCT720938:LCV720938 KSX720938:KSZ720938 KJB720938:KJD720938 JZF720938:JZH720938 JPJ720938:JPL720938 JFN720938:JFP720938 IVR720938:IVT720938 ILV720938:ILX720938 IBZ720938:ICB720938 HSD720938:HSF720938 HIH720938:HIJ720938 GYL720938:GYN720938 GOP720938:GOR720938 GET720938:GEV720938 FUX720938:FUZ720938 FLB720938:FLD720938 FBF720938:FBH720938 ERJ720938:ERL720938 EHN720938:EHP720938 DXR720938:DXT720938 DNV720938:DNX720938 DDZ720938:DEB720938 CUD720938:CUF720938 CKH720938:CKJ720938 CAL720938:CAN720938 BQP720938:BQR720938 BGT720938:BGV720938 AWX720938:AWZ720938 ANB720938:AND720938 ADF720938:ADH720938 TJ720938:TL720938 JN720938:JP720938 H720938:J720938 WVZ655402:WWB655402 WMD655402:WMF655402 WCH655402:WCJ655402 VSL655402:VSN655402 VIP655402:VIR655402 UYT655402:UYV655402 UOX655402:UOZ655402 UFB655402:UFD655402 TVF655402:TVH655402 TLJ655402:TLL655402 TBN655402:TBP655402 SRR655402:SRT655402 SHV655402:SHX655402 RXZ655402:RYB655402 ROD655402:ROF655402 REH655402:REJ655402 QUL655402:QUN655402 QKP655402:QKR655402 QAT655402:QAV655402 PQX655402:PQZ655402 PHB655402:PHD655402 OXF655402:OXH655402 ONJ655402:ONL655402 ODN655402:ODP655402 NTR655402:NTT655402 NJV655402:NJX655402 MZZ655402:NAB655402 MQD655402:MQF655402 MGH655402:MGJ655402 LWL655402:LWN655402 LMP655402:LMR655402 LCT655402:LCV655402 KSX655402:KSZ655402 KJB655402:KJD655402 JZF655402:JZH655402 JPJ655402:JPL655402 JFN655402:JFP655402 IVR655402:IVT655402 ILV655402:ILX655402 IBZ655402:ICB655402 HSD655402:HSF655402 HIH655402:HIJ655402 GYL655402:GYN655402 GOP655402:GOR655402 GET655402:GEV655402 FUX655402:FUZ655402 FLB655402:FLD655402 FBF655402:FBH655402 ERJ655402:ERL655402 EHN655402:EHP655402 DXR655402:DXT655402 DNV655402:DNX655402 DDZ655402:DEB655402 CUD655402:CUF655402 CKH655402:CKJ655402 CAL655402:CAN655402 BQP655402:BQR655402 BGT655402:BGV655402 AWX655402:AWZ655402 ANB655402:AND655402 ADF655402:ADH655402 TJ655402:TL655402 JN655402:JP655402 H655402:J655402 WVZ589866:WWB589866 WMD589866:WMF589866 WCH589866:WCJ589866 VSL589866:VSN589866 VIP589866:VIR589866 UYT589866:UYV589866 UOX589866:UOZ589866 UFB589866:UFD589866 TVF589866:TVH589866 TLJ589866:TLL589866 TBN589866:TBP589866 SRR589866:SRT589866 SHV589866:SHX589866 RXZ589866:RYB589866 ROD589866:ROF589866 REH589866:REJ589866 QUL589866:QUN589866 QKP589866:QKR589866 QAT589866:QAV589866 PQX589866:PQZ589866 PHB589866:PHD589866 OXF589866:OXH589866 ONJ589866:ONL589866 ODN589866:ODP589866 NTR589866:NTT589866 NJV589866:NJX589866 MZZ589866:NAB589866 MQD589866:MQF589866 MGH589866:MGJ589866 LWL589866:LWN589866 LMP589866:LMR589866 LCT589866:LCV589866 KSX589866:KSZ589866 KJB589866:KJD589866 JZF589866:JZH589866 JPJ589866:JPL589866 JFN589866:JFP589866 IVR589866:IVT589866 ILV589866:ILX589866 IBZ589866:ICB589866 HSD589866:HSF589866 HIH589866:HIJ589866 GYL589866:GYN589866 GOP589866:GOR589866 GET589866:GEV589866 FUX589866:FUZ589866 FLB589866:FLD589866 FBF589866:FBH589866 ERJ589866:ERL589866 EHN589866:EHP589866 DXR589866:DXT589866 DNV589866:DNX589866 DDZ589866:DEB589866 CUD589866:CUF589866 CKH589866:CKJ589866 CAL589866:CAN589866 BQP589866:BQR589866 BGT589866:BGV589866 AWX589866:AWZ589866 ANB589866:AND589866 ADF589866:ADH589866 TJ589866:TL589866 JN589866:JP589866 H589866:J589866 WVZ524330:WWB524330 WMD524330:WMF524330 WCH524330:WCJ524330 VSL524330:VSN524330 VIP524330:VIR524330 UYT524330:UYV524330 UOX524330:UOZ524330 UFB524330:UFD524330 TVF524330:TVH524330 TLJ524330:TLL524330 TBN524330:TBP524330 SRR524330:SRT524330 SHV524330:SHX524330 RXZ524330:RYB524330 ROD524330:ROF524330 REH524330:REJ524330 QUL524330:QUN524330 QKP524330:QKR524330 QAT524330:QAV524330 PQX524330:PQZ524330 PHB524330:PHD524330 OXF524330:OXH524330 ONJ524330:ONL524330 ODN524330:ODP524330 NTR524330:NTT524330 NJV524330:NJX524330 MZZ524330:NAB524330 MQD524330:MQF524330 MGH524330:MGJ524330 LWL524330:LWN524330 LMP524330:LMR524330 LCT524330:LCV524330 KSX524330:KSZ524330 KJB524330:KJD524330 JZF524330:JZH524330 JPJ524330:JPL524330 JFN524330:JFP524330 IVR524330:IVT524330 ILV524330:ILX524330 IBZ524330:ICB524330 HSD524330:HSF524330 HIH524330:HIJ524330 GYL524330:GYN524330 GOP524330:GOR524330 GET524330:GEV524330 FUX524330:FUZ524330 FLB524330:FLD524330 FBF524330:FBH524330 ERJ524330:ERL524330 EHN524330:EHP524330 DXR524330:DXT524330 DNV524330:DNX524330 DDZ524330:DEB524330 CUD524330:CUF524330 CKH524330:CKJ524330 CAL524330:CAN524330 BQP524330:BQR524330 BGT524330:BGV524330 AWX524330:AWZ524330 ANB524330:AND524330 ADF524330:ADH524330 TJ524330:TL524330 JN524330:JP524330 H524330:J524330 WVZ458794:WWB458794 WMD458794:WMF458794 WCH458794:WCJ458794 VSL458794:VSN458794 VIP458794:VIR458794 UYT458794:UYV458794 UOX458794:UOZ458794 UFB458794:UFD458794 TVF458794:TVH458794 TLJ458794:TLL458794 TBN458794:TBP458794 SRR458794:SRT458794 SHV458794:SHX458794 RXZ458794:RYB458794 ROD458794:ROF458794 REH458794:REJ458794 QUL458794:QUN458794 QKP458794:QKR458794 QAT458794:QAV458794 PQX458794:PQZ458794 PHB458794:PHD458794 OXF458794:OXH458794 ONJ458794:ONL458794 ODN458794:ODP458794 NTR458794:NTT458794 NJV458794:NJX458794 MZZ458794:NAB458794 MQD458794:MQF458794 MGH458794:MGJ458794 LWL458794:LWN458794 LMP458794:LMR458794 LCT458794:LCV458794 KSX458794:KSZ458794 KJB458794:KJD458794 JZF458794:JZH458794 JPJ458794:JPL458794 JFN458794:JFP458794 IVR458794:IVT458794 ILV458794:ILX458794 IBZ458794:ICB458794 HSD458794:HSF458794 HIH458794:HIJ458794 GYL458794:GYN458794 GOP458794:GOR458794 GET458794:GEV458794 FUX458794:FUZ458794 FLB458794:FLD458794 FBF458794:FBH458794 ERJ458794:ERL458794 EHN458794:EHP458794 DXR458794:DXT458794 DNV458794:DNX458794 DDZ458794:DEB458794 CUD458794:CUF458794 CKH458794:CKJ458794 CAL458794:CAN458794 BQP458794:BQR458794 BGT458794:BGV458794 AWX458794:AWZ458794 ANB458794:AND458794 ADF458794:ADH458794 TJ458794:TL458794 JN458794:JP458794 H458794:J458794 WVZ393258:WWB393258 WMD393258:WMF393258 WCH393258:WCJ393258 VSL393258:VSN393258 VIP393258:VIR393258 UYT393258:UYV393258 UOX393258:UOZ393258 UFB393258:UFD393258 TVF393258:TVH393258 TLJ393258:TLL393258 TBN393258:TBP393258 SRR393258:SRT393258 SHV393258:SHX393258 RXZ393258:RYB393258 ROD393258:ROF393258 REH393258:REJ393258 QUL393258:QUN393258 QKP393258:QKR393258 QAT393258:QAV393258 PQX393258:PQZ393258 PHB393258:PHD393258 OXF393258:OXH393258 ONJ393258:ONL393258 ODN393258:ODP393258 NTR393258:NTT393258 NJV393258:NJX393258 MZZ393258:NAB393258 MQD393258:MQF393258 MGH393258:MGJ393258 LWL393258:LWN393258 LMP393258:LMR393258 LCT393258:LCV393258 KSX393258:KSZ393258 KJB393258:KJD393258 JZF393258:JZH393258 JPJ393258:JPL393258 JFN393258:JFP393258 IVR393258:IVT393258 ILV393258:ILX393258 IBZ393258:ICB393258 HSD393258:HSF393258 HIH393258:HIJ393258 GYL393258:GYN393258 GOP393258:GOR393258 GET393258:GEV393258 FUX393258:FUZ393258 FLB393258:FLD393258 FBF393258:FBH393258 ERJ393258:ERL393258 EHN393258:EHP393258 DXR393258:DXT393258 DNV393258:DNX393258 DDZ393258:DEB393258 CUD393258:CUF393258 CKH393258:CKJ393258 CAL393258:CAN393258 BQP393258:BQR393258 BGT393258:BGV393258 AWX393258:AWZ393258 ANB393258:AND393258 ADF393258:ADH393258 TJ393258:TL393258 JN393258:JP393258 H393258:J393258 WVZ327722:WWB327722 WMD327722:WMF327722 WCH327722:WCJ327722 VSL327722:VSN327722 VIP327722:VIR327722 UYT327722:UYV327722 UOX327722:UOZ327722 UFB327722:UFD327722 TVF327722:TVH327722 TLJ327722:TLL327722 TBN327722:TBP327722 SRR327722:SRT327722 SHV327722:SHX327722 RXZ327722:RYB327722 ROD327722:ROF327722 REH327722:REJ327722 QUL327722:QUN327722 QKP327722:QKR327722 QAT327722:QAV327722 PQX327722:PQZ327722 PHB327722:PHD327722 OXF327722:OXH327722 ONJ327722:ONL327722 ODN327722:ODP327722 NTR327722:NTT327722 NJV327722:NJX327722 MZZ327722:NAB327722 MQD327722:MQF327722 MGH327722:MGJ327722 LWL327722:LWN327722 LMP327722:LMR327722 LCT327722:LCV327722 KSX327722:KSZ327722 KJB327722:KJD327722 JZF327722:JZH327722 JPJ327722:JPL327722 JFN327722:JFP327722 IVR327722:IVT327722 ILV327722:ILX327722 IBZ327722:ICB327722 HSD327722:HSF327722 HIH327722:HIJ327722 GYL327722:GYN327722 GOP327722:GOR327722 GET327722:GEV327722 FUX327722:FUZ327722 FLB327722:FLD327722 FBF327722:FBH327722 ERJ327722:ERL327722 EHN327722:EHP327722 DXR327722:DXT327722 DNV327722:DNX327722 DDZ327722:DEB327722 CUD327722:CUF327722 CKH327722:CKJ327722 CAL327722:CAN327722 BQP327722:BQR327722 BGT327722:BGV327722 AWX327722:AWZ327722 ANB327722:AND327722 ADF327722:ADH327722 TJ327722:TL327722 JN327722:JP327722 H327722:J327722 WVZ262186:WWB262186 WMD262186:WMF262186 WCH262186:WCJ262186 VSL262186:VSN262186 VIP262186:VIR262186 UYT262186:UYV262186 UOX262186:UOZ262186 UFB262186:UFD262186 TVF262186:TVH262186 TLJ262186:TLL262186 TBN262186:TBP262186 SRR262186:SRT262186 SHV262186:SHX262186 RXZ262186:RYB262186 ROD262186:ROF262186 REH262186:REJ262186 QUL262186:QUN262186 QKP262186:QKR262186 QAT262186:QAV262186 PQX262186:PQZ262186 PHB262186:PHD262186 OXF262186:OXH262186 ONJ262186:ONL262186 ODN262186:ODP262186 NTR262186:NTT262186 NJV262186:NJX262186 MZZ262186:NAB262186 MQD262186:MQF262186 MGH262186:MGJ262186 LWL262186:LWN262186 LMP262186:LMR262186 LCT262186:LCV262186 KSX262186:KSZ262186 KJB262186:KJD262186 JZF262186:JZH262186 JPJ262186:JPL262186 JFN262186:JFP262186 IVR262186:IVT262186 ILV262186:ILX262186 IBZ262186:ICB262186 HSD262186:HSF262186 HIH262186:HIJ262186 GYL262186:GYN262186 GOP262186:GOR262186 GET262186:GEV262186 FUX262186:FUZ262186 FLB262186:FLD262186 FBF262186:FBH262186 ERJ262186:ERL262186 EHN262186:EHP262186 DXR262186:DXT262186 DNV262186:DNX262186 DDZ262186:DEB262186 CUD262186:CUF262186 CKH262186:CKJ262186 CAL262186:CAN262186 BQP262186:BQR262186 BGT262186:BGV262186 AWX262186:AWZ262186 ANB262186:AND262186 ADF262186:ADH262186 TJ262186:TL262186 JN262186:JP262186 H262186:J262186 WVZ196650:WWB196650 WMD196650:WMF196650 WCH196650:WCJ196650 VSL196650:VSN196650 VIP196650:VIR196650 UYT196650:UYV196650 UOX196650:UOZ196650 UFB196650:UFD196650 TVF196650:TVH196650 TLJ196650:TLL196650 TBN196650:TBP196650 SRR196650:SRT196650 SHV196650:SHX196650 RXZ196650:RYB196650 ROD196650:ROF196650 REH196650:REJ196650 QUL196650:QUN196650 QKP196650:QKR196650 QAT196650:QAV196650 PQX196650:PQZ196650 PHB196650:PHD196650 OXF196650:OXH196650 ONJ196650:ONL196650 ODN196650:ODP196650 NTR196650:NTT196650 NJV196650:NJX196650 MZZ196650:NAB196650 MQD196650:MQF196650 MGH196650:MGJ196650 LWL196650:LWN196650 LMP196650:LMR196650 LCT196650:LCV196650 KSX196650:KSZ196650 KJB196650:KJD196650 JZF196650:JZH196650 JPJ196650:JPL196650 JFN196650:JFP196650 IVR196650:IVT196650 ILV196650:ILX196650 IBZ196650:ICB196650 HSD196650:HSF196650 HIH196650:HIJ196650 GYL196650:GYN196650 GOP196650:GOR196650 GET196650:GEV196650 FUX196650:FUZ196650 FLB196650:FLD196650 FBF196650:FBH196650 ERJ196650:ERL196650 EHN196650:EHP196650 DXR196650:DXT196650 DNV196650:DNX196650 DDZ196650:DEB196650 CUD196650:CUF196650 CKH196650:CKJ196650 CAL196650:CAN196650 BQP196650:BQR196650 BGT196650:BGV196650 AWX196650:AWZ196650 ANB196650:AND196650 ADF196650:ADH196650 TJ196650:TL196650 JN196650:JP196650 H196650:J196650 WVZ131114:WWB131114 WMD131114:WMF131114 WCH131114:WCJ131114 VSL131114:VSN131114 VIP131114:VIR131114 UYT131114:UYV131114 UOX131114:UOZ131114 UFB131114:UFD131114 TVF131114:TVH131114 TLJ131114:TLL131114 TBN131114:TBP131114 SRR131114:SRT131114 SHV131114:SHX131114 RXZ131114:RYB131114 ROD131114:ROF131114 REH131114:REJ131114 QUL131114:QUN131114 QKP131114:QKR131114 QAT131114:QAV131114 PQX131114:PQZ131114 PHB131114:PHD131114 OXF131114:OXH131114 ONJ131114:ONL131114 ODN131114:ODP131114 NTR131114:NTT131114 NJV131114:NJX131114 MZZ131114:NAB131114 MQD131114:MQF131114 MGH131114:MGJ131114 LWL131114:LWN131114 LMP131114:LMR131114 LCT131114:LCV131114 KSX131114:KSZ131114 KJB131114:KJD131114 JZF131114:JZH131114 JPJ131114:JPL131114 JFN131114:JFP131114 IVR131114:IVT131114 ILV131114:ILX131114 IBZ131114:ICB131114 HSD131114:HSF131114 HIH131114:HIJ131114 GYL131114:GYN131114 GOP131114:GOR131114 GET131114:GEV131114 FUX131114:FUZ131114 FLB131114:FLD131114 FBF131114:FBH131114 ERJ131114:ERL131114 EHN131114:EHP131114 DXR131114:DXT131114 DNV131114:DNX131114 DDZ131114:DEB131114 CUD131114:CUF131114 CKH131114:CKJ131114 CAL131114:CAN131114 BQP131114:BQR131114 BGT131114:BGV131114 AWX131114:AWZ131114 ANB131114:AND131114 ADF131114:ADH131114 TJ131114:TL131114 JN131114:JP131114 H131114:J131114 WVZ65578:WWB65578 WMD65578:WMF65578 WCH65578:WCJ65578 VSL65578:VSN65578 VIP65578:VIR65578 UYT65578:UYV65578 UOX65578:UOZ65578 UFB65578:UFD65578 TVF65578:TVH65578 TLJ65578:TLL65578 TBN65578:TBP65578 SRR65578:SRT65578 SHV65578:SHX65578 RXZ65578:RYB65578 ROD65578:ROF65578 REH65578:REJ65578 QUL65578:QUN65578 QKP65578:QKR65578 QAT65578:QAV65578 PQX65578:PQZ65578 PHB65578:PHD65578 OXF65578:OXH65578 ONJ65578:ONL65578 ODN65578:ODP65578 NTR65578:NTT65578 NJV65578:NJX65578 MZZ65578:NAB65578 MQD65578:MQF65578 MGH65578:MGJ65578 LWL65578:LWN65578 LMP65578:LMR65578 LCT65578:LCV65578 KSX65578:KSZ65578 KJB65578:KJD65578 JZF65578:JZH65578 JPJ65578:JPL65578 JFN65578:JFP65578 IVR65578:IVT65578 ILV65578:ILX65578 IBZ65578:ICB65578 HSD65578:HSF65578 HIH65578:HIJ65578 GYL65578:GYN65578 GOP65578:GOR65578 GET65578:GEV65578 FUX65578:FUZ65578 FLB65578:FLD65578 FBF65578:FBH65578 ERJ65578:ERL65578 EHN65578:EHP65578 DXR65578:DXT65578 DNV65578:DNX65578 DDZ65578:DEB65578 CUD65578:CUF65578 CKH65578:CKJ65578 CAL65578:CAN65578 BQP65578:BQR65578 BGT65578:BGV65578 AWX65578:AWZ65578 ANB65578:AND65578 ADF65578:ADH65578 TJ65578:TL65578 JN65578:JP65578 H65578:J65578 WVZ42:WWB42 WMD42:WMF42 WCH42:WCJ42 VSL42:VSN42 VIP42:VIR42 UYT42:UYV42 UOX42:UOZ42 UFB42:UFD42 TVF42:TVH42 TLJ42:TLL42 TBN42:TBP42 SRR42:SRT42 SHV42:SHX42 RXZ42:RYB42 ROD42:ROF42 REH42:REJ42 QUL42:QUN42 QKP42:QKR42 QAT42:QAV42 PQX42:PQZ42 PHB42:PHD42 OXF42:OXH42 ONJ42:ONL42 ODN42:ODP42 NTR42:NTT42 NJV42:NJX42 MZZ42:NAB42 MQD42:MQF42 MGH42:MGJ42 LWL42:LWN42 LMP42:LMR42 LCT42:LCV42 KSX42:KSZ42 KJB42:KJD42 JZF42:JZH42 JPJ42:JPL42 JFN42:JFP42 IVR42:IVT42 ILV42:ILX42 IBZ42:ICB42 HSD42:HSF42 HIH42:HIJ42 GYL42:GYN42 GOP42:GOR42 GET42:GEV42 FUX42:FUZ42 FLB42:FLD42 FBF42:FBH42 ERJ42:ERL42 EHN42:EHP42 DXR42:DXT42 DNV42:DNX42 DDZ42:DEB42 CUD42:CUF42 CKH42:CKJ42 CAL42:CAN42 BQP42:BQR42 BGT42:BGV42 AWX42:AWZ42 ANB42:AND42 ADF42:ADH42 TJ42:TL42">
      <formula1>$DF$9:$DF$18</formula1>
    </dataValidation>
    <dataValidation type="list" allowBlank="1" showInputMessage="1" showErrorMessage="1" sqref="WWC983068:WWC983077 JQ46 TM46 ADI46 ANE46 AXA46 BGW46 BQS46 CAO46 CKK46 CUG46 DEC46 DNY46 DXU46 EHQ46 ERM46 FBI46 FLE46 FVA46 GEW46 GOS46 GYO46 HIK46 HSG46 ICC46 ILY46 IVU46 JFQ46 JPM46 JZI46 KJE46 KTA46 LCW46 LMS46 LWO46 MGK46 MQG46 NAC46 NJY46 NTU46 ODQ46 ONM46 OXI46 PHE46 PRA46 QAW46 QKS46 QUO46 REK46 ROG46 RYC46 SHY46 SRU46 TBQ46 TLM46 TVI46 UFE46 UPA46 UYW46 VIS46 VSO46 WCK46 WMG46 WWC46 K65582 JQ65582 TM65582 ADI65582 ANE65582 AXA65582 BGW65582 BQS65582 CAO65582 CKK65582 CUG65582 DEC65582 DNY65582 DXU65582 EHQ65582 ERM65582 FBI65582 FLE65582 FVA65582 GEW65582 GOS65582 GYO65582 HIK65582 HSG65582 ICC65582 ILY65582 IVU65582 JFQ65582 JPM65582 JZI65582 KJE65582 KTA65582 LCW65582 LMS65582 LWO65582 MGK65582 MQG65582 NAC65582 NJY65582 NTU65582 ODQ65582 ONM65582 OXI65582 PHE65582 PRA65582 QAW65582 QKS65582 QUO65582 REK65582 ROG65582 RYC65582 SHY65582 SRU65582 TBQ65582 TLM65582 TVI65582 UFE65582 UPA65582 UYW65582 VIS65582 VSO65582 WCK65582 WMG65582 WWC65582 K131118 JQ131118 TM131118 ADI131118 ANE131118 AXA131118 BGW131118 BQS131118 CAO131118 CKK131118 CUG131118 DEC131118 DNY131118 DXU131118 EHQ131118 ERM131118 FBI131118 FLE131118 FVA131118 GEW131118 GOS131118 GYO131118 HIK131118 HSG131118 ICC131118 ILY131118 IVU131118 JFQ131118 JPM131118 JZI131118 KJE131118 KTA131118 LCW131118 LMS131118 LWO131118 MGK131118 MQG131118 NAC131118 NJY131118 NTU131118 ODQ131118 ONM131118 OXI131118 PHE131118 PRA131118 QAW131118 QKS131118 QUO131118 REK131118 ROG131118 RYC131118 SHY131118 SRU131118 TBQ131118 TLM131118 TVI131118 UFE131118 UPA131118 UYW131118 VIS131118 VSO131118 WCK131118 WMG131118 WWC131118 K196654 JQ196654 TM196654 ADI196654 ANE196654 AXA196654 BGW196654 BQS196654 CAO196654 CKK196654 CUG196654 DEC196654 DNY196654 DXU196654 EHQ196654 ERM196654 FBI196654 FLE196654 FVA196654 GEW196654 GOS196654 GYO196654 HIK196654 HSG196654 ICC196654 ILY196654 IVU196654 JFQ196654 JPM196654 JZI196654 KJE196654 KTA196654 LCW196654 LMS196654 LWO196654 MGK196654 MQG196654 NAC196654 NJY196654 NTU196654 ODQ196654 ONM196654 OXI196654 PHE196654 PRA196654 QAW196654 QKS196654 QUO196654 REK196654 ROG196654 RYC196654 SHY196654 SRU196654 TBQ196654 TLM196654 TVI196654 UFE196654 UPA196654 UYW196654 VIS196654 VSO196654 WCK196654 WMG196654 WWC196654 K262190 JQ262190 TM262190 ADI262190 ANE262190 AXA262190 BGW262190 BQS262190 CAO262190 CKK262190 CUG262190 DEC262190 DNY262190 DXU262190 EHQ262190 ERM262190 FBI262190 FLE262190 FVA262190 GEW262190 GOS262190 GYO262190 HIK262190 HSG262190 ICC262190 ILY262190 IVU262190 JFQ262190 JPM262190 JZI262190 KJE262190 KTA262190 LCW262190 LMS262190 LWO262190 MGK262190 MQG262190 NAC262190 NJY262190 NTU262190 ODQ262190 ONM262190 OXI262190 PHE262190 PRA262190 QAW262190 QKS262190 QUO262190 REK262190 ROG262190 RYC262190 SHY262190 SRU262190 TBQ262190 TLM262190 TVI262190 UFE262190 UPA262190 UYW262190 VIS262190 VSO262190 WCK262190 WMG262190 WWC262190 K327726 JQ327726 TM327726 ADI327726 ANE327726 AXA327726 BGW327726 BQS327726 CAO327726 CKK327726 CUG327726 DEC327726 DNY327726 DXU327726 EHQ327726 ERM327726 FBI327726 FLE327726 FVA327726 GEW327726 GOS327726 GYO327726 HIK327726 HSG327726 ICC327726 ILY327726 IVU327726 JFQ327726 JPM327726 JZI327726 KJE327726 KTA327726 LCW327726 LMS327726 LWO327726 MGK327726 MQG327726 NAC327726 NJY327726 NTU327726 ODQ327726 ONM327726 OXI327726 PHE327726 PRA327726 QAW327726 QKS327726 QUO327726 REK327726 ROG327726 RYC327726 SHY327726 SRU327726 TBQ327726 TLM327726 TVI327726 UFE327726 UPA327726 UYW327726 VIS327726 VSO327726 WCK327726 WMG327726 WWC327726 K393262 JQ393262 TM393262 ADI393262 ANE393262 AXA393262 BGW393262 BQS393262 CAO393262 CKK393262 CUG393262 DEC393262 DNY393262 DXU393262 EHQ393262 ERM393262 FBI393262 FLE393262 FVA393262 GEW393262 GOS393262 GYO393262 HIK393262 HSG393262 ICC393262 ILY393262 IVU393262 JFQ393262 JPM393262 JZI393262 KJE393262 KTA393262 LCW393262 LMS393262 LWO393262 MGK393262 MQG393262 NAC393262 NJY393262 NTU393262 ODQ393262 ONM393262 OXI393262 PHE393262 PRA393262 QAW393262 QKS393262 QUO393262 REK393262 ROG393262 RYC393262 SHY393262 SRU393262 TBQ393262 TLM393262 TVI393262 UFE393262 UPA393262 UYW393262 VIS393262 VSO393262 WCK393262 WMG393262 WWC393262 K458798 JQ458798 TM458798 ADI458798 ANE458798 AXA458798 BGW458798 BQS458798 CAO458798 CKK458798 CUG458798 DEC458798 DNY458798 DXU458798 EHQ458798 ERM458798 FBI458798 FLE458798 FVA458798 GEW458798 GOS458798 GYO458798 HIK458798 HSG458798 ICC458798 ILY458798 IVU458798 JFQ458798 JPM458798 JZI458798 KJE458798 KTA458798 LCW458798 LMS458798 LWO458798 MGK458798 MQG458798 NAC458798 NJY458798 NTU458798 ODQ458798 ONM458798 OXI458798 PHE458798 PRA458798 QAW458798 QKS458798 QUO458798 REK458798 ROG458798 RYC458798 SHY458798 SRU458798 TBQ458798 TLM458798 TVI458798 UFE458798 UPA458798 UYW458798 VIS458798 VSO458798 WCK458798 WMG458798 WWC458798 K524334 JQ524334 TM524334 ADI524334 ANE524334 AXA524334 BGW524334 BQS524334 CAO524334 CKK524334 CUG524334 DEC524334 DNY524334 DXU524334 EHQ524334 ERM524334 FBI524334 FLE524334 FVA524334 GEW524334 GOS524334 GYO524334 HIK524334 HSG524334 ICC524334 ILY524334 IVU524334 JFQ524334 JPM524334 JZI524334 KJE524334 KTA524334 LCW524334 LMS524334 LWO524334 MGK524334 MQG524334 NAC524334 NJY524334 NTU524334 ODQ524334 ONM524334 OXI524334 PHE524334 PRA524334 QAW524334 QKS524334 QUO524334 REK524334 ROG524334 RYC524334 SHY524334 SRU524334 TBQ524334 TLM524334 TVI524334 UFE524334 UPA524334 UYW524334 VIS524334 VSO524334 WCK524334 WMG524334 WWC524334 K589870 JQ589870 TM589870 ADI589870 ANE589870 AXA589870 BGW589870 BQS589870 CAO589870 CKK589870 CUG589870 DEC589870 DNY589870 DXU589870 EHQ589870 ERM589870 FBI589870 FLE589870 FVA589870 GEW589870 GOS589870 GYO589870 HIK589870 HSG589870 ICC589870 ILY589870 IVU589870 JFQ589870 JPM589870 JZI589870 KJE589870 KTA589870 LCW589870 LMS589870 LWO589870 MGK589870 MQG589870 NAC589870 NJY589870 NTU589870 ODQ589870 ONM589870 OXI589870 PHE589870 PRA589870 QAW589870 QKS589870 QUO589870 REK589870 ROG589870 RYC589870 SHY589870 SRU589870 TBQ589870 TLM589870 TVI589870 UFE589870 UPA589870 UYW589870 VIS589870 VSO589870 WCK589870 WMG589870 WWC589870 K655406 JQ655406 TM655406 ADI655406 ANE655406 AXA655406 BGW655406 BQS655406 CAO655406 CKK655406 CUG655406 DEC655406 DNY655406 DXU655406 EHQ655406 ERM655406 FBI655406 FLE655406 FVA655406 GEW655406 GOS655406 GYO655406 HIK655406 HSG655406 ICC655406 ILY655406 IVU655406 JFQ655406 JPM655406 JZI655406 KJE655406 KTA655406 LCW655406 LMS655406 LWO655406 MGK655406 MQG655406 NAC655406 NJY655406 NTU655406 ODQ655406 ONM655406 OXI655406 PHE655406 PRA655406 QAW655406 QKS655406 QUO655406 REK655406 ROG655406 RYC655406 SHY655406 SRU655406 TBQ655406 TLM655406 TVI655406 UFE655406 UPA655406 UYW655406 VIS655406 VSO655406 WCK655406 WMG655406 WWC655406 K720942 JQ720942 TM720942 ADI720942 ANE720942 AXA720942 BGW720942 BQS720942 CAO720942 CKK720942 CUG720942 DEC720942 DNY720942 DXU720942 EHQ720942 ERM720942 FBI720942 FLE720942 FVA720942 GEW720942 GOS720942 GYO720942 HIK720942 HSG720942 ICC720942 ILY720942 IVU720942 JFQ720942 JPM720942 JZI720942 KJE720942 KTA720942 LCW720942 LMS720942 LWO720942 MGK720942 MQG720942 NAC720942 NJY720942 NTU720942 ODQ720942 ONM720942 OXI720942 PHE720942 PRA720942 QAW720942 QKS720942 QUO720942 REK720942 ROG720942 RYC720942 SHY720942 SRU720942 TBQ720942 TLM720942 TVI720942 UFE720942 UPA720942 UYW720942 VIS720942 VSO720942 WCK720942 WMG720942 WWC720942 K786478 JQ786478 TM786478 ADI786478 ANE786478 AXA786478 BGW786478 BQS786478 CAO786478 CKK786478 CUG786478 DEC786478 DNY786478 DXU786478 EHQ786478 ERM786478 FBI786478 FLE786478 FVA786478 GEW786478 GOS786478 GYO786478 HIK786478 HSG786478 ICC786478 ILY786478 IVU786478 JFQ786478 JPM786478 JZI786478 KJE786478 KTA786478 LCW786478 LMS786478 LWO786478 MGK786478 MQG786478 NAC786478 NJY786478 NTU786478 ODQ786478 ONM786478 OXI786478 PHE786478 PRA786478 QAW786478 QKS786478 QUO786478 REK786478 ROG786478 RYC786478 SHY786478 SRU786478 TBQ786478 TLM786478 TVI786478 UFE786478 UPA786478 UYW786478 VIS786478 VSO786478 WCK786478 WMG786478 WWC786478 K852014 JQ852014 TM852014 ADI852014 ANE852014 AXA852014 BGW852014 BQS852014 CAO852014 CKK852014 CUG852014 DEC852014 DNY852014 DXU852014 EHQ852014 ERM852014 FBI852014 FLE852014 FVA852014 GEW852014 GOS852014 GYO852014 HIK852014 HSG852014 ICC852014 ILY852014 IVU852014 JFQ852014 JPM852014 JZI852014 KJE852014 KTA852014 LCW852014 LMS852014 LWO852014 MGK852014 MQG852014 NAC852014 NJY852014 NTU852014 ODQ852014 ONM852014 OXI852014 PHE852014 PRA852014 QAW852014 QKS852014 QUO852014 REK852014 ROG852014 RYC852014 SHY852014 SRU852014 TBQ852014 TLM852014 TVI852014 UFE852014 UPA852014 UYW852014 VIS852014 VSO852014 WCK852014 WMG852014 WWC852014 K917550 JQ917550 TM917550 ADI917550 ANE917550 AXA917550 BGW917550 BQS917550 CAO917550 CKK917550 CUG917550 DEC917550 DNY917550 DXU917550 EHQ917550 ERM917550 FBI917550 FLE917550 FVA917550 GEW917550 GOS917550 GYO917550 HIK917550 HSG917550 ICC917550 ILY917550 IVU917550 JFQ917550 JPM917550 JZI917550 KJE917550 KTA917550 LCW917550 LMS917550 LWO917550 MGK917550 MQG917550 NAC917550 NJY917550 NTU917550 ODQ917550 ONM917550 OXI917550 PHE917550 PRA917550 QAW917550 QKS917550 QUO917550 REK917550 ROG917550 RYC917550 SHY917550 SRU917550 TBQ917550 TLM917550 TVI917550 UFE917550 UPA917550 UYW917550 VIS917550 VSO917550 WCK917550 WMG917550 WWC917550 K983086 JQ983086 TM983086 ADI983086 ANE983086 AXA983086 BGW983086 BQS983086 CAO983086 CKK983086 CUG983086 DEC983086 DNY983086 DXU983086 EHQ983086 ERM983086 FBI983086 FLE983086 FVA983086 GEW983086 GOS983086 GYO983086 HIK983086 HSG983086 ICC983086 ILY983086 IVU983086 JFQ983086 JPM983086 JZI983086 KJE983086 KTA983086 LCW983086 LMS983086 LWO983086 MGK983086 MQG983086 NAC983086 NJY983086 NTU983086 ODQ983086 ONM983086 OXI983086 PHE983086 PRA983086 QAW983086 QKS983086 QUO983086 REK983086 ROG983086 RYC983086 SHY983086 SRU983086 TBQ983086 TLM983086 TVI983086 UFE983086 UPA983086 UYW983086 VIS983086 VSO983086 WCK983086 WMG983086 WWC983086 B24 JH24 TD24 ACZ24 AMV24 AWR24 BGN24 BQJ24 CAF24 CKB24 CTX24 DDT24 DNP24 DXL24 EHH24 ERD24 FAZ24 FKV24 FUR24 GEN24 GOJ24 GYF24 HIB24 HRX24 IBT24 ILP24 IVL24 JFH24 JPD24 JYZ24 KIV24 KSR24 LCN24 LMJ24 LWF24 MGB24 MPX24 MZT24 NJP24 NTL24 ODH24 OND24 OWZ24 PGV24 PQR24 QAN24 QKJ24 QUF24 REB24 RNX24 RXT24 SHP24 SRL24 TBH24 TLD24 TUZ24 UEV24 UOR24 UYN24 VIJ24 VSF24 WCB24 WLX24 WVT24 B65560 JH65560 TD65560 ACZ65560 AMV65560 AWR65560 BGN65560 BQJ65560 CAF65560 CKB65560 CTX65560 DDT65560 DNP65560 DXL65560 EHH65560 ERD65560 FAZ65560 FKV65560 FUR65560 GEN65560 GOJ65560 GYF65560 HIB65560 HRX65560 IBT65560 ILP65560 IVL65560 JFH65560 JPD65560 JYZ65560 KIV65560 KSR65560 LCN65560 LMJ65560 LWF65560 MGB65560 MPX65560 MZT65560 NJP65560 NTL65560 ODH65560 OND65560 OWZ65560 PGV65560 PQR65560 QAN65560 QKJ65560 QUF65560 REB65560 RNX65560 RXT65560 SHP65560 SRL65560 TBH65560 TLD65560 TUZ65560 UEV65560 UOR65560 UYN65560 VIJ65560 VSF65560 WCB65560 WLX65560 WVT65560 B131096 JH131096 TD131096 ACZ131096 AMV131096 AWR131096 BGN131096 BQJ131096 CAF131096 CKB131096 CTX131096 DDT131096 DNP131096 DXL131096 EHH131096 ERD131096 FAZ131096 FKV131096 FUR131096 GEN131096 GOJ131096 GYF131096 HIB131096 HRX131096 IBT131096 ILP131096 IVL131096 JFH131096 JPD131096 JYZ131096 KIV131096 KSR131096 LCN131096 LMJ131096 LWF131096 MGB131096 MPX131096 MZT131096 NJP131096 NTL131096 ODH131096 OND131096 OWZ131096 PGV131096 PQR131096 QAN131096 QKJ131096 QUF131096 REB131096 RNX131096 RXT131096 SHP131096 SRL131096 TBH131096 TLD131096 TUZ131096 UEV131096 UOR131096 UYN131096 VIJ131096 VSF131096 WCB131096 WLX131096 WVT131096 B196632 JH196632 TD196632 ACZ196632 AMV196632 AWR196632 BGN196632 BQJ196632 CAF196632 CKB196632 CTX196632 DDT196632 DNP196632 DXL196632 EHH196632 ERD196632 FAZ196632 FKV196632 FUR196632 GEN196632 GOJ196632 GYF196632 HIB196632 HRX196632 IBT196632 ILP196632 IVL196632 JFH196632 JPD196632 JYZ196632 KIV196632 KSR196632 LCN196632 LMJ196632 LWF196632 MGB196632 MPX196632 MZT196632 NJP196632 NTL196632 ODH196632 OND196632 OWZ196632 PGV196632 PQR196632 QAN196632 QKJ196632 QUF196632 REB196632 RNX196632 RXT196632 SHP196632 SRL196632 TBH196632 TLD196632 TUZ196632 UEV196632 UOR196632 UYN196632 VIJ196632 VSF196632 WCB196632 WLX196632 WVT196632 B262168 JH262168 TD262168 ACZ262168 AMV262168 AWR262168 BGN262168 BQJ262168 CAF262168 CKB262168 CTX262168 DDT262168 DNP262168 DXL262168 EHH262168 ERD262168 FAZ262168 FKV262168 FUR262168 GEN262168 GOJ262168 GYF262168 HIB262168 HRX262168 IBT262168 ILP262168 IVL262168 JFH262168 JPD262168 JYZ262168 KIV262168 KSR262168 LCN262168 LMJ262168 LWF262168 MGB262168 MPX262168 MZT262168 NJP262168 NTL262168 ODH262168 OND262168 OWZ262168 PGV262168 PQR262168 QAN262168 QKJ262168 QUF262168 REB262168 RNX262168 RXT262168 SHP262168 SRL262168 TBH262168 TLD262168 TUZ262168 UEV262168 UOR262168 UYN262168 VIJ262168 VSF262168 WCB262168 WLX262168 WVT262168 B327704 JH327704 TD327704 ACZ327704 AMV327704 AWR327704 BGN327704 BQJ327704 CAF327704 CKB327704 CTX327704 DDT327704 DNP327704 DXL327704 EHH327704 ERD327704 FAZ327704 FKV327704 FUR327704 GEN327704 GOJ327704 GYF327704 HIB327704 HRX327704 IBT327704 ILP327704 IVL327704 JFH327704 JPD327704 JYZ327704 KIV327704 KSR327704 LCN327704 LMJ327704 LWF327704 MGB327704 MPX327704 MZT327704 NJP327704 NTL327704 ODH327704 OND327704 OWZ327704 PGV327704 PQR327704 QAN327704 QKJ327704 QUF327704 REB327704 RNX327704 RXT327704 SHP327704 SRL327704 TBH327704 TLD327704 TUZ327704 UEV327704 UOR327704 UYN327704 VIJ327704 VSF327704 WCB327704 WLX327704 WVT327704 B393240 JH393240 TD393240 ACZ393240 AMV393240 AWR393240 BGN393240 BQJ393240 CAF393240 CKB393240 CTX393240 DDT393240 DNP393240 DXL393240 EHH393240 ERD393240 FAZ393240 FKV393240 FUR393240 GEN393240 GOJ393240 GYF393240 HIB393240 HRX393240 IBT393240 ILP393240 IVL393240 JFH393240 JPD393240 JYZ393240 KIV393240 KSR393240 LCN393240 LMJ393240 LWF393240 MGB393240 MPX393240 MZT393240 NJP393240 NTL393240 ODH393240 OND393240 OWZ393240 PGV393240 PQR393240 QAN393240 QKJ393240 QUF393240 REB393240 RNX393240 RXT393240 SHP393240 SRL393240 TBH393240 TLD393240 TUZ393240 UEV393240 UOR393240 UYN393240 VIJ393240 VSF393240 WCB393240 WLX393240 WVT393240 B458776 JH458776 TD458776 ACZ458776 AMV458776 AWR458776 BGN458776 BQJ458776 CAF458776 CKB458776 CTX458776 DDT458776 DNP458776 DXL458776 EHH458776 ERD458776 FAZ458776 FKV458776 FUR458776 GEN458776 GOJ458776 GYF458776 HIB458776 HRX458776 IBT458776 ILP458776 IVL458776 JFH458776 JPD458776 JYZ458776 KIV458776 KSR458776 LCN458776 LMJ458776 LWF458776 MGB458776 MPX458776 MZT458776 NJP458776 NTL458776 ODH458776 OND458776 OWZ458776 PGV458776 PQR458776 QAN458776 QKJ458776 QUF458776 REB458776 RNX458776 RXT458776 SHP458776 SRL458776 TBH458776 TLD458776 TUZ458776 UEV458776 UOR458776 UYN458776 VIJ458776 VSF458776 WCB458776 WLX458776 WVT458776 B524312 JH524312 TD524312 ACZ524312 AMV524312 AWR524312 BGN524312 BQJ524312 CAF524312 CKB524312 CTX524312 DDT524312 DNP524312 DXL524312 EHH524312 ERD524312 FAZ524312 FKV524312 FUR524312 GEN524312 GOJ524312 GYF524312 HIB524312 HRX524312 IBT524312 ILP524312 IVL524312 JFH524312 JPD524312 JYZ524312 KIV524312 KSR524312 LCN524312 LMJ524312 LWF524312 MGB524312 MPX524312 MZT524312 NJP524312 NTL524312 ODH524312 OND524312 OWZ524312 PGV524312 PQR524312 QAN524312 QKJ524312 QUF524312 REB524312 RNX524312 RXT524312 SHP524312 SRL524312 TBH524312 TLD524312 TUZ524312 UEV524312 UOR524312 UYN524312 VIJ524312 VSF524312 WCB524312 WLX524312 WVT524312 B589848 JH589848 TD589848 ACZ589848 AMV589848 AWR589848 BGN589848 BQJ589848 CAF589848 CKB589848 CTX589848 DDT589848 DNP589848 DXL589848 EHH589848 ERD589848 FAZ589848 FKV589848 FUR589848 GEN589848 GOJ589848 GYF589848 HIB589848 HRX589848 IBT589848 ILP589848 IVL589848 JFH589848 JPD589848 JYZ589848 KIV589848 KSR589848 LCN589848 LMJ589848 LWF589848 MGB589848 MPX589848 MZT589848 NJP589848 NTL589848 ODH589848 OND589848 OWZ589848 PGV589848 PQR589848 QAN589848 QKJ589848 QUF589848 REB589848 RNX589848 RXT589848 SHP589848 SRL589848 TBH589848 TLD589848 TUZ589848 UEV589848 UOR589848 UYN589848 VIJ589848 VSF589848 WCB589848 WLX589848 WVT589848 B655384 JH655384 TD655384 ACZ655384 AMV655384 AWR655384 BGN655384 BQJ655384 CAF655384 CKB655384 CTX655384 DDT655384 DNP655384 DXL655384 EHH655384 ERD655384 FAZ655384 FKV655384 FUR655384 GEN655384 GOJ655384 GYF655384 HIB655384 HRX655384 IBT655384 ILP655384 IVL655384 JFH655384 JPD655384 JYZ655384 KIV655384 KSR655384 LCN655384 LMJ655384 LWF655384 MGB655384 MPX655384 MZT655384 NJP655384 NTL655384 ODH655384 OND655384 OWZ655384 PGV655384 PQR655384 QAN655384 QKJ655384 QUF655384 REB655384 RNX655384 RXT655384 SHP655384 SRL655384 TBH655384 TLD655384 TUZ655384 UEV655384 UOR655384 UYN655384 VIJ655384 VSF655384 WCB655384 WLX655384 WVT655384 B720920 JH720920 TD720920 ACZ720920 AMV720920 AWR720920 BGN720920 BQJ720920 CAF720920 CKB720920 CTX720920 DDT720920 DNP720920 DXL720920 EHH720920 ERD720920 FAZ720920 FKV720920 FUR720920 GEN720920 GOJ720920 GYF720920 HIB720920 HRX720920 IBT720920 ILP720920 IVL720920 JFH720920 JPD720920 JYZ720920 KIV720920 KSR720920 LCN720920 LMJ720920 LWF720920 MGB720920 MPX720920 MZT720920 NJP720920 NTL720920 ODH720920 OND720920 OWZ720920 PGV720920 PQR720920 QAN720920 QKJ720920 QUF720920 REB720920 RNX720920 RXT720920 SHP720920 SRL720920 TBH720920 TLD720920 TUZ720920 UEV720920 UOR720920 UYN720920 VIJ720920 VSF720920 WCB720920 WLX720920 WVT720920 B786456 JH786456 TD786456 ACZ786456 AMV786456 AWR786456 BGN786456 BQJ786456 CAF786456 CKB786456 CTX786456 DDT786456 DNP786456 DXL786456 EHH786456 ERD786456 FAZ786456 FKV786456 FUR786456 GEN786456 GOJ786456 GYF786456 HIB786456 HRX786456 IBT786456 ILP786456 IVL786456 JFH786456 JPD786456 JYZ786456 KIV786456 KSR786456 LCN786456 LMJ786456 LWF786456 MGB786456 MPX786456 MZT786456 NJP786456 NTL786456 ODH786456 OND786456 OWZ786456 PGV786456 PQR786456 QAN786456 QKJ786456 QUF786456 REB786456 RNX786456 RXT786456 SHP786456 SRL786456 TBH786456 TLD786456 TUZ786456 UEV786456 UOR786456 UYN786456 VIJ786456 VSF786456 WCB786456 WLX786456 WVT786456 B851992 JH851992 TD851992 ACZ851992 AMV851992 AWR851992 BGN851992 BQJ851992 CAF851992 CKB851992 CTX851992 DDT851992 DNP851992 DXL851992 EHH851992 ERD851992 FAZ851992 FKV851992 FUR851992 GEN851992 GOJ851992 GYF851992 HIB851992 HRX851992 IBT851992 ILP851992 IVL851992 JFH851992 JPD851992 JYZ851992 KIV851992 KSR851992 LCN851992 LMJ851992 LWF851992 MGB851992 MPX851992 MZT851992 NJP851992 NTL851992 ODH851992 OND851992 OWZ851992 PGV851992 PQR851992 QAN851992 QKJ851992 QUF851992 REB851992 RNX851992 RXT851992 SHP851992 SRL851992 TBH851992 TLD851992 TUZ851992 UEV851992 UOR851992 UYN851992 VIJ851992 VSF851992 WCB851992 WLX851992 WVT851992 B917528 JH917528 TD917528 ACZ917528 AMV917528 AWR917528 BGN917528 BQJ917528 CAF917528 CKB917528 CTX917528 DDT917528 DNP917528 DXL917528 EHH917528 ERD917528 FAZ917528 FKV917528 FUR917528 GEN917528 GOJ917528 GYF917528 HIB917528 HRX917528 IBT917528 ILP917528 IVL917528 JFH917528 JPD917528 JYZ917528 KIV917528 KSR917528 LCN917528 LMJ917528 LWF917528 MGB917528 MPX917528 MZT917528 NJP917528 NTL917528 ODH917528 OND917528 OWZ917528 PGV917528 PQR917528 QAN917528 QKJ917528 QUF917528 REB917528 RNX917528 RXT917528 SHP917528 SRL917528 TBH917528 TLD917528 TUZ917528 UEV917528 UOR917528 UYN917528 VIJ917528 VSF917528 WCB917528 WLX917528 WVT917528 B983064 JH983064 TD983064 ACZ983064 AMV983064 AWR983064 BGN983064 BQJ983064 CAF983064 CKB983064 CTX983064 DDT983064 DNP983064 DXL983064 EHH983064 ERD983064 FAZ983064 FKV983064 FUR983064 GEN983064 GOJ983064 GYF983064 HIB983064 HRX983064 IBT983064 ILP983064 IVL983064 JFH983064 JPD983064 JYZ983064 KIV983064 KSR983064 LCN983064 LMJ983064 LWF983064 MGB983064 MPX983064 MZT983064 NJP983064 NTL983064 ODH983064 OND983064 OWZ983064 PGV983064 PQR983064 QAN983064 QKJ983064 QUF983064 REB983064 RNX983064 RXT983064 SHP983064 SRL983064 TBH983064 TLD983064 TUZ983064 UEV983064 UOR983064 UYN983064 VIJ983064 VSF983064 WCB983064 WLX983064 WVT983064 K28:K37 JQ28:JQ37 TM28:TM37 ADI28:ADI37 ANE28:ANE37 AXA28:AXA37 BGW28:BGW37 BQS28:BQS37 CAO28:CAO37 CKK28:CKK37 CUG28:CUG37 DEC28:DEC37 DNY28:DNY37 DXU28:DXU37 EHQ28:EHQ37 ERM28:ERM37 FBI28:FBI37 FLE28:FLE37 FVA28:FVA37 GEW28:GEW37 GOS28:GOS37 GYO28:GYO37 HIK28:HIK37 HSG28:HSG37 ICC28:ICC37 ILY28:ILY37 IVU28:IVU37 JFQ28:JFQ37 JPM28:JPM37 JZI28:JZI37 KJE28:KJE37 KTA28:KTA37 LCW28:LCW37 LMS28:LMS37 LWO28:LWO37 MGK28:MGK37 MQG28:MQG37 NAC28:NAC37 NJY28:NJY37 NTU28:NTU37 ODQ28:ODQ37 ONM28:ONM37 OXI28:OXI37 PHE28:PHE37 PRA28:PRA37 QAW28:QAW37 QKS28:QKS37 QUO28:QUO37 REK28:REK37 ROG28:ROG37 RYC28:RYC37 SHY28:SHY37 SRU28:SRU37 TBQ28:TBQ37 TLM28:TLM37 TVI28:TVI37 UFE28:UFE37 UPA28:UPA37 UYW28:UYW37 VIS28:VIS37 VSO28:VSO37 WCK28:WCK37 WMG28:WMG37 WWC28:WWC37 K65564:K65573 JQ65564:JQ65573 TM65564:TM65573 ADI65564:ADI65573 ANE65564:ANE65573 AXA65564:AXA65573 BGW65564:BGW65573 BQS65564:BQS65573 CAO65564:CAO65573 CKK65564:CKK65573 CUG65564:CUG65573 DEC65564:DEC65573 DNY65564:DNY65573 DXU65564:DXU65573 EHQ65564:EHQ65573 ERM65564:ERM65573 FBI65564:FBI65573 FLE65564:FLE65573 FVA65564:FVA65573 GEW65564:GEW65573 GOS65564:GOS65573 GYO65564:GYO65573 HIK65564:HIK65573 HSG65564:HSG65573 ICC65564:ICC65573 ILY65564:ILY65573 IVU65564:IVU65573 JFQ65564:JFQ65573 JPM65564:JPM65573 JZI65564:JZI65573 KJE65564:KJE65573 KTA65564:KTA65573 LCW65564:LCW65573 LMS65564:LMS65573 LWO65564:LWO65573 MGK65564:MGK65573 MQG65564:MQG65573 NAC65564:NAC65573 NJY65564:NJY65573 NTU65564:NTU65573 ODQ65564:ODQ65573 ONM65564:ONM65573 OXI65564:OXI65573 PHE65564:PHE65573 PRA65564:PRA65573 QAW65564:QAW65573 QKS65564:QKS65573 QUO65564:QUO65573 REK65564:REK65573 ROG65564:ROG65573 RYC65564:RYC65573 SHY65564:SHY65573 SRU65564:SRU65573 TBQ65564:TBQ65573 TLM65564:TLM65573 TVI65564:TVI65573 UFE65564:UFE65573 UPA65564:UPA65573 UYW65564:UYW65573 VIS65564:VIS65573 VSO65564:VSO65573 WCK65564:WCK65573 WMG65564:WMG65573 WWC65564:WWC65573 K131100:K131109 JQ131100:JQ131109 TM131100:TM131109 ADI131100:ADI131109 ANE131100:ANE131109 AXA131100:AXA131109 BGW131100:BGW131109 BQS131100:BQS131109 CAO131100:CAO131109 CKK131100:CKK131109 CUG131100:CUG131109 DEC131100:DEC131109 DNY131100:DNY131109 DXU131100:DXU131109 EHQ131100:EHQ131109 ERM131100:ERM131109 FBI131100:FBI131109 FLE131100:FLE131109 FVA131100:FVA131109 GEW131100:GEW131109 GOS131100:GOS131109 GYO131100:GYO131109 HIK131100:HIK131109 HSG131100:HSG131109 ICC131100:ICC131109 ILY131100:ILY131109 IVU131100:IVU131109 JFQ131100:JFQ131109 JPM131100:JPM131109 JZI131100:JZI131109 KJE131100:KJE131109 KTA131100:KTA131109 LCW131100:LCW131109 LMS131100:LMS131109 LWO131100:LWO131109 MGK131100:MGK131109 MQG131100:MQG131109 NAC131100:NAC131109 NJY131100:NJY131109 NTU131100:NTU131109 ODQ131100:ODQ131109 ONM131100:ONM131109 OXI131100:OXI131109 PHE131100:PHE131109 PRA131100:PRA131109 QAW131100:QAW131109 QKS131100:QKS131109 QUO131100:QUO131109 REK131100:REK131109 ROG131100:ROG131109 RYC131100:RYC131109 SHY131100:SHY131109 SRU131100:SRU131109 TBQ131100:TBQ131109 TLM131100:TLM131109 TVI131100:TVI131109 UFE131100:UFE131109 UPA131100:UPA131109 UYW131100:UYW131109 VIS131100:VIS131109 VSO131100:VSO131109 WCK131100:WCK131109 WMG131100:WMG131109 WWC131100:WWC131109 K196636:K196645 JQ196636:JQ196645 TM196636:TM196645 ADI196636:ADI196645 ANE196636:ANE196645 AXA196636:AXA196645 BGW196636:BGW196645 BQS196636:BQS196645 CAO196636:CAO196645 CKK196636:CKK196645 CUG196636:CUG196645 DEC196636:DEC196645 DNY196636:DNY196645 DXU196636:DXU196645 EHQ196636:EHQ196645 ERM196636:ERM196645 FBI196636:FBI196645 FLE196636:FLE196645 FVA196636:FVA196645 GEW196636:GEW196645 GOS196636:GOS196645 GYO196636:GYO196645 HIK196636:HIK196645 HSG196636:HSG196645 ICC196636:ICC196645 ILY196636:ILY196645 IVU196636:IVU196645 JFQ196636:JFQ196645 JPM196636:JPM196645 JZI196636:JZI196645 KJE196636:KJE196645 KTA196636:KTA196645 LCW196636:LCW196645 LMS196636:LMS196645 LWO196636:LWO196645 MGK196636:MGK196645 MQG196636:MQG196645 NAC196636:NAC196645 NJY196636:NJY196645 NTU196636:NTU196645 ODQ196636:ODQ196645 ONM196636:ONM196645 OXI196636:OXI196645 PHE196636:PHE196645 PRA196636:PRA196645 QAW196636:QAW196645 QKS196636:QKS196645 QUO196636:QUO196645 REK196636:REK196645 ROG196636:ROG196645 RYC196636:RYC196645 SHY196636:SHY196645 SRU196636:SRU196645 TBQ196636:TBQ196645 TLM196636:TLM196645 TVI196636:TVI196645 UFE196636:UFE196645 UPA196636:UPA196645 UYW196636:UYW196645 VIS196636:VIS196645 VSO196636:VSO196645 WCK196636:WCK196645 WMG196636:WMG196645 WWC196636:WWC196645 K262172:K262181 JQ262172:JQ262181 TM262172:TM262181 ADI262172:ADI262181 ANE262172:ANE262181 AXA262172:AXA262181 BGW262172:BGW262181 BQS262172:BQS262181 CAO262172:CAO262181 CKK262172:CKK262181 CUG262172:CUG262181 DEC262172:DEC262181 DNY262172:DNY262181 DXU262172:DXU262181 EHQ262172:EHQ262181 ERM262172:ERM262181 FBI262172:FBI262181 FLE262172:FLE262181 FVA262172:FVA262181 GEW262172:GEW262181 GOS262172:GOS262181 GYO262172:GYO262181 HIK262172:HIK262181 HSG262172:HSG262181 ICC262172:ICC262181 ILY262172:ILY262181 IVU262172:IVU262181 JFQ262172:JFQ262181 JPM262172:JPM262181 JZI262172:JZI262181 KJE262172:KJE262181 KTA262172:KTA262181 LCW262172:LCW262181 LMS262172:LMS262181 LWO262172:LWO262181 MGK262172:MGK262181 MQG262172:MQG262181 NAC262172:NAC262181 NJY262172:NJY262181 NTU262172:NTU262181 ODQ262172:ODQ262181 ONM262172:ONM262181 OXI262172:OXI262181 PHE262172:PHE262181 PRA262172:PRA262181 QAW262172:QAW262181 QKS262172:QKS262181 QUO262172:QUO262181 REK262172:REK262181 ROG262172:ROG262181 RYC262172:RYC262181 SHY262172:SHY262181 SRU262172:SRU262181 TBQ262172:TBQ262181 TLM262172:TLM262181 TVI262172:TVI262181 UFE262172:UFE262181 UPA262172:UPA262181 UYW262172:UYW262181 VIS262172:VIS262181 VSO262172:VSO262181 WCK262172:WCK262181 WMG262172:WMG262181 WWC262172:WWC262181 K327708:K327717 JQ327708:JQ327717 TM327708:TM327717 ADI327708:ADI327717 ANE327708:ANE327717 AXA327708:AXA327717 BGW327708:BGW327717 BQS327708:BQS327717 CAO327708:CAO327717 CKK327708:CKK327717 CUG327708:CUG327717 DEC327708:DEC327717 DNY327708:DNY327717 DXU327708:DXU327717 EHQ327708:EHQ327717 ERM327708:ERM327717 FBI327708:FBI327717 FLE327708:FLE327717 FVA327708:FVA327717 GEW327708:GEW327717 GOS327708:GOS327717 GYO327708:GYO327717 HIK327708:HIK327717 HSG327708:HSG327717 ICC327708:ICC327717 ILY327708:ILY327717 IVU327708:IVU327717 JFQ327708:JFQ327717 JPM327708:JPM327717 JZI327708:JZI327717 KJE327708:KJE327717 KTA327708:KTA327717 LCW327708:LCW327717 LMS327708:LMS327717 LWO327708:LWO327717 MGK327708:MGK327717 MQG327708:MQG327717 NAC327708:NAC327717 NJY327708:NJY327717 NTU327708:NTU327717 ODQ327708:ODQ327717 ONM327708:ONM327717 OXI327708:OXI327717 PHE327708:PHE327717 PRA327708:PRA327717 QAW327708:QAW327717 QKS327708:QKS327717 QUO327708:QUO327717 REK327708:REK327717 ROG327708:ROG327717 RYC327708:RYC327717 SHY327708:SHY327717 SRU327708:SRU327717 TBQ327708:TBQ327717 TLM327708:TLM327717 TVI327708:TVI327717 UFE327708:UFE327717 UPA327708:UPA327717 UYW327708:UYW327717 VIS327708:VIS327717 VSO327708:VSO327717 WCK327708:WCK327717 WMG327708:WMG327717 WWC327708:WWC327717 K393244:K393253 JQ393244:JQ393253 TM393244:TM393253 ADI393244:ADI393253 ANE393244:ANE393253 AXA393244:AXA393253 BGW393244:BGW393253 BQS393244:BQS393253 CAO393244:CAO393253 CKK393244:CKK393253 CUG393244:CUG393253 DEC393244:DEC393253 DNY393244:DNY393253 DXU393244:DXU393253 EHQ393244:EHQ393253 ERM393244:ERM393253 FBI393244:FBI393253 FLE393244:FLE393253 FVA393244:FVA393253 GEW393244:GEW393253 GOS393244:GOS393253 GYO393244:GYO393253 HIK393244:HIK393253 HSG393244:HSG393253 ICC393244:ICC393253 ILY393244:ILY393253 IVU393244:IVU393253 JFQ393244:JFQ393253 JPM393244:JPM393253 JZI393244:JZI393253 KJE393244:KJE393253 KTA393244:KTA393253 LCW393244:LCW393253 LMS393244:LMS393253 LWO393244:LWO393253 MGK393244:MGK393253 MQG393244:MQG393253 NAC393244:NAC393253 NJY393244:NJY393253 NTU393244:NTU393253 ODQ393244:ODQ393253 ONM393244:ONM393253 OXI393244:OXI393253 PHE393244:PHE393253 PRA393244:PRA393253 QAW393244:QAW393253 QKS393244:QKS393253 QUO393244:QUO393253 REK393244:REK393253 ROG393244:ROG393253 RYC393244:RYC393253 SHY393244:SHY393253 SRU393244:SRU393253 TBQ393244:TBQ393253 TLM393244:TLM393253 TVI393244:TVI393253 UFE393244:UFE393253 UPA393244:UPA393253 UYW393244:UYW393253 VIS393244:VIS393253 VSO393244:VSO393253 WCK393244:WCK393253 WMG393244:WMG393253 WWC393244:WWC393253 K458780:K458789 JQ458780:JQ458789 TM458780:TM458789 ADI458780:ADI458789 ANE458780:ANE458789 AXA458780:AXA458789 BGW458780:BGW458789 BQS458780:BQS458789 CAO458780:CAO458789 CKK458780:CKK458789 CUG458780:CUG458789 DEC458780:DEC458789 DNY458780:DNY458789 DXU458780:DXU458789 EHQ458780:EHQ458789 ERM458780:ERM458789 FBI458780:FBI458789 FLE458780:FLE458789 FVA458780:FVA458789 GEW458780:GEW458789 GOS458780:GOS458789 GYO458780:GYO458789 HIK458780:HIK458789 HSG458780:HSG458789 ICC458780:ICC458789 ILY458780:ILY458789 IVU458780:IVU458789 JFQ458780:JFQ458789 JPM458780:JPM458789 JZI458780:JZI458789 KJE458780:KJE458789 KTA458780:KTA458789 LCW458780:LCW458789 LMS458780:LMS458789 LWO458780:LWO458789 MGK458780:MGK458789 MQG458780:MQG458789 NAC458780:NAC458789 NJY458780:NJY458789 NTU458780:NTU458789 ODQ458780:ODQ458789 ONM458780:ONM458789 OXI458780:OXI458789 PHE458780:PHE458789 PRA458780:PRA458789 QAW458780:QAW458789 QKS458780:QKS458789 QUO458780:QUO458789 REK458780:REK458789 ROG458780:ROG458789 RYC458780:RYC458789 SHY458780:SHY458789 SRU458780:SRU458789 TBQ458780:TBQ458789 TLM458780:TLM458789 TVI458780:TVI458789 UFE458780:UFE458789 UPA458780:UPA458789 UYW458780:UYW458789 VIS458780:VIS458789 VSO458780:VSO458789 WCK458780:WCK458789 WMG458780:WMG458789 WWC458780:WWC458789 K524316:K524325 JQ524316:JQ524325 TM524316:TM524325 ADI524316:ADI524325 ANE524316:ANE524325 AXA524316:AXA524325 BGW524316:BGW524325 BQS524316:BQS524325 CAO524316:CAO524325 CKK524316:CKK524325 CUG524316:CUG524325 DEC524316:DEC524325 DNY524316:DNY524325 DXU524316:DXU524325 EHQ524316:EHQ524325 ERM524316:ERM524325 FBI524316:FBI524325 FLE524316:FLE524325 FVA524316:FVA524325 GEW524316:GEW524325 GOS524316:GOS524325 GYO524316:GYO524325 HIK524316:HIK524325 HSG524316:HSG524325 ICC524316:ICC524325 ILY524316:ILY524325 IVU524316:IVU524325 JFQ524316:JFQ524325 JPM524316:JPM524325 JZI524316:JZI524325 KJE524316:KJE524325 KTA524316:KTA524325 LCW524316:LCW524325 LMS524316:LMS524325 LWO524316:LWO524325 MGK524316:MGK524325 MQG524316:MQG524325 NAC524316:NAC524325 NJY524316:NJY524325 NTU524316:NTU524325 ODQ524316:ODQ524325 ONM524316:ONM524325 OXI524316:OXI524325 PHE524316:PHE524325 PRA524316:PRA524325 QAW524316:QAW524325 QKS524316:QKS524325 QUO524316:QUO524325 REK524316:REK524325 ROG524316:ROG524325 RYC524316:RYC524325 SHY524316:SHY524325 SRU524316:SRU524325 TBQ524316:TBQ524325 TLM524316:TLM524325 TVI524316:TVI524325 UFE524316:UFE524325 UPA524316:UPA524325 UYW524316:UYW524325 VIS524316:VIS524325 VSO524316:VSO524325 WCK524316:WCK524325 WMG524316:WMG524325 WWC524316:WWC524325 K589852:K589861 JQ589852:JQ589861 TM589852:TM589861 ADI589852:ADI589861 ANE589852:ANE589861 AXA589852:AXA589861 BGW589852:BGW589861 BQS589852:BQS589861 CAO589852:CAO589861 CKK589852:CKK589861 CUG589852:CUG589861 DEC589852:DEC589861 DNY589852:DNY589861 DXU589852:DXU589861 EHQ589852:EHQ589861 ERM589852:ERM589861 FBI589852:FBI589861 FLE589852:FLE589861 FVA589852:FVA589861 GEW589852:GEW589861 GOS589852:GOS589861 GYO589852:GYO589861 HIK589852:HIK589861 HSG589852:HSG589861 ICC589852:ICC589861 ILY589852:ILY589861 IVU589852:IVU589861 JFQ589852:JFQ589861 JPM589852:JPM589861 JZI589852:JZI589861 KJE589852:KJE589861 KTA589852:KTA589861 LCW589852:LCW589861 LMS589852:LMS589861 LWO589852:LWO589861 MGK589852:MGK589861 MQG589852:MQG589861 NAC589852:NAC589861 NJY589852:NJY589861 NTU589852:NTU589861 ODQ589852:ODQ589861 ONM589852:ONM589861 OXI589852:OXI589861 PHE589852:PHE589861 PRA589852:PRA589861 QAW589852:QAW589861 QKS589852:QKS589861 QUO589852:QUO589861 REK589852:REK589861 ROG589852:ROG589861 RYC589852:RYC589861 SHY589852:SHY589861 SRU589852:SRU589861 TBQ589852:TBQ589861 TLM589852:TLM589861 TVI589852:TVI589861 UFE589852:UFE589861 UPA589852:UPA589861 UYW589852:UYW589861 VIS589852:VIS589861 VSO589852:VSO589861 WCK589852:WCK589861 WMG589852:WMG589861 WWC589852:WWC589861 K655388:K655397 JQ655388:JQ655397 TM655388:TM655397 ADI655388:ADI655397 ANE655388:ANE655397 AXA655388:AXA655397 BGW655388:BGW655397 BQS655388:BQS655397 CAO655388:CAO655397 CKK655388:CKK655397 CUG655388:CUG655397 DEC655388:DEC655397 DNY655388:DNY655397 DXU655388:DXU655397 EHQ655388:EHQ655397 ERM655388:ERM655397 FBI655388:FBI655397 FLE655388:FLE655397 FVA655388:FVA655397 GEW655388:GEW655397 GOS655388:GOS655397 GYO655388:GYO655397 HIK655388:HIK655397 HSG655388:HSG655397 ICC655388:ICC655397 ILY655388:ILY655397 IVU655388:IVU655397 JFQ655388:JFQ655397 JPM655388:JPM655397 JZI655388:JZI655397 KJE655388:KJE655397 KTA655388:KTA655397 LCW655388:LCW655397 LMS655388:LMS655397 LWO655388:LWO655397 MGK655388:MGK655397 MQG655388:MQG655397 NAC655388:NAC655397 NJY655388:NJY655397 NTU655388:NTU655397 ODQ655388:ODQ655397 ONM655388:ONM655397 OXI655388:OXI655397 PHE655388:PHE655397 PRA655388:PRA655397 QAW655388:QAW655397 QKS655388:QKS655397 QUO655388:QUO655397 REK655388:REK655397 ROG655388:ROG655397 RYC655388:RYC655397 SHY655388:SHY655397 SRU655388:SRU655397 TBQ655388:TBQ655397 TLM655388:TLM655397 TVI655388:TVI655397 UFE655388:UFE655397 UPA655388:UPA655397 UYW655388:UYW655397 VIS655388:VIS655397 VSO655388:VSO655397 WCK655388:WCK655397 WMG655388:WMG655397 WWC655388:WWC655397 K720924:K720933 JQ720924:JQ720933 TM720924:TM720933 ADI720924:ADI720933 ANE720924:ANE720933 AXA720924:AXA720933 BGW720924:BGW720933 BQS720924:BQS720933 CAO720924:CAO720933 CKK720924:CKK720933 CUG720924:CUG720933 DEC720924:DEC720933 DNY720924:DNY720933 DXU720924:DXU720933 EHQ720924:EHQ720933 ERM720924:ERM720933 FBI720924:FBI720933 FLE720924:FLE720933 FVA720924:FVA720933 GEW720924:GEW720933 GOS720924:GOS720933 GYO720924:GYO720933 HIK720924:HIK720933 HSG720924:HSG720933 ICC720924:ICC720933 ILY720924:ILY720933 IVU720924:IVU720933 JFQ720924:JFQ720933 JPM720924:JPM720933 JZI720924:JZI720933 KJE720924:KJE720933 KTA720924:KTA720933 LCW720924:LCW720933 LMS720924:LMS720933 LWO720924:LWO720933 MGK720924:MGK720933 MQG720924:MQG720933 NAC720924:NAC720933 NJY720924:NJY720933 NTU720924:NTU720933 ODQ720924:ODQ720933 ONM720924:ONM720933 OXI720924:OXI720933 PHE720924:PHE720933 PRA720924:PRA720933 QAW720924:QAW720933 QKS720924:QKS720933 QUO720924:QUO720933 REK720924:REK720933 ROG720924:ROG720933 RYC720924:RYC720933 SHY720924:SHY720933 SRU720924:SRU720933 TBQ720924:TBQ720933 TLM720924:TLM720933 TVI720924:TVI720933 UFE720924:UFE720933 UPA720924:UPA720933 UYW720924:UYW720933 VIS720924:VIS720933 VSO720924:VSO720933 WCK720924:WCK720933 WMG720924:WMG720933 WWC720924:WWC720933 K786460:K786469 JQ786460:JQ786469 TM786460:TM786469 ADI786460:ADI786469 ANE786460:ANE786469 AXA786460:AXA786469 BGW786460:BGW786469 BQS786460:BQS786469 CAO786460:CAO786469 CKK786460:CKK786469 CUG786460:CUG786469 DEC786460:DEC786469 DNY786460:DNY786469 DXU786460:DXU786469 EHQ786460:EHQ786469 ERM786460:ERM786469 FBI786460:FBI786469 FLE786460:FLE786469 FVA786460:FVA786469 GEW786460:GEW786469 GOS786460:GOS786469 GYO786460:GYO786469 HIK786460:HIK786469 HSG786460:HSG786469 ICC786460:ICC786469 ILY786460:ILY786469 IVU786460:IVU786469 JFQ786460:JFQ786469 JPM786460:JPM786469 JZI786460:JZI786469 KJE786460:KJE786469 KTA786460:KTA786469 LCW786460:LCW786469 LMS786460:LMS786469 LWO786460:LWO786469 MGK786460:MGK786469 MQG786460:MQG786469 NAC786460:NAC786469 NJY786460:NJY786469 NTU786460:NTU786469 ODQ786460:ODQ786469 ONM786460:ONM786469 OXI786460:OXI786469 PHE786460:PHE786469 PRA786460:PRA786469 QAW786460:QAW786469 QKS786460:QKS786469 QUO786460:QUO786469 REK786460:REK786469 ROG786460:ROG786469 RYC786460:RYC786469 SHY786460:SHY786469 SRU786460:SRU786469 TBQ786460:TBQ786469 TLM786460:TLM786469 TVI786460:TVI786469 UFE786460:UFE786469 UPA786460:UPA786469 UYW786460:UYW786469 VIS786460:VIS786469 VSO786460:VSO786469 WCK786460:WCK786469 WMG786460:WMG786469 WWC786460:WWC786469 K851996:K852005 JQ851996:JQ852005 TM851996:TM852005 ADI851996:ADI852005 ANE851996:ANE852005 AXA851996:AXA852005 BGW851996:BGW852005 BQS851996:BQS852005 CAO851996:CAO852005 CKK851996:CKK852005 CUG851996:CUG852005 DEC851996:DEC852005 DNY851996:DNY852005 DXU851996:DXU852005 EHQ851996:EHQ852005 ERM851996:ERM852005 FBI851996:FBI852005 FLE851996:FLE852005 FVA851996:FVA852005 GEW851996:GEW852005 GOS851996:GOS852005 GYO851996:GYO852005 HIK851996:HIK852005 HSG851996:HSG852005 ICC851996:ICC852005 ILY851996:ILY852005 IVU851996:IVU852005 JFQ851996:JFQ852005 JPM851996:JPM852005 JZI851996:JZI852005 KJE851996:KJE852005 KTA851996:KTA852005 LCW851996:LCW852005 LMS851996:LMS852005 LWO851996:LWO852005 MGK851996:MGK852005 MQG851996:MQG852005 NAC851996:NAC852005 NJY851996:NJY852005 NTU851996:NTU852005 ODQ851996:ODQ852005 ONM851996:ONM852005 OXI851996:OXI852005 PHE851996:PHE852005 PRA851996:PRA852005 QAW851996:QAW852005 QKS851996:QKS852005 QUO851996:QUO852005 REK851996:REK852005 ROG851996:ROG852005 RYC851996:RYC852005 SHY851996:SHY852005 SRU851996:SRU852005 TBQ851996:TBQ852005 TLM851996:TLM852005 TVI851996:TVI852005 UFE851996:UFE852005 UPA851996:UPA852005 UYW851996:UYW852005 VIS851996:VIS852005 VSO851996:VSO852005 WCK851996:WCK852005 WMG851996:WMG852005 WWC851996:WWC852005 K917532:K917541 JQ917532:JQ917541 TM917532:TM917541 ADI917532:ADI917541 ANE917532:ANE917541 AXA917532:AXA917541 BGW917532:BGW917541 BQS917532:BQS917541 CAO917532:CAO917541 CKK917532:CKK917541 CUG917532:CUG917541 DEC917532:DEC917541 DNY917532:DNY917541 DXU917532:DXU917541 EHQ917532:EHQ917541 ERM917532:ERM917541 FBI917532:FBI917541 FLE917532:FLE917541 FVA917532:FVA917541 GEW917532:GEW917541 GOS917532:GOS917541 GYO917532:GYO917541 HIK917532:HIK917541 HSG917532:HSG917541 ICC917532:ICC917541 ILY917532:ILY917541 IVU917532:IVU917541 JFQ917532:JFQ917541 JPM917532:JPM917541 JZI917532:JZI917541 KJE917532:KJE917541 KTA917532:KTA917541 LCW917532:LCW917541 LMS917532:LMS917541 LWO917532:LWO917541 MGK917532:MGK917541 MQG917532:MQG917541 NAC917532:NAC917541 NJY917532:NJY917541 NTU917532:NTU917541 ODQ917532:ODQ917541 ONM917532:ONM917541 OXI917532:OXI917541 PHE917532:PHE917541 PRA917532:PRA917541 QAW917532:QAW917541 QKS917532:QKS917541 QUO917532:QUO917541 REK917532:REK917541 ROG917532:ROG917541 RYC917532:RYC917541 SHY917532:SHY917541 SRU917532:SRU917541 TBQ917532:TBQ917541 TLM917532:TLM917541 TVI917532:TVI917541 UFE917532:UFE917541 UPA917532:UPA917541 UYW917532:UYW917541 VIS917532:VIS917541 VSO917532:VSO917541 WCK917532:WCK917541 WMG917532:WMG917541 WWC917532:WWC917541 K983068:K983077 JQ983068:JQ983077 TM983068:TM983077 ADI983068:ADI983077 ANE983068:ANE983077 AXA983068:AXA983077 BGW983068:BGW983077 BQS983068:BQS983077 CAO983068:CAO983077 CKK983068:CKK983077 CUG983068:CUG983077 DEC983068:DEC983077 DNY983068:DNY983077 DXU983068:DXU983077 EHQ983068:EHQ983077 ERM983068:ERM983077 FBI983068:FBI983077 FLE983068:FLE983077 FVA983068:FVA983077 GEW983068:GEW983077 GOS983068:GOS983077 GYO983068:GYO983077 HIK983068:HIK983077 HSG983068:HSG983077 ICC983068:ICC983077 ILY983068:ILY983077 IVU983068:IVU983077 JFQ983068:JFQ983077 JPM983068:JPM983077 JZI983068:JZI983077 KJE983068:KJE983077 KTA983068:KTA983077 LCW983068:LCW983077 LMS983068:LMS983077 LWO983068:LWO983077 MGK983068:MGK983077 MQG983068:MQG983077 NAC983068:NAC983077 NJY983068:NJY983077 NTU983068:NTU983077 ODQ983068:ODQ983077 ONM983068:ONM983077 OXI983068:OXI983077 PHE983068:PHE983077 PRA983068:PRA983077 QAW983068:QAW983077 QKS983068:QKS983077 QUO983068:QUO983077 REK983068:REK983077 ROG983068:ROG983077 RYC983068:RYC983077 SHY983068:SHY983077 SRU983068:SRU983077 TBQ983068:TBQ983077 TLM983068:TLM983077 TVI983068:TVI983077 UFE983068:UFE983077 UPA983068:UPA983077 UYW983068:UYW983077 VIS983068:VIS983077 VSO983068:VSO983077 WCK983068:WCK983077 WMG983068:WMG983077 K46">
      <formula1>$CN$12:$CN$13</formula1>
    </dataValidation>
    <dataValidation allowBlank="1" showInputMessage="1" showErrorMessage="1" promptTitle="EFFET/RESILIATION/SUSPENSION" prompt="EFFET/RESILIATION/SUSPENSION" sqref="WVX983057:WVY983058 WMB983057:WMC983058 F983057:G983058 F917521:G917522 F851985:G851986 F786449:G786450 F720913:G720914 F655377:G655378 F589841:G589842 F524305:G524306 F458769:G458770 F393233:G393234 F327697:G327698 F262161:G262162 F196625:G196626 F131089:G131090 F65553:G65554 JL15:JM16 TH15:TI16 ADD15:ADE16 AMZ15:ANA16 AWV15:AWW16 BGR15:BGS16 BQN15:BQO16 CAJ15:CAK16 CKF15:CKG16 CUB15:CUC16 DDX15:DDY16 DNT15:DNU16 DXP15:DXQ16 EHL15:EHM16 ERH15:ERI16 FBD15:FBE16 FKZ15:FLA16 FUV15:FUW16 GER15:GES16 GON15:GOO16 GYJ15:GYK16 HIF15:HIG16 HSB15:HSC16 IBX15:IBY16 ILT15:ILU16 IVP15:IVQ16 JFL15:JFM16 JPH15:JPI16 JZD15:JZE16 KIZ15:KJA16 KSV15:KSW16 LCR15:LCS16 LMN15:LMO16 LWJ15:LWK16 MGF15:MGG16 MQB15:MQC16 MZX15:MZY16 NJT15:NJU16 NTP15:NTQ16 ODL15:ODM16 ONH15:ONI16 OXD15:OXE16 PGZ15:PHA16 PQV15:PQW16 QAR15:QAS16 QKN15:QKO16 QUJ15:QUK16 REF15:REG16 ROB15:ROC16 RXX15:RXY16 SHT15:SHU16 SRP15:SRQ16 TBL15:TBM16 TLH15:TLI16 TVD15:TVE16 UEZ15:UFA16 UOV15:UOW16 UYR15:UYS16 VIN15:VIO16 VSJ15:VSK16 WCF15:WCG16 WMB15:WMC16 WVX15:WVY16 JL65553:JM65554 TH65553:TI65554 ADD65553:ADE65554 AMZ65553:ANA65554 AWV65553:AWW65554 BGR65553:BGS65554 BQN65553:BQO65554 CAJ65553:CAK65554 CKF65553:CKG65554 CUB65553:CUC65554 DDX65553:DDY65554 DNT65553:DNU65554 DXP65553:DXQ65554 EHL65553:EHM65554 ERH65553:ERI65554 FBD65553:FBE65554 FKZ65553:FLA65554 FUV65553:FUW65554 GER65553:GES65554 GON65553:GOO65554 GYJ65553:GYK65554 HIF65553:HIG65554 HSB65553:HSC65554 IBX65553:IBY65554 ILT65553:ILU65554 IVP65553:IVQ65554 JFL65553:JFM65554 JPH65553:JPI65554 JZD65553:JZE65554 KIZ65553:KJA65554 KSV65553:KSW65554 LCR65553:LCS65554 LMN65553:LMO65554 LWJ65553:LWK65554 MGF65553:MGG65554 MQB65553:MQC65554 MZX65553:MZY65554 NJT65553:NJU65554 NTP65553:NTQ65554 ODL65553:ODM65554 ONH65553:ONI65554 OXD65553:OXE65554 PGZ65553:PHA65554 PQV65553:PQW65554 QAR65553:QAS65554 QKN65553:QKO65554 QUJ65553:QUK65554 REF65553:REG65554 ROB65553:ROC65554 RXX65553:RXY65554 SHT65553:SHU65554 SRP65553:SRQ65554 TBL65553:TBM65554 TLH65553:TLI65554 TVD65553:TVE65554 UEZ65553:UFA65554 UOV65553:UOW65554 UYR65553:UYS65554 VIN65553:VIO65554 VSJ65553:VSK65554 WCF65553:WCG65554 WMB65553:WMC65554 WVX65553:WVY65554 JL131089:JM131090 TH131089:TI131090 ADD131089:ADE131090 AMZ131089:ANA131090 AWV131089:AWW131090 BGR131089:BGS131090 BQN131089:BQO131090 CAJ131089:CAK131090 CKF131089:CKG131090 CUB131089:CUC131090 DDX131089:DDY131090 DNT131089:DNU131090 DXP131089:DXQ131090 EHL131089:EHM131090 ERH131089:ERI131090 FBD131089:FBE131090 FKZ131089:FLA131090 FUV131089:FUW131090 GER131089:GES131090 GON131089:GOO131090 GYJ131089:GYK131090 HIF131089:HIG131090 HSB131089:HSC131090 IBX131089:IBY131090 ILT131089:ILU131090 IVP131089:IVQ131090 JFL131089:JFM131090 JPH131089:JPI131090 JZD131089:JZE131090 KIZ131089:KJA131090 KSV131089:KSW131090 LCR131089:LCS131090 LMN131089:LMO131090 LWJ131089:LWK131090 MGF131089:MGG131090 MQB131089:MQC131090 MZX131089:MZY131090 NJT131089:NJU131090 NTP131089:NTQ131090 ODL131089:ODM131090 ONH131089:ONI131090 OXD131089:OXE131090 PGZ131089:PHA131090 PQV131089:PQW131090 QAR131089:QAS131090 QKN131089:QKO131090 QUJ131089:QUK131090 REF131089:REG131090 ROB131089:ROC131090 RXX131089:RXY131090 SHT131089:SHU131090 SRP131089:SRQ131090 TBL131089:TBM131090 TLH131089:TLI131090 TVD131089:TVE131090 UEZ131089:UFA131090 UOV131089:UOW131090 UYR131089:UYS131090 VIN131089:VIO131090 VSJ131089:VSK131090 WCF131089:WCG131090 WMB131089:WMC131090 WVX131089:WVY131090 JL196625:JM196626 TH196625:TI196626 ADD196625:ADE196626 AMZ196625:ANA196626 AWV196625:AWW196626 BGR196625:BGS196626 BQN196625:BQO196626 CAJ196625:CAK196626 CKF196625:CKG196626 CUB196625:CUC196626 DDX196625:DDY196626 DNT196625:DNU196626 DXP196625:DXQ196626 EHL196625:EHM196626 ERH196625:ERI196626 FBD196625:FBE196626 FKZ196625:FLA196626 FUV196625:FUW196626 GER196625:GES196626 GON196625:GOO196626 GYJ196625:GYK196626 HIF196625:HIG196626 HSB196625:HSC196626 IBX196625:IBY196626 ILT196625:ILU196626 IVP196625:IVQ196626 JFL196625:JFM196626 JPH196625:JPI196626 JZD196625:JZE196626 KIZ196625:KJA196626 KSV196625:KSW196626 LCR196625:LCS196626 LMN196625:LMO196626 LWJ196625:LWK196626 MGF196625:MGG196626 MQB196625:MQC196626 MZX196625:MZY196626 NJT196625:NJU196626 NTP196625:NTQ196626 ODL196625:ODM196626 ONH196625:ONI196626 OXD196625:OXE196626 PGZ196625:PHA196626 PQV196625:PQW196626 QAR196625:QAS196626 QKN196625:QKO196626 QUJ196625:QUK196626 REF196625:REG196626 ROB196625:ROC196626 RXX196625:RXY196626 SHT196625:SHU196626 SRP196625:SRQ196626 TBL196625:TBM196626 TLH196625:TLI196626 TVD196625:TVE196626 UEZ196625:UFA196626 UOV196625:UOW196626 UYR196625:UYS196626 VIN196625:VIO196626 VSJ196625:VSK196626 WCF196625:WCG196626 WMB196625:WMC196626 WVX196625:WVY196626 JL262161:JM262162 TH262161:TI262162 ADD262161:ADE262162 AMZ262161:ANA262162 AWV262161:AWW262162 BGR262161:BGS262162 BQN262161:BQO262162 CAJ262161:CAK262162 CKF262161:CKG262162 CUB262161:CUC262162 DDX262161:DDY262162 DNT262161:DNU262162 DXP262161:DXQ262162 EHL262161:EHM262162 ERH262161:ERI262162 FBD262161:FBE262162 FKZ262161:FLA262162 FUV262161:FUW262162 GER262161:GES262162 GON262161:GOO262162 GYJ262161:GYK262162 HIF262161:HIG262162 HSB262161:HSC262162 IBX262161:IBY262162 ILT262161:ILU262162 IVP262161:IVQ262162 JFL262161:JFM262162 JPH262161:JPI262162 JZD262161:JZE262162 KIZ262161:KJA262162 KSV262161:KSW262162 LCR262161:LCS262162 LMN262161:LMO262162 LWJ262161:LWK262162 MGF262161:MGG262162 MQB262161:MQC262162 MZX262161:MZY262162 NJT262161:NJU262162 NTP262161:NTQ262162 ODL262161:ODM262162 ONH262161:ONI262162 OXD262161:OXE262162 PGZ262161:PHA262162 PQV262161:PQW262162 QAR262161:QAS262162 QKN262161:QKO262162 QUJ262161:QUK262162 REF262161:REG262162 ROB262161:ROC262162 RXX262161:RXY262162 SHT262161:SHU262162 SRP262161:SRQ262162 TBL262161:TBM262162 TLH262161:TLI262162 TVD262161:TVE262162 UEZ262161:UFA262162 UOV262161:UOW262162 UYR262161:UYS262162 VIN262161:VIO262162 VSJ262161:VSK262162 WCF262161:WCG262162 WMB262161:WMC262162 WVX262161:WVY262162 JL327697:JM327698 TH327697:TI327698 ADD327697:ADE327698 AMZ327697:ANA327698 AWV327697:AWW327698 BGR327697:BGS327698 BQN327697:BQO327698 CAJ327697:CAK327698 CKF327697:CKG327698 CUB327697:CUC327698 DDX327697:DDY327698 DNT327697:DNU327698 DXP327697:DXQ327698 EHL327697:EHM327698 ERH327697:ERI327698 FBD327697:FBE327698 FKZ327697:FLA327698 FUV327697:FUW327698 GER327697:GES327698 GON327697:GOO327698 GYJ327697:GYK327698 HIF327697:HIG327698 HSB327697:HSC327698 IBX327697:IBY327698 ILT327697:ILU327698 IVP327697:IVQ327698 JFL327697:JFM327698 JPH327697:JPI327698 JZD327697:JZE327698 KIZ327697:KJA327698 KSV327697:KSW327698 LCR327697:LCS327698 LMN327697:LMO327698 LWJ327697:LWK327698 MGF327697:MGG327698 MQB327697:MQC327698 MZX327697:MZY327698 NJT327697:NJU327698 NTP327697:NTQ327698 ODL327697:ODM327698 ONH327697:ONI327698 OXD327697:OXE327698 PGZ327697:PHA327698 PQV327697:PQW327698 QAR327697:QAS327698 QKN327697:QKO327698 QUJ327697:QUK327698 REF327697:REG327698 ROB327697:ROC327698 RXX327697:RXY327698 SHT327697:SHU327698 SRP327697:SRQ327698 TBL327697:TBM327698 TLH327697:TLI327698 TVD327697:TVE327698 UEZ327697:UFA327698 UOV327697:UOW327698 UYR327697:UYS327698 VIN327697:VIO327698 VSJ327697:VSK327698 WCF327697:WCG327698 WMB327697:WMC327698 WVX327697:WVY327698 JL393233:JM393234 TH393233:TI393234 ADD393233:ADE393234 AMZ393233:ANA393234 AWV393233:AWW393234 BGR393233:BGS393234 BQN393233:BQO393234 CAJ393233:CAK393234 CKF393233:CKG393234 CUB393233:CUC393234 DDX393233:DDY393234 DNT393233:DNU393234 DXP393233:DXQ393234 EHL393233:EHM393234 ERH393233:ERI393234 FBD393233:FBE393234 FKZ393233:FLA393234 FUV393233:FUW393234 GER393233:GES393234 GON393233:GOO393234 GYJ393233:GYK393234 HIF393233:HIG393234 HSB393233:HSC393234 IBX393233:IBY393234 ILT393233:ILU393234 IVP393233:IVQ393234 JFL393233:JFM393234 JPH393233:JPI393234 JZD393233:JZE393234 KIZ393233:KJA393234 KSV393233:KSW393234 LCR393233:LCS393234 LMN393233:LMO393234 LWJ393233:LWK393234 MGF393233:MGG393234 MQB393233:MQC393234 MZX393233:MZY393234 NJT393233:NJU393234 NTP393233:NTQ393234 ODL393233:ODM393234 ONH393233:ONI393234 OXD393233:OXE393234 PGZ393233:PHA393234 PQV393233:PQW393234 QAR393233:QAS393234 QKN393233:QKO393234 QUJ393233:QUK393234 REF393233:REG393234 ROB393233:ROC393234 RXX393233:RXY393234 SHT393233:SHU393234 SRP393233:SRQ393234 TBL393233:TBM393234 TLH393233:TLI393234 TVD393233:TVE393234 UEZ393233:UFA393234 UOV393233:UOW393234 UYR393233:UYS393234 VIN393233:VIO393234 VSJ393233:VSK393234 WCF393233:WCG393234 WMB393233:WMC393234 WVX393233:WVY393234 JL458769:JM458770 TH458769:TI458770 ADD458769:ADE458770 AMZ458769:ANA458770 AWV458769:AWW458770 BGR458769:BGS458770 BQN458769:BQO458770 CAJ458769:CAK458770 CKF458769:CKG458770 CUB458769:CUC458770 DDX458769:DDY458770 DNT458769:DNU458770 DXP458769:DXQ458770 EHL458769:EHM458770 ERH458769:ERI458770 FBD458769:FBE458770 FKZ458769:FLA458770 FUV458769:FUW458770 GER458769:GES458770 GON458769:GOO458770 GYJ458769:GYK458770 HIF458769:HIG458770 HSB458769:HSC458770 IBX458769:IBY458770 ILT458769:ILU458770 IVP458769:IVQ458770 JFL458769:JFM458770 JPH458769:JPI458770 JZD458769:JZE458770 KIZ458769:KJA458770 KSV458769:KSW458770 LCR458769:LCS458770 LMN458769:LMO458770 LWJ458769:LWK458770 MGF458769:MGG458770 MQB458769:MQC458770 MZX458769:MZY458770 NJT458769:NJU458770 NTP458769:NTQ458770 ODL458769:ODM458770 ONH458769:ONI458770 OXD458769:OXE458770 PGZ458769:PHA458770 PQV458769:PQW458770 QAR458769:QAS458770 QKN458769:QKO458770 QUJ458769:QUK458770 REF458769:REG458770 ROB458769:ROC458770 RXX458769:RXY458770 SHT458769:SHU458770 SRP458769:SRQ458770 TBL458769:TBM458770 TLH458769:TLI458770 TVD458769:TVE458770 UEZ458769:UFA458770 UOV458769:UOW458770 UYR458769:UYS458770 VIN458769:VIO458770 VSJ458769:VSK458770 WCF458769:WCG458770 WMB458769:WMC458770 WVX458769:WVY458770 JL524305:JM524306 TH524305:TI524306 ADD524305:ADE524306 AMZ524305:ANA524306 AWV524305:AWW524306 BGR524305:BGS524306 BQN524305:BQO524306 CAJ524305:CAK524306 CKF524305:CKG524306 CUB524305:CUC524306 DDX524305:DDY524306 DNT524305:DNU524306 DXP524305:DXQ524306 EHL524305:EHM524306 ERH524305:ERI524306 FBD524305:FBE524306 FKZ524305:FLA524306 FUV524305:FUW524306 GER524305:GES524306 GON524305:GOO524306 GYJ524305:GYK524306 HIF524305:HIG524306 HSB524305:HSC524306 IBX524305:IBY524306 ILT524305:ILU524306 IVP524305:IVQ524306 JFL524305:JFM524306 JPH524305:JPI524306 JZD524305:JZE524306 KIZ524305:KJA524306 KSV524305:KSW524306 LCR524305:LCS524306 LMN524305:LMO524306 LWJ524305:LWK524306 MGF524305:MGG524306 MQB524305:MQC524306 MZX524305:MZY524306 NJT524305:NJU524306 NTP524305:NTQ524306 ODL524305:ODM524306 ONH524305:ONI524306 OXD524305:OXE524306 PGZ524305:PHA524306 PQV524305:PQW524306 QAR524305:QAS524306 QKN524305:QKO524306 QUJ524305:QUK524306 REF524305:REG524306 ROB524305:ROC524306 RXX524305:RXY524306 SHT524305:SHU524306 SRP524305:SRQ524306 TBL524305:TBM524306 TLH524305:TLI524306 TVD524305:TVE524306 UEZ524305:UFA524306 UOV524305:UOW524306 UYR524305:UYS524306 VIN524305:VIO524306 VSJ524305:VSK524306 WCF524305:WCG524306 WMB524305:WMC524306 WVX524305:WVY524306 JL589841:JM589842 TH589841:TI589842 ADD589841:ADE589842 AMZ589841:ANA589842 AWV589841:AWW589842 BGR589841:BGS589842 BQN589841:BQO589842 CAJ589841:CAK589842 CKF589841:CKG589842 CUB589841:CUC589842 DDX589841:DDY589842 DNT589841:DNU589842 DXP589841:DXQ589842 EHL589841:EHM589842 ERH589841:ERI589842 FBD589841:FBE589842 FKZ589841:FLA589842 FUV589841:FUW589842 GER589841:GES589842 GON589841:GOO589842 GYJ589841:GYK589842 HIF589841:HIG589842 HSB589841:HSC589842 IBX589841:IBY589842 ILT589841:ILU589842 IVP589841:IVQ589842 JFL589841:JFM589842 JPH589841:JPI589842 JZD589841:JZE589842 KIZ589841:KJA589842 KSV589841:KSW589842 LCR589841:LCS589842 LMN589841:LMO589842 LWJ589841:LWK589842 MGF589841:MGG589842 MQB589841:MQC589842 MZX589841:MZY589842 NJT589841:NJU589842 NTP589841:NTQ589842 ODL589841:ODM589842 ONH589841:ONI589842 OXD589841:OXE589842 PGZ589841:PHA589842 PQV589841:PQW589842 QAR589841:QAS589842 QKN589841:QKO589842 QUJ589841:QUK589842 REF589841:REG589842 ROB589841:ROC589842 RXX589841:RXY589842 SHT589841:SHU589842 SRP589841:SRQ589842 TBL589841:TBM589842 TLH589841:TLI589842 TVD589841:TVE589842 UEZ589841:UFA589842 UOV589841:UOW589842 UYR589841:UYS589842 VIN589841:VIO589842 VSJ589841:VSK589842 WCF589841:WCG589842 WMB589841:WMC589842 WVX589841:WVY589842 JL655377:JM655378 TH655377:TI655378 ADD655377:ADE655378 AMZ655377:ANA655378 AWV655377:AWW655378 BGR655377:BGS655378 BQN655377:BQO655378 CAJ655377:CAK655378 CKF655377:CKG655378 CUB655377:CUC655378 DDX655377:DDY655378 DNT655377:DNU655378 DXP655377:DXQ655378 EHL655377:EHM655378 ERH655377:ERI655378 FBD655377:FBE655378 FKZ655377:FLA655378 FUV655377:FUW655378 GER655377:GES655378 GON655377:GOO655378 GYJ655377:GYK655378 HIF655377:HIG655378 HSB655377:HSC655378 IBX655377:IBY655378 ILT655377:ILU655378 IVP655377:IVQ655378 JFL655377:JFM655378 JPH655377:JPI655378 JZD655377:JZE655378 KIZ655377:KJA655378 KSV655377:KSW655378 LCR655377:LCS655378 LMN655377:LMO655378 LWJ655377:LWK655378 MGF655377:MGG655378 MQB655377:MQC655378 MZX655377:MZY655378 NJT655377:NJU655378 NTP655377:NTQ655378 ODL655377:ODM655378 ONH655377:ONI655378 OXD655377:OXE655378 PGZ655377:PHA655378 PQV655377:PQW655378 QAR655377:QAS655378 QKN655377:QKO655378 QUJ655377:QUK655378 REF655377:REG655378 ROB655377:ROC655378 RXX655377:RXY655378 SHT655377:SHU655378 SRP655377:SRQ655378 TBL655377:TBM655378 TLH655377:TLI655378 TVD655377:TVE655378 UEZ655377:UFA655378 UOV655377:UOW655378 UYR655377:UYS655378 VIN655377:VIO655378 VSJ655377:VSK655378 WCF655377:WCG655378 WMB655377:WMC655378 WVX655377:WVY655378 JL720913:JM720914 TH720913:TI720914 ADD720913:ADE720914 AMZ720913:ANA720914 AWV720913:AWW720914 BGR720913:BGS720914 BQN720913:BQO720914 CAJ720913:CAK720914 CKF720913:CKG720914 CUB720913:CUC720914 DDX720913:DDY720914 DNT720913:DNU720914 DXP720913:DXQ720914 EHL720913:EHM720914 ERH720913:ERI720914 FBD720913:FBE720914 FKZ720913:FLA720914 FUV720913:FUW720914 GER720913:GES720914 GON720913:GOO720914 GYJ720913:GYK720914 HIF720913:HIG720914 HSB720913:HSC720914 IBX720913:IBY720914 ILT720913:ILU720914 IVP720913:IVQ720914 JFL720913:JFM720914 JPH720913:JPI720914 JZD720913:JZE720914 KIZ720913:KJA720914 KSV720913:KSW720914 LCR720913:LCS720914 LMN720913:LMO720914 LWJ720913:LWK720914 MGF720913:MGG720914 MQB720913:MQC720914 MZX720913:MZY720914 NJT720913:NJU720914 NTP720913:NTQ720914 ODL720913:ODM720914 ONH720913:ONI720914 OXD720913:OXE720914 PGZ720913:PHA720914 PQV720913:PQW720914 QAR720913:QAS720914 QKN720913:QKO720914 QUJ720913:QUK720914 REF720913:REG720914 ROB720913:ROC720914 RXX720913:RXY720914 SHT720913:SHU720914 SRP720913:SRQ720914 TBL720913:TBM720914 TLH720913:TLI720914 TVD720913:TVE720914 UEZ720913:UFA720914 UOV720913:UOW720914 UYR720913:UYS720914 VIN720913:VIO720914 VSJ720913:VSK720914 WCF720913:WCG720914 WMB720913:WMC720914 WVX720913:WVY720914 JL786449:JM786450 TH786449:TI786450 ADD786449:ADE786450 AMZ786449:ANA786450 AWV786449:AWW786450 BGR786449:BGS786450 BQN786449:BQO786450 CAJ786449:CAK786450 CKF786449:CKG786450 CUB786449:CUC786450 DDX786449:DDY786450 DNT786449:DNU786450 DXP786449:DXQ786450 EHL786449:EHM786450 ERH786449:ERI786450 FBD786449:FBE786450 FKZ786449:FLA786450 FUV786449:FUW786450 GER786449:GES786450 GON786449:GOO786450 GYJ786449:GYK786450 HIF786449:HIG786450 HSB786449:HSC786450 IBX786449:IBY786450 ILT786449:ILU786450 IVP786449:IVQ786450 JFL786449:JFM786450 JPH786449:JPI786450 JZD786449:JZE786450 KIZ786449:KJA786450 KSV786449:KSW786450 LCR786449:LCS786450 LMN786449:LMO786450 LWJ786449:LWK786450 MGF786449:MGG786450 MQB786449:MQC786450 MZX786449:MZY786450 NJT786449:NJU786450 NTP786449:NTQ786450 ODL786449:ODM786450 ONH786449:ONI786450 OXD786449:OXE786450 PGZ786449:PHA786450 PQV786449:PQW786450 QAR786449:QAS786450 QKN786449:QKO786450 QUJ786449:QUK786450 REF786449:REG786450 ROB786449:ROC786450 RXX786449:RXY786450 SHT786449:SHU786450 SRP786449:SRQ786450 TBL786449:TBM786450 TLH786449:TLI786450 TVD786449:TVE786450 UEZ786449:UFA786450 UOV786449:UOW786450 UYR786449:UYS786450 VIN786449:VIO786450 VSJ786449:VSK786450 WCF786449:WCG786450 WMB786449:WMC786450 WVX786449:WVY786450 JL851985:JM851986 TH851985:TI851986 ADD851985:ADE851986 AMZ851985:ANA851986 AWV851985:AWW851986 BGR851985:BGS851986 BQN851985:BQO851986 CAJ851985:CAK851986 CKF851985:CKG851986 CUB851985:CUC851986 DDX851985:DDY851986 DNT851985:DNU851986 DXP851985:DXQ851986 EHL851985:EHM851986 ERH851985:ERI851986 FBD851985:FBE851986 FKZ851985:FLA851986 FUV851985:FUW851986 GER851985:GES851986 GON851985:GOO851986 GYJ851985:GYK851986 HIF851985:HIG851986 HSB851985:HSC851986 IBX851985:IBY851986 ILT851985:ILU851986 IVP851985:IVQ851986 JFL851985:JFM851986 JPH851985:JPI851986 JZD851985:JZE851986 KIZ851985:KJA851986 KSV851985:KSW851986 LCR851985:LCS851986 LMN851985:LMO851986 LWJ851985:LWK851986 MGF851985:MGG851986 MQB851985:MQC851986 MZX851985:MZY851986 NJT851985:NJU851986 NTP851985:NTQ851986 ODL851985:ODM851986 ONH851985:ONI851986 OXD851985:OXE851986 PGZ851985:PHA851986 PQV851985:PQW851986 QAR851985:QAS851986 QKN851985:QKO851986 QUJ851985:QUK851986 REF851985:REG851986 ROB851985:ROC851986 RXX851985:RXY851986 SHT851985:SHU851986 SRP851985:SRQ851986 TBL851985:TBM851986 TLH851985:TLI851986 TVD851985:TVE851986 UEZ851985:UFA851986 UOV851985:UOW851986 UYR851985:UYS851986 VIN851985:VIO851986 VSJ851985:VSK851986 WCF851985:WCG851986 WMB851985:WMC851986 WVX851985:WVY851986 JL917521:JM917522 TH917521:TI917522 ADD917521:ADE917522 AMZ917521:ANA917522 AWV917521:AWW917522 BGR917521:BGS917522 BQN917521:BQO917522 CAJ917521:CAK917522 CKF917521:CKG917522 CUB917521:CUC917522 DDX917521:DDY917522 DNT917521:DNU917522 DXP917521:DXQ917522 EHL917521:EHM917522 ERH917521:ERI917522 FBD917521:FBE917522 FKZ917521:FLA917522 FUV917521:FUW917522 GER917521:GES917522 GON917521:GOO917522 GYJ917521:GYK917522 HIF917521:HIG917522 HSB917521:HSC917522 IBX917521:IBY917522 ILT917521:ILU917522 IVP917521:IVQ917522 JFL917521:JFM917522 JPH917521:JPI917522 JZD917521:JZE917522 KIZ917521:KJA917522 KSV917521:KSW917522 LCR917521:LCS917522 LMN917521:LMO917522 LWJ917521:LWK917522 MGF917521:MGG917522 MQB917521:MQC917522 MZX917521:MZY917522 NJT917521:NJU917522 NTP917521:NTQ917522 ODL917521:ODM917522 ONH917521:ONI917522 OXD917521:OXE917522 PGZ917521:PHA917522 PQV917521:PQW917522 QAR917521:QAS917522 QKN917521:QKO917522 QUJ917521:QUK917522 REF917521:REG917522 ROB917521:ROC917522 RXX917521:RXY917522 SHT917521:SHU917522 SRP917521:SRQ917522 TBL917521:TBM917522 TLH917521:TLI917522 TVD917521:TVE917522 UEZ917521:UFA917522 UOV917521:UOW917522 UYR917521:UYS917522 VIN917521:VIO917522 VSJ917521:VSK917522 WCF917521:WCG917522 WMB917521:WMC917522 WVX917521:WVY917522 JL983057:JM983058 TH983057:TI983058 ADD983057:ADE983058 AMZ983057:ANA983058 AWV983057:AWW983058 BGR983057:BGS983058 BQN983057:BQO983058 CAJ983057:CAK983058 CKF983057:CKG983058 CUB983057:CUC983058 DDX983057:DDY983058 DNT983057:DNU983058 DXP983057:DXQ983058 EHL983057:EHM983058 ERH983057:ERI983058 FBD983057:FBE983058 FKZ983057:FLA983058 FUV983057:FUW983058 GER983057:GES983058 GON983057:GOO983058 GYJ983057:GYK983058 HIF983057:HIG983058 HSB983057:HSC983058 IBX983057:IBY983058 ILT983057:ILU983058 IVP983057:IVQ983058 JFL983057:JFM983058 JPH983057:JPI983058 JZD983057:JZE983058 KIZ983057:KJA983058 KSV983057:KSW983058 LCR983057:LCS983058 LMN983057:LMO983058 LWJ983057:LWK983058 MGF983057:MGG983058 MQB983057:MQC983058 MZX983057:MZY983058 NJT983057:NJU983058 NTP983057:NTQ983058 ODL983057:ODM983058 ONH983057:ONI983058 OXD983057:OXE983058 PGZ983057:PHA983058 PQV983057:PQW983058 QAR983057:QAS983058 QKN983057:QKO983058 QUJ983057:QUK983058 REF983057:REG983058 ROB983057:ROC983058 RXX983057:RXY983058 SHT983057:SHU983058 SRP983057:SRQ983058 TBL983057:TBM983058 TLH983057:TLI983058 TVD983057:TVE983058 UEZ983057:UFA983058 UOV983057:UOW983058 UYR983057:UYS983058 VIN983057:VIO983058 VSJ983057:VSK983058 WCF983057:WCG983058"/>
    <dataValidation allowBlank="1" showInputMessage="1" showErrorMessage="1" promptTitle="ECHEANCE CONTRAT A LA SOUSCRIP" prompt="ECHEANCE CONTRAT A LA SOUSCRIP" sqref="WVZ983057:WWB983058 WMD983057:WMF983058 H983057:J983058 H917521:J917522 H851985:J851986 H786449:J786450 H720913:J720914 H655377:J655378 H589841:J589842 H524305:J524306 H458769:J458770 H393233:J393234 H327697:J327698 H262161:J262162 H196625:J196626 H131089:J131090 H65553:J65554 JN15:JP16 TJ15:TL16 ADF15:ADH16 ANB15:AND16 AWX15:AWZ16 BGT15:BGV16 BQP15:BQR16 CAL15:CAN16 CKH15:CKJ16 CUD15:CUF16 DDZ15:DEB16 DNV15:DNX16 DXR15:DXT16 EHN15:EHP16 ERJ15:ERL16 FBF15:FBH16 FLB15:FLD16 FUX15:FUZ16 GET15:GEV16 GOP15:GOR16 GYL15:GYN16 HIH15:HIJ16 HSD15:HSF16 IBZ15:ICB16 ILV15:ILX16 IVR15:IVT16 JFN15:JFP16 JPJ15:JPL16 JZF15:JZH16 KJB15:KJD16 KSX15:KSZ16 LCT15:LCV16 LMP15:LMR16 LWL15:LWN16 MGH15:MGJ16 MQD15:MQF16 MZZ15:NAB16 NJV15:NJX16 NTR15:NTT16 ODN15:ODP16 ONJ15:ONL16 OXF15:OXH16 PHB15:PHD16 PQX15:PQZ16 QAT15:QAV16 QKP15:QKR16 QUL15:QUN16 REH15:REJ16 ROD15:ROF16 RXZ15:RYB16 SHV15:SHX16 SRR15:SRT16 TBN15:TBP16 TLJ15:TLL16 TVF15:TVH16 UFB15:UFD16 UOX15:UOZ16 UYT15:UYV16 VIP15:VIR16 VSL15:VSN16 WCH15:WCJ16 WMD15:WMF16 WVZ15:WWB16 JN65553:JP65554 TJ65553:TL65554 ADF65553:ADH65554 ANB65553:AND65554 AWX65553:AWZ65554 BGT65553:BGV65554 BQP65553:BQR65554 CAL65553:CAN65554 CKH65553:CKJ65554 CUD65553:CUF65554 DDZ65553:DEB65554 DNV65553:DNX65554 DXR65553:DXT65554 EHN65553:EHP65554 ERJ65553:ERL65554 FBF65553:FBH65554 FLB65553:FLD65554 FUX65553:FUZ65554 GET65553:GEV65554 GOP65553:GOR65554 GYL65553:GYN65554 HIH65553:HIJ65554 HSD65553:HSF65554 IBZ65553:ICB65554 ILV65553:ILX65554 IVR65553:IVT65554 JFN65553:JFP65554 JPJ65553:JPL65554 JZF65553:JZH65554 KJB65553:KJD65554 KSX65553:KSZ65554 LCT65553:LCV65554 LMP65553:LMR65554 LWL65553:LWN65554 MGH65553:MGJ65554 MQD65553:MQF65554 MZZ65553:NAB65554 NJV65553:NJX65554 NTR65553:NTT65554 ODN65553:ODP65554 ONJ65553:ONL65554 OXF65553:OXH65554 PHB65553:PHD65554 PQX65553:PQZ65554 QAT65553:QAV65554 QKP65553:QKR65554 QUL65553:QUN65554 REH65553:REJ65554 ROD65553:ROF65554 RXZ65553:RYB65554 SHV65553:SHX65554 SRR65553:SRT65554 TBN65553:TBP65554 TLJ65553:TLL65554 TVF65553:TVH65554 UFB65553:UFD65554 UOX65553:UOZ65554 UYT65553:UYV65554 VIP65553:VIR65554 VSL65553:VSN65554 WCH65553:WCJ65554 WMD65553:WMF65554 WVZ65553:WWB65554 JN131089:JP131090 TJ131089:TL131090 ADF131089:ADH131090 ANB131089:AND131090 AWX131089:AWZ131090 BGT131089:BGV131090 BQP131089:BQR131090 CAL131089:CAN131090 CKH131089:CKJ131090 CUD131089:CUF131090 DDZ131089:DEB131090 DNV131089:DNX131090 DXR131089:DXT131090 EHN131089:EHP131090 ERJ131089:ERL131090 FBF131089:FBH131090 FLB131089:FLD131090 FUX131089:FUZ131090 GET131089:GEV131090 GOP131089:GOR131090 GYL131089:GYN131090 HIH131089:HIJ131090 HSD131089:HSF131090 IBZ131089:ICB131090 ILV131089:ILX131090 IVR131089:IVT131090 JFN131089:JFP131090 JPJ131089:JPL131090 JZF131089:JZH131090 KJB131089:KJD131090 KSX131089:KSZ131090 LCT131089:LCV131090 LMP131089:LMR131090 LWL131089:LWN131090 MGH131089:MGJ131090 MQD131089:MQF131090 MZZ131089:NAB131090 NJV131089:NJX131090 NTR131089:NTT131090 ODN131089:ODP131090 ONJ131089:ONL131090 OXF131089:OXH131090 PHB131089:PHD131090 PQX131089:PQZ131090 QAT131089:QAV131090 QKP131089:QKR131090 QUL131089:QUN131090 REH131089:REJ131090 ROD131089:ROF131090 RXZ131089:RYB131090 SHV131089:SHX131090 SRR131089:SRT131090 TBN131089:TBP131090 TLJ131089:TLL131090 TVF131089:TVH131090 UFB131089:UFD131090 UOX131089:UOZ131090 UYT131089:UYV131090 VIP131089:VIR131090 VSL131089:VSN131090 WCH131089:WCJ131090 WMD131089:WMF131090 WVZ131089:WWB131090 JN196625:JP196626 TJ196625:TL196626 ADF196625:ADH196626 ANB196625:AND196626 AWX196625:AWZ196626 BGT196625:BGV196626 BQP196625:BQR196626 CAL196625:CAN196626 CKH196625:CKJ196626 CUD196625:CUF196626 DDZ196625:DEB196626 DNV196625:DNX196626 DXR196625:DXT196626 EHN196625:EHP196626 ERJ196625:ERL196626 FBF196625:FBH196626 FLB196625:FLD196626 FUX196625:FUZ196626 GET196625:GEV196626 GOP196625:GOR196626 GYL196625:GYN196626 HIH196625:HIJ196626 HSD196625:HSF196626 IBZ196625:ICB196626 ILV196625:ILX196626 IVR196625:IVT196626 JFN196625:JFP196626 JPJ196625:JPL196626 JZF196625:JZH196626 KJB196625:KJD196626 KSX196625:KSZ196626 LCT196625:LCV196626 LMP196625:LMR196626 LWL196625:LWN196626 MGH196625:MGJ196626 MQD196625:MQF196626 MZZ196625:NAB196626 NJV196625:NJX196626 NTR196625:NTT196626 ODN196625:ODP196626 ONJ196625:ONL196626 OXF196625:OXH196626 PHB196625:PHD196626 PQX196625:PQZ196626 QAT196625:QAV196626 QKP196625:QKR196626 QUL196625:QUN196626 REH196625:REJ196626 ROD196625:ROF196626 RXZ196625:RYB196626 SHV196625:SHX196626 SRR196625:SRT196626 TBN196625:TBP196626 TLJ196625:TLL196626 TVF196625:TVH196626 UFB196625:UFD196626 UOX196625:UOZ196626 UYT196625:UYV196626 VIP196625:VIR196626 VSL196625:VSN196626 WCH196625:WCJ196626 WMD196625:WMF196626 WVZ196625:WWB196626 JN262161:JP262162 TJ262161:TL262162 ADF262161:ADH262162 ANB262161:AND262162 AWX262161:AWZ262162 BGT262161:BGV262162 BQP262161:BQR262162 CAL262161:CAN262162 CKH262161:CKJ262162 CUD262161:CUF262162 DDZ262161:DEB262162 DNV262161:DNX262162 DXR262161:DXT262162 EHN262161:EHP262162 ERJ262161:ERL262162 FBF262161:FBH262162 FLB262161:FLD262162 FUX262161:FUZ262162 GET262161:GEV262162 GOP262161:GOR262162 GYL262161:GYN262162 HIH262161:HIJ262162 HSD262161:HSF262162 IBZ262161:ICB262162 ILV262161:ILX262162 IVR262161:IVT262162 JFN262161:JFP262162 JPJ262161:JPL262162 JZF262161:JZH262162 KJB262161:KJD262162 KSX262161:KSZ262162 LCT262161:LCV262162 LMP262161:LMR262162 LWL262161:LWN262162 MGH262161:MGJ262162 MQD262161:MQF262162 MZZ262161:NAB262162 NJV262161:NJX262162 NTR262161:NTT262162 ODN262161:ODP262162 ONJ262161:ONL262162 OXF262161:OXH262162 PHB262161:PHD262162 PQX262161:PQZ262162 QAT262161:QAV262162 QKP262161:QKR262162 QUL262161:QUN262162 REH262161:REJ262162 ROD262161:ROF262162 RXZ262161:RYB262162 SHV262161:SHX262162 SRR262161:SRT262162 TBN262161:TBP262162 TLJ262161:TLL262162 TVF262161:TVH262162 UFB262161:UFD262162 UOX262161:UOZ262162 UYT262161:UYV262162 VIP262161:VIR262162 VSL262161:VSN262162 WCH262161:WCJ262162 WMD262161:WMF262162 WVZ262161:WWB262162 JN327697:JP327698 TJ327697:TL327698 ADF327697:ADH327698 ANB327697:AND327698 AWX327697:AWZ327698 BGT327697:BGV327698 BQP327697:BQR327698 CAL327697:CAN327698 CKH327697:CKJ327698 CUD327697:CUF327698 DDZ327697:DEB327698 DNV327697:DNX327698 DXR327697:DXT327698 EHN327697:EHP327698 ERJ327697:ERL327698 FBF327697:FBH327698 FLB327697:FLD327698 FUX327697:FUZ327698 GET327697:GEV327698 GOP327697:GOR327698 GYL327697:GYN327698 HIH327697:HIJ327698 HSD327697:HSF327698 IBZ327697:ICB327698 ILV327697:ILX327698 IVR327697:IVT327698 JFN327697:JFP327698 JPJ327697:JPL327698 JZF327697:JZH327698 KJB327697:KJD327698 KSX327697:KSZ327698 LCT327697:LCV327698 LMP327697:LMR327698 LWL327697:LWN327698 MGH327697:MGJ327698 MQD327697:MQF327698 MZZ327697:NAB327698 NJV327697:NJX327698 NTR327697:NTT327698 ODN327697:ODP327698 ONJ327697:ONL327698 OXF327697:OXH327698 PHB327697:PHD327698 PQX327697:PQZ327698 QAT327697:QAV327698 QKP327697:QKR327698 QUL327697:QUN327698 REH327697:REJ327698 ROD327697:ROF327698 RXZ327697:RYB327698 SHV327697:SHX327698 SRR327697:SRT327698 TBN327697:TBP327698 TLJ327697:TLL327698 TVF327697:TVH327698 UFB327697:UFD327698 UOX327697:UOZ327698 UYT327697:UYV327698 VIP327697:VIR327698 VSL327697:VSN327698 WCH327697:WCJ327698 WMD327697:WMF327698 WVZ327697:WWB327698 JN393233:JP393234 TJ393233:TL393234 ADF393233:ADH393234 ANB393233:AND393234 AWX393233:AWZ393234 BGT393233:BGV393234 BQP393233:BQR393234 CAL393233:CAN393234 CKH393233:CKJ393234 CUD393233:CUF393234 DDZ393233:DEB393234 DNV393233:DNX393234 DXR393233:DXT393234 EHN393233:EHP393234 ERJ393233:ERL393234 FBF393233:FBH393234 FLB393233:FLD393234 FUX393233:FUZ393234 GET393233:GEV393234 GOP393233:GOR393234 GYL393233:GYN393234 HIH393233:HIJ393234 HSD393233:HSF393234 IBZ393233:ICB393234 ILV393233:ILX393234 IVR393233:IVT393234 JFN393233:JFP393234 JPJ393233:JPL393234 JZF393233:JZH393234 KJB393233:KJD393234 KSX393233:KSZ393234 LCT393233:LCV393234 LMP393233:LMR393234 LWL393233:LWN393234 MGH393233:MGJ393234 MQD393233:MQF393234 MZZ393233:NAB393234 NJV393233:NJX393234 NTR393233:NTT393234 ODN393233:ODP393234 ONJ393233:ONL393234 OXF393233:OXH393234 PHB393233:PHD393234 PQX393233:PQZ393234 QAT393233:QAV393234 QKP393233:QKR393234 QUL393233:QUN393234 REH393233:REJ393234 ROD393233:ROF393234 RXZ393233:RYB393234 SHV393233:SHX393234 SRR393233:SRT393234 TBN393233:TBP393234 TLJ393233:TLL393234 TVF393233:TVH393234 UFB393233:UFD393234 UOX393233:UOZ393234 UYT393233:UYV393234 VIP393233:VIR393234 VSL393233:VSN393234 WCH393233:WCJ393234 WMD393233:WMF393234 WVZ393233:WWB393234 JN458769:JP458770 TJ458769:TL458770 ADF458769:ADH458770 ANB458769:AND458770 AWX458769:AWZ458770 BGT458769:BGV458770 BQP458769:BQR458770 CAL458769:CAN458770 CKH458769:CKJ458770 CUD458769:CUF458770 DDZ458769:DEB458770 DNV458769:DNX458770 DXR458769:DXT458770 EHN458769:EHP458770 ERJ458769:ERL458770 FBF458769:FBH458770 FLB458769:FLD458770 FUX458769:FUZ458770 GET458769:GEV458770 GOP458769:GOR458770 GYL458769:GYN458770 HIH458769:HIJ458770 HSD458769:HSF458770 IBZ458769:ICB458770 ILV458769:ILX458770 IVR458769:IVT458770 JFN458769:JFP458770 JPJ458769:JPL458770 JZF458769:JZH458770 KJB458769:KJD458770 KSX458769:KSZ458770 LCT458769:LCV458770 LMP458769:LMR458770 LWL458769:LWN458770 MGH458769:MGJ458770 MQD458769:MQF458770 MZZ458769:NAB458770 NJV458769:NJX458770 NTR458769:NTT458770 ODN458769:ODP458770 ONJ458769:ONL458770 OXF458769:OXH458770 PHB458769:PHD458770 PQX458769:PQZ458770 QAT458769:QAV458770 QKP458769:QKR458770 QUL458769:QUN458770 REH458769:REJ458770 ROD458769:ROF458770 RXZ458769:RYB458770 SHV458769:SHX458770 SRR458769:SRT458770 TBN458769:TBP458770 TLJ458769:TLL458770 TVF458769:TVH458770 UFB458769:UFD458770 UOX458769:UOZ458770 UYT458769:UYV458770 VIP458769:VIR458770 VSL458769:VSN458770 WCH458769:WCJ458770 WMD458769:WMF458770 WVZ458769:WWB458770 JN524305:JP524306 TJ524305:TL524306 ADF524305:ADH524306 ANB524305:AND524306 AWX524305:AWZ524306 BGT524305:BGV524306 BQP524305:BQR524306 CAL524305:CAN524306 CKH524305:CKJ524306 CUD524305:CUF524306 DDZ524305:DEB524306 DNV524305:DNX524306 DXR524305:DXT524306 EHN524305:EHP524306 ERJ524305:ERL524306 FBF524305:FBH524306 FLB524305:FLD524306 FUX524305:FUZ524306 GET524305:GEV524306 GOP524305:GOR524306 GYL524305:GYN524306 HIH524305:HIJ524306 HSD524305:HSF524306 IBZ524305:ICB524306 ILV524305:ILX524306 IVR524305:IVT524306 JFN524305:JFP524306 JPJ524305:JPL524306 JZF524305:JZH524306 KJB524305:KJD524306 KSX524305:KSZ524306 LCT524305:LCV524306 LMP524305:LMR524306 LWL524305:LWN524306 MGH524305:MGJ524306 MQD524305:MQF524306 MZZ524305:NAB524306 NJV524305:NJX524306 NTR524305:NTT524306 ODN524305:ODP524306 ONJ524305:ONL524306 OXF524305:OXH524306 PHB524305:PHD524306 PQX524305:PQZ524306 QAT524305:QAV524306 QKP524305:QKR524306 QUL524305:QUN524306 REH524305:REJ524306 ROD524305:ROF524306 RXZ524305:RYB524306 SHV524305:SHX524306 SRR524305:SRT524306 TBN524305:TBP524306 TLJ524305:TLL524306 TVF524305:TVH524306 UFB524305:UFD524306 UOX524305:UOZ524306 UYT524305:UYV524306 VIP524305:VIR524306 VSL524305:VSN524306 WCH524305:WCJ524306 WMD524305:WMF524306 WVZ524305:WWB524306 JN589841:JP589842 TJ589841:TL589842 ADF589841:ADH589842 ANB589841:AND589842 AWX589841:AWZ589842 BGT589841:BGV589842 BQP589841:BQR589842 CAL589841:CAN589842 CKH589841:CKJ589842 CUD589841:CUF589842 DDZ589841:DEB589842 DNV589841:DNX589842 DXR589841:DXT589842 EHN589841:EHP589842 ERJ589841:ERL589842 FBF589841:FBH589842 FLB589841:FLD589842 FUX589841:FUZ589842 GET589841:GEV589842 GOP589841:GOR589842 GYL589841:GYN589842 HIH589841:HIJ589842 HSD589841:HSF589842 IBZ589841:ICB589842 ILV589841:ILX589842 IVR589841:IVT589842 JFN589841:JFP589842 JPJ589841:JPL589842 JZF589841:JZH589842 KJB589841:KJD589842 KSX589841:KSZ589842 LCT589841:LCV589842 LMP589841:LMR589842 LWL589841:LWN589842 MGH589841:MGJ589842 MQD589841:MQF589842 MZZ589841:NAB589842 NJV589841:NJX589842 NTR589841:NTT589842 ODN589841:ODP589842 ONJ589841:ONL589842 OXF589841:OXH589842 PHB589841:PHD589842 PQX589841:PQZ589842 QAT589841:QAV589842 QKP589841:QKR589842 QUL589841:QUN589842 REH589841:REJ589842 ROD589841:ROF589842 RXZ589841:RYB589842 SHV589841:SHX589842 SRR589841:SRT589842 TBN589841:TBP589842 TLJ589841:TLL589842 TVF589841:TVH589842 UFB589841:UFD589842 UOX589841:UOZ589842 UYT589841:UYV589842 VIP589841:VIR589842 VSL589841:VSN589842 WCH589841:WCJ589842 WMD589841:WMF589842 WVZ589841:WWB589842 JN655377:JP655378 TJ655377:TL655378 ADF655377:ADH655378 ANB655377:AND655378 AWX655377:AWZ655378 BGT655377:BGV655378 BQP655377:BQR655378 CAL655377:CAN655378 CKH655377:CKJ655378 CUD655377:CUF655378 DDZ655377:DEB655378 DNV655377:DNX655378 DXR655377:DXT655378 EHN655377:EHP655378 ERJ655377:ERL655378 FBF655377:FBH655378 FLB655377:FLD655378 FUX655377:FUZ655378 GET655377:GEV655378 GOP655377:GOR655378 GYL655377:GYN655378 HIH655377:HIJ655378 HSD655377:HSF655378 IBZ655377:ICB655378 ILV655377:ILX655378 IVR655377:IVT655378 JFN655377:JFP655378 JPJ655377:JPL655378 JZF655377:JZH655378 KJB655377:KJD655378 KSX655377:KSZ655378 LCT655377:LCV655378 LMP655377:LMR655378 LWL655377:LWN655378 MGH655377:MGJ655378 MQD655377:MQF655378 MZZ655377:NAB655378 NJV655377:NJX655378 NTR655377:NTT655378 ODN655377:ODP655378 ONJ655377:ONL655378 OXF655377:OXH655378 PHB655377:PHD655378 PQX655377:PQZ655378 QAT655377:QAV655378 QKP655377:QKR655378 QUL655377:QUN655378 REH655377:REJ655378 ROD655377:ROF655378 RXZ655377:RYB655378 SHV655377:SHX655378 SRR655377:SRT655378 TBN655377:TBP655378 TLJ655377:TLL655378 TVF655377:TVH655378 UFB655377:UFD655378 UOX655377:UOZ655378 UYT655377:UYV655378 VIP655377:VIR655378 VSL655377:VSN655378 WCH655377:WCJ655378 WMD655377:WMF655378 WVZ655377:WWB655378 JN720913:JP720914 TJ720913:TL720914 ADF720913:ADH720914 ANB720913:AND720914 AWX720913:AWZ720914 BGT720913:BGV720914 BQP720913:BQR720914 CAL720913:CAN720914 CKH720913:CKJ720914 CUD720913:CUF720914 DDZ720913:DEB720914 DNV720913:DNX720914 DXR720913:DXT720914 EHN720913:EHP720914 ERJ720913:ERL720914 FBF720913:FBH720914 FLB720913:FLD720914 FUX720913:FUZ720914 GET720913:GEV720914 GOP720913:GOR720914 GYL720913:GYN720914 HIH720913:HIJ720914 HSD720913:HSF720914 IBZ720913:ICB720914 ILV720913:ILX720914 IVR720913:IVT720914 JFN720913:JFP720914 JPJ720913:JPL720914 JZF720913:JZH720914 KJB720913:KJD720914 KSX720913:KSZ720914 LCT720913:LCV720914 LMP720913:LMR720914 LWL720913:LWN720914 MGH720913:MGJ720914 MQD720913:MQF720914 MZZ720913:NAB720914 NJV720913:NJX720914 NTR720913:NTT720914 ODN720913:ODP720914 ONJ720913:ONL720914 OXF720913:OXH720914 PHB720913:PHD720914 PQX720913:PQZ720914 QAT720913:QAV720914 QKP720913:QKR720914 QUL720913:QUN720914 REH720913:REJ720914 ROD720913:ROF720914 RXZ720913:RYB720914 SHV720913:SHX720914 SRR720913:SRT720914 TBN720913:TBP720914 TLJ720913:TLL720914 TVF720913:TVH720914 UFB720913:UFD720914 UOX720913:UOZ720914 UYT720913:UYV720914 VIP720913:VIR720914 VSL720913:VSN720914 WCH720913:WCJ720914 WMD720913:WMF720914 WVZ720913:WWB720914 JN786449:JP786450 TJ786449:TL786450 ADF786449:ADH786450 ANB786449:AND786450 AWX786449:AWZ786450 BGT786449:BGV786450 BQP786449:BQR786450 CAL786449:CAN786450 CKH786449:CKJ786450 CUD786449:CUF786450 DDZ786449:DEB786450 DNV786449:DNX786450 DXR786449:DXT786450 EHN786449:EHP786450 ERJ786449:ERL786450 FBF786449:FBH786450 FLB786449:FLD786450 FUX786449:FUZ786450 GET786449:GEV786450 GOP786449:GOR786450 GYL786449:GYN786450 HIH786449:HIJ786450 HSD786449:HSF786450 IBZ786449:ICB786450 ILV786449:ILX786450 IVR786449:IVT786450 JFN786449:JFP786450 JPJ786449:JPL786450 JZF786449:JZH786450 KJB786449:KJD786450 KSX786449:KSZ786450 LCT786449:LCV786450 LMP786449:LMR786450 LWL786449:LWN786450 MGH786449:MGJ786450 MQD786449:MQF786450 MZZ786449:NAB786450 NJV786449:NJX786450 NTR786449:NTT786450 ODN786449:ODP786450 ONJ786449:ONL786450 OXF786449:OXH786450 PHB786449:PHD786450 PQX786449:PQZ786450 QAT786449:QAV786450 QKP786449:QKR786450 QUL786449:QUN786450 REH786449:REJ786450 ROD786449:ROF786450 RXZ786449:RYB786450 SHV786449:SHX786450 SRR786449:SRT786450 TBN786449:TBP786450 TLJ786449:TLL786450 TVF786449:TVH786450 UFB786449:UFD786450 UOX786449:UOZ786450 UYT786449:UYV786450 VIP786449:VIR786450 VSL786449:VSN786450 WCH786449:WCJ786450 WMD786449:WMF786450 WVZ786449:WWB786450 JN851985:JP851986 TJ851985:TL851986 ADF851985:ADH851986 ANB851985:AND851986 AWX851985:AWZ851986 BGT851985:BGV851986 BQP851985:BQR851986 CAL851985:CAN851986 CKH851985:CKJ851986 CUD851985:CUF851986 DDZ851985:DEB851986 DNV851985:DNX851986 DXR851985:DXT851986 EHN851985:EHP851986 ERJ851985:ERL851986 FBF851985:FBH851986 FLB851985:FLD851986 FUX851985:FUZ851986 GET851985:GEV851986 GOP851985:GOR851986 GYL851985:GYN851986 HIH851985:HIJ851986 HSD851985:HSF851986 IBZ851985:ICB851986 ILV851985:ILX851986 IVR851985:IVT851986 JFN851985:JFP851986 JPJ851985:JPL851986 JZF851985:JZH851986 KJB851985:KJD851986 KSX851985:KSZ851986 LCT851985:LCV851986 LMP851985:LMR851986 LWL851985:LWN851986 MGH851985:MGJ851986 MQD851985:MQF851986 MZZ851985:NAB851986 NJV851985:NJX851986 NTR851985:NTT851986 ODN851985:ODP851986 ONJ851985:ONL851986 OXF851985:OXH851986 PHB851985:PHD851986 PQX851985:PQZ851986 QAT851985:QAV851986 QKP851985:QKR851986 QUL851985:QUN851986 REH851985:REJ851986 ROD851985:ROF851986 RXZ851985:RYB851986 SHV851985:SHX851986 SRR851985:SRT851986 TBN851985:TBP851986 TLJ851985:TLL851986 TVF851985:TVH851986 UFB851985:UFD851986 UOX851985:UOZ851986 UYT851985:UYV851986 VIP851985:VIR851986 VSL851985:VSN851986 WCH851985:WCJ851986 WMD851985:WMF851986 WVZ851985:WWB851986 JN917521:JP917522 TJ917521:TL917522 ADF917521:ADH917522 ANB917521:AND917522 AWX917521:AWZ917522 BGT917521:BGV917522 BQP917521:BQR917522 CAL917521:CAN917522 CKH917521:CKJ917522 CUD917521:CUF917522 DDZ917521:DEB917522 DNV917521:DNX917522 DXR917521:DXT917522 EHN917521:EHP917522 ERJ917521:ERL917522 FBF917521:FBH917522 FLB917521:FLD917522 FUX917521:FUZ917522 GET917521:GEV917522 GOP917521:GOR917522 GYL917521:GYN917522 HIH917521:HIJ917522 HSD917521:HSF917522 IBZ917521:ICB917522 ILV917521:ILX917522 IVR917521:IVT917522 JFN917521:JFP917522 JPJ917521:JPL917522 JZF917521:JZH917522 KJB917521:KJD917522 KSX917521:KSZ917522 LCT917521:LCV917522 LMP917521:LMR917522 LWL917521:LWN917522 MGH917521:MGJ917522 MQD917521:MQF917522 MZZ917521:NAB917522 NJV917521:NJX917522 NTR917521:NTT917522 ODN917521:ODP917522 ONJ917521:ONL917522 OXF917521:OXH917522 PHB917521:PHD917522 PQX917521:PQZ917522 QAT917521:QAV917522 QKP917521:QKR917522 QUL917521:QUN917522 REH917521:REJ917522 ROD917521:ROF917522 RXZ917521:RYB917522 SHV917521:SHX917522 SRR917521:SRT917522 TBN917521:TBP917522 TLJ917521:TLL917522 TVF917521:TVH917522 UFB917521:UFD917522 UOX917521:UOZ917522 UYT917521:UYV917522 VIP917521:VIR917522 VSL917521:VSN917522 WCH917521:WCJ917522 WMD917521:WMF917522 WVZ917521:WWB917522 JN983057:JP983058 TJ983057:TL983058 ADF983057:ADH983058 ANB983057:AND983058 AWX983057:AWZ983058 BGT983057:BGV983058 BQP983057:BQR983058 CAL983057:CAN983058 CKH983057:CKJ983058 CUD983057:CUF983058 DDZ983057:DEB983058 DNV983057:DNX983058 DXR983057:DXT983058 EHN983057:EHP983058 ERJ983057:ERL983058 FBF983057:FBH983058 FLB983057:FLD983058 FUX983057:FUZ983058 GET983057:GEV983058 GOP983057:GOR983058 GYL983057:GYN983058 HIH983057:HIJ983058 HSD983057:HSF983058 IBZ983057:ICB983058 ILV983057:ILX983058 IVR983057:IVT983058 JFN983057:JFP983058 JPJ983057:JPL983058 JZF983057:JZH983058 KJB983057:KJD983058 KSX983057:KSZ983058 LCT983057:LCV983058 LMP983057:LMR983058 LWL983057:LWN983058 MGH983057:MGJ983058 MQD983057:MQF983058 MZZ983057:NAB983058 NJV983057:NJX983058 NTR983057:NTT983058 ODN983057:ODP983058 ONJ983057:ONL983058 OXF983057:OXH983058 PHB983057:PHD983058 PQX983057:PQZ983058 QAT983057:QAV983058 QKP983057:QKR983058 QUL983057:QUN983058 REH983057:REJ983058 ROD983057:ROF983058 RXZ983057:RYB983058 SHV983057:SHX983058 SRR983057:SRT983058 TBN983057:TBP983058 TLJ983057:TLL983058 TVF983057:TVH983058 UFB983057:UFD983058 UOX983057:UOZ983058 UYT983057:UYV983058 VIP983057:VIR983058 VSL983057:VSN983058 WCH983057:WCJ983058"/>
    <dataValidation type="list" allowBlank="1" showInputMessage="1" showErrorMessage="1" sqref="JI66 C66 C65602 C131138 C196674 C262210 C327746 C393282 C458818 C524354 C589890 C655426 C720962 C786498 C852034 C917570 C983106 WVU983106 WLY983106 WCC983106 VSG983106 VIK983106 UYO983106 UOS983106 UEW983106 TVA983106 TLE983106 TBI983106 SRM983106 SHQ983106 RXU983106 RNY983106 REC983106 QUG983106 QKK983106 QAO983106 PQS983106 PGW983106 OXA983106 ONE983106 ODI983106 NTM983106 NJQ983106 MZU983106 MPY983106 MGC983106 LWG983106 LMK983106 LCO983106 KSS983106 KIW983106 JZA983106 JPE983106 JFI983106 IVM983106 ILQ983106 IBU983106 HRY983106 HIC983106 GYG983106 GOK983106 GEO983106 FUS983106 FKW983106 FBA983106 ERE983106 EHI983106 DXM983106 DNQ983106 DDU983106 CTY983106 CKC983106 CAG983106 BQK983106 BGO983106 AWS983106 AMW983106 ADA983106 TE983106 JI983106 WVU917570 WLY917570 WCC917570 VSG917570 VIK917570 UYO917570 UOS917570 UEW917570 TVA917570 TLE917570 TBI917570 SRM917570 SHQ917570 RXU917570 RNY917570 REC917570 QUG917570 QKK917570 QAO917570 PQS917570 PGW917570 OXA917570 ONE917570 ODI917570 NTM917570 NJQ917570 MZU917570 MPY917570 MGC917570 LWG917570 LMK917570 LCO917570 KSS917570 KIW917570 JZA917570 JPE917570 JFI917570 IVM917570 ILQ917570 IBU917570 HRY917570 HIC917570 GYG917570 GOK917570 GEO917570 FUS917570 FKW917570 FBA917570 ERE917570 EHI917570 DXM917570 DNQ917570 DDU917570 CTY917570 CKC917570 CAG917570 BQK917570 BGO917570 AWS917570 AMW917570 ADA917570 TE917570 JI917570 WVU852034 WLY852034 WCC852034 VSG852034 VIK852034 UYO852034 UOS852034 UEW852034 TVA852034 TLE852034 TBI852034 SRM852034 SHQ852034 RXU852034 RNY852034 REC852034 QUG852034 QKK852034 QAO852034 PQS852034 PGW852034 OXA852034 ONE852034 ODI852034 NTM852034 NJQ852034 MZU852034 MPY852034 MGC852034 LWG852034 LMK852034 LCO852034 KSS852034 KIW852034 JZA852034 JPE852034 JFI852034 IVM852034 ILQ852034 IBU852034 HRY852034 HIC852034 GYG852034 GOK852034 GEO852034 FUS852034 FKW852034 FBA852034 ERE852034 EHI852034 DXM852034 DNQ852034 DDU852034 CTY852034 CKC852034 CAG852034 BQK852034 BGO852034 AWS852034 AMW852034 ADA852034 TE852034 JI852034 WVU786498 WLY786498 WCC786498 VSG786498 VIK786498 UYO786498 UOS786498 UEW786498 TVA786498 TLE786498 TBI786498 SRM786498 SHQ786498 RXU786498 RNY786498 REC786498 QUG786498 QKK786498 QAO786498 PQS786498 PGW786498 OXA786498 ONE786498 ODI786498 NTM786498 NJQ786498 MZU786498 MPY786498 MGC786498 LWG786498 LMK786498 LCO786498 KSS786498 KIW786498 JZA786498 JPE786498 JFI786498 IVM786498 ILQ786498 IBU786498 HRY786498 HIC786498 GYG786498 GOK786498 GEO786498 FUS786498 FKW786498 FBA786498 ERE786498 EHI786498 DXM786498 DNQ786498 DDU786498 CTY786498 CKC786498 CAG786498 BQK786498 BGO786498 AWS786498 AMW786498 ADA786498 TE786498 JI786498 WVU720962 WLY720962 WCC720962 VSG720962 VIK720962 UYO720962 UOS720962 UEW720962 TVA720962 TLE720962 TBI720962 SRM720962 SHQ720962 RXU720962 RNY720962 REC720962 QUG720962 QKK720962 QAO720962 PQS720962 PGW720962 OXA720962 ONE720962 ODI720962 NTM720962 NJQ720962 MZU720962 MPY720962 MGC720962 LWG720962 LMK720962 LCO720962 KSS720962 KIW720962 JZA720962 JPE720962 JFI720962 IVM720962 ILQ720962 IBU720962 HRY720962 HIC720962 GYG720962 GOK720962 GEO720962 FUS720962 FKW720962 FBA720962 ERE720962 EHI720962 DXM720962 DNQ720962 DDU720962 CTY720962 CKC720962 CAG720962 BQK720962 BGO720962 AWS720962 AMW720962 ADA720962 TE720962 JI720962 WVU655426 WLY655426 WCC655426 VSG655426 VIK655426 UYO655426 UOS655426 UEW655426 TVA655426 TLE655426 TBI655426 SRM655426 SHQ655426 RXU655426 RNY655426 REC655426 QUG655426 QKK655426 QAO655426 PQS655426 PGW655426 OXA655426 ONE655426 ODI655426 NTM655426 NJQ655426 MZU655426 MPY655426 MGC655426 LWG655426 LMK655426 LCO655426 KSS655426 KIW655426 JZA655426 JPE655426 JFI655426 IVM655426 ILQ655426 IBU655426 HRY655426 HIC655426 GYG655426 GOK655426 GEO655426 FUS655426 FKW655426 FBA655426 ERE655426 EHI655426 DXM655426 DNQ655426 DDU655426 CTY655426 CKC655426 CAG655426 BQK655426 BGO655426 AWS655426 AMW655426 ADA655426 TE655426 JI655426 WVU589890 WLY589890 WCC589890 VSG589890 VIK589890 UYO589890 UOS589890 UEW589890 TVA589890 TLE589890 TBI589890 SRM589890 SHQ589890 RXU589890 RNY589890 REC589890 QUG589890 QKK589890 QAO589890 PQS589890 PGW589890 OXA589890 ONE589890 ODI589890 NTM589890 NJQ589890 MZU589890 MPY589890 MGC589890 LWG589890 LMK589890 LCO589890 KSS589890 KIW589890 JZA589890 JPE589890 JFI589890 IVM589890 ILQ589890 IBU589890 HRY589890 HIC589890 GYG589890 GOK589890 GEO589890 FUS589890 FKW589890 FBA589890 ERE589890 EHI589890 DXM589890 DNQ589890 DDU589890 CTY589890 CKC589890 CAG589890 BQK589890 BGO589890 AWS589890 AMW589890 ADA589890 TE589890 JI589890 WVU524354 WLY524354 WCC524354 VSG524354 VIK524354 UYO524354 UOS524354 UEW524354 TVA524354 TLE524354 TBI524354 SRM524354 SHQ524354 RXU524354 RNY524354 REC524354 QUG524354 QKK524354 QAO524354 PQS524354 PGW524354 OXA524354 ONE524354 ODI524354 NTM524354 NJQ524354 MZU524354 MPY524354 MGC524354 LWG524354 LMK524354 LCO524354 KSS524354 KIW524354 JZA524354 JPE524354 JFI524354 IVM524354 ILQ524354 IBU524354 HRY524354 HIC524354 GYG524354 GOK524354 GEO524354 FUS524354 FKW524354 FBA524354 ERE524354 EHI524354 DXM524354 DNQ524354 DDU524354 CTY524354 CKC524354 CAG524354 BQK524354 BGO524354 AWS524354 AMW524354 ADA524354 TE524354 JI524354 WVU458818 WLY458818 WCC458818 VSG458818 VIK458818 UYO458818 UOS458818 UEW458818 TVA458818 TLE458818 TBI458818 SRM458818 SHQ458818 RXU458818 RNY458818 REC458818 QUG458818 QKK458818 QAO458818 PQS458818 PGW458818 OXA458818 ONE458818 ODI458818 NTM458818 NJQ458818 MZU458818 MPY458818 MGC458818 LWG458818 LMK458818 LCO458818 KSS458818 KIW458818 JZA458818 JPE458818 JFI458818 IVM458818 ILQ458818 IBU458818 HRY458818 HIC458818 GYG458818 GOK458818 GEO458818 FUS458818 FKW458818 FBA458818 ERE458818 EHI458818 DXM458818 DNQ458818 DDU458818 CTY458818 CKC458818 CAG458818 BQK458818 BGO458818 AWS458818 AMW458818 ADA458818 TE458818 JI458818 WVU393282 WLY393282 WCC393282 VSG393282 VIK393282 UYO393282 UOS393282 UEW393282 TVA393282 TLE393282 TBI393282 SRM393282 SHQ393282 RXU393282 RNY393282 REC393282 QUG393282 QKK393282 QAO393282 PQS393282 PGW393282 OXA393282 ONE393282 ODI393282 NTM393282 NJQ393282 MZU393282 MPY393282 MGC393282 LWG393282 LMK393282 LCO393282 KSS393282 KIW393282 JZA393282 JPE393282 JFI393282 IVM393282 ILQ393282 IBU393282 HRY393282 HIC393282 GYG393282 GOK393282 GEO393282 FUS393282 FKW393282 FBA393282 ERE393282 EHI393282 DXM393282 DNQ393282 DDU393282 CTY393282 CKC393282 CAG393282 BQK393282 BGO393282 AWS393282 AMW393282 ADA393282 TE393282 JI393282 WVU327746 WLY327746 WCC327746 VSG327746 VIK327746 UYO327746 UOS327746 UEW327746 TVA327746 TLE327746 TBI327746 SRM327746 SHQ327746 RXU327746 RNY327746 REC327746 QUG327746 QKK327746 QAO327746 PQS327746 PGW327746 OXA327746 ONE327746 ODI327746 NTM327746 NJQ327746 MZU327746 MPY327746 MGC327746 LWG327746 LMK327746 LCO327746 KSS327746 KIW327746 JZA327746 JPE327746 JFI327746 IVM327746 ILQ327746 IBU327746 HRY327746 HIC327746 GYG327746 GOK327746 GEO327746 FUS327746 FKW327746 FBA327746 ERE327746 EHI327746 DXM327746 DNQ327746 DDU327746 CTY327746 CKC327746 CAG327746 BQK327746 BGO327746 AWS327746 AMW327746 ADA327746 TE327746 JI327746 WVU262210 WLY262210 WCC262210 VSG262210 VIK262210 UYO262210 UOS262210 UEW262210 TVA262210 TLE262210 TBI262210 SRM262210 SHQ262210 RXU262210 RNY262210 REC262210 QUG262210 QKK262210 QAO262210 PQS262210 PGW262210 OXA262210 ONE262210 ODI262210 NTM262210 NJQ262210 MZU262210 MPY262210 MGC262210 LWG262210 LMK262210 LCO262210 KSS262210 KIW262210 JZA262210 JPE262210 JFI262210 IVM262210 ILQ262210 IBU262210 HRY262210 HIC262210 GYG262210 GOK262210 GEO262210 FUS262210 FKW262210 FBA262210 ERE262210 EHI262210 DXM262210 DNQ262210 DDU262210 CTY262210 CKC262210 CAG262210 BQK262210 BGO262210 AWS262210 AMW262210 ADA262210 TE262210 JI262210 WVU196674 WLY196674 WCC196674 VSG196674 VIK196674 UYO196674 UOS196674 UEW196674 TVA196674 TLE196674 TBI196674 SRM196674 SHQ196674 RXU196674 RNY196674 REC196674 QUG196674 QKK196674 QAO196674 PQS196674 PGW196674 OXA196674 ONE196674 ODI196674 NTM196674 NJQ196674 MZU196674 MPY196674 MGC196674 LWG196674 LMK196674 LCO196674 KSS196674 KIW196674 JZA196674 JPE196674 JFI196674 IVM196674 ILQ196674 IBU196674 HRY196674 HIC196674 GYG196674 GOK196674 GEO196674 FUS196674 FKW196674 FBA196674 ERE196674 EHI196674 DXM196674 DNQ196674 DDU196674 CTY196674 CKC196674 CAG196674 BQK196674 BGO196674 AWS196674 AMW196674 ADA196674 TE196674 JI196674 WVU131138 WLY131138 WCC131138 VSG131138 VIK131138 UYO131138 UOS131138 UEW131138 TVA131138 TLE131138 TBI131138 SRM131138 SHQ131138 RXU131138 RNY131138 REC131138 QUG131138 QKK131138 QAO131138 PQS131138 PGW131138 OXA131138 ONE131138 ODI131138 NTM131138 NJQ131138 MZU131138 MPY131138 MGC131138 LWG131138 LMK131138 LCO131138 KSS131138 KIW131138 JZA131138 JPE131138 JFI131138 IVM131138 ILQ131138 IBU131138 HRY131138 HIC131138 GYG131138 GOK131138 GEO131138 FUS131138 FKW131138 FBA131138 ERE131138 EHI131138 DXM131138 DNQ131138 DDU131138 CTY131138 CKC131138 CAG131138 BQK131138 BGO131138 AWS131138 AMW131138 ADA131138 TE131138 JI131138 WVU65602 WLY65602 WCC65602 VSG65602 VIK65602 UYO65602 UOS65602 UEW65602 TVA65602 TLE65602 TBI65602 SRM65602 SHQ65602 RXU65602 RNY65602 REC65602 QUG65602 QKK65602 QAO65602 PQS65602 PGW65602 OXA65602 ONE65602 ODI65602 NTM65602 NJQ65602 MZU65602 MPY65602 MGC65602 LWG65602 LMK65602 LCO65602 KSS65602 KIW65602 JZA65602 JPE65602 JFI65602 IVM65602 ILQ65602 IBU65602 HRY65602 HIC65602 GYG65602 GOK65602 GEO65602 FUS65602 FKW65602 FBA65602 ERE65602 EHI65602 DXM65602 DNQ65602 DDU65602 CTY65602 CKC65602 CAG65602 BQK65602 BGO65602 AWS65602 AMW65602 ADA65602 TE65602 JI65602 WVU66 WLY66 WCC66 VSG66 VIK66 UYO66 UOS66 UEW66 TVA66 TLE66 TBI66 SRM66 SHQ66 RXU66 RNY66 REC66 QUG66 QKK66 QAO66 PQS66 PGW66 OXA66 ONE66 ODI66 NTM66 NJQ66 MZU66 MPY66 MGC66 LWG66 LMK66 LCO66 KSS66 KIW66 JZA66 JPE66 JFI66 IVM66 ILQ66 IBU66 HRY66 HIC66 GYG66 GOK66 GEO66 FUS66 FKW66 FBA66 ERE66 EHI66 DXM66 DNQ66 DDU66 CTY66 CKC66 CAG66 BQK66 BGO66 AWS66 AMW66 ADA66 TE66">
      <formula1>$M$67:$M$70</formula1>
    </dataValidation>
    <dataValidation type="list" allowBlank="1" showInputMessage="1" showErrorMessage="1" sqref="JI67 C67 C65603 C131139 C196675 C262211 C327747 C393283 C458819 C524355 C589891 C655427 C720963 C786499 C852035 C917571 C983107 WVU983107 WLY983107 WCC983107 VSG983107 VIK983107 UYO983107 UOS983107 UEW983107 TVA983107 TLE983107 TBI983107 SRM983107 SHQ983107 RXU983107 RNY983107 REC983107 QUG983107 QKK983107 QAO983107 PQS983107 PGW983107 OXA983107 ONE983107 ODI983107 NTM983107 NJQ983107 MZU983107 MPY983107 MGC983107 LWG983107 LMK983107 LCO983107 KSS983107 KIW983107 JZA983107 JPE983107 JFI983107 IVM983107 ILQ983107 IBU983107 HRY983107 HIC983107 GYG983107 GOK983107 GEO983107 FUS983107 FKW983107 FBA983107 ERE983107 EHI983107 DXM983107 DNQ983107 DDU983107 CTY983107 CKC983107 CAG983107 BQK983107 BGO983107 AWS983107 AMW983107 ADA983107 TE983107 JI983107 WVU917571 WLY917571 WCC917571 VSG917571 VIK917571 UYO917571 UOS917571 UEW917571 TVA917571 TLE917571 TBI917571 SRM917571 SHQ917571 RXU917571 RNY917571 REC917571 QUG917571 QKK917571 QAO917571 PQS917571 PGW917571 OXA917571 ONE917571 ODI917571 NTM917571 NJQ917571 MZU917571 MPY917571 MGC917571 LWG917571 LMK917571 LCO917571 KSS917571 KIW917571 JZA917571 JPE917571 JFI917571 IVM917571 ILQ917571 IBU917571 HRY917571 HIC917571 GYG917571 GOK917571 GEO917571 FUS917571 FKW917571 FBA917571 ERE917571 EHI917571 DXM917571 DNQ917571 DDU917571 CTY917571 CKC917571 CAG917571 BQK917571 BGO917571 AWS917571 AMW917571 ADA917571 TE917571 JI917571 WVU852035 WLY852035 WCC852035 VSG852035 VIK852035 UYO852035 UOS852035 UEW852035 TVA852035 TLE852035 TBI852035 SRM852035 SHQ852035 RXU852035 RNY852035 REC852035 QUG852035 QKK852035 QAO852035 PQS852035 PGW852035 OXA852035 ONE852035 ODI852035 NTM852035 NJQ852035 MZU852035 MPY852035 MGC852035 LWG852035 LMK852035 LCO852035 KSS852035 KIW852035 JZA852035 JPE852035 JFI852035 IVM852035 ILQ852035 IBU852035 HRY852035 HIC852035 GYG852035 GOK852035 GEO852035 FUS852035 FKW852035 FBA852035 ERE852035 EHI852035 DXM852035 DNQ852035 DDU852035 CTY852035 CKC852035 CAG852035 BQK852035 BGO852035 AWS852035 AMW852035 ADA852035 TE852035 JI852035 WVU786499 WLY786499 WCC786499 VSG786499 VIK786499 UYO786499 UOS786499 UEW786499 TVA786499 TLE786499 TBI786499 SRM786499 SHQ786499 RXU786499 RNY786499 REC786499 QUG786499 QKK786499 QAO786499 PQS786499 PGW786499 OXA786499 ONE786499 ODI786499 NTM786499 NJQ786499 MZU786499 MPY786499 MGC786499 LWG786499 LMK786499 LCO786499 KSS786499 KIW786499 JZA786499 JPE786499 JFI786499 IVM786499 ILQ786499 IBU786499 HRY786499 HIC786499 GYG786499 GOK786499 GEO786499 FUS786499 FKW786499 FBA786499 ERE786499 EHI786499 DXM786499 DNQ786499 DDU786499 CTY786499 CKC786499 CAG786499 BQK786499 BGO786499 AWS786499 AMW786499 ADA786499 TE786499 JI786499 WVU720963 WLY720963 WCC720963 VSG720963 VIK720963 UYO720963 UOS720963 UEW720963 TVA720963 TLE720963 TBI720963 SRM720963 SHQ720963 RXU720963 RNY720963 REC720963 QUG720963 QKK720963 QAO720963 PQS720963 PGW720963 OXA720963 ONE720963 ODI720963 NTM720963 NJQ720963 MZU720963 MPY720963 MGC720963 LWG720963 LMK720963 LCO720963 KSS720963 KIW720963 JZA720963 JPE720963 JFI720963 IVM720963 ILQ720963 IBU720963 HRY720963 HIC720963 GYG720963 GOK720963 GEO720963 FUS720963 FKW720963 FBA720963 ERE720963 EHI720963 DXM720963 DNQ720963 DDU720963 CTY720963 CKC720963 CAG720963 BQK720963 BGO720963 AWS720963 AMW720963 ADA720963 TE720963 JI720963 WVU655427 WLY655427 WCC655427 VSG655427 VIK655427 UYO655427 UOS655427 UEW655427 TVA655427 TLE655427 TBI655427 SRM655427 SHQ655427 RXU655427 RNY655427 REC655427 QUG655427 QKK655427 QAO655427 PQS655427 PGW655427 OXA655427 ONE655427 ODI655427 NTM655427 NJQ655427 MZU655427 MPY655427 MGC655427 LWG655427 LMK655427 LCO655427 KSS655427 KIW655427 JZA655427 JPE655427 JFI655427 IVM655427 ILQ655427 IBU655427 HRY655427 HIC655427 GYG655427 GOK655427 GEO655427 FUS655427 FKW655427 FBA655427 ERE655427 EHI655427 DXM655427 DNQ655427 DDU655427 CTY655427 CKC655427 CAG655427 BQK655427 BGO655427 AWS655427 AMW655427 ADA655427 TE655427 JI655427 WVU589891 WLY589891 WCC589891 VSG589891 VIK589891 UYO589891 UOS589891 UEW589891 TVA589891 TLE589891 TBI589891 SRM589891 SHQ589891 RXU589891 RNY589891 REC589891 QUG589891 QKK589891 QAO589891 PQS589891 PGW589891 OXA589891 ONE589891 ODI589891 NTM589891 NJQ589891 MZU589891 MPY589891 MGC589891 LWG589891 LMK589891 LCO589891 KSS589891 KIW589891 JZA589891 JPE589891 JFI589891 IVM589891 ILQ589891 IBU589891 HRY589891 HIC589891 GYG589891 GOK589891 GEO589891 FUS589891 FKW589891 FBA589891 ERE589891 EHI589891 DXM589891 DNQ589891 DDU589891 CTY589891 CKC589891 CAG589891 BQK589891 BGO589891 AWS589891 AMW589891 ADA589891 TE589891 JI589891 WVU524355 WLY524355 WCC524355 VSG524355 VIK524355 UYO524355 UOS524355 UEW524355 TVA524355 TLE524355 TBI524355 SRM524355 SHQ524355 RXU524355 RNY524355 REC524355 QUG524355 QKK524355 QAO524355 PQS524355 PGW524355 OXA524355 ONE524355 ODI524355 NTM524355 NJQ524355 MZU524355 MPY524355 MGC524355 LWG524355 LMK524355 LCO524355 KSS524355 KIW524355 JZA524355 JPE524355 JFI524355 IVM524355 ILQ524355 IBU524355 HRY524355 HIC524355 GYG524355 GOK524355 GEO524355 FUS524355 FKW524355 FBA524355 ERE524355 EHI524355 DXM524355 DNQ524355 DDU524355 CTY524355 CKC524355 CAG524355 BQK524355 BGO524355 AWS524355 AMW524355 ADA524355 TE524355 JI524355 WVU458819 WLY458819 WCC458819 VSG458819 VIK458819 UYO458819 UOS458819 UEW458819 TVA458819 TLE458819 TBI458819 SRM458819 SHQ458819 RXU458819 RNY458819 REC458819 QUG458819 QKK458819 QAO458819 PQS458819 PGW458819 OXA458819 ONE458819 ODI458819 NTM458819 NJQ458819 MZU458819 MPY458819 MGC458819 LWG458819 LMK458819 LCO458819 KSS458819 KIW458819 JZA458819 JPE458819 JFI458819 IVM458819 ILQ458819 IBU458819 HRY458819 HIC458819 GYG458819 GOK458819 GEO458819 FUS458819 FKW458819 FBA458819 ERE458819 EHI458819 DXM458819 DNQ458819 DDU458819 CTY458819 CKC458819 CAG458819 BQK458819 BGO458819 AWS458819 AMW458819 ADA458819 TE458819 JI458819 WVU393283 WLY393283 WCC393283 VSG393283 VIK393283 UYO393283 UOS393283 UEW393283 TVA393283 TLE393283 TBI393283 SRM393283 SHQ393283 RXU393283 RNY393283 REC393283 QUG393283 QKK393283 QAO393283 PQS393283 PGW393283 OXA393283 ONE393283 ODI393283 NTM393283 NJQ393283 MZU393283 MPY393283 MGC393283 LWG393283 LMK393283 LCO393283 KSS393283 KIW393283 JZA393283 JPE393283 JFI393283 IVM393283 ILQ393283 IBU393283 HRY393283 HIC393283 GYG393283 GOK393283 GEO393283 FUS393283 FKW393283 FBA393283 ERE393283 EHI393283 DXM393283 DNQ393283 DDU393283 CTY393283 CKC393283 CAG393283 BQK393283 BGO393283 AWS393283 AMW393283 ADA393283 TE393283 JI393283 WVU327747 WLY327747 WCC327747 VSG327747 VIK327747 UYO327747 UOS327747 UEW327747 TVA327747 TLE327747 TBI327747 SRM327747 SHQ327747 RXU327747 RNY327747 REC327747 QUG327747 QKK327747 QAO327747 PQS327747 PGW327747 OXA327747 ONE327747 ODI327747 NTM327747 NJQ327747 MZU327747 MPY327747 MGC327747 LWG327747 LMK327747 LCO327747 KSS327747 KIW327747 JZA327747 JPE327747 JFI327747 IVM327747 ILQ327747 IBU327747 HRY327747 HIC327747 GYG327747 GOK327747 GEO327747 FUS327747 FKW327747 FBA327747 ERE327747 EHI327747 DXM327747 DNQ327747 DDU327747 CTY327747 CKC327747 CAG327747 BQK327747 BGO327747 AWS327747 AMW327747 ADA327747 TE327747 JI327747 WVU262211 WLY262211 WCC262211 VSG262211 VIK262211 UYO262211 UOS262211 UEW262211 TVA262211 TLE262211 TBI262211 SRM262211 SHQ262211 RXU262211 RNY262211 REC262211 QUG262211 QKK262211 QAO262211 PQS262211 PGW262211 OXA262211 ONE262211 ODI262211 NTM262211 NJQ262211 MZU262211 MPY262211 MGC262211 LWG262211 LMK262211 LCO262211 KSS262211 KIW262211 JZA262211 JPE262211 JFI262211 IVM262211 ILQ262211 IBU262211 HRY262211 HIC262211 GYG262211 GOK262211 GEO262211 FUS262211 FKW262211 FBA262211 ERE262211 EHI262211 DXM262211 DNQ262211 DDU262211 CTY262211 CKC262211 CAG262211 BQK262211 BGO262211 AWS262211 AMW262211 ADA262211 TE262211 JI262211 WVU196675 WLY196675 WCC196675 VSG196675 VIK196675 UYO196675 UOS196675 UEW196675 TVA196675 TLE196675 TBI196675 SRM196675 SHQ196675 RXU196675 RNY196675 REC196675 QUG196675 QKK196675 QAO196675 PQS196675 PGW196675 OXA196675 ONE196675 ODI196675 NTM196675 NJQ196675 MZU196675 MPY196675 MGC196675 LWG196675 LMK196675 LCO196675 KSS196675 KIW196675 JZA196675 JPE196675 JFI196675 IVM196675 ILQ196675 IBU196675 HRY196675 HIC196675 GYG196675 GOK196675 GEO196675 FUS196675 FKW196675 FBA196675 ERE196675 EHI196675 DXM196675 DNQ196675 DDU196675 CTY196675 CKC196675 CAG196675 BQK196675 BGO196675 AWS196675 AMW196675 ADA196675 TE196675 JI196675 WVU131139 WLY131139 WCC131139 VSG131139 VIK131139 UYO131139 UOS131139 UEW131139 TVA131139 TLE131139 TBI131139 SRM131139 SHQ131139 RXU131139 RNY131139 REC131139 QUG131139 QKK131139 QAO131139 PQS131139 PGW131139 OXA131139 ONE131139 ODI131139 NTM131139 NJQ131139 MZU131139 MPY131139 MGC131139 LWG131139 LMK131139 LCO131139 KSS131139 KIW131139 JZA131139 JPE131139 JFI131139 IVM131139 ILQ131139 IBU131139 HRY131139 HIC131139 GYG131139 GOK131139 GEO131139 FUS131139 FKW131139 FBA131139 ERE131139 EHI131139 DXM131139 DNQ131139 DDU131139 CTY131139 CKC131139 CAG131139 BQK131139 BGO131139 AWS131139 AMW131139 ADA131139 TE131139 JI131139 WVU65603 WLY65603 WCC65603 VSG65603 VIK65603 UYO65603 UOS65603 UEW65603 TVA65603 TLE65603 TBI65603 SRM65603 SHQ65603 RXU65603 RNY65603 REC65603 QUG65603 QKK65603 QAO65603 PQS65603 PGW65603 OXA65603 ONE65603 ODI65603 NTM65603 NJQ65603 MZU65603 MPY65603 MGC65603 LWG65603 LMK65603 LCO65603 KSS65603 KIW65603 JZA65603 JPE65603 JFI65603 IVM65603 ILQ65603 IBU65603 HRY65603 HIC65603 GYG65603 GOK65603 GEO65603 FUS65603 FKW65603 FBA65603 ERE65603 EHI65603 DXM65603 DNQ65603 DDU65603 CTY65603 CKC65603 CAG65603 BQK65603 BGO65603 AWS65603 AMW65603 ADA65603 TE65603 JI65603 WVU67 WLY67 WCC67 VSG67 VIK67 UYO67 UOS67 UEW67 TVA67 TLE67 TBI67 SRM67 SHQ67 RXU67 RNY67 REC67 QUG67 QKK67 QAO67 PQS67 PGW67 OXA67 ONE67 ODI67 NTM67 NJQ67 MZU67 MPY67 MGC67 LWG67 LMK67 LCO67 KSS67 KIW67 JZA67 JPE67 JFI67 IVM67 ILQ67 IBU67 HRY67 HIC67 GYG67 GOK67 GEO67 FUS67 FKW67 FBA67 ERE67 EHI67 DXM67 DNQ67 DDU67 CTY67 CKC67 CAG67 BQK67 BGO67 AWS67 AMW67 ADA67 TE67">
      <formula1>$N$67:$N$68</formula1>
    </dataValidation>
    <dataValidation type="list" allowBlank="1" showInputMessage="1" showErrorMessage="1" promptTitle="SOURCE D'ENERGIE" prompt="SOURCE D'ENERGIE" sqref="WVV983061 WLZ983061 WCD983061 VSH983061 VIL983061 UYP983061 UOT983061 UEX983061 TVB983061 TLF983061 TBJ983061 SRN983061 SHR983061 RXV983061 RNZ983061 RED983061 QUH983061 QKL983061 QAP983061 PQT983061 PGX983061 OXB983061 ONF983061 ODJ983061 NTN983061 NJR983061 MZV983061 MPZ983061 MGD983061 LWH983061 LML983061 LCP983061 KST983061 KIX983061 JZB983061 JPF983061 JFJ983061 IVN983061 ILR983061 IBV983061 HRZ983061 HID983061 GYH983061 GOL983061 GEP983061 FUT983061 FKX983061 FBB983061 ERF983061 EHJ983061 DXN983061 DNR983061 DDV983061 CTZ983061 CKD983061 CAH983061 BQL983061 BGP983061 AWT983061 AMX983061 ADB983061 TF983061 JJ983061 D983061 WVV917525 WLZ917525 WCD917525 VSH917525 VIL917525 UYP917525 UOT917525 UEX917525 TVB917525 TLF917525 TBJ917525 SRN917525 SHR917525 RXV917525 RNZ917525 RED917525 QUH917525 QKL917525 QAP917525 PQT917525 PGX917525 OXB917525 ONF917525 ODJ917525 NTN917525 NJR917525 MZV917525 MPZ917525 MGD917525 LWH917525 LML917525 LCP917525 KST917525 KIX917525 JZB917525 JPF917525 JFJ917525 IVN917525 ILR917525 IBV917525 HRZ917525 HID917525 GYH917525 GOL917525 GEP917525 FUT917525 FKX917525 FBB917525 ERF917525 EHJ917525 DXN917525 DNR917525 DDV917525 CTZ917525 CKD917525 CAH917525 BQL917525 BGP917525 AWT917525 AMX917525 ADB917525 TF917525 JJ917525 D917525 WVV851989 WLZ851989 WCD851989 VSH851989 VIL851989 UYP851989 UOT851989 UEX851989 TVB851989 TLF851989 TBJ851989 SRN851989 SHR851989 RXV851989 RNZ851989 RED851989 QUH851989 QKL851989 QAP851989 PQT851989 PGX851989 OXB851989 ONF851989 ODJ851989 NTN851989 NJR851989 MZV851989 MPZ851989 MGD851989 LWH851989 LML851989 LCP851989 KST851989 KIX851989 JZB851989 JPF851989 JFJ851989 IVN851989 ILR851989 IBV851989 HRZ851989 HID851989 GYH851989 GOL851989 GEP851989 FUT851989 FKX851989 FBB851989 ERF851989 EHJ851989 DXN851989 DNR851989 DDV851989 CTZ851989 CKD851989 CAH851989 BQL851989 BGP851989 AWT851989 AMX851989 ADB851989 TF851989 JJ851989 D851989 WVV786453 WLZ786453 WCD786453 VSH786453 VIL786453 UYP786453 UOT786453 UEX786453 TVB786453 TLF786453 TBJ786453 SRN786453 SHR786453 RXV786453 RNZ786453 RED786453 QUH786453 QKL786453 QAP786453 PQT786453 PGX786453 OXB786453 ONF786453 ODJ786453 NTN786453 NJR786453 MZV786453 MPZ786453 MGD786453 LWH786453 LML786453 LCP786453 KST786453 KIX786453 JZB786453 JPF786453 JFJ786453 IVN786453 ILR786453 IBV786453 HRZ786453 HID786453 GYH786453 GOL786453 GEP786453 FUT786453 FKX786453 FBB786453 ERF786453 EHJ786453 DXN786453 DNR786453 DDV786453 CTZ786453 CKD786453 CAH786453 BQL786453 BGP786453 AWT786453 AMX786453 ADB786453 TF786453 JJ786453 D786453 WVV720917 WLZ720917 WCD720917 VSH720917 VIL720917 UYP720917 UOT720917 UEX720917 TVB720917 TLF720917 TBJ720917 SRN720917 SHR720917 RXV720917 RNZ720917 RED720917 QUH720917 QKL720917 QAP720917 PQT720917 PGX720917 OXB720917 ONF720917 ODJ720917 NTN720917 NJR720917 MZV720917 MPZ720917 MGD720917 LWH720917 LML720917 LCP720917 KST720917 KIX720917 JZB720917 JPF720917 JFJ720917 IVN720917 ILR720917 IBV720917 HRZ720917 HID720917 GYH720917 GOL720917 GEP720917 FUT720917 FKX720917 FBB720917 ERF720917 EHJ720917 DXN720917 DNR720917 DDV720917 CTZ720917 CKD720917 CAH720917 BQL720917 BGP720917 AWT720917 AMX720917 ADB720917 TF720917 JJ720917 D720917 WVV655381 WLZ655381 WCD655381 VSH655381 VIL655381 UYP655381 UOT655381 UEX655381 TVB655381 TLF655381 TBJ655381 SRN655381 SHR655381 RXV655381 RNZ655381 RED655381 QUH655381 QKL655381 QAP655381 PQT655381 PGX655381 OXB655381 ONF655381 ODJ655381 NTN655381 NJR655381 MZV655381 MPZ655381 MGD655381 LWH655381 LML655381 LCP655381 KST655381 KIX655381 JZB655381 JPF655381 JFJ655381 IVN655381 ILR655381 IBV655381 HRZ655381 HID655381 GYH655381 GOL655381 GEP655381 FUT655381 FKX655381 FBB655381 ERF655381 EHJ655381 DXN655381 DNR655381 DDV655381 CTZ655381 CKD655381 CAH655381 BQL655381 BGP655381 AWT655381 AMX655381 ADB655381 TF655381 JJ655381 D655381 WVV589845 WLZ589845 WCD589845 VSH589845 VIL589845 UYP589845 UOT589845 UEX589845 TVB589845 TLF589845 TBJ589845 SRN589845 SHR589845 RXV589845 RNZ589845 RED589845 QUH589845 QKL589845 QAP589845 PQT589845 PGX589845 OXB589845 ONF589845 ODJ589845 NTN589845 NJR589845 MZV589845 MPZ589845 MGD589845 LWH589845 LML589845 LCP589845 KST589845 KIX589845 JZB589845 JPF589845 JFJ589845 IVN589845 ILR589845 IBV589845 HRZ589845 HID589845 GYH589845 GOL589845 GEP589845 FUT589845 FKX589845 FBB589845 ERF589845 EHJ589845 DXN589845 DNR589845 DDV589845 CTZ589845 CKD589845 CAH589845 BQL589845 BGP589845 AWT589845 AMX589845 ADB589845 TF589845 JJ589845 D589845 WVV524309 WLZ524309 WCD524309 VSH524309 VIL524309 UYP524309 UOT524309 UEX524309 TVB524309 TLF524309 TBJ524309 SRN524309 SHR524309 RXV524309 RNZ524309 RED524309 QUH524309 QKL524309 QAP524309 PQT524309 PGX524309 OXB524309 ONF524309 ODJ524309 NTN524309 NJR524309 MZV524309 MPZ524309 MGD524309 LWH524309 LML524309 LCP524309 KST524309 KIX524309 JZB524309 JPF524309 JFJ524309 IVN524309 ILR524309 IBV524309 HRZ524309 HID524309 GYH524309 GOL524309 GEP524309 FUT524309 FKX524309 FBB524309 ERF524309 EHJ524309 DXN524309 DNR524309 DDV524309 CTZ524309 CKD524309 CAH524309 BQL524309 BGP524309 AWT524309 AMX524309 ADB524309 TF524309 JJ524309 D524309 WVV458773 WLZ458773 WCD458773 VSH458773 VIL458773 UYP458773 UOT458773 UEX458773 TVB458773 TLF458773 TBJ458773 SRN458773 SHR458773 RXV458773 RNZ458773 RED458773 QUH458773 QKL458773 QAP458773 PQT458773 PGX458773 OXB458773 ONF458773 ODJ458773 NTN458773 NJR458773 MZV458773 MPZ458773 MGD458773 LWH458773 LML458773 LCP458773 KST458773 KIX458773 JZB458773 JPF458773 JFJ458773 IVN458773 ILR458773 IBV458773 HRZ458773 HID458773 GYH458773 GOL458773 GEP458773 FUT458773 FKX458773 FBB458773 ERF458773 EHJ458773 DXN458773 DNR458773 DDV458773 CTZ458773 CKD458773 CAH458773 BQL458773 BGP458773 AWT458773 AMX458773 ADB458773 TF458773 JJ458773 D458773 WVV393237 WLZ393237 WCD393237 VSH393237 VIL393237 UYP393237 UOT393237 UEX393237 TVB393237 TLF393237 TBJ393237 SRN393237 SHR393237 RXV393237 RNZ393237 RED393237 QUH393237 QKL393237 QAP393237 PQT393237 PGX393237 OXB393237 ONF393237 ODJ393237 NTN393237 NJR393237 MZV393237 MPZ393237 MGD393237 LWH393237 LML393237 LCP393237 KST393237 KIX393237 JZB393237 JPF393237 JFJ393237 IVN393237 ILR393237 IBV393237 HRZ393237 HID393237 GYH393237 GOL393237 GEP393237 FUT393237 FKX393237 FBB393237 ERF393237 EHJ393237 DXN393237 DNR393237 DDV393237 CTZ393237 CKD393237 CAH393237 BQL393237 BGP393237 AWT393237 AMX393237 ADB393237 TF393237 JJ393237 D393237 WVV327701 WLZ327701 WCD327701 VSH327701 VIL327701 UYP327701 UOT327701 UEX327701 TVB327701 TLF327701 TBJ327701 SRN327701 SHR327701 RXV327701 RNZ327701 RED327701 QUH327701 QKL327701 QAP327701 PQT327701 PGX327701 OXB327701 ONF327701 ODJ327701 NTN327701 NJR327701 MZV327701 MPZ327701 MGD327701 LWH327701 LML327701 LCP327701 KST327701 KIX327701 JZB327701 JPF327701 JFJ327701 IVN327701 ILR327701 IBV327701 HRZ327701 HID327701 GYH327701 GOL327701 GEP327701 FUT327701 FKX327701 FBB327701 ERF327701 EHJ327701 DXN327701 DNR327701 DDV327701 CTZ327701 CKD327701 CAH327701 BQL327701 BGP327701 AWT327701 AMX327701 ADB327701 TF327701 JJ327701 D327701 WVV262165 WLZ262165 WCD262165 VSH262165 VIL262165 UYP262165 UOT262165 UEX262165 TVB262165 TLF262165 TBJ262165 SRN262165 SHR262165 RXV262165 RNZ262165 RED262165 QUH262165 QKL262165 QAP262165 PQT262165 PGX262165 OXB262165 ONF262165 ODJ262165 NTN262165 NJR262165 MZV262165 MPZ262165 MGD262165 LWH262165 LML262165 LCP262165 KST262165 KIX262165 JZB262165 JPF262165 JFJ262165 IVN262165 ILR262165 IBV262165 HRZ262165 HID262165 GYH262165 GOL262165 GEP262165 FUT262165 FKX262165 FBB262165 ERF262165 EHJ262165 DXN262165 DNR262165 DDV262165 CTZ262165 CKD262165 CAH262165 BQL262165 BGP262165 AWT262165 AMX262165 ADB262165 TF262165 JJ262165 D262165 WVV196629 WLZ196629 WCD196629 VSH196629 VIL196629 UYP196629 UOT196629 UEX196629 TVB196629 TLF196629 TBJ196629 SRN196629 SHR196629 RXV196629 RNZ196629 RED196629 QUH196629 QKL196629 QAP196629 PQT196629 PGX196629 OXB196629 ONF196629 ODJ196629 NTN196629 NJR196629 MZV196629 MPZ196629 MGD196629 LWH196629 LML196629 LCP196629 KST196629 KIX196629 JZB196629 JPF196629 JFJ196629 IVN196629 ILR196629 IBV196629 HRZ196629 HID196629 GYH196629 GOL196629 GEP196629 FUT196629 FKX196629 FBB196629 ERF196629 EHJ196629 DXN196629 DNR196629 DDV196629 CTZ196629 CKD196629 CAH196629 BQL196629 BGP196629 AWT196629 AMX196629 ADB196629 TF196629 JJ196629 D196629 WVV131093 WLZ131093 WCD131093 VSH131093 VIL131093 UYP131093 UOT131093 UEX131093 TVB131093 TLF131093 TBJ131093 SRN131093 SHR131093 RXV131093 RNZ131093 RED131093 QUH131093 QKL131093 QAP131093 PQT131093 PGX131093 OXB131093 ONF131093 ODJ131093 NTN131093 NJR131093 MZV131093 MPZ131093 MGD131093 LWH131093 LML131093 LCP131093 KST131093 KIX131093 JZB131093 JPF131093 JFJ131093 IVN131093 ILR131093 IBV131093 HRZ131093 HID131093 GYH131093 GOL131093 GEP131093 FUT131093 FKX131093 FBB131093 ERF131093 EHJ131093 DXN131093 DNR131093 DDV131093 CTZ131093 CKD131093 CAH131093 BQL131093 BGP131093 AWT131093 AMX131093 ADB131093 TF131093 JJ131093 D131093 WVV65557 WLZ65557 WCD65557 VSH65557 VIL65557 UYP65557 UOT65557 UEX65557 TVB65557 TLF65557 TBJ65557 SRN65557 SHR65557 RXV65557 RNZ65557 RED65557 QUH65557 QKL65557 QAP65557 PQT65557 PGX65557 OXB65557 ONF65557 ODJ65557 NTN65557 NJR65557 MZV65557 MPZ65557 MGD65557 LWH65557 LML65557 LCP65557 KST65557 KIX65557 JZB65557 JPF65557 JFJ65557 IVN65557 ILR65557 IBV65557 HRZ65557 HID65557 GYH65557 GOL65557 GEP65557 FUT65557 FKX65557 FBB65557 ERF65557 EHJ65557 DXN65557 DNR65557 DDV65557 CTZ65557 CKD65557 CAH65557 BQL65557 BGP65557 AWT65557 AMX65557 ADB65557 TF65557 JJ65557 D65557 WVV19:WVV20 WLZ19:WLZ20 WCD19:WCD20 VSH19:VSH20 VIL19:VIL20 UYP19:UYP20 UOT19:UOT20 UEX19:UEX20 TVB19:TVB20 TLF19:TLF20 TBJ19:TBJ20 SRN19:SRN20 SHR19:SHR20 RXV19:RXV20 RNZ19:RNZ20 RED19:RED20 QUH19:QUH20 QKL19:QKL20 QAP19:QAP20 PQT19:PQT20 PGX19:PGX20 OXB19:OXB20 ONF19:ONF20 ODJ19:ODJ20 NTN19:NTN20 NJR19:NJR20 MZV19:MZV20 MPZ19:MPZ20 MGD19:MGD20 LWH19:LWH20 LML19:LML20 LCP19:LCP20 KST19:KST20 KIX19:KIX20 JZB19:JZB20 JPF19:JPF20 JFJ19:JFJ20 IVN19:IVN20 ILR19:ILR20 IBV19:IBV20 HRZ19:HRZ20 HID19:HID20 GYH19:GYH20 GOL19:GOL20 GEP19:GEP20 FUT19:FUT20 FKX19:FKX20 FBB19:FBB20 ERF19:ERF20 EHJ19:EHJ20 DXN19:DXN20 DNR19:DNR20 DDV19:DDV20 CTZ19:CTZ20 CKD19:CKD20 CAH19:CAH20 BQL19:BQL20 BGP19:BGP20 AWT19:AWT20 AMX19:AMX20 ADB19:ADB20 TF19:TF20 JJ19:JJ20">
      <formula1>$BS$9:$BS$10</formula1>
    </dataValidation>
    <dataValidation type="list" allowBlank="1" showInputMessage="1" showErrorMessage="1" promptTitle="USAGE DU VEHICULE" prompt="USAGE DU VEHICULE" sqref="JK18 WVW983060 WMA983060 WCE983060 VSI983060 VIM983060 UYQ983060 UOU983060 UEY983060 TVC983060 TLG983060 TBK983060 SRO983060 SHS983060 RXW983060 ROA983060 REE983060 QUI983060 QKM983060 QAQ983060 PQU983060 PGY983060 OXC983060 ONG983060 ODK983060 NTO983060 NJS983060 MZW983060 MQA983060 MGE983060 LWI983060 LMM983060 LCQ983060 KSU983060 KIY983060 JZC983060 JPG983060 JFK983060 IVO983060 ILS983060 IBW983060 HSA983060 HIE983060 GYI983060 GOM983060 GEQ983060 FUU983060 FKY983060 FBC983060 ERG983060 EHK983060 DXO983060 DNS983060 DDW983060 CUA983060 CKE983060 CAI983060 BQM983060 BGQ983060 AWU983060 AMY983060 ADC983060 TG983060 JK983060 E983060 WVW917524 WMA917524 WCE917524 VSI917524 VIM917524 UYQ917524 UOU917524 UEY917524 TVC917524 TLG917524 TBK917524 SRO917524 SHS917524 RXW917524 ROA917524 REE917524 QUI917524 QKM917524 QAQ917524 PQU917524 PGY917524 OXC917524 ONG917524 ODK917524 NTO917524 NJS917524 MZW917524 MQA917524 MGE917524 LWI917524 LMM917524 LCQ917524 KSU917524 KIY917524 JZC917524 JPG917524 JFK917524 IVO917524 ILS917524 IBW917524 HSA917524 HIE917524 GYI917524 GOM917524 GEQ917524 FUU917524 FKY917524 FBC917524 ERG917524 EHK917524 DXO917524 DNS917524 DDW917524 CUA917524 CKE917524 CAI917524 BQM917524 BGQ917524 AWU917524 AMY917524 ADC917524 TG917524 JK917524 E917524 WVW851988 WMA851988 WCE851988 VSI851988 VIM851988 UYQ851988 UOU851988 UEY851988 TVC851988 TLG851988 TBK851988 SRO851988 SHS851988 RXW851988 ROA851988 REE851988 QUI851988 QKM851988 QAQ851988 PQU851988 PGY851988 OXC851988 ONG851988 ODK851988 NTO851988 NJS851988 MZW851988 MQA851988 MGE851988 LWI851988 LMM851988 LCQ851988 KSU851988 KIY851988 JZC851988 JPG851988 JFK851988 IVO851988 ILS851988 IBW851988 HSA851988 HIE851988 GYI851988 GOM851988 GEQ851988 FUU851988 FKY851988 FBC851988 ERG851988 EHK851988 DXO851988 DNS851988 DDW851988 CUA851988 CKE851988 CAI851988 BQM851988 BGQ851988 AWU851988 AMY851988 ADC851988 TG851988 JK851988 E851988 WVW786452 WMA786452 WCE786452 VSI786452 VIM786452 UYQ786452 UOU786452 UEY786452 TVC786452 TLG786452 TBK786452 SRO786452 SHS786452 RXW786452 ROA786452 REE786452 QUI786452 QKM786452 QAQ786452 PQU786452 PGY786452 OXC786452 ONG786452 ODK786452 NTO786452 NJS786452 MZW786452 MQA786452 MGE786452 LWI786452 LMM786452 LCQ786452 KSU786452 KIY786452 JZC786452 JPG786452 JFK786452 IVO786452 ILS786452 IBW786452 HSA786452 HIE786452 GYI786452 GOM786452 GEQ786452 FUU786452 FKY786452 FBC786452 ERG786452 EHK786452 DXO786452 DNS786452 DDW786452 CUA786452 CKE786452 CAI786452 BQM786452 BGQ786452 AWU786452 AMY786452 ADC786452 TG786452 JK786452 E786452 WVW720916 WMA720916 WCE720916 VSI720916 VIM720916 UYQ720916 UOU720916 UEY720916 TVC720916 TLG720916 TBK720916 SRO720916 SHS720916 RXW720916 ROA720916 REE720916 QUI720916 QKM720916 QAQ720916 PQU720916 PGY720916 OXC720916 ONG720916 ODK720916 NTO720916 NJS720916 MZW720916 MQA720916 MGE720916 LWI720916 LMM720916 LCQ720916 KSU720916 KIY720916 JZC720916 JPG720916 JFK720916 IVO720916 ILS720916 IBW720916 HSA720916 HIE720916 GYI720916 GOM720916 GEQ720916 FUU720916 FKY720916 FBC720916 ERG720916 EHK720916 DXO720916 DNS720916 DDW720916 CUA720916 CKE720916 CAI720916 BQM720916 BGQ720916 AWU720916 AMY720916 ADC720916 TG720916 JK720916 E720916 WVW655380 WMA655380 WCE655380 VSI655380 VIM655380 UYQ655380 UOU655380 UEY655380 TVC655380 TLG655380 TBK655380 SRO655380 SHS655380 RXW655380 ROA655380 REE655380 QUI655380 QKM655380 QAQ655380 PQU655380 PGY655380 OXC655380 ONG655380 ODK655380 NTO655380 NJS655380 MZW655380 MQA655380 MGE655380 LWI655380 LMM655380 LCQ655380 KSU655380 KIY655380 JZC655380 JPG655380 JFK655380 IVO655380 ILS655380 IBW655380 HSA655380 HIE655380 GYI655380 GOM655380 GEQ655380 FUU655380 FKY655380 FBC655380 ERG655380 EHK655380 DXO655380 DNS655380 DDW655380 CUA655380 CKE655380 CAI655380 BQM655380 BGQ655380 AWU655380 AMY655380 ADC655380 TG655380 JK655380 E655380 WVW589844 WMA589844 WCE589844 VSI589844 VIM589844 UYQ589844 UOU589844 UEY589844 TVC589844 TLG589844 TBK589844 SRO589844 SHS589844 RXW589844 ROA589844 REE589844 QUI589844 QKM589844 QAQ589844 PQU589844 PGY589844 OXC589844 ONG589844 ODK589844 NTO589844 NJS589844 MZW589844 MQA589844 MGE589844 LWI589844 LMM589844 LCQ589844 KSU589844 KIY589844 JZC589844 JPG589844 JFK589844 IVO589844 ILS589844 IBW589844 HSA589844 HIE589844 GYI589844 GOM589844 GEQ589844 FUU589844 FKY589844 FBC589844 ERG589844 EHK589844 DXO589844 DNS589844 DDW589844 CUA589844 CKE589844 CAI589844 BQM589844 BGQ589844 AWU589844 AMY589844 ADC589844 TG589844 JK589844 E589844 WVW524308 WMA524308 WCE524308 VSI524308 VIM524308 UYQ524308 UOU524308 UEY524308 TVC524308 TLG524308 TBK524308 SRO524308 SHS524308 RXW524308 ROA524308 REE524308 QUI524308 QKM524308 QAQ524308 PQU524308 PGY524308 OXC524308 ONG524308 ODK524308 NTO524308 NJS524308 MZW524308 MQA524308 MGE524308 LWI524308 LMM524308 LCQ524308 KSU524308 KIY524308 JZC524308 JPG524308 JFK524308 IVO524308 ILS524308 IBW524308 HSA524308 HIE524308 GYI524308 GOM524308 GEQ524308 FUU524308 FKY524308 FBC524308 ERG524308 EHK524308 DXO524308 DNS524308 DDW524308 CUA524308 CKE524308 CAI524308 BQM524308 BGQ524308 AWU524308 AMY524308 ADC524308 TG524308 JK524308 E524308 WVW458772 WMA458772 WCE458772 VSI458772 VIM458772 UYQ458772 UOU458772 UEY458772 TVC458772 TLG458772 TBK458772 SRO458772 SHS458772 RXW458772 ROA458772 REE458772 QUI458772 QKM458772 QAQ458772 PQU458772 PGY458772 OXC458772 ONG458772 ODK458772 NTO458772 NJS458772 MZW458772 MQA458772 MGE458772 LWI458772 LMM458772 LCQ458772 KSU458772 KIY458772 JZC458772 JPG458772 JFK458772 IVO458772 ILS458772 IBW458772 HSA458772 HIE458772 GYI458772 GOM458772 GEQ458772 FUU458772 FKY458772 FBC458772 ERG458772 EHK458772 DXO458772 DNS458772 DDW458772 CUA458772 CKE458772 CAI458772 BQM458772 BGQ458772 AWU458772 AMY458772 ADC458772 TG458772 JK458772 E458772 WVW393236 WMA393236 WCE393236 VSI393236 VIM393236 UYQ393236 UOU393236 UEY393236 TVC393236 TLG393236 TBK393236 SRO393236 SHS393236 RXW393236 ROA393236 REE393236 QUI393236 QKM393236 QAQ393236 PQU393236 PGY393236 OXC393236 ONG393236 ODK393236 NTO393236 NJS393236 MZW393236 MQA393236 MGE393236 LWI393236 LMM393236 LCQ393236 KSU393236 KIY393236 JZC393236 JPG393236 JFK393236 IVO393236 ILS393236 IBW393236 HSA393236 HIE393236 GYI393236 GOM393236 GEQ393236 FUU393236 FKY393236 FBC393236 ERG393236 EHK393236 DXO393236 DNS393236 DDW393236 CUA393236 CKE393236 CAI393236 BQM393236 BGQ393236 AWU393236 AMY393236 ADC393236 TG393236 JK393236 E393236 WVW327700 WMA327700 WCE327700 VSI327700 VIM327700 UYQ327700 UOU327700 UEY327700 TVC327700 TLG327700 TBK327700 SRO327700 SHS327700 RXW327700 ROA327700 REE327700 QUI327700 QKM327700 QAQ327700 PQU327700 PGY327700 OXC327700 ONG327700 ODK327700 NTO327700 NJS327700 MZW327700 MQA327700 MGE327700 LWI327700 LMM327700 LCQ327700 KSU327700 KIY327700 JZC327700 JPG327700 JFK327700 IVO327700 ILS327700 IBW327700 HSA327700 HIE327700 GYI327700 GOM327700 GEQ327700 FUU327700 FKY327700 FBC327700 ERG327700 EHK327700 DXO327700 DNS327700 DDW327700 CUA327700 CKE327700 CAI327700 BQM327700 BGQ327700 AWU327700 AMY327700 ADC327700 TG327700 JK327700 E327700 WVW262164 WMA262164 WCE262164 VSI262164 VIM262164 UYQ262164 UOU262164 UEY262164 TVC262164 TLG262164 TBK262164 SRO262164 SHS262164 RXW262164 ROA262164 REE262164 QUI262164 QKM262164 QAQ262164 PQU262164 PGY262164 OXC262164 ONG262164 ODK262164 NTO262164 NJS262164 MZW262164 MQA262164 MGE262164 LWI262164 LMM262164 LCQ262164 KSU262164 KIY262164 JZC262164 JPG262164 JFK262164 IVO262164 ILS262164 IBW262164 HSA262164 HIE262164 GYI262164 GOM262164 GEQ262164 FUU262164 FKY262164 FBC262164 ERG262164 EHK262164 DXO262164 DNS262164 DDW262164 CUA262164 CKE262164 CAI262164 BQM262164 BGQ262164 AWU262164 AMY262164 ADC262164 TG262164 JK262164 E262164 WVW196628 WMA196628 WCE196628 VSI196628 VIM196628 UYQ196628 UOU196628 UEY196628 TVC196628 TLG196628 TBK196628 SRO196628 SHS196628 RXW196628 ROA196628 REE196628 QUI196628 QKM196628 QAQ196628 PQU196628 PGY196628 OXC196628 ONG196628 ODK196628 NTO196628 NJS196628 MZW196628 MQA196628 MGE196628 LWI196628 LMM196628 LCQ196628 KSU196628 KIY196628 JZC196628 JPG196628 JFK196628 IVO196628 ILS196628 IBW196628 HSA196628 HIE196628 GYI196628 GOM196628 GEQ196628 FUU196628 FKY196628 FBC196628 ERG196628 EHK196628 DXO196628 DNS196628 DDW196628 CUA196628 CKE196628 CAI196628 BQM196628 BGQ196628 AWU196628 AMY196628 ADC196628 TG196628 JK196628 E196628 WVW131092 WMA131092 WCE131092 VSI131092 VIM131092 UYQ131092 UOU131092 UEY131092 TVC131092 TLG131092 TBK131092 SRO131092 SHS131092 RXW131092 ROA131092 REE131092 QUI131092 QKM131092 QAQ131092 PQU131092 PGY131092 OXC131092 ONG131092 ODK131092 NTO131092 NJS131092 MZW131092 MQA131092 MGE131092 LWI131092 LMM131092 LCQ131092 KSU131092 KIY131092 JZC131092 JPG131092 JFK131092 IVO131092 ILS131092 IBW131092 HSA131092 HIE131092 GYI131092 GOM131092 GEQ131092 FUU131092 FKY131092 FBC131092 ERG131092 EHK131092 DXO131092 DNS131092 DDW131092 CUA131092 CKE131092 CAI131092 BQM131092 BGQ131092 AWU131092 AMY131092 ADC131092 TG131092 JK131092 E131092 WVW65556 WMA65556 WCE65556 VSI65556 VIM65556 UYQ65556 UOU65556 UEY65556 TVC65556 TLG65556 TBK65556 SRO65556 SHS65556 RXW65556 ROA65556 REE65556 QUI65556 QKM65556 QAQ65556 PQU65556 PGY65556 OXC65556 ONG65556 ODK65556 NTO65556 NJS65556 MZW65556 MQA65556 MGE65556 LWI65556 LMM65556 LCQ65556 KSU65556 KIY65556 JZC65556 JPG65556 JFK65556 IVO65556 ILS65556 IBW65556 HSA65556 HIE65556 GYI65556 GOM65556 GEQ65556 FUU65556 FKY65556 FBC65556 ERG65556 EHK65556 DXO65556 DNS65556 DDW65556 CUA65556 CKE65556 CAI65556 BQM65556 BGQ65556 AWU65556 AMY65556 ADC65556 TG65556 JK65556 E65556 WVW18 WMA18 WCE18 VSI18 VIM18 UYQ18 UOU18 UEY18 TVC18 TLG18 TBK18 SRO18 SHS18 RXW18 ROA18 REE18 QUI18 QKM18 QAQ18 PQU18 PGY18 OXC18 ONG18 ODK18 NTO18 NJS18 MZW18 MQA18 MGE18 LWI18 LMM18 LCQ18 KSU18 KIY18 JZC18 JPG18 JFK18 IVO18 ILS18 IBW18 HSA18 HIE18 GYI18 GOM18 GEQ18 FUU18 FKY18 FBC18 ERG18 EHK18 DXO18 DNS18 DDW18 CUA18 CKE18 CAI18 BQM18 BGQ18 AWU18 AMY18 ADC18 TG18 E18">
      <formula1>$BO$9:$BO$27</formula1>
    </dataValidation>
    <dataValidation allowBlank="1" showInputMessage="1" showErrorMessage="1" promptTitle="PERIODE DE COUVERTURE" prompt="PERIODE DE COUVERTURE" sqref="WWB983053 J983053 J917517 J851981 J786445 J720909 J655373 J589837 J524301 J458765 J393229 J327693 J262157 J196621 J131085 J65549 JP10 TL10 ADH10 AND10 AWZ10 BGV10 BQR10 CAN10 CKJ10 CUF10 DEB10 DNX10 DXT10 EHP10 ERL10 FBH10 FLD10 FUZ10 GEV10 GOR10 GYN10 HIJ10 HSF10 ICB10 ILX10 IVT10 JFP10 JPL10 JZH10 KJD10 KSZ10 LCV10 LMR10 LWN10 MGJ10 MQF10 NAB10 NJX10 NTT10 ODP10 ONL10 OXH10 PHD10 PQZ10 QAV10 QKR10 QUN10 REJ10 ROF10 RYB10 SHX10 SRT10 TBP10 TLL10 TVH10 UFD10 UOZ10 UYV10 VIR10 VSN10 WCJ10 WMF10 WWB10 JP65549 TL65549 ADH65549 AND65549 AWZ65549 BGV65549 BQR65549 CAN65549 CKJ65549 CUF65549 DEB65549 DNX65549 DXT65549 EHP65549 ERL65549 FBH65549 FLD65549 FUZ65549 GEV65549 GOR65549 GYN65549 HIJ65549 HSF65549 ICB65549 ILX65549 IVT65549 JFP65549 JPL65549 JZH65549 KJD65549 KSZ65549 LCV65549 LMR65549 LWN65549 MGJ65549 MQF65549 NAB65549 NJX65549 NTT65549 ODP65549 ONL65549 OXH65549 PHD65549 PQZ65549 QAV65549 QKR65549 QUN65549 REJ65549 ROF65549 RYB65549 SHX65549 SRT65549 TBP65549 TLL65549 TVH65549 UFD65549 UOZ65549 UYV65549 VIR65549 VSN65549 WCJ65549 WMF65549 WWB65549 JP131085 TL131085 ADH131085 AND131085 AWZ131085 BGV131085 BQR131085 CAN131085 CKJ131085 CUF131085 DEB131085 DNX131085 DXT131085 EHP131085 ERL131085 FBH131085 FLD131085 FUZ131085 GEV131085 GOR131085 GYN131085 HIJ131085 HSF131085 ICB131085 ILX131085 IVT131085 JFP131085 JPL131085 JZH131085 KJD131085 KSZ131085 LCV131085 LMR131085 LWN131085 MGJ131085 MQF131085 NAB131085 NJX131085 NTT131085 ODP131085 ONL131085 OXH131085 PHD131085 PQZ131085 QAV131085 QKR131085 QUN131085 REJ131085 ROF131085 RYB131085 SHX131085 SRT131085 TBP131085 TLL131085 TVH131085 UFD131085 UOZ131085 UYV131085 VIR131085 VSN131085 WCJ131085 WMF131085 WWB131085 JP196621 TL196621 ADH196621 AND196621 AWZ196621 BGV196621 BQR196621 CAN196621 CKJ196621 CUF196621 DEB196621 DNX196621 DXT196621 EHP196621 ERL196621 FBH196621 FLD196621 FUZ196621 GEV196621 GOR196621 GYN196621 HIJ196621 HSF196621 ICB196621 ILX196621 IVT196621 JFP196621 JPL196621 JZH196621 KJD196621 KSZ196621 LCV196621 LMR196621 LWN196621 MGJ196621 MQF196621 NAB196621 NJX196621 NTT196621 ODP196621 ONL196621 OXH196621 PHD196621 PQZ196621 QAV196621 QKR196621 QUN196621 REJ196621 ROF196621 RYB196621 SHX196621 SRT196621 TBP196621 TLL196621 TVH196621 UFD196621 UOZ196621 UYV196621 VIR196621 VSN196621 WCJ196621 WMF196621 WWB196621 JP262157 TL262157 ADH262157 AND262157 AWZ262157 BGV262157 BQR262157 CAN262157 CKJ262157 CUF262157 DEB262157 DNX262157 DXT262157 EHP262157 ERL262157 FBH262157 FLD262157 FUZ262157 GEV262157 GOR262157 GYN262157 HIJ262157 HSF262157 ICB262157 ILX262157 IVT262157 JFP262157 JPL262157 JZH262157 KJD262157 KSZ262157 LCV262157 LMR262157 LWN262157 MGJ262157 MQF262157 NAB262157 NJX262157 NTT262157 ODP262157 ONL262157 OXH262157 PHD262157 PQZ262157 QAV262157 QKR262157 QUN262157 REJ262157 ROF262157 RYB262157 SHX262157 SRT262157 TBP262157 TLL262157 TVH262157 UFD262157 UOZ262157 UYV262157 VIR262157 VSN262157 WCJ262157 WMF262157 WWB262157 JP327693 TL327693 ADH327693 AND327693 AWZ327693 BGV327693 BQR327693 CAN327693 CKJ327693 CUF327693 DEB327693 DNX327693 DXT327693 EHP327693 ERL327693 FBH327693 FLD327693 FUZ327693 GEV327693 GOR327693 GYN327693 HIJ327693 HSF327693 ICB327693 ILX327693 IVT327693 JFP327693 JPL327693 JZH327693 KJD327693 KSZ327693 LCV327693 LMR327693 LWN327693 MGJ327693 MQF327693 NAB327693 NJX327693 NTT327693 ODP327693 ONL327693 OXH327693 PHD327693 PQZ327693 QAV327693 QKR327693 QUN327693 REJ327693 ROF327693 RYB327693 SHX327693 SRT327693 TBP327693 TLL327693 TVH327693 UFD327693 UOZ327693 UYV327693 VIR327693 VSN327693 WCJ327693 WMF327693 WWB327693 JP393229 TL393229 ADH393229 AND393229 AWZ393229 BGV393229 BQR393229 CAN393229 CKJ393229 CUF393229 DEB393229 DNX393229 DXT393229 EHP393229 ERL393229 FBH393229 FLD393229 FUZ393229 GEV393229 GOR393229 GYN393229 HIJ393229 HSF393229 ICB393229 ILX393229 IVT393229 JFP393229 JPL393229 JZH393229 KJD393229 KSZ393229 LCV393229 LMR393229 LWN393229 MGJ393229 MQF393229 NAB393229 NJX393229 NTT393229 ODP393229 ONL393229 OXH393229 PHD393229 PQZ393229 QAV393229 QKR393229 QUN393229 REJ393229 ROF393229 RYB393229 SHX393229 SRT393229 TBP393229 TLL393229 TVH393229 UFD393229 UOZ393229 UYV393229 VIR393229 VSN393229 WCJ393229 WMF393229 WWB393229 JP458765 TL458765 ADH458765 AND458765 AWZ458765 BGV458765 BQR458765 CAN458765 CKJ458765 CUF458765 DEB458765 DNX458765 DXT458765 EHP458765 ERL458765 FBH458765 FLD458765 FUZ458765 GEV458765 GOR458765 GYN458765 HIJ458765 HSF458765 ICB458765 ILX458765 IVT458765 JFP458765 JPL458765 JZH458765 KJD458765 KSZ458765 LCV458765 LMR458765 LWN458765 MGJ458765 MQF458765 NAB458765 NJX458765 NTT458765 ODP458765 ONL458765 OXH458765 PHD458765 PQZ458765 QAV458765 QKR458765 QUN458765 REJ458765 ROF458765 RYB458765 SHX458765 SRT458765 TBP458765 TLL458765 TVH458765 UFD458765 UOZ458765 UYV458765 VIR458765 VSN458765 WCJ458765 WMF458765 WWB458765 JP524301 TL524301 ADH524301 AND524301 AWZ524301 BGV524301 BQR524301 CAN524301 CKJ524301 CUF524301 DEB524301 DNX524301 DXT524301 EHP524301 ERL524301 FBH524301 FLD524301 FUZ524301 GEV524301 GOR524301 GYN524301 HIJ524301 HSF524301 ICB524301 ILX524301 IVT524301 JFP524301 JPL524301 JZH524301 KJD524301 KSZ524301 LCV524301 LMR524301 LWN524301 MGJ524301 MQF524301 NAB524301 NJX524301 NTT524301 ODP524301 ONL524301 OXH524301 PHD524301 PQZ524301 QAV524301 QKR524301 QUN524301 REJ524301 ROF524301 RYB524301 SHX524301 SRT524301 TBP524301 TLL524301 TVH524301 UFD524301 UOZ524301 UYV524301 VIR524301 VSN524301 WCJ524301 WMF524301 WWB524301 JP589837 TL589837 ADH589837 AND589837 AWZ589837 BGV589837 BQR589837 CAN589837 CKJ589837 CUF589837 DEB589837 DNX589837 DXT589837 EHP589837 ERL589837 FBH589837 FLD589837 FUZ589837 GEV589837 GOR589837 GYN589837 HIJ589837 HSF589837 ICB589837 ILX589837 IVT589837 JFP589837 JPL589837 JZH589837 KJD589837 KSZ589837 LCV589837 LMR589837 LWN589837 MGJ589837 MQF589837 NAB589837 NJX589837 NTT589837 ODP589837 ONL589837 OXH589837 PHD589837 PQZ589837 QAV589837 QKR589837 QUN589837 REJ589837 ROF589837 RYB589837 SHX589837 SRT589837 TBP589837 TLL589837 TVH589837 UFD589837 UOZ589837 UYV589837 VIR589837 VSN589837 WCJ589837 WMF589837 WWB589837 JP655373 TL655373 ADH655373 AND655373 AWZ655373 BGV655373 BQR655373 CAN655373 CKJ655373 CUF655373 DEB655373 DNX655373 DXT655373 EHP655373 ERL655373 FBH655373 FLD655373 FUZ655373 GEV655373 GOR655373 GYN655373 HIJ655373 HSF655373 ICB655373 ILX655373 IVT655373 JFP655373 JPL655373 JZH655373 KJD655373 KSZ655373 LCV655373 LMR655373 LWN655373 MGJ655373 MQF655373 NAB655373 NJX655373 NTT655373 ODP655373 ONL655373 OXH655373 PHD655373 PQZ655373 QAV655373 QKR655373 QUN655373 REJ655373 ROF655373 RYB655373 SHX655373 SRT655373 TBP655373 TLL655373 TVH655373 UFD655373 UOZ655373 UYV655373 VIR655373 VSN655373 WCJ655373 WMF655373 WWB655373 JP720909 TL720909 ADH720909 AND720909 AWZ720909 BGV720909 BQR720909 CAN720909 CKJ720909 CUF720909 DEB720909 DNX720909 DXT720909 EHP720909 ERL720909 FBH720909 FLD720909 FUZ720909 GEV720909 GOR720909 GYN720909 HIJ720909 HSF720909 ICB720909 ILX720909 IVT720909 JFP720909 JPL720909 JZH720909 KJD720909 KSZ720909 LCV720909 LMR720909 LWN720909 MGJ720909 MQF720909 NAB720909 NJX720909 NTT720909 ODP720909 ONL720909 OXH720909 PHD720909 PQZ720909 QAV720909 QKR720909 QUN720909 REJ720909 ROF720909 RYB720909 SHX720909 SRT720909 TBP720909 TLL720909 TVH720909 UFD720909 UOZ720909 UYV720909 VIR720909 VSN720909 WCJ720909 WMF720909 WWB720909 JP786445 TL786445 ADH786445 AND786445 AWZ786445 BGV786445 BQR786445 CAN786445 CKJ786445 CUF786445 DEB786445 DNX786445 DXT786445 EHP786445 ERL786445 FBH786445 FLD786445 FUZ786445 GEV786445 GOR786445 GYN786445 HIJ786445 HSF786445 ICB786445 ILX786445 IVT786445 JFP786445 JPL786445 JZH786445 KJD786445 KSZ786445 LCV786445 LMR786445 LWN786445 MGJ786445 MQF786445 NAB786445 NJX786445 NTT786445 ODP786445 ONL786445 OXH786445 PHD786445 PQZ786445 QAV786445 QKR786445 QUN786445 REJ786445 ROF786445 RYB786445 SHX786445 SRT786445 TBP786445 TLL786445 TVH786445 UFD786445 UOZ786445 UYV786445 VIR786445 VSN786445 WCJ786445 WMF786445 WWB786445 JP851981 TL851981 ADH851981 AND851981 AWZ851981 BGV851981 BQR851981 CAN851981 CKJ851981 CUF851981 DEB851981 DNX851981 DXT851981 EHP851981 ERL851981 FBH851981 FLD851981 FUZ851981 GEV851981 GOR851981 GYN851981 HIJ851981 HSF851981 ICB851981 ILX851981 IVT851981 JFP851981 JPL851981 JZH851981 KJD851981 KSZ851981 LCV851981 LMR851981 LWN851981 MGJ851981 MQF851981 NAB851981 NJX851981 NTT851981 ODP851981 ONL851981 OXH851981 PHD851981 PQZ851981 QAV851981 QKR851981 QUN851981 REJ851981 ROF851981 RYB851981 SHX851981 SRT851981 TBP851981 TLL851981 TVH851981 UFD851981 UOZ851981 UYV851981 VIR851981 VSN851981 WCJ851981 WMF851981 WWB851981 JP917517 TL917517 ADH917517 AND917517 AWZ917517 BGV917517 BQR917517 CAN917517 CKJ917517 CUF917517 DEB917517 DNX917517 DXT917517 EHP917517 ERL917517 FBH917517 FLD917517 FUZ917517 GEV917517 GOR917517 GYN917517 HIJ917517 HSF917517 ICB917517 ILX917517 IVT917517 JFP917517 JPL917517 JZH917517 KJD917517 KSZ917517 LCV917517 LMR917517 LWN917517 MGJ917517 MQF917517 NAB917517 NJX917517 NTT917517 ODP917517 ONL917517 OXH917517 PHD917517 PQZ917517 QAV917517 QKR917517 QUN917517 REJ917517 ROF917517 RYB917517 SHX917517 SRT917517 TBP917517 TLL917517 TVH917517 UFD917517 UOZ917517 UYV917517 VIR917517 VSN917517 WCJ917517 WMF917517 WWB917517 JP983053 TL983053 ADH983053 AND983053 AWZ983053 BGV983053 BQR983053 CAN983053 CKJ983053 CUF983053 DEB983053 DNX983053 DXT983053 EHP983053 ERL983053 FBH983053 FLD983053 FUZ983053 GEV983053 GOR983053 GYN983053 HIJ983053 HSF983053 ICB983053 ILX983053 IVT983053 JFP983053 JPL983053 JZH983053 KJD983053 KSZ983053 LCV983053 LMR983053 LWN983053 MGJ983053 MQF983053 NAB983053 NJX983053 NTT983053 ODP983053 ONL983053 OXH983053 PHD983053 PQZ983053 QAV983053 QKR983053 QUN983053 REJ983053 ROF983053 RYB983053 SHX983053 SRT983053 TBP983053 TLL983053 TVH983053 UFD983053 UOZ983053 UYV983053 VIR983053 VSN983053 WCJ983053 WMF983053"/>
    <dataValidation type="list" allowBlank="1" showInputMessage="1" showErrorMessage="1" promptTitle="CODE AGENT APPORTEUR " prompt="CODE AGENT APPORTEUR " sqref="WWB983052 JP9 TL9 ADH9 AND9 AWZ9 BGV9 BQR9 CAN9 CKJ9 CUF9 DEB9 DNX9 DXT9 EHP9 ERL9 FBH9 FLD9 FUZ9 GEV9 GOR9 GYN9 HIJ9 HSF9 ICB9 ILX9 IVT9 JFP9 JPL9 JZH9 KJD9 KSZ9 LCV9 LMR9 LWN9 MGJ9 MQF9 NAB9 NJX9 NTT9 ODP9 ONL9 OXH9 PHD9 PQZ9 QAV9 QKR9 QUN9 REJ9 ROF9 RYB9 SHX9 SRT9 TBP9 TLL9 TVH9 UFD9 UOZ9 UYV9 VIR9 VSN9 WCJ9 WMF9 WWB9 J65548 JP65548 TL65548 ADH65548 AND65548 AWZ65548 BGV65548 BQR65548 CAN65548 CKJ65548 CUF65548 DEB65548 DNX65548 DXT65548 EHP65548 ERL65548 FBH65548 FLD65548 FUZ65548 GEV65548 GOR65548 GYN65548 HIJ65548 HSF65548 ICB65548 ILX65548 IVT65548 JFP65548 JPL65548 JZH65548 KJD65548 KSZ65548 LCV65548 LMR65548 LWN65548 MGJ65548 MQF65548 NAB65548 NJX65548 NTT65548 ODP65548 ONL65548 OXH65548 PHD65548 PQZ65548 QAV65548 QKR65548 QUN65548 REJ65548 ROF65548 RYB65548 SHX65548 SRT65548 TBP65548 TLL65548 TVH65548 UFD65548 UOZ65548 UYV65548 VIR65548 VSN65548 WCJ65548 WMF65548 WWB65548 J131084 JP131084 TL131084 ADH131084 AND131084 AWZ131084 BGV131084 BQR131084 CAN131084 CKJ131084 CUF131084 DEB131084 DNX131084 DXT131084 EHP131084 ERL131084 FBH131084 FLD131084 FUZ131084 GEV131084 GOR131084 GYN131084 HIJ131084 HSF131084 ICB131084 ILX131084 IVT131084 JFP131084 JPL131084 JZH131084 KJD131084 KSZ131084 LCV131084 LMR131084 LWN131084 MGJ131084 MQF131084 NAB131084 NJX131084 NTT131084 ODP131084 ONL131084 OXH131084 PHD131084 PQZ131084 QAV131084 QKR131084 QUN131084 REJ131084 ROF131084 RYB131084 SHX131084 SRT131084 TBP131084 TLL131084 TVH131084 UFD131084 UOZ131084 UYV131084 VIR131084 VSN131084 WCJ131084 WMF131084 WWB131084 J196620 JP196620 TL196620 ADH196620 AND196620 AWZ196620 BGV196620 BQR196620 CAN196620 CKJ196620 CUF196620 DEB196620 DNX196620 DXT196620 EHP196620 ERL196620 FBH196620 FLD196620 FUZ196620 GEV196620 GOR196620 GYN196620 HIJ196620 HSF196620 ICB196620 ILX196620 IVT196620 JFP196620 JPL196620 JZH196620 KJD196620 KSZ196620 LCV196620 LMR196620 LWN196620 MGJ196620 MQF196620 NAB196620 NJX196620 NTT196620 ODP196620 ONL196620 OXH196620 PHD196620 PQZ196620 QAV196620 QKR196620 QUN196620 REJ196620 ROF196620 RYB196620 SHX196620 SRT196620 TBP196620 TLL196620 TVH196620 UFD196620 UOZ196620 UYV196620 VIR196620 VSN196620 WCJ196620 WMF196620 WWB196620 J262156 JP262156 TL262156 ADH262156 AND262156 AWZ262156 BGV262156 BQR262156 CAN262156 CKJ262156 CUF262156 DEB262156 DNX262156 DXT262156 EHP262156 ERL262156 FBH262156 FLD262156 FUZ262156 GEV262156 GOR262156 GYN262156 HIJ262156 HSF262156 ICB262156 ILX262156 IVT262156 JFP262156 JPL262156 JZH262156 KJD262156 KSZ262156 LCV262156 LMR262156 LWN262156 MGJ262156 MQF262156 NAB262156 NJX262156 NTT262156 ODP262156 ONL262156 OXH262156 PHD262156 PQZ262156 QAV262156 QKR262156 QUN262156 REJ262156 ROF262156 RYB262156 SHX262156 SRT262156 TBP262156 TLL262156 TVH262156 UFD262156 UOZ262156 UYV262156 VIR262156 VSN262156 WCJ262156 WMF262156 WWB262156 J327692 JP327692 TL327692 ADH327692 AND327692 AWZ327692 BGV327692 BQR327692 CAN327692 CKJ327692 CUF327692 DEB327692 DNX327692 DXT327692 EHP327692 ERL327692 FBH327692 FLD327692 FUZ327692 GEV327692 GOR327692 GYN327692 HIJ327692 HSF327692 ICB327692 ILX327692 IVT327692 JFP327692 JPL327692 JZH327692 KJD327692 KSZ327692 LCV327692 LMR327692 LWN327692 MGJ327692 MQF327692 NAB327692 NJX327692 NTT327692 ODP327692 ONL327692 OXH327692 PHD327692 PQZ327692 QAV327692 QKR327692 QUN327692 REJ327692 ROF327692 RYB327692 SHX327692 SRT327692 TBP327692 TLL327692 TVH327692 UFD327692 UOZ327692 UYV327692 VIR327692 VSN327692 WCJ327692 WMF327692 WWB327692 J393228 JP393228 TL393228 ADH393228 AND393228 AWZ393228 BGV393228 BQR393228 CAN393228 CKJ393228 CUF393228 DEB393228 DNX393228 DXT393228 EHP393228 ERL393228 FBH393228 FLD393228 FUZ393228 GEV393228 GOR393228 GYN393228 HIJ393228 HSF393228 ICB393228 ILX393228 IVT393228 JFP393228 JPL393228 JZH393228 KJD393228 KSZ393228 LCV393228 LMR393228 LWN393228 MGJ393228 MQF393228 NAB393228 NJX393228 NTT393228 ODP393228 ONL393228 OXH393228 PHD393228 PQZ393228 QAV393228 QKR393228 QUN393228 REJ393228 ROF393228 RYB393228 SHX393228 SRT393228 TBP393228 TLL393228 TVH393228 UFD393228 UOZ393228 UYV393228 VIR393228 VSN393228 WCJ393228 WMF393228 WWB393228 J458764 JP458764 TL458764 ADH458764 AND458764 AWZ458764 BGV458764 BQR458764 CAN458764 CKJ458764 CUF458764 DEB458764 DNX458764 DXT458764 EHP458764 ERL458764 FBH458764 FLD458764 FUZ458764 GEV458764 GOR458764 GYN458764 HIJ458764 HSF458764 ICB458764 ILX458764 IVT458764 JFP458764 JPL458764 JZH458764 KJD458764 KSZ458764 LCV458764 LMR458764 LWN458764 MGJ458764 MQF458764 NAB458764 NJX458764 NTT458764 ODP458764 ONL458764 OXH458764 PHD458764 PQZ458764 QAV458764 QKR458764 QUN458764 REJ458764 ROF458764 RYB458764 SHX458764 SRT458764 TBP458764 TLL458764 TVH458764 UFD458764 UOZ458764 UYV458764 VIR458764 VSN458764 WCJ458764 WMF458764 WWB458764 J524300 JP524300 TL524300 ADH524300 AND524300 AWZ524300 BGV524300 BQR524300 CAN524300 CKJ524300 CUF524300 DEB524300 DNX524300 DXT524300 EHP524300 ERL524300 FBH524300 FLD524300 FUZ524300 GEV524300 GOR524300 GYN524300 HIJ524300 HSF524300 ICB524300 ILX524300 IVT524300 JFP524300 JPL524300 JZH524300 KJD524300 KSZ524300 LCV524300 LMR524300 LWN524300 MGJ524300 MQF524300 NAB524300 NJX524300 NTT524300 ODP524300 ONL524300 OXH524300 PHD524300 PQZ524300 QAV524300 QKR524300 QUN524300 REJ524300 ROF524300 RYB524300 SHX524300 SRT524300 TBP524300 TLL524300 TVH524300 UFD524300 UOZ524300 UYV524300 VIR524300 VSN524300 WCJ524300 WMF524300 WWB524300 J589836 JP589836 TL589836 ADH589836 AND589836 AWZ589836 BGV589836 BQR589836 CAN589836 CKJ589836 CUF589836 DEB589836 DNX589836 DXT589836 EHP589836 ERL589836 FBH589836 FLD589836 FUZ589836 GEV589836 GOR589836 GYN589836 HIJ589836 HSF589836 ICB589836 ILX589836 IVT589836 JFP589836 JPL589836 JZH589836 KJD589836 KSZ589836 LCV589836 LMR589836 LWN589836 MGJ589836 MQF589836 NAB589836 NJX589836 NTT589836 ODP589836 ONL589836 OXH589836 PHD589836 PQZ589836 QAV589836 QKR589836 QUN589836 REJ589836 ROF589836 RYB589836 SHX589836 SRT589836 TBP589836 TLL589836 TVH589836 UFD589836 UOZ589836 UYV589836 VIR589836 VSN589836 WCJ589836 WMF589836 WWB589836 J655372 JP655372 TL655372 ADH655372 AND655372 AWZ655372 BGV655372 BQR655372 CAN655372 CKJ655372 CUF655372 DEB655372 DNX655372 DXT655372 EHP655372 ERL655372 FBH655372 FLD655372 FUZ655372 GEV655372 GOR655372 GYN655372 HIJ655372 HSF655372 ICB655372 ILX655372 IVT655372 JFP655372 JPL655372 JZH655372 KJD655372 KSZ655372 LCV655372 LMR655372 LWN655372 MGJ655372 MQF655372 NAB655372 NJX655372 NTT655372 ODP655372 ONL655372 OXH655372 PHD655372 PQZ655372 QAV655372 QKR655372 QUN655372 REJ655372 ROF655372 RYB655372 SHX655372 SRT655372 TBP655372 TLL655372 TVH655372 UFD655372 UOZ655372 UYV655372 VIR655372 VSN655372 WCJ655372 WMF655372 WWB655372 J720908 JP720908 TL720908 ADH720908 AND720908 AWZ720908 BGV720908 BQR720908 CAN720908 CKJ720908 CUF720908 DEB720908 DNX720908 DXT720908 EHP720908 ERL720908 FBH720908 FLD720908 FUZ720908 GEV720908 GOR720908 GYN720908 HIJ720908 HSF720908 ICB720908 ILX720908 IVT720908 JFP720908 JPL720908 JZH720908 KJD720908 KSZ720908 LCV720908 LMR720908 LWN720908 MGJ720908 MQF720908 NAB720908 NJX720908 NTT720908 ODP720908 ONL720908 OXH720908 PHD720908 PQZ720908 QAV720908 QKR720908 QUN720908 REJ720908 ROF720908 RYB720908 SHX720908 SRT720908 TBP720908 TLL720908 TVH720908 UFD720908 UOZ720908 UYV720908 VIR720908 VSN720908 WCJ720908 WMF720908 WWB720908 J786444 JP786444 TL786444 ADH786444 AND786444 AWZ786444 BGV786444 BQR786444 CAN786444 CKJ786444 CUF786444 DEB786444 DNX786444 DXT786444 EHP786444 ERL786444 FBH786444 FLD786444 FUZ786444 GEV786444 GOR786444 GYN786444 HIJ786444 HSF786444 ICB786444 ILX786444 IVT786444 JFP786444 JPL786444 JZH786444 KJD786444 KSZ786444 LCV786444 LMR786444 LWN786444 MGJ786444 MQF786444 NAB786444 NJX786444 NTT786444 ODP786444 ONL786444 OXH786444 PHD786444 PQZ786444 QAV786444 QKR786444 QUN786444 REJ786444 ROF786444 RYB786444 SHX786444 SRT786444 TBP786444 TLL786444 TVH786444 UFD786444 UOZ786444 UYV786444 VIR786444 VSN786444 WCJ786444 WMF786444 WWB786444 J851980 JP851980 TL851980 ADH851980 AND851980 AWZ851980 BGV851980 BQR851980 CAN851980 CKJ851980 CUF851980 DEB851980 DNX851980 DXT851980 EHP851980 ERL851980 FBH851980 FLD851980 FUZ851980 GEV851980 GOR851980 GYN851980 HIJ851980 HSF851980 ICB851980 ILX851980 IVT851980 JFP851980 JPL851980 JZH851980 KJD851980 KSZ851980 LCV851980 LMR851980 LWN851980 MGJ851980 MQF851980 NAB851980 NJX851980 NTT851980 ODP851980 ONL851980 OXH851980 PHD851980 PQZ851980 QAV851980 QKR851980 QUN851980 REJ851980 ROF851980 RYB851980 SHX851980 SRT851980 TBP851980 TLL851980 TVH851980 UFD851980 UOZ851980 UYV851980 VIR851980 VSN851980 WCJ851980 WMF851980 WWB851980 J917516 JP917516 TL917516 ADH917516 AND917516 AWZ917516 BGV917516 BQR917516 CAN917516 CKJ917516 CUF917516 DEB917516 DNX917516 DXT917516 EHP917516 ERL917516 FBH917516 FLD917516 FUZ917516 GEV917516 GOR917516 GYN917516 HIJ917516 HSF917516 ICB917516 ILX917516 IVT917516 JFP917516 JPL917516 JZH917516 KJD917516 KSZ917516 LCV917516 LMR917516 LWN917516 MGJ917516 MQF917516 NAB917516 NJX917516 NTT917516 ODP917516 ONL917516 OXH917516 PHD917516 PQZ917516 QAV917516 QKR917516 QUN917516 REJ917516 ROF917516 RYB917516 SHX917516 SRT917516 TBP917516 TLL917516 TVH917516 UFD917516 UOZ917516 UYV917516 VIR917516 VSN917516 WCJ917516 WMF917516 WWB917516 J983052 JP983052 TL983052 ADH983052 AND983052 AWZ983052 BGV983052 BQR983052 CAN983052 CKJ983052 CUF983052 DEB983052 DNX983052 DXT983052 EHP983052 ERL983052 FBH983052 FLD983052 FUZ983052 GEV983052 GOR983052 GYN983052 HIJ983052 HSF983052 ICB983052 ILX983052 IVT983052 JFP983052 JPL983052 JZH983052 KJD983052 KSZ983052 LCV983052 LMR983052 LWN983052 MGJ983052 MQF983052 NAB983052 NJX983052 NTT983052 ODP983052 ONL983052 OXH983052 PHD983052 PQZ983052 QAV983052 QKR983052 QUN983052 REJ983052 ROF983052 RYB983052 SHX983052 SRT983052 TBP983052 TLL983052 TVH983052 UFD983052 UOZ983052 UYV983052 VIR983052 VSN983052 WCJ983052 WMF983052">
      <formula1>$BM$9:$BM$13</formula1>
    </dataValidation>
    <dataValidation type="list" allowBlank="1" showInputMessage="1" showErrorMessage="1" promptTitle="ZONE DE CIRCULATION" prompt="ZONE DE CIRCULATION" sqref="WWB983063 JP22:JP23 WMF983063 WCJ983063 VSN983063 VIR983063 UYV983063 UOZ983063 UFD983063 TVH983063 TLL983063 TBP983063 SRT983063 SHX983063 RYB983063 ROF983063 REJ983063 QUN983063 QKR983063 QAV983063 PQZ983063 PHD983063 OXH983063 ONL983063 ODP983063 NTT983063 NJX983063 NAB983063 MQF983063 MGJ983063 LWN983063 LMR983063 LCV983063 KSZ983063 KJD983063 JZH983063 JPL983063 JFP983063 IVT983063 ILX983063 ICB983063 HSF983063 HIJ983063 GYN983063 GOR983063 GEV983063 FUZ983063 FLD983063 FBH983063 ERL983063 EHP983063 DXT983063 DNX983063 DEB983063 CUF983063 CKJ983063 CAN983063 BQR983063 BGV983063 AWZ983063 AND983063 ADH983063 TL983063 JP983063 J983063 WWB917527 WMF917527 WCJ917527 VSN917527 VIR917527 UYV917527 UOZ917527 UFD917527 TVH917527 TLL917527 TBP917527 SRT917527 SHX917527 RYB917527 ROF917527 REJ917527 QUN917527 QKR917527 QAV917527 PQZ917527 PHD917527 OXH917527 ONL917527 ODP917527 NTT917527 NJX917527 NAB917527 MQF917527 MGJ917527 LWN917527 LMR917527 LCV917527 KSZ917527 KJD917527 JZH917527 JPL917527 JFP917527 IVT917527 ILX917527 ICB917527 HSF917527 HIJ917527 GYN917527 GOR917527 GEV917527 FUZ917527 FLD917527 FBH917527 ERL917527 EHP917527 DXT917527 DNX917527 DEB917527 CUF917527 CKJ917527 CAN917527 BQR917527 BGV917527 AWZ917527 AND917527 ADH917527 TL917527 JP917527 J917527 WWB851991 WMF851991 WCJ851991 VSN851991 VIR851991 UYV851991 UOZ851991 UFD851991 TVH851991 TLL851991 TBP851991 SRT851991 SHX851991 RYB851991 ROF851991 REJ851991 QUN851991 QKR851991 QAV851991 PQZ851991 PHD851991 OXH851991 ONL851991 ODP851991 NTT851991 NJX851991 NAB851991 MQF851991 MGJ851991 LWN851991 LMR851991 LCV851991 KSZ851991 KJD851991 JZH851991 JPL851991 JFP851991 IVT851991 ILX851991 ICB851991 HSF851991 HIJ851991 GYN851991 GOR851991 GEV851991 FUZ851991 FLD851991 FBH851991 ERL851991 EHP851991 DXT851991 DNX851991 DEB851991 CUF851991 CKJ851991 CAN851991 BQR851991 BGV851991 AWZ851991 AND851991 ADH851991 TL851991 JP851991 J851991 WWB786455 WMF786455 WCJ786455 VSN786455 VIR786455 UYV786455 UOZ786455 UFD786455 TVH786455 TLL786455 TBP786455 SRT786455 SHX786455 RYB786455 ROF786455 REJ786455 QUN786455 QKR786455 QAV786455 PQZ786455 PHD786455 OXH786455 ONL786455 ODP786455 NTT786455 NJX786455 NAB786455 MQF786455 MGJ786455 LWN786455 LMR786455 LCV786455 KSZ786455 KJD786455 JZH786455 JPL786455 JFP786455 IVT786455 ILX786455 ICB786455 HSF786455 HIJ786455 GYN786455 GOR786455 GEV786455 FUZ786455 FLD786455 FBH786455 ERL786455 EHP786455 DXT786455 DNX786455 DEB786455 CUF786455 CKJ786455 CAN786455 BQR786455 BGV786455 AWZ786455 AND786455 ADH786455 TL786455 JP786455 J786455 WWB720919 WMF720919 WCJ720919 VSN720919 VIR720919 UYV720919 UOZ720919 UFD720919 TVH720919 TLL720919 TBP720919 SRT720919 SHX720919 RYB720919 ROF720919 REJ720919 QUN720919 QKR720919 QAV720919 PQZ720919 PHD720919 OXH720919 ONL720919 ODP720919 NTT720919 NJX720919 NAB720919 MQF720919 MGJ720919 LWN720919 LMR720919 LCV720919 KSZ720919 KJD720919 JZH720919 JPL720919 JFP720919 IVT720919 ILX720919 ICB720919 HSF720919 HIJ720919 GYN720919 GOR720919 GEV720919 FUZ720919 FLD720919 FBH720919 ERL720919 EHP720919 DXT720919 DNX720919 DEB720919 CUF720919 CKJ720919 CAN720919 BQR720919 BGV720919 AWZ720919 AND720919 ADH720919 TL720919 JP720919 J720919 WWB655383 WMF655383 WCJ655383 VSN655383 VIR655383 UYV655383 UOZ655383 UFD655383 TVH655383 TLL655383 TBP655383 SRT655383 SHX655383 RYB655383 ROF655383 REJ655383 QUN655383 QKR655383 QAV655383 PQZ655383 PHD655383 OXH655383 ONL655383 ODP655383 NTT655383 NJX655383 NAB655383 MQF655383 MGJ655383 LWN655383 LMR655383 LCV655383 KSZ655383 KJD655383 JZH655383 JPL655383 JFP655383 IVT655383 ILX655383 ICB655383 HSF655383 HIJ655383 GYN655383 GOR655383 GEV655383 FUZ655383 FLD655383 FBH655383 ERL655383 EHP655383 DXT655383 DNX655383 DEB655383 CUF655383 CKJ655383 CAN655383 BQR655383 BGV655383 AWZ655383 AND655383 ADH655383 TL655383 JP655383 J655383 WWB589847 WMF589847 WCJ589847 VSN589847 VIR589847 UYV589847 UOZ589847 UFD589847 TVH589847 TLL589847 TBP589847 SRT589847 SHX589847 RYB589847 ROF589847 REJ589847 QUN589847 QKR589847 QAV589847 PQZ589847 PHD589847 OXH589847 ONL589847 ODP589847 NTT589847 NJX589847 NAB589847 MQF589847 MGJ589847 LWN589847 LMR589847 LCV589847 KSZ589847 KJD589847 JZH589847 JPL589847 JFP589847 IVT589847 ILX589847 ICB589847 HSF589847 HIJ589847 GYN589847 GOR589847 GEV589847 FUZ589847 FLD589847 FBH589847 ERL589847 EHP589847 DXT589847 DNX589847 DEB589847 CUF589847 CKJ589847 CAN589847 BQR589847 BGV589847 AWZ589847 AND589847 ADH589847 TL589847 JP589847 J589847 WWB524311 WMF524311 WCJ524311 VSN524311 VIR524311 UYV524311 UOZ524311 UFD524311 TVH524311 TLL524311 TBP524311 SRT524311 SHX524311 RYB524311 ROF524311 REJ524311 QUN524311 QKR524311 QAV524311 PQZ524311 PHD524311 OXH524311 ONL524311 ODP524311 NTT524311 NJX524311 NAB524311 MQF524311 MGJ524311 LWN524311 LMR524311 LCV524311 KSZ524311 KJD524311 JZH524311 JPL524311 JFP524311 IVT524311 ILX524311 ICB524311 HSF524311 HIJ524311 GYN524311 GOR524311 GEV524311 FUZ524311 FLD524311 FBH524311 ERL524311 EHP524311 DXT524311 DNX524311 DEB524311 CUF524311 CKJ524311 CAN524311 BQR524311 BGV524311 AWZ524311 AND524311 ADH524311 TL524311 JP524311 J524311 WWB458775 WMF458775 WCJ458775 VSN458775 VIR458775 UYV458775 UOZ458775 UFD458775 TVH458775 TLL458775 TBP458775 SRT458775 SHX458775 RYB458775 ROF458775 REJ458775 QUN458775 QKR458775 QAV458775 PQZ458775 PHD458775 OXH458775 ONL458775 ODP458775 NTT458775 NJX458775 NAB458775 MQF458775 MGJ458775 LWN458775 LMR458775 LCV458775 KSZ458775 KJD458775 JZH458775 JPL458775 JFP458775 IVT458775 ILX458775 ICB458775 HSF458775 HIJ458775 GYN458775 GOR458775 GEV458775 FUZ458775 FLD458775 FBH458775 ERL458775 EHP458775 DXT458775 DNX458775 DEB458775 CUF458775 CKJ458775 CAN458775 BQR458775 BGV458775 AWZ458775 AND458775 ADH458775 TL458775 JP458775 J458775 WWB393239 WMF393239 WCJ393239 VSN393239 VIR393239 UYV393239 UOZ393239 UFD393239 TVH393239 TLL393239 TBP393239 SRT393239 SHX393239 RYB393239 ROF393239 REJ393239 QUN393239 QKR393239 QAV393239 PQZ393239 PHD393239 OXH393239 ONL393239 ODP393239 NTT393239 NJX393239 NAB393239 MQF393239 MGJ393239 LWN393239 LMR393239 LCV393239 KSZ393239 KJD393239 JZH393239 JPL393239 JFP393239 IVT393239 ILX393239 ICB393239 HSF393239 HIJ393239 GYN393239 GOR393239 GEV393239 FUZ393239 FLD393239 FBH393239 ERL393239 EHP393239 DXT393239 DNX393239 DEB393239 CUF393239 CKJ393239 CAN393239 BQR393239 BGV393239 AWZ393239 AND393239 ADH393239 TL393239 JP393239 J393239 WWB327703 WMF327703 WCJ327703 VSN327703 VIR327703 UYV327703 UOZ327703 UFD327703 TVH327703 TLL327703 TBP327703 SRT327703 SHX327703 RYB327703 ROF327703 REJ327703 QUN327703 QKR327703 QAV327703 PQZ327703 PHD327703 OXH327703 ONL327703 ODP327703 NTT327703 NJX327703 NAB327703 MQF327703 MGJ327703 LWN327703 LMR327703 LCV327703 KSZ327703 KJD327703 JZH327703 JPL327703 JFP327703 IVT327703 ILX327703 ICB327703 HSF327703 HIJ327703 GYN327703 GOR327703 GEV327703 FUZ327703 FLD327703 FBH327703 ERL327703 EHP327703 DXT327703 DNX327703 DEB327703 CUF327703 CKJ327703 CAN327703 BQR327703 BGV327703 AWZ327703 AND327703 ADH327703 TL327703 JP327703 J327703 WWB262167 WMF262167 WCJ262167 VSN262167 VIR262167 UYV262167 UOZ262167 UFD262167 TVH262167 TLL262167 TBP262167 SRT262167 SHX262167 RYB262167 ROF262167 REJ262167 QUN262167 QKR262167 QAV262167 PQZ262167 PHD262167 OXH262167 ONL262167 ODP262167 NTT262167 NJX262167 NAB262167 MQF262167 MGJ262167 LWN262167 LMR262167 LCV262167 KSZ262167 KJD262167 JZH262167 JPL262167 JFP262167 IVT262167 ILX262167 ICB262167 HSF262167 HIJ262167 GYN262167 GOR262167 GEV262167 FUZ262167 FLD262167 FBH262167 ERL262167 EHP262167 DXT262167 DNX262167 DEB262167 CUF262167 CKJ262167 CAN262167 BQR262167 BGV262167 AWZ262167 AND262167 ADH262167 TL262167 JP262167 J262167 WWB196631 WMF196631 WCJ196631 VSN196631 VIR196631 UYV196631 UOZ196631 UFD196631 TVH196631 TLL196631 TBP196631 SRT196631 SHX196631 RYB196631 ROF196631 REJ196631 QUN196631 QKR196631 QAV196631 PQZ196631 PHD196631 OXH196631 ONL196631 ODP196631 NTT196631 NJX196631 NAB196631 MQF196631 MGJ196631 LWN196631 LMR196631 LCV196631 KSZ196631 KJD196631 JZH196631 JPL196631 JFP196631 IVT196631 ILX196631 ICB196631 HSF196631 HIJ196631 GYN196631 GOR196631 GEV196631 FUZ196631 FLD196631 FBH196631 ERL196631 EHP196631 DXT196631 DNX196631 DEB196631 CUF196631 CKJ196631 CAN196631 BQR196631 BGV196631 AWZ196631 AND196631 ADH196631 TL196631 JP196631 J196631 WWB131095 WMF131095 WCJ131095 VSN131095 VIR131095 UYV131095 UOZ131095 UFD131095 TVH131095 TLL131095 TBP131095 SRT131095 SHX131095 RYB131095 ROF131095 REJ131095 QUN131095 QKR131095 QAV131095 PQZ131095 PHD131095 OXH131095 ONL131095 ODP131095 NTT131095 NJX131095 NAB131095 MQF131095 MGJ131095 LWN131095 LMR131095 LCV131095 KSZ131095 KJD131095 JZH131095 JPL131095 JFP131095 IVT131095 ILX131095 ICB131095 HSF131095 HIJ131095 GYN131095 GOR131095 GEV131095 FUZ131095 FLD131095 FBH131095 ERL131095 EHP131095 DXT131095 DNX131095 DEB131095 CUF131095 CKJ131095 CAN131095 BQR131095 BGV131095 AWZ131095 AND131095 ADH131095 TL131095 JP131095 J131095 WWB65559 WMF65559 WCJ65559 VSN65559 VIR65559 UYV65559 UOZ65559 UFD65559 TVH65559 TLL65559 TBP65559 SRT65559 SHX65559 RYB65559 ROF65559 REJ65559 QUN65559 QKR65559 QAV65559 PQZ65559 PHD65559 OXH65559 ONL65559 ODP65559 NTT65559 NJX65559 NAB65559 MQF65559 MGJ65559 LWN65559 LMR65559 LCV65559 KSZ65559 KJD65559 JZH65559 JPL65559 JFP65559 IVT65559 ILX65559 ICB65559 HSF65559 HIJ65559 GYN65559 GOR65559 GEV65559 FUZ65559 FLD65559 FBH65559 ERL65559 EHP65559 DXT65559 DNX65559 DEB65559 CUF65559 CKJ65559 CAN65559 BQR65559 BGV65559 AWZ65559 AND65559 ADH65559 TL65559 JP65559 J65559 WWB22:WWB23 WMF22:WMF23 WCJ22:WCJ23 VSN22:VSN23 VIR22:VIR23 UYV22:UYV23 UOZ22:UOZ23 UFD22:UFD23 TVH22:TVH23 TLL22:TLL23 TBP22:TBP23 SRT22:SRT23 SHX22:SHX23 RYB22:RYB23 ROF22:ROF23 REJ22:REJ23 QUN22:QUN23 QKR22:QKR23 QAV22:QAV23 PQZ22:PQZ23 PHD22:PHD23 OXH22:OXH23 ONL22:ONL23 ODP22:ODP23 NTT22:NTT23 NJX22:NJX23 NAB22:NAB23 MQF22:MQF23 MGJ22:MGJ23 LWN22:LWN23 LMR22:LMR23 LCV22:LCV23 KSZ22:KSZ23 KJD22:KJD23 JZH22:JZH23 JPL22:JPL23 JFP22:JFP23 IVT22:IVT23 ILX22:ILX23 ICB22:ICB23 HSF22:HSF23 HIJ22:HIJ23 GYN22:GYN23 GOR22:GOR23 GEV22:GEV23 FUZ22:FUZ23 FLD22:FLD23 FBH22:FBH23 ERL22:ERL23 EHP22:EHP23 DXT22:DXT23 DNX22:DNX23 DEB22:DEB23 CUF22:CUF23 CKJ22:CKJ23 CAN22:CAN23 BQR22:BQR23 BGV22:BGV23 AWZ22:AWZ23 AND22:AND23 ADH22:ADH23 TL22:TL23 J22">
      <formula1>$CA$8:$CA$10</formula1>
    </dataValidation>
    <dataValidation type="list" allowBlank="1" showInputMessage="1" showErrorMessage="1" sqref="JN28:JN36 WMD983068:WMD983076 WCH983068:WCH983076 VSL983068:VSL983076 VIP983068:VIP983076 UYT983068:UYT983076 UOX983068:UOX983076 UFB983068:UFB983076 TVF983068:TVF983076 TLJ983068:TLJ983076 TBN983068:TBN983076 SRR983068:SRR983076 SHV983068:SHV983076 RXZ983068:RXZ983076 ROD983068:ROD983076 REH983068:REH983076 QUL983068:QUL983076 QKP983068:QKP983076 QAT983068:QAT983076 PQX983068:PQX983076 PHB983068:PHB983076 OXF983068:OXF983076 ONJ983068:ONJ983076 ODN983068:ODN983076 NTR983068:NTR983076 NJV983068:NJV983076 MZZ983068:MZZ983076 MQD983068:MQD983076 MGH983068:MGH983076 LWL983068:LWL983076 LMP983068:LMP983076 LCT983068:LCT983076 KSX983068:KSX983076 KJB983068:KJB983076 JZF983068:JZF983076 JPJ983068:JPJ983076 JFN983068:JFN983076 IVR983068:IVR983076 ILV983068:ILV983076 IBZ983068:IBZ983076 HSD983068:HSD983076 HIH983068:HIH983076 GYL983068:GYL983076 GOP983068:GOP983076 GET983068:GET983076 FUX983068:FUX983076 FLB983068:FLB983076 FBF983068:FBF983076 ERJ983068:ERJ983076 EHN983068:EHN983076 DXR983068:DXR983076 DNV983068:DNV983076 DDZ983068:DDZ983076 CUD983068:CUD983076 CKH983068:CKH983076 CAL983068:CAL983076 BQP983068:BQP983076 BGT983068:BGT983076 AWX983068:AWX983076 ANB983068:ANB983076 ADF983068:ADF983076 TJ983068:TJ983076 JN983068:JN983076 H983068:H983076 WVZ917532:WVZ917540 WMD917532:WMD917540 WCH917532:WCH917540 VSL917532:VSL917540 VIP917532:VIP917540 UYT917532:UYT917540 UOX917532:UOX917540 UFB917532:UFB917540 TVF917532:TVF917540 TLJ917532:TLJ917540 TBN917532:TBN917540 SRR917532:SRR917540 SHV917532:SHV917540 RXZ917532:RXZ917540 ROD917532:ROD917540 REH917532:REH917540 QUL917532:QUL917540 QKP917532:QKP917540 QAT917532:QAT917540 PQX917532:PQX917540 PHB917532:PHB917540 OXF917532:OXF917540 ONJ917532:ONJ917540 ODN917532:ODN917540 NTR917532:NTR917540 NJV917532:NJV917540 MZZ917532:MZZ917540 MQD917532:MQD917540 MGH917532:MGH917540 LWL917532:LWL917540 LMP917532:LMP917540 LCT917532:LCT917540 KSX917532:KSX917540 KJB917532:KJB917540 JZF917532:JZF917540 JPJ917532:JPJ917540 JFN917532:JFN917540 IVR917532:IVR917540 ILV917532:ILV917540 IBZ917532:IBZ917540 HSD917532:HSD917540 HIH917532:HIH917540 GYL917532:GYL917540 GOP917532:GOP917540 GET917532:GET917540 FUX917532:FUX917540 FLB917532:FLB917540 FBF917532:FBF917540 ERJ917532:ERJ917540 EHN917532:EHN917540 DXR917532:DXR917540 DNV917532:DNV917540 DDZ917532:DDZ917540 CUD917532:CUD917540 CKH917532:CKH917540 CAL917532:CAL917540 BQP917532:BQP917540 BGT917532:BGT917540 AWX917532:AWX917540 ANB917532:ANB917540 ADF917532:ADF917540 TJ917532:TJ917540 JN917532:JN917540 H917532:H917540 WVZ851996:WVZ852004 WMD851996:WMD852004 WCH851996:WCH852004 VSL851996:VSL852004 VIP851996:VIP852004 UYT851996:UYT852004 UOX851996:UOX852004 UFB851996:UFB852004 TVF851996:TVF852004 TLJ851996:TLJ852004 TBN851996:TBN852004 SRR851996:SRR852004 SHV851996:SHV852004 RXZ851996:RXZ852004 ROD851996:ROD852004 REH851996:REH852004 QUL851996:QUL852004 QKP851996:QKP852004 QAT851996:QAT852004 PQX851996:PQX852004 PHB851996:PHB852004 OXF851996:OXF852004 ONJ851996:ONJ852004 ODN851996:ODN852004 NTR851996:NTR852004 NJV851996:NJV852004 MZZ851996:MZZ852004 MQD851996:MQD852004 MGH851996:MGH852004 LWL851996:LWL852004 LMP851996:LMP852004 LCT851996:LCT852004 KSX851996:KSX852004 KJB851996:KJB852004 JZF851996:JZF852004 JPJ851996:JPJ852004 JFN851996:JFN852004 IVR851996:IVR852004 ILV851996:ILV852004 IBZ851996:IBZ852004 HSD851996:HSD852004 HIH851996:HIH852004 GYL851996:GYL852004 GOP851996:GOP852004 GET851996:GET852004 FUX851996:FUX852004 FLB851996:FLB852004 FBF851996:FBF852004 ERJ851996:ERJ852004 EHN851996:EHN852004 DXR851996:DXR852004 DNV851996:DNV852004 DDZ851996:DDZ852004 CUD851996:CUD852004 CKH851996:CKH852004 CAL851996:CAL852004 BQP851996:BQP852004 BGT851996:BGT852004 AWX851996:AWX852004 ANB851996:ANB852004 ADF851996:ADF852004 TJ851996:TJ852004 JN851996:JN852004 H851996:H852004 WVZ786460:WVZ786468 WMD786460:WMD786468 WCH786460:WCH786468 VSL786460:VSL786468 VIP786460:VIP786468 UYT786460:UYT786468 UOX786460:UOX786468 UFB786460:UFB786468 TVF786460:TVF786468 TLJ786460:TLJ786468 TBN786460:TBN786468 SRR786460:SRR786468 SHV786460:SHV786468 RXZ786460:RXZ786468 ROD786460:ROD786468 REH786460:REH786468 QUL786460:QUL786468 QKP786460:QKP786468 QAT786460:QAT786468 PQX786460:PQX786468 PHB786460:PHB786468 OXF786460:OXF786468 ONJ786460:ONJ786468 ODN786460:ODN786468 NTR786460:NTR786468 NJV786460:NJV786468 MZZ786460:MZZ786468 MQD786460:MQD786468 MGH786460:MGH786468 LWL786460:LWL786468 LMP786460:LMP786468 LCT786460:LCT786468 KSX786460:KSX786468 KJB786460:KJB786468 JZF786460:JZF786468 JPJ786460:JPJ786468 JFN786460:JFN786468 IVR786460:IVR786468 ILV786460:ILV786468 IBZ786460:IBZ786468 HSD786460:HSD786468 HIH786460:HIH786468 GYL786460:GYL786468 GOP786460:GOP786468 GET786460:GET786468 FUX786460:FUX786468 FLB786460:FLB786468 FBF786460:FBF786468 ERJ786460:ERJ786468 EHN786460:EHN786468 DXR786460:DXR786468 DNV786460:DNV786468 DDZ786460:DDZ786468 CUD786460:CUD786468 CKH786460:CKH786468 CAL786460:CAL786468 BQP786460:BQP786468 BGT786460:BGT786468 AWX786460:AWX786468 ANB786460:ANB786468 ADF786460:ADF786468 TJ786460:TJ786468 JN786460:JN786468 H786460:H786468 WVZ720924:WVZ720932 WMD720924:WMD720932 WCH720924:WCH720932 VSL720924:VSL720932 VIP720924:VIP720932 UYT720924:UYT720932 UOX720924:UOX720932 UFB720924:UFB720932 TVF720924:TVF720932 TLJ720924:TLJ720932 TBN720924:TBN720932 SRR720924:SRR720932 SHV720924:SHV720932 RXZ720924:RXZ720932 ROD720924:ROD720932 REH720924:REH720932 QUL720924:QUL720932 QKP720924:QKP720932 QAT720924:QAT720932 PQX720924:PQX720932 PHB720924:PHB720932 OXF720924:OXF720932 ONJ720924:ONJ720932 ODN720924:ODN720932 NTR720924:NTR720932 NJV720924:NJV720932 MZZ720924:MZZ720932 MQD720924:MQD720932 MGH720924:MGH720932 LWL720924:LWL720932 LMP720924:LMP720932 LCT720924:LCT720932 KSX720924:KSX720932 KJB720924:KJB720932 JZF720924:JZF720932 JPJ720924:JPJ720932 JFN720924:JFN720932 IVR720924:IVR720932 ILV720924:ILV720932 IBZ720924:IBZ720932 HSD720924:HSD720932 HIH720924:HIH720932 GYL720924:GYL720932 GOP720924:GOP720932 GET720924:GET720932 FUX720924:FUX720932 FLB720924:FLB720932 FBF720924:FBF720932 ERJ720924:ERJ720932 EHN720924:EHN720932 DXR720924:DXR720932 DNV720924:DNV720932 DDZ720924:DDZ720932 CUD720924:CUD720932 CKH720924:CKH720932 CAL720924:CAL720932 BQP720924:BQP720932 BGT720924:BGT720932 AWX720924:AWX720932 ANB720924:ANB720932 ADF720924:ADF720932 TJ720924:TJ720932 JN720924:JN720932 H720924:H720932 WVZ655388:WVZ655396 WMD655388:WMD655396 WCH655388:WCH655396 VSL655388:VSL655396 VIP655388:VIP655396 UYT655388:UYT655396 UOX655388:UOX655396 UFB655388:UFB655396 TVF655388:TVF655396 TLJ655388:TLJ655396 TBN655388:TBN655396 SRR655388:SRR655396 SHV655388:SHV655396 RXZ655388:RXZ655396 ROD655388:ROD655396 REH655388:REH655396 QUL655388:QUL655396 QKP655388:QKP655396 QAT655388:QAT655396 PQX655388:PQX655396 PHB655388:PHB655396 OXF655388:OXF655396 ONJ655388:ONJ655396 ODN655388:ODN655396 NTR655388:NTR655396 NJV655388:NJV655396 MZZ655388:MZZ655396 MQD655388:MQD655396 MGH655388:MGH655396 LWL655388:LWL655396 LMP655388:LMP655396 LCT655388:LCT655396 KSX655388:KSX655396 KJB655388:KJB655396 JZF655388:JZF655396 JPJ655388:JPJ655396 JFN655388:JFN655396 IVR655388:IVR655396 ILV655388:ILV655396 IBZ655388:IBZ655396 HSD655388:HSD655396 HIH655388:HIH655396 GYL655388:GYL655396 GOP655388:GOP655396 GET655388:GET655396 FUX655388:FUX655396 FLB655388:FLB655396 FBF655388:FBF655396 ERJ655388:ERJ655396 EHN655388:EHN655396 DXR655388:DXR655396 DNV655388:DNV655396 DDZ655388:DDZ655396 CUD655388:CUD655396 CKH655388:CKH655396 CAL655388:CAL655396 BQP655388:BQP655396 BGT655388:BGT655396 AWX655388:AWX655396 ANB655388:ANB655396 ADF655388:ADF655396 TJ655388:TJ655396 JN655388:JN655396 H655388:H655396 WVZ589852:WVZ589860 WMD589852:WMD589860 WCH589852:WCH589860 VSL589852:VSL589860 VIP589852:VIP589860 UYT589852:UYT589860 UOX589852:UOX589860 UFB589852:UFB589860 TVF589852:TVF589860 TLJ589852:TLJ589860 TBN589852:TBN589860 SRR589852:SRR589860 SHV589852:SHV589860 RXZ589852:RXZ589860 ROD589852:ROD589860 REH589852:REH589860 QUL589852:QUL589860 QKP589852:QKP589860 QAT589852:QAT589860 PQX589852:PQX589860 PHB589852:PHB589860 OXF589852:OXF589860 ONJ589852:ONJ589860 ODN589852:ODN589860 NTR589852:NTR589860 NJV589852:NJV589860 MZZ589852:MZZ589860 MQD589852:MQD589860 MGH589852:MGH589860 LWL589852:LWL589860 LMP589852:LMP589860 LCT589852:LCT589860 KSX589852:KSX589860 KJB589852:KJB589860 JZF589852:JZF589860 JPJ589852:JPJ589860 JFN589852:JFN589860 IVR589852:IVR589860 ILV589852:ILV589860 IBZ589852:IBZ589860 HSD589852:HSD589860 HIH589852:HIH589860 GYL589852:GYL589860 GOP589852:GOP589860 GET589852:GET589860 FUX589852:FUX589860 FLB589852:FLB589860 FBF589852:FBF589860 ERJ589852:ERJ589860 EHN589852:EHN589860 DXR589852:DXR589860 DNV589852:DNV589860 DDZ589852:DDZ589860 CUD589852:CUD589860 CKH589852:CKH589860 CAL589852:CAL589860 BQP589852:BQP589860 BGT589852:BGT589860 AWX589852:AWX589860 ANB589852:ANB589860 ADF589852:ADF589860 TJ589852:TJ589860 JN589852:JN589860 H589852:H589860 WVZ524316:WVZ524324 WMD524316:WMD524324 WCH524316:WCH524324 VSL524316:VSL524324 VIP524316:VIP524324 UYT524316:UYT524324 UOX524316:UOX524324 UFB524316:UFB524324 TVF524316:TVF524324 TLJ524316:TLJ524324 TBN524316:TBN524324 SRR524316:SRR524324 SHV524316:SHV524324 RXZ524316:RXZ524324 ROD524316:ROD524324 REH524316:REH524324 QUL524316:QUL524324 QKP524316:QKP524324 QAT524316:QAT524324 PQX524316:PQX524324 PHB524316:PHB524324 OXF524316:OXF524324 ONJ524316:ONJ524324 ODN524316:ODN524324 NTR524316:NTR524324 NJV524316:NJV524324 MZZ524316:MZZ524324 MQD524316:MQD524324 MGH524316:MGH524324 LWL524316:LWL524324 LMP524316:LMP524324 LCT524316:LCT524324 KSX524316:KSX524324 KJB524316:KJB524324 JZF524316:JZF524324 JPJ524316:JPJ524324 JFN524316:JFN524324 IVR524316:IVR524324 ILV524316:ILV524324 IBZ524316:IBZ524324 HSD524316:HSD524324 HIH524316:HIH524324 GYL524316:GYL524324 GOP524316:GOP524324 GET524316:GET524324 FUX524316:FUX524324 FLB524316:FLB524324 FBF524316:FBF524324 ERJ524316:ERJ524324 EHN524316:EHN524324 DXR524316:DXR524324 DNV524316:DNV524324 DDZ524316:DDZ524324 CUD524316:CUD524324 CKH524316:CKH524324 CAL524316:CAL524324 BQP524316:BQP524324 BGT524316:BGT524324 AWX524316:AWX524324 ANB524316:ANB524324 ADF524316:ADF524324 TJ524316:TJ524324 JN524316:JN524324 H524316:H524324 WVZ458780:WVZ458788 WMD458780:WMD458788 WCH458780:WCH458788 VSL458780:VSL458788 VIP458780:VIP458788 UYT458780:UYT458788 UOX458780:UOX458788 UFB458780:UFB458788 TVF458780:TVF458788 TLJ458780:TLJ458788 TBN458780:TBN458788 SRR458780:SRR458788 SHV458780:SHV458788 RXZ458780:RXZ458788 ROD458780:ROD458788 REH458780:REH458788 QUL458780:QUL458788 QKP458780:QKP458788 QAT458780:QAT458788 PQX458780:PQX458788 PHB458780:PHB458788 OXF458780:OXF458788 ONJ458780:ONJ458788 ODN458780:ODN458788 NTR458780:NTR458788 NJV458780:NJV458788 MZZ458780:MZZ458788 MQD458780:MQD458788 MGH458780:MGH458788 LWL458780:LWL458788 LMP458780:LMP458788 LCT458780:LCT458788 KSX458780:KSX458788 KJB458780:KJB458788 JZF458780:JZF458788 JPJ458780:JPJ458788 JFN458780:JFN458788 IVR458780:IVR458788 ILV458780:ILV458788 IBZ458780:IBZ458788 HSD458780:HSD458788 HIH458780:HIH458788 GYL458780:GYL458788 GOP458780:GOP458788 GET458780:GET458788 FUX458780:FUX458788 FLB458780:FLB458788 FBF458780:FBF458788 ERJ458780:ERJ458788 EHN458780:EHN458788 DXR458780:DXR458788 DNV458780:DNV458788 DDZ458780:DDZ458788 CUD458780:CUD458788 CKH458780:CKH458788 CAL458780:CAL458788 BQP458780:BQP458788 BGT458780:BGT458788 AWX458780:AWX458788 ANB458780:ANB458788 ADF458780:ADF458788 TJ458780:TJ458788 JN458780:JN458788 H458780:H458788 WVZ393244:WVZ393252 WMD393244:WMD393252 WCH393244:WCH393252 VSL393244:VSL393252 VIP393244:VIP393252 UYT393244:UYT393252 UOX393244:UOX393252 UFB393244:UFB393252 TVF393244:TVF393252 TLJ393244:TLJ393252 TBN393244:TBN393252 SRR393244:SRR393252 SHV393244:SHV393252 RXZ393244:RXZ393252 ROD393244:ROD393252 REH393244:REH393252 QUL393244:QUL393252 QKP393244:QKP393252 QAT393244:QAT393252 PQX393244:PQX393252 PHB393244:PHB393252 OXF393244:OXF393252 ONJ393244:ONJ393252 ODN393244:ODN393252 NTR393244:NTR393252 NJV393244:NJV393252 MZZ393244:MZZ393252 MQD393244:MQD393252 MGH393244:MGH393252 LWL393244:LWL393252 LMP393244:LMP393252 LCT393244:LCT393252 KSX393244:KSX393252 KJB393244:KJB393252 JZF393244:JZF393252 JPJ393244:JPJ393252 JFN393244:JFN393252 IVR393244:IVR393252 ILV393244:ILV393252 IBZ393244:IBZ393252 HSD393244:HSD393252 HIH393244:HIH393252 GYL393244:GYL393252 GOP393244:GOP393252 GET393244:GET393252 FUX393244:FUX393252 FLB393244:FLB393252 FBF393244:FBF393252 ERJ393244:ERJ393252 EHN393244:EHN393252 DXR393244:DXR393252 DNV393244:DNV393252 DDZ393244:DDZ393252 CUD393244:CUD393252 CKH393244:CKH393252 CAL393244:CAL393252 BQP393244:BQP393252 BGT393244:BGT393252 AWX393244:AWX393252 ANB393244:ANB393252 ADF393244:ADF393252 TJ393244:TJ393252 JN393244:JN393252 H393244:H393252 WVZ327708:WVZ327716 WMD327708:WMD327716 WCH327708:WCH327716 VSL327708:VSL327716 VIP327708:VIP327716 UYT327708:UYT327716 UOX327708:UOX327716 UFB327708:UFB327716 TVF327708:TVF327716 TLJ327708:TLJ327716 TBN327708:TBN327716 SRR327708:SRR327716 SHV327708:SHV327716 RXZ327708:RXZ327716 ROD327708:ROD327716 REH327708:REH327716 QUL327708:QUL327716 QKP327708:QKP327716 QAT327708:QAT327716 PQX327708:PQX327716 PHB327708:PHB327716 OXF327708:OXF327716 ONJ327708:ONJ327716 ODN327708:ODN327716 NTR327708:NTR327716 NJV327708:NJV327716 MZZ327708:MZZ327716 MQD327708:MQD327716 MGH327708:MGH327716 LWL327708:LWL327716 LMP327708:LMP327716 LCT327708:LCT327716 KSX327708:KSX327716 KJB327708:KJB327716 JZF327708:JZF327716 JPJ327708:JPJ327716 JFN327708:JFN327716 IVR327708:IVR327716 ILV327708:ILV327716 IBZ327708:IBZ327716 HSD327708:HSD327716 HIH327708:HIH327716 GYL327708:GYL327716 GOP327708:GOP327716 GET327708:GET327716 FUX327708:FUX327716 FLB327708:FLB327716 FBF327708:FBF327716 ERJ327708:ERJ327716 EHN327708:EHN327716 DXR327708:DXR327716 DNV327708:DNV327716 DDZ327708:DDZ327716 CUD327708:CUD327716 CKH327708:CKH327716 CAL327708:CAL327716 BQP327708:BQP327716 BGT327708:BGT327716 AWX327708:AWX327716 ANB327708:ANB327716 ADF327708:ADF327716 TJ327708:TJ327716 JN327708:JN327716 H327708:H327716 WVZ262172:WVZ262180 WMD262172:WMD262180 WCH262172:WCH262180 VSL262172:VSL262180 VIP262172:VIP262180 UYT262172:UYT262180 UOX262172:UOX262180 UFB262172:UFB262180 TVF262172:TVF262180 TLJ262172:TLJ262180 TBN262172:TBN262180 SRR262172:SRR262180 SHV262172:SHV262180 RXZ262172:RXZ262180 ROD262172:ROD262180 REH262172:REH262180 QUL262172:QUL262180 QKP262172:QKP262180 QAT262172:QAT262180 PQX262172:PQX262180 PHB262172:PHB262180 OXF262172:OXF262180 ONJ262172:ONJ262180 ODN262172:ODN262180 NTR262172:NTR262180 NJV262172:NJV262180 MZZ262172:MZZ262180 MQD262172:MQD262180 MGH262172:MGH262180 LWL262172:LWL262180 LMP262172:LMP262180 LCT262172:LCT262180 KSX262172:KSX262180 KJB262172:KJB262180 JZF262172:JZF262180 JPJ262172:JPJ262180 JFN262172:JFN262180 IVR262172:IVR262180 ILV262172:ILV262180 IBZ262172:IBZ262180 HSD262172:HSD262180 HIH262172:HIH262180 GYL262172:GYL262180 GOP262172:GOP262180 GET262172:GET262180 FUX262172:FUX262180 FLB262172:FLB262180 FBF262172:FBF262180 ERJ262172:ERJ262180 EHN262172:EHN262180 DXR262172:DXR262180 DNV262172:DNV262180 DDZ262172:DDZ262180 CUD262172:CUD262180 CKH262172:CKH262180 CAL262172:CAL262180 BQP262172:BQP262180 BGT262172:BGT262180 AWX262172:AWX262180 ANB262172:ANB262180 ADF262172:ADF262180 TJ262172:TJ262180 JN262172:JN262180 H262172:H262180 WVZ196636:WVZ196644 WMD196636:WMD196644 WCH196636:WCH196644 VSL196636:VSL196644 VIP196636:VIP196644 UYT196636:UYT196644 UOX196636:UOX196644 UFB196636:UFB196644 TVF196636:TVF196644 TLJ196636:TLJ196644 TBN196636:TBN196644 SRR196636:SRR196644 SHV196636:SHV196644 RXZ196636:RXZ196644 ROD196636:ROD196644 REH196636:REH196644 QUL196636:QUL196644 QKP196636:QKP196644 QAT196636:QAT196644 PQX196636:PQX196644 PHB196636:PHB196644 OXF196636:OXF196644 ONJ196636:ONJ196644 ODN196636:ODN196644 NTR196636:NTR196644 NJV196636:NJV196644 MZZ196636:MZZ196644 MQD196636:MQD196644 MGH196636:MGH196644 LWL196636:LWL196644 LMP196636:LMP196644 LCT196636:LCT196644 KSX196636:KSX196644 KJB196636:KJB196644 JZF196636:JZF196644 JPJ196636:JPJ196644 JFN196636:JFN196644 IVR196636:IVR196644 ILV196636:ILV196644 IBZ196636:IBZ196644 HSD196636:HSD196644 HIH196636:HIH196644 GYL196636:GYL196644 GOP196636:GOP196644 GET196636:GET196644 FUX196636:FUX196644 FLB196636:FLB196644 FBF196636:FBF196644 ERJ196636:ERJ196644 EHN196636:EHN196644 DXR196636:DXR196644 DNV196636:DNV196644 DDZ196636:DDZ196644 CUD196636:CUD196644 CKH196636:CKH196644 CAL196636:CAL196644 BQP196636:BQP196644 BGT196636:BGT196644 AWX196636:AWX196644 ANB196636:ANB196644 ADF196636:ADF196644 TJ196636:TJ196644 JN196636:JN196644 H196636:H196644 WVZ131100:WVZ131108 WMD131100:WMD131108 WCH131100:WCH131108 VSL131100:VSL131108 VIP131100:VIP131108 UYT131100:UYT131108 UOX131100:UOX131108 UFB131100:UFB131108 TVF131100:TVF131108 TLJ131100:TLJ131108 TBN131100:TBN131108 SRR131100:SRR131108 SHV131100:SHV131108 RXZ131100:RXZ131108 ROD131100:ROD131108 REH131100:REH131108 QUL131100:QUL131108 QKP131100:QKP131108 QAT131100:QAT131108 PQX131100:PQX131108 PHB131100:PHB131108 OXF131100:OXF131108 ONJ131100:ONJ131108 ODN131100:ODN131108 NTR131100:NTR131108 NJV131100:NJV131108 MZZ131100:MZZ131108 MQD131100:MQD131108 MGH131100:MGH131108 LWL131100:LWL131108 LMP131100:LMP131108 LCT131100:LCT131108 KSX131100:KSX131108 KJB131100:KJB131108 JZF131100:JZF131108 JPJ131100:JPJ131108 JFN131100:JFN131108 IVR131100:IVR131108 ILV131100:ILV131108 IBZ131100:IBZ131108 HSD131100:HSD131108 HIH131100:HIH131108 GYL131100:GYL131108 GOP131100:GOP131108 GET131100:GET131108 FUX131100:FUX131108 FLB131100:FLB131108 FBF131100:FBF131108 ERJ131100:ERJ131108 EHN131100:EHN131108 DXR131100:DXR131108 DNV131100:DNV131108 DDZ131100:DDZ131108 CUD131100:CUD131108 CKH131100:CKH131108 CAL131100:CAL131108 BQP131100:BQP131108 BGT131100:BGT131108 AWX131100:AWX131108 ANB131100:ANB131108 ADF131100:ADF131108 TJ131100:TJ131108 JN131100:JN131108 H131100:H131108 WVZ65564:WVZ65572 WMD65564:WMD65572 WCH65564:WCH65572 VSL65564:VSL65572 VIP65564:VIP65572 UYT65564:UYT65572 UOX65564:UOX65572 UFB65564:UFB65572 TVF65564:TVF65572 TLJ65564:TLJ65572 TBN65564:TBN65572 SRR65564:SRR65572 SHV65564:SHV65572 RXZ65564:RXZ65572 ROD65564:ROD65572 REH65564:REH65572 QUL65564:QUL65572 QKP65564:QKP65572 QAT65564:QAT65572 PQX65564:PQX65572 PHB65564:PHB65572 OXF65564:OXF65572 ONJ65564:ONJ65572 ODN65564:ODN65572 NTR65564:NTR65572 NJV65564:NJV65572 MZZ65564:MZZ65572 MQD65564:MQD65572 MGH65564:MGH65572 LWL65564:LWL65572 LMP65564:LMP65572 LCT65564:LCT65572 KSX65564:KSX65572 KJB65564:KJB65572 JZF65564:JZF65572 JPJ65564:JPJ65572 JFN65564:JFN65572 IVR65564:IVR65572 ILV65564:ILV65572 IBZ65564:IBZ65572 HSD65564:HSD65572 HIH65564:HIH65572 GYL65564:GYL65572 GOP65564:GOP65572 GET65564:GET65572 FUX65564:FUX65572 FLB65564:FLB65572 FBF65564:FBF65572 ERJ65564:ERJ65572 EHN65564:EHN65572 DXR65564:DXR65572 DNV65564:DNV65572 DDZ65564:DDZ65572 CUD65564:CUD65572 CKH65564:CKH65572 CAL65564:CAL65572 BQP65564:BQP65572 BGT65564:BGT65572 AWX65564:AWX65572 ANB65564:ANB65572 ADF65564:ADF65572 TJ65564:TJ65572 JN65564:JN65572 H65564:H65572 WVZ28:WVZ36 WMD28:WMD36 WCH28:WCH36 VSL28:VSL36 VIP28:VIP36 UYT28:UYT36 UOX28:UOX36 UFB28:UFB36 TVF28:TVF36 TLJ28:TLJ36 TBN28:TBN36 SRR28:SRR36 SHV28:SHV36 RXZ28:RXZ36 ROD28:ROD36 REH28:REH36 QUL28:QUL36 QKP28:QKP36 QAT28:QAT36 PQX28:PQX36 PHB28:PHB36 OXF28:OXF36 ONJ28:ONJ36 ODN28:ODN36 NTR28:NTR36 NJV28:NJV36 MZZ28:MZZ36 MQD28:MQD36 MGH28:MGH36 LWL28:LWL36 LMP28:LMP36 LCT28:LCT36 KSX28:KSX36 KJB28:KJB36 JZF28:JZF36 JPJ28:JPJ36 JFN28:JFN36 IVR28:IVR36 ILV28:ILV36 IBZ28:IBZ36 HSD28:HSD36 HIH28:HIH36 GYL28:GYL36 GOP28:GOP36 GET28:GET36 FUX28:FUX36 FLB28:FLB36 FBF28:FBF36 ERJ28:ERJ36 EHN28:EHN36 DXR28:DXR36 DNV28:DNV36 DDZ28:DDZ36 CUD28:CUD36 CKH28:CKH36 CAL28:CAL36 BQP28:BQP36 BGT28:BGT36 AWX28:AWX36 ANB28:ANB36 ADF28:ADF36 TJ28:TJ36 WVZ983068:WVZ983076">
      <formula1>$CE$9:$CE$37</formula1>
    </dataValidation>
    <dataValidation type="list" allowBlank="1" showInputMessage="1" showErrorMessage="1" sqref="WWA983068:WWA983076 TK28:TK36 ADG28:ADG36 ANC28:ANC36 AWY28:AWY36 BGU28:BGU36 BQQ28:BQQ36 CAM28:CAM36 CKI28:CKI36 CUE28:CUE36 DEA28:DEA36 DNW28:DNW36 DXS28:DXS36 EHO28:EHO36 ERK28:ERK36 FBG28:FBG36 FLC28:FLC36 FUY28:FUY36 GEU28:GEU36 GOQ28:GOQ36 GYM28:GYM36 HII28:HII36 HSE28:HSE36 ICA28:ICA36 ILW28:ILW36 IVS28:IVS36 JFO28:JFO36 JPK28:JPK36 JZG28:JZG36 KJC28:KJC36 KSY28:KSY36 LCU28:LCU36 LMQ28:LMQ36 LWM28:LWM36 MGI28:MGI36 MQE28:MQE36 NAA28:NAA36 NJW28:NJW36 NTS28:NTS36 ODO28:ODO36 ONK28:ONK36 OXG28:OXG36 PHC28:PHC36 PQY28:PQY36 QAU28:QAU36 QKQ28:QKQ36 QUM28:QUM36 REI28:REI36 ROE28:ROE36 RYA28:RYA36 SHW28:SHW36 SRS28:SRS36 TBO28:TBO36 TLK28:TLK36 TVG28:TVG36 UFC28:UFC36 UOY28:UOY36 UYU28:UYU36 VIQ28:VIQ36 VSM28:VSM36 WCI28:WCI36 WME28:WME36 WWA28:WWA36 I65564:I65572 JO65564:JO65572 TK65564:TK65572 ADG65564:ADG65572 ANC65564:ANC65572 AWY65564:AWY65572 BGU65564:BGU65572 BQQ65564:BQQ65572 CAM65564:CAM65572 CKI65564:CKI65572 CUE65564:CUE65572 DEA65564:DEA65572 DNW65564:DNW65572 DXS65564:DXS65572 EHO65564:EHO65572 ERK65564:ERK65572 FBG65564:FBG65572 FLC65564:FLC65572 FUY65564:FUY65572 GEU65564:GEU65572 GOQ65564:GOQ65572 GYM65564:GYM65572 HII65564:HII65572 HSE65564:HSE65572 ICA65564:ICA65572 ILW65564:ILW65572 IVS65564:IVS65572 JFO65564:JFO65572 JPK65564:JPK65572 JZG65564:JZG65572 KJC65564:KJC65572 KSY65564:KSY65572 LCU65564:LCU65572 LMQ65564:LMQ65572 LWM65564:LWM65572 MGI65564:MGI65572 MQE65564:MQE65572 NAA65564:NAA65572 NJW65564:NJW65572 NTS65564:NTS65572 ODO65564:ODO65572 ONK65564:ONK65572 OXG65564:OXG65572 PHC65564:PHC65572 PQY65564:PQY65572 QAU65564:QAU65572 QKQ65564:QKQ65572 QUM65564:QUM65572 REI65564:REI65572 ROE65564:ROE65572 RYA65564:RYA65572 SHW65564:SHW65572 SRS65564:SRS65572 TBO65564:TBO65572 TLK65564:TLK65572 TVG65564:TVG65572 UFC65564:UFC65572 UOY65564:UOY65572 UYU65564:UYU65572 VIQ65564:VIQ65572 VSM65564:VSM65572 WCI65564:WCI65572 WME65564:WME65572 WWA65564:WWA65572 I131100:I131108 JO131100:JO131108 TK131100:TK131108 ADG131100:ADG131108 ANC131100:ANC131108 AWY131100:AWY131108 BGU131100:BGU131108 BQQ131100:BQQ131108 CAM131100:CAM131108 CKI131100:CKI131108 CUE131100:CUE131108 DEA131100:DEA131108 DNW131100:DNW131108 DXS131100:DXS131108 EHO131100:EHO131108 ERK131100:ERK131108 FBG131100:FBG131108 FLC131100:FLC131108 FUY131100:FUY131108 GEU131100:GEU131108 GOQ131100:GOQ131108 GYM131100:GYM131108 HII131100:HII131108 HSE131100:HSE131108 ICA131100:ICA131108 ILW131100:ILW131108 IVS131100:IVS131108 JFO131100:JFO131108 JPK131100:JPK131108 JZG131100:JZG131108 KJC131100:KJC131108 KSY131100:KSY131108 LCU131100:LCU131108 LMQ131100:LMQ131108 LWM131100:LWM131108 MGI131100:MGI131108 MQE131100:MQE131108 NAA131100:NAA131108 NJW131100:NJW131108 NTS131100:NTS131108 ODO131100:ODO131108 ONK131100:ONK131108 OXG131100:OXG131108 PHC131100:PHC131108 PQY131100:PQY131108 QAU131100:QAU131108 QKQ131100:QKQ131108 QUM131100:QUM131108 REI131100:REI131108 ROE131100:ROE131108 RYA131100:RYA131108 SHW131100:SHW131108 SRS131100:SRS131108 TBO131100:TBO131108 TLK131100:TLK131108 TVG131100:TVG131108 UFC131100:UFC131108 UOY131100:UOY131108 UYU131100:UYU131108 VIQ131100:VIQ131108 VSM131100:VSM131108 WCI131100:WCI131108 WME131100:WME131108 WWA131100:WWA131108 I196636:I196644 JO196636:JO196644 TK196636:TK196644 ADG196636:ADG196644 ANC196636:ANC196644 AWY196636:AWY196644 BGU196636:BGU196644 BQQ196636:BQQ196644 CAM196636:CAM196644 CKI196636:CKI196644 CUE196636:CUE196644 DEA196636:DEA196644 DNW196636:DNW196644 DXS196636:DXS196644 EHO196636:EHO196644 ERK196636:ERK196644 FBG196636:FBG196644 FLC196636:FLC196644 FUY196636:FUY196644 GEU196636:GEU196644 GOQ196636:GOQ196644 GYM196636:GYM196644 HII196636:HII196644 HSE196636:HSE196644 ICA196636:ICA196644 ILW196636:ILW196644 IVS196636:IVS196644 JFO196636:JFO196644 JPK196636:JPK196644 JZG196636:JZG196644 KJC196636:KJC196644 KSY196636:KSY196644 LCU196636:LCU196644 LMQ196636:LMQ196644 LWM196636:LWM196644 MGI196636:MGI196644 MQE196636:MQE196644 NAA196636:NAA196644 NJW196636:NJW196644 NTS196636:NTS196644 ODO196636:ODO196644 ONK196636:ONK196644 OXG196636:OXG196644 PHC196636:PHC196644 PQY196636:PQY196644 QAU196636:QAU196644 QKQ196636:QKQ196644 QUM196636:QUM196644 REI196636:REI196644 ROE196636:ROE196644 RYA196636:RYA196644 SHW196636:SHW196644 SRS196636:SRS196644 TBO196636:TBO196644 TLK196636:TLK196644 TVG196636:TVG196644 UFC196636:UFC196644 UOY196636:UOY196644 UYU196636:UYU196644 VIQ196636:VIQ196644 VSM196636:VSM196644 WCI196636:WCI196644 WME196636:WME196644 WWA196636:WWA196644 I262172:I262180 JO262172:JO262180 TK262172:TK262180 ADG262172:ADG262180 ANC262172:ANC262180 AWY262172:AWY262180 BGU262172:BGU262180 BQQ262172:BQQ262180 CAM262172:CAM262180 CKI262172:CKI262180 CUE262172:CUE262180 DEA262172:DEA262180 DNW262172:DNW262180 DXS262172:DXS262180 EHO262172:EHO262180 ERK262172:ERK262180 FBG262172:FBG262180 FLC262172:FLC262180 FUY262172:FUY262180 GEU262172:GEU262180 GOQ262172:GOQ262180 GYM262172:GYM262180 HII262172:HII262180 HSE262172:HSE262180 ICA262172:ICA262180 ILW262172:ILW262180 IVS262172:IVS262180 JFO262172:JFO262180 JPK262172:JPK262180 JZG262172:JZG262180 KJC262172:KJC262180 KSY262172:KSY262180 LCU262172:LCU262180 LMQ262172:LMQ262180 LWM262172:LWM262180 MGI262172:MGI262180 MQE262172:MQE262180 NAA262172:NAA262180 NJW262172:NJW262180 NTS262172:NTS262180 ODO262172:ODO262180 ONK262172:ONK262180 OXG262172:OXG262180 PHC262172:PHC262180 PQY262172:PQY262180 QAU262172:QAU262180 QKQ262172:QKQ262180 QUM262172:QUM262180 REI262172:REI262180 ROE262172:ROE262180 RYA262172:RYA262180 SHW262172:SHW262180 SRS262172:SRS262180 TBO262172:TBO262180 TLK262172:TLK262180 TVG262172:TVG262180 UFC262172:UFC262180 UOY262172:UOY262180 UYU262172:UYU262180 VIQ262172:VIQ262180 VSM262172:VSM262180 WCI262172:WCI262180 WME262172:WME262180 WWA262172:WWA262180 I327708:I327716 JO327708:JO327716 TK327708:TK327716 ADG327708:ADG327716 ANC327708:ANC327716 AWY327708:AWY327716 BGU327708:BGU327716 BQQ327708:BQQ327716 CAM327708:CAM327716 CKI327708:CKI327716 CUE327708:CUE327716 DEA327708:DEA327716 DNW327708:DNW327716 DXS327708:DXS327716 EHO327708:EHO327716 ERK327708:ERK327716 FBG327708:FBG327716 FLC327708:FLC327716 FUY327708:FUY327716 GEU327708:GEU327716 GOQ327708:GOQ327716 GYM327708:GYM327716 HII327708:HII327716 HSE327708:HSE327716 ICA327708:ICA327716 ILW327708:ILW327716 IVS327708:IVS327716 JFO327708:JFO327716 JPK327708:JPK327716 JZG327708:JZG327716 KJC327708:KJC327716 KSY327708:KSY327716 LCU327708:LCU327716 LMQ327708:LMQ327716 LWM327708:LWM327716 MGI327708:MGI327716 MQE327708:MQE327716 NAA327708:NAA327716 NJW327708:NJW327716 NTS327708:NTS327716 ODO327708:ODO327716 ONK327708:ONK327716 OXG327708:OXG327716 PHC327708:PHC327716 PQY327708:PQY327716 QAU327708:QAU327716 QKQ327708:QKQ327716 QUM327708:QUM327716 REI327708:REI327716 ROE327708:ROE327716 RYA327708:RYA327716 SHW327708:SHW327716 SRS327708:SRS327716 TBO327708:TBO327716 TLK327708:TLK327716 TVG327708:TVG327716 UFC327708:UFC327716 UOY327708:UOY327716 UYU327708:UYU327716 VIQ327708:VIQ327716 VSM327708:VSM327716 WCI327708:WCI327716 WME327708:WME327716 WWA327708:WWA327716 I393244:I393252 JO393244:JO393252 TK393244:TK393252 ADG393244:ADG393252 ANC393244:ANC393252 AWY393244:AWY393252 BGU393244:BGU393252 BQQ393244:BQQ393252 CAM393244:CAM393252 CKI393244:CKI393252 CUE393244:CUE393252 DEA393244:DEA393252 DNW393244:DNW393252 DXS393244:DXS393252 EHO393244:EHO393252 ERK393244:ERK393252 FBG393244:FBG393252 FLC393244:FLC393252 FUY393244:FUY393252 GEU393244:GEU393252 GOQ393244:GOQ393252 GYM393244:GYM393252 HII393244:HII393252 HSE393244:HSE393252 ICA393244:ICA393252 ILW393244:ILW393252 IVS393244:IVS393252 JFO393244:JFO393252 JPK393244:JPK393252 JZG393244:JZG393252 KJC393244:KJC393252 KSY393244:KSY393252 LCU393244:LCU393252 LMQ393244:LMQ393252 LWM393244:LWM393252 MGI393244:MGI393252 MQE393244:MQE393252 NAA393244:NAA393252 NJW393244:NJW393252 NTS393244:NTS393252 ODO393244:ODO393252 ONK393244:ONK393252 OXG393244:OXG393252 PHC393244:PHC393252 PQY393244:PQY393252 QAU393244:QAU393252 QKQ393244:QKQ393252 QUM393244:QUM393252 REI393244:REI393252 ROE393244:ROE393252 RYA393244:RYA393252 SHW393244:SHW393252 SRS393244:SRS393252 TBO393244:TBO393252 TLK393244:TLK393252 TVG393244:TVG393252 UFC393244:UFC393252 UOY393244:UOY393252 UYU393244:UYU393252 VIQ393244:VIQ393252 VSM393244:VSM393252 WCI393244:WCI393252 WME393244:WME393252 WWA393244:WWA393252 I458780:I458788 JO458780:JO458788 TK458780:TK458788 ADG458780:ADG458788 ANC458780:ANC458788 AWY458780:AWY458788 BGU458780:BGU458788 BQQ458780:BQQ458788 CAM458780:CAM458788 CKI458780:CKI458788 CUE458780:CUE458788 DEA458780:DEA458788 DNW458780:DNW458788 DXS458780:DXS458788 EHO458780:EHO458788 ERK458780:ERK458788 FBG458780:FBG458788 FLC458780:FLC458788 FUY458780:FUY458788 GEU458780:GEU458788 GOQ458780:GOQ458788 GYM458780:GYM458788 HII458780:HII458788 HSE458780:HSE458788 ICA458780:ICA458788 ILW458780:ILW458788 IVS458780:IVS458788 JFO458780:JFO458788 JPK458780:JPK458788 JZG458780:JZG458788 KJC458780:KJC458788 KSY458780:KSY458788 LCU458780:LCU458788 LMQ458780:LMQ458788 LWM458780:LWM458788 MGI458780:MGI458788 MQE458780:MQE458788 NAA458780:NAA458788 NJW458780:NJW458788 NTS458780:NTS458788 ODO458780:ODO458788 ONK458780:ONK458788 OXG458780:OXG458788 PHC458780:PHC458788 PQY458780:PQY458788 QAU458780:QAU458788 QKQ458780:QKQ458788 QUM458780:QUM458788 REI458780:REI458788 ROE458780:ROE458788 RYA458780:RYA458788 SHW458780:SHW458788 SRS458780:SRS458788 TBO458780:TBO458788 TLK458780:TLK458788 TVG458780:TVG458788 UFC458780:UFC458788 UOY458780:UOY458788 UYU458780:UYU458788 VIQ458780:VIQ458788 VSM458780:VSM458788 WCI458780:WCI458788 WME458780:WME458788 WWA458780:WWA458788 I524316:I524324 JO524316:JO524324 TK524316:TK524324 ADG524316:ADG524324 ANC524316:ANC524324 AWY524316:AWY524324 BGU524316:BGU524324 BQQ524316:BQQ524324 CAM524316:CAM524324 CKI524316:CKI524324 CUE524316:CUE524324 DEA524316:DEA524324 DNW524316:DNW524324 DXS524316:DXS524324 EHO524316:EHO524324 ERK524316:ERK524324 FBG524316:FBG524324 FLC524316:FLC524324 FUY524316:FUY524324 GEU524316:GEU524324 GOQ524316:GOQ524324 GYM524316:GYM524324 HII524316:HII524324 HSE524316:HSE524324 ICA524316:ICA524324 ILW524316:ILW524324 IVS524316:IVS524324 JFO524316:JFO524324 JPK524316:JPK524324 JZG524316:JZG524324 KJC524316:KJC524324 KSY524316:KSY524324 LCU524316:LCU524324 LMQ524316:LMQ524324 LWM524316:LWM524324 MGI524316:MGI524324 MQE524316:MQE524324 NAA524316:NAA524324 NJW524316:NJW524324 NTS524316:NTS524324 ODO524316:ODO524324 ONK524316:ONK524324 OXG524316:OXG524324 PHC524316:PHC524324 PQY524316:PQY524324 QAU524316:QAU524324 QKQ524316:QKQ524324 QUM524316:QUM524324 REI524316:REI524324 ROE524316:ROE524324 RYA524316:RYA524324 SHW524316:SHW524324 SRS524316:SRS524324 TBO524316:TBO524324 TLK524316:TLK524324 TVG524316:TVG524324 UFC524316:UFC524324 UOY524316:UOY524324 UYU524316:UYU524324 VIQ524316:VIQ524324 VSM524316:VSM524324 WCI524316:WCI524324 WME524316:WME524324 WWA524316:WWA524324 I589852:I589860 JO589852:JO589860 TK589852:TK589860 ADG589852:ADG589860 ANC589852:ANC589860 AWY589852:AWY589860 BGU589852:BGU589860 BQQ589852:BQQ589860 CAM589852:CAM589860 CKI589852:CKI589860 CUE589852:CUE589860 DEA589852:DEA589860 DNW589852:DNW589860 DXS589852:DXS589860 EHO589852:EHO589860 ERK589852:ERK589860 FBG589852:FBG589860 FLC589852:FLC589860 FUY589852:FUY589860 GEU589852:GEU589860 GOQ589852:GOQ589860 GYM589852:GYM589860 HII589852:HII589860 HSE589852:HSE589860 ICA589852:ICA589860 ILW589852:ILW589860 IVS589852:IVS589860 JFO589852:JFO589860 JPK589852:JPK589860 JZG589852:JZG589860 KJC589852:KJC589860 KSY589852:KSY589860 LCU589852:LCU589860 LMQ589852:LMQ589860 LWM589852:LWM589860 MGI589852:MGI589860 MQE589852:MQE589860 NAA589852:NAA589860 NJW589852:NJW589860 NTS589852:NTS589860 ODO589852:ODO589860 ONK589852:ONK589860 OXG589852:OXG589860 PHC589852:PHC589860 PQY589852:PQY589860 QAU589852:QAU589860 QKQ589852:QKQ589860 QUM589852:QUM589860 REI589852:REI589860 ROE589852:ROE589860 RYA589852:RYA589860 SHW589852:SHW589860 SRS589852:SRS589860 TBO589852:TBO589860 TLK589852:TLK589860 TVG589852:TVG589860 UFC589852:UFC589860 UOY589852:UOY589860 UYU589852:UYU589860 VIQ589852:VIQ589860 VSM589852:VSM589860 WCI589852:WCI589860 WME589852:WME589860 WWA589852:WWA589860 I655388:I655396 JO655388:JO655396 TK655388:TK655396 ADG655388:ADG655396 ANC655388:ANC655396 AWY655388:AWY655396 BGU655388:BGU655396 BQQ655388:BQQ655396 CAM655388:CAM655396 CKI655388:CKI655396 CUE655388:CUE655396 DEA655388:DEA655396 DNW655388:DNW655396 DXS655388:DXS655396 EHO655388:EHO655396 ERK655388:ERK655396 FBG655388:FBG655396 FLC655388:FLC655396 FUY655388:FUY655396 GEU655388:GEU655396 GOQ655388:GOQ655396 GYM655388:GYM655396 HII655388:HII655396 HSE655388:HSE655396 ICA655388:ICA655396 ILW655388:ILW655396 IVS655388:IVS655396 JFO655388:JFO655396 JPK655388:JPK655396 JZG655388:JZG655396 KJC655388:KJC655396 KSY655388:KSY655396 LCU655388:LCU655396 LMQ655388:LMQ655396 LWM655388:LWM655396 MGI655388:MGI655396 MQE655388:MQE655396 NAA655388:NAA655396 NJW655388:NJW655396 NTS655388:NTS655396 ODO655388:ODO655396 ONK655388:ONK655396 OXG655388:OXG655396 PHC655388:PHC655396 PQY655388:PQY655396 QAU655388:QAU655396 QKQ655388:QKQ655396 QUM655388:QUM655396 REI655388:REI655396 ROE655388:ROE655396 RYA655388:RYA655396 SHW655388:SHW655396 SRS655388:SRS655396 TBO655388:TBO655396 TLK655388:TLK655396 TVG655388:TVG655396 UFC655388:UFC655396 UOY655388:UOY655396 UYU655388:UYU655396 VIQ655388:VIQ655396 VSM655388:VSM655396 WCI655388:WCI655396 WME655388:WME655396 WWA655388:WWA655396 I720924:I720932 JO720924:JO720932 TK720924:TK720932 ADG720924:ADG720932 ANC720924:ANC720932 AWY720924:AWY720932 BGU720924:BGU720932 BQQ720924:BQQ720932 CAM720924:CAM720932 CKI720924:CKI720932 CUE720924:CUE720932 DEA720924:DEA720932 DNW720924:DNW720932 DXS720924:DXS720932 EHO720924:EHO720932 ERK720924:ERK720932 FBG720924:FBG720932 FLC720924:FLC720932 FUY720924:FUY720932 GEU720924:GEU720932 GOQ720924:GOQ720932 GYM720924:GYM720932 HII720924:HII720932 HSE720924:HSE720932 ICA720924:ICA720932 ILW720924:ILW720932 IVS720924:IVS720932 JFO720924:JFO720932 JPK720924:JPK720932 JZG720924:JZG720932 KJC720924:KJC720932 KSY720924:KSY720932 LCU720924:LCU720932 LMQ720924:LMQ720932 LWM720924:LWM720932 MGI720924:MGI720932 MQE720924:MQE720932 NAA720924:NAA720932 NJW720924:NJW720932 NTS720924:NTS720932 ODO720924:ODO720932 ONK720924:ONK720932 OXG720924:OXG720932 PHC720924:PHC720932 PQY720924:PQY720932 QAU720924:QAU720932 QKQ720924:QKQ720932 QUM720924:QUM720932 REI720924:REI720932 ROE720924:ROE720932 RYA720924:RYA720932 SHW720924:SHW720932 SRS720924:SRS720932 TBO720924:TBO720932 TLK720924:TLK720932 TVG720924:TVG720932 UFC720924:UFC720932 UOY720924:UOY720932 UYU720924:UYU720932 VIQ720924:VIQ720932 VSM720924:VSM720932 WCI720924:WCI720932 WME720924:WME720932 WWA720924:WWA720932 I786460:I786468 JO786460:JO786468 TK786460:TK786468 ADG786460:ADG786468 ANC786460:ANC786468 AWY786460:AWY786468 BGU786460:BGU786468 BQQ786460:BQQ786468 CAM786460:CAM786468 CKI786460:CKI786468 CUE786460:CUE786468 DEA786460:DEA786468 DNW786460:DNW786468 DXS786460:DXS786468 EHO786460:EHO786468 ERK786460:ERK786468 FBG786460:FBG786468 FLC786460:FLC786468 FUY786460:FUY786468 GEU786460:GEU786468 GOQ786460:GOQ786468 GYM786460:GYM786468 HII786460:HII786468 HSE786460:HSE786468 ICA786460:ICA786468 ILW786460:ILW786468 IVS786460:IVS786468 JFO786460:JFO786468 JPK786460:JPK786468 JZG786460:JZG786468 KJC786460:KJC786468 KSY786460:KSY786468 LCU786460:LCU786468 LMQ786460:LMQ786468 LWM786460:LWM786468 MGI786460:MGI786468 MQE786460:MQE786468 NAA786460:NAA786468 NJW786460:NJW786468 NTS786460:NTS786468 ODO786460:ODO786468 ONK786460:ONK786468 OXG786460:OXG786468 PHC786460:PHC786468 PQY786460:PQY786468 QAU786460:QAU786468 QKQ786460:QKQ786468 QUM786460:QUM786468 REI786460:REI786468 ROE786460:ROE786468 RYA786460:RYA786468 SHW786460:SHW786468 SRS786460:SRS786468 TBO786460:TBO786468 TLK786460:TLK786468 TVG786460:TVG786468 UFC786460:UFC786468 UOY786460:UOY786468 UYU786460:UYU786468 VIQ786460:VIQ786468 VSM786460:VSM786468 WCI786460:WCI786468 WME786460:WME786468 WWA786460:WWA786468 I851996:I852004 JO851996:JO852004 TK851996:TK852004 ADG851996:ADG852004 ANC851996:ANC852004 AWY851996:AWY852004 BGU851996:BGU852004 BQQ851996:BQQ852004 CAM851996:CAM852004 CKI851996:CKI852004 CUE851996:CUE852004 DEA851996:DEA852004 DNW851996:DNW852004 DXS851996:DXS852004 EHO851996:EHO852004 ERK851996:ERK852004 FBG851996:FBG852004 FLC851996:FLC852004 FUY851996:FUY852004 GEU851996:GEU852004 GOQ851996:GOQ852004 GYM851996:GYM852004 HII851996:HII852004 HSE851996:HSE852004 ICA851996:ICA852004 ILW851996:ILW852004 IVS851996:IVS852004 JFO851996:JFO852004 JPK851996:JPK852004 JZG851996:JZG852004 KJC851996:KJC852004 KSY851996:KSY852004 LCU851996:LCU852004 LMQ851996:LMQ852004 LWM851996:LWM852004 MGI851996:MGI852004 MQE851996:MQE852004 NAA851996:NAA852004 NJW851996:NJW852004 NTS851996:NTS852004 ODO851996:ODO852004 ONK851996:ONK852004 OXG851996:OXG852004 PHC851996:PHC852004 PQY851996:PQY852004 QAU851996:QAU852004 QKQ851996:QKQ852004 QUM851996:QUM852004 REI851996:REI852004 ROE851996:ROE852004 RYA851996:RYA852004 SHW851996:SHW852004 SRS851996:SRS852004 TBO851996:TBO852004 TLK851996:TLK852004 TVG851996:TVG852004 UFC851996:UFC852004 UOY851996:UOY852004 UYU851996:UYU852004 VIQ851996:VIQ852004 VSM851996:VSM852004 WCI851996:WCI852004 WME851996:WME852004 WWA851996:WWA852004 I917532:I917540 JO917532:JO917540 TK917532:TK917540 ADG917532:ADG917540 ANC917532:ANC917540 AWY917532:AWY917540 BGU917532:BGU917540 BQQ917532:BQQ917540 CAM917532:CAM917540 CKI917532:CKI917540 CUE917532:CUE917540 DEA917532:DEA917540 DNW917532:DNW917540 DXS917532:DXS917540 EHO917532:EHO917540 ERK917532:ERK917540 FBG917532:FBG917540 FLC917532:FLC917540 FUY917532:FUY917540 GEU917532:GEU917540 GOQ917532:GOQ917540 GYM917532:GYM917540 HII917532:HII917540 HSE917532:HSE917540 ICA917532:ICA917540 ILW917532:ILW917540 IVS917532:IVS917540 JFO917532:JFO917540 JPK917532:JPK917540 JZG917532:JZG917540 KJC917532:KJC917540 KSY917532:KSY917540 LCU917532:LCU917540 LMQ917532:LMQ917540 LWM917532:LWM917540 MGI917532:MGI917540 MQE917532:MQE917540 NAA917532:NAA917540 NJW917532:NJW917540 NTS917532:NTS917540 ODO917532:ODO917540 ONK917532:ONK917540 OXG917532:OXG917540 PHC917532:PHC917540 PQY917532:PQY917540 QAU917532:QAU917540 QKQ917532:QKQ917540 QUM917532:QUM917540 REI917532:REI917540 ROE917532:ROE917540 RYA917532:RYA917540 SHW917532:SHW917540 SRS917532:SRS917540 TBO917532:TBO917540 TLK917532:TLK917540 TVG917532:TVG917540 UFC917532:UFC917540 UOY917532:UOY917540 UYU917532:UYU917540 VIQ917532:VIQ917540 VSM917532:VSM917540 WCI917532:WCI917540 WME917532:WME917540 WWA917532:WWA917540 I983068:I983076 JO983068:JO983076 TK983068:TK983076 ADG983068:ADG983076 ANC983068:ANC983076 AWY983068:AWY983076 BGU983068:BGU983076 BQQ983068:BQQ983076 CAM983068:CAM983076 CKI983068:CKI983076 CUE983068:CUE983076 DEA983068:DEA983076 DNW983068:DNW983076 DXS983068:DXS983076 EHO983068:EHO983076 ERK983068:ERK983076 FBG983068:FBG983076 FLC983068:FLC983076 FUY983068:FUY983076 GEU983068:GEU983076 GOQ983068:GOQ983076 GYM983068:GYM983076 HII983068:HII983076 HSE983068:HSE983076 ICA983068:ICA983076 ILW983068:ILW983076 IVS983068:IVS983076 JFO983068:JFO983076 JPK983068:JPK983076 JZG983068:JZG983076 KJC983068:KJC983076 KSY983068:KSY983076 LCU983068:LCU983076 LMQ983068:LMQ983076 LWM983068:LWM983076 MGI983068:MGI983076 MQE983068:MQE983076 NAA983068:NAA983076 NJW983068:NJW983076 NTS983068:NTS983076 ODO983068:ODO983076 ONK983068:ONK983076 OXG983068:OXG983076 PHC983068:PHC983076 PQY983068:PQY983076 QAU983068:QAU983076 QKQ983068:QKQ983076 QUM983068:QUM983076 REI983068:REI983076 ROE983068:ROE983076 RYA983068:RYA983076 SHW983068:SHW983076 SRS983068:SRS983076 TBO983068:TBO983076 TLK983068:TLK983076 TVG983068:TVG983076 UFC983068:UFC983076 UOY983068:UOY983076 UYU983068:UYU983076 VIQ983068:VIQ983076 VSM983068:VSM983076 WCI983068:WCI983076 WME983068:WME983076 JO28:JO36">
      <formula1>$CF$9:$CF$21</formula1>
    </dataValidation>
    <dataValidation allowBlank="1" showInputMessage="1" showErrorMessage="1" promptTitle="TAUX DE PRIME " prompt="TAUX DE PRIME " sqref="WVX983067:WVX983077 WMB983067:WMB983077 F983067:F983077 F917531:F917541 F851995:F852005 F786459:F786469 F720923:F720933 F655387:F655397 F589851:F589861 F524315:F524325 F458779:F458789 F393243:F393253 F327707:F327717 F262171:F262181 F196635:F196645 F131099:F131109 F65563:F65573 JL27:JL37 TH27:TH37 ADD27:ADD37 AMZ27:AMZ37 AWV27:AWV37 BGR27:BGR37 BQN27:BQN37 CAJ27:CAJ37 CKF27:CKF37 CUB27:CUB37 DDX27:DDX37 DNT27:DNT37 DXP27:DXP37 EHL27:EHL37 ERH27:ERH37 FBD27:FBD37 FKZ27:FKZ37 FUV27:FUV37 GER27:GER37 GON27:GON37 GYJ27:GYJ37 HIF27:HIF37 HSB27:HSB37 IBX27:IBX37 ILT27:ILT37 IVP27:IVP37 JFL27:JFL37 JPH27:JPH37 JZD27:JZD37 KIZ27:KIZ37 KSV27:KSV37 LCR27:LCR37 LMN27:LMN37 LWJ27:LWJ37 MGF27:MGF37 MQB27:MQB37 MZX27:MZX37 NJT27:NJT37 NTP27:NTP37 ODL27:ODL37 ONH27:ONH37 OXD27:OXD37 PGZ27:PGZ37 PQV27:PQV37 QAR27:QAR37 QKN27:QKN37 QUJ27:QUJ37 REF27:REF37 ROB27:ROB37 RXX27:RXX37 SHT27:SHT37 SRP27:SRP37 TBL27:TBL37 TLH27:TLH37 TVD27:TVD37 UEZ27:UEZ37 UOV27:UOV37 UYR27:UYR37 VIN27:VIN37 VSJ27:VSJ37 WCF27:WCF37 WMB27:WMB37 WVX27:WVX37 JL65563:JL65573 TH65563:TH65573 ADD65563:ADD65573 AMZ65563:AMZ65573 AWV65563:AWV65573 BGR65563:BGR65573 BQN65563:BQN65573 CAJ65563:CAJ65573 CKF65563:CKF65573 CUB65563:CUB65573 DDX65563:DDX65573 DNT65563:DNT65573 DXP65563:DXP65573 EHL65563:EHL65573 ERH65563:ERH65573 FBD65563:FBD65573 FKZ65563:FKZ65573 FUV65563:FUV65573 GER65563:GER65573 GON65563:GON65573 GYJ65563:GYJ65573 HIF65563:HIF65573 HSB65563:HSB65573 IBX65563:IBX65573 ILT65563:ILT65573 IVP65563:IVP65573 JFL65563:JFL65573 JPH65563:JPH65573 JZD65563:JZD65573 KIZ65563:KIZ65573 KSV65563:KSV65573 LCR65563:LCR65573 LMN65563:LMN65573 LWJ65563:LWJ65573 MGF65563:MGF65573 MQB65563:MQB65573 MZX65563:MZX65573 NJT65563:NJT65573 NTP65563:NTP65573 ODL65563:ODL65573 ONH65563:ONH65573 OXD65563:OXD65573 PGZ65563:PGZ65573 PQV65563:PQV65573 QAR65563:QAR65573 QKN65563:QKN65573 QUJ65563:QUJ65573 REF65563:REF65573 ROB65563:ROB65573 RXX65563:RXX65573 SHT65563:SHT65573 SRP65563:SRP65573 TBL65563:TBL65573 TLH65563:TLH65573 TVD65563:TVD65573 UEZ65563:UEZ65573 UOV65563:UOV65573 UYR65563:UYR65573 VIN65563:VIN65573 VSJ65563:VSJ65573 WCF65563:WCF65573 WMB65563:WMB65573 WVX65563:WVX65573 JL131099:JL131109 TH131099:TH131109 ADD131099:ADD131109 AMZ131099:AMZ131109 AWV131099:AWV131109 BGR131099:BGR131109 BQN131099:BQN131109 CAJ131099:CAJ131109 CKF131099:CKF131109 CUB131099:CUB131109 DDX131099:DDX131109 DNT131099:DNT131109 DXP131099:DXP131109 EHL131099:EHL131109 ERH131099:ERH131109 FBD131099:FBD131109 FKZ131099:FKZ131109 FUV131099:FUV131109 GER131099:GER131109 GON131099:GON131109 GYJ131099:GYJ131109 HIF131099:HIF131109 HSB131099:HSB131109 IBX131099:IBX131109 ILT131099:ILT131109 IVP131099:IVP131109 JFL131099:JFL131109 JPH131099:JPH131109 JZD131099:JZD131109 KIZ131099:KIZ131109 KSV131099:KSV131109 LCR131099:LCR131109 LMN131099:LMN131109 LWJ131099:LWJ131109 MGF131099:MGF131109 MQB131099:MQB131109 MZX131099:MZX131109 NJT131099:NJT131109 NTP131099:NTP131109 ODL131099:ODL131109 ONH131099:ONH131109 OXD131099:OXD131109 PGZ131099:PGZ131109 PQV131099:PQV131109 QAR131099:QAR131109 QKN131099:QKN131109 QUJ131099:QUJ131109 REF131099:REF131109 ROB131099:ROB131109 RXX131099:RXX131109 SHT131099:SHT131109 SRP131099:SRP131109 TBL131099:TBL131109 TLH131099:TLH131109 TVD131099:TVD131109 UEZ131099:UEZ131109 UOV131099:UOV131109 UYR131099:UYR131109 VIN131099:VIN131109 VSJ131099:VSJ131109 WCF131099:WCF131109 WMB131099:WMB131109 WVX131099:WVX131109 JL196635:JL196645 TH196635:TH196645 ADD196635:ADD196645 AMZ196635:AMZ196645 AWV196635:AWV196645 BGR196635:BGR196645 BQN196635:BQN196645 CAJ196635:CAJ196645 CKF196635:CKF196645 CUB196635:CUB196645 DDX196635:DDX196645 DNT196635:DNT196645 DXP196635:DXP196645 EHL196635:EHL196645 ERH196635:ERH196645 FBD196635:FBD196645 FKZ196635:FKZ196645 FUV196635:FUV196645 GER196635:GER196645 GON196635:GON196645 GYJ196635:GYJ196645 HIF196635:HIF196645 HSB196635:HSB196645 IBX196635:IBX196645 ILT196635:ILT196645 IVP196635:IVP196645 JFL196635:JFL196645 JPH196635:JPH196645 JZD196635:JZD196645 KIZ196635:KIZ196645 KSV196635:KSV196645 LCR196635:LCR196645 LMN196635:LMN196645 LWJ196635:LWJ196645 MGF196635:MGF196645 MQB196635:MQB196645 MZX196635:MZX196645 NJT196635:NJT196645 NTP196635:NTP196645 ODL196635:ODL196645 ONH196635:ONH196645 OXD196635:OXD196645 PGZ196635:PGZ196645 PQV196635:PQV196645 QAR196635:QAR196645 QKN196635:QKN196645 QUJ196635:QUJ196645 REF196635:REF196645 ROB196635:ROB196645 RXX196635:RXX196645 SHT196635:SHT196645 SRP196635:SRP196645 TBL196635:TBL196645 TLH196635:TLH196645 TVD196635:TVD196645 UEZ196635:UEZ196645 UOV196635:UOV196645 UYR196635:UYR196645 VIN196635:VIN196645 VSJ196635:VSJ196645 WCF196635:WCF196645 WMB196635:WMB196645 WVX196635:WVX196645 JL262171:JL262181 TH262171:TH262181 ADD262171:ADD262181 AMZ262171:AMZ262181 AWV262171:AWV262181 BGR262171:BGR262181 BQN262171:BQN262181 CAJ262171:CAJ262181 CKF262171:CKF262181 CUB262171:CUB262181 DDX262171:DDX262181 DNT262171:DNT262181 DXP262171:DXP262181 EHL262171:EHL262181 ERH262171:ERH262181 FBD262171:FBD262181 FKZ262171:FKZ262181 FUV262171:FUV262181 GER262171:GER262181 GON262171:GON262181 GYJ262171:GYJ262181 HIF262171:HIF262181 HSB262171:HSB262181 IBX262171:IBX262181 ILT262171:ILT262181 IVP262171:IVP262181 JFL262171:JFL262181 JPH262171:JPH262181 JZD262171:JZD262181 KIZ262171:KIZ262181 KSV262171:KSV262181 LCR262171:LCR262181 LMN262171:LMN262181 LWJ262171:LWJ262181 MGF262171:MGF262181 MQB262171:MQB262181 MZX262171:MZX262181 NJT262171:NJT262181 NTP262171:NTP262181 ODL262171:ODL262181 ONH262171:ONH262181 OXD262171:OXD262181 PGZ262171:PGZ262181 PQV262171:PQV262181 QAR262171:QAR262181 QKN262171:QKN262181 QUJ262171:QUJ262181 REF262171:REF262181 ROB262171:ROB262181 RXX262171:RXX262181 SHT262171:SHT262181 SRP262171:SRP262181 TBL262171:TBL262181 TLH262171:TLH262181 TVD262171:TVD262181 UEZ262171:UEZ262181 UOV262171:UOV262181 UYR262171:UYR262181 VIN262171:VIN262181 VSJ262171:VSJ262181 WCF262171:WCF262181 WMB262171:WMB262181 WVX262171:WVX262181 JL327707:JL327717 TH327707:TH327717 ADD327707:ADD327717 AMZ327707:AMZ327717 AWV327707:AWV327717 BGR327707:BGR327717 BQN327707:BQN327717 CAJ327707:CAJ327717 CKF327707:CKF327717 CUB327707:CUB327717 DDX327707:DDX327717 DNT327707:DNT327717 DXP327707:DXP327717 EHL327707:EHL327717 ERH327707:ERH327717 FBD327707:FBD327717 FKZ327707:FKZ327717 FUV327707:FUV327717 GER327707:GER327717 GON327707:GON327717 GYJ327707:GYJ327717 HIF327707:HIF327717 HSB327707:HSB327717 IBX327707:IBX327717 ILT327707:ILT327717 IVP327707:IVP327717 JFL327707:JFL327717 JPH327707:JPH327717 JZD327707:JZD327717 KIZ327707:KIZ327717 KSV327707:KSV327717 LCR327707:LCR327717 LMN327707:LMN327717 LWJ327707:LWJ327717 MGF327707:MGF327717 MQB327707:MQB327717 MZX327707:MZX327717 NJT327707:NJT327717 NTP327707:NTP327717 ODL327707:ODL327717 ONH327707:ONH327717 OXD327707:OXD327717 PGZ327707:PGZ327717 PQV327707:PQV327717 QAR327707:QAR327717 QKN327707:QKN327717 QUJ327707:QUJ327717 REF327707:REF327717 ROB327707:ROB327717 RXX327707:RXX327717 SHT327707:SHT327717 SRP327707:SRP327717 TBL327707:TBL327717 TLH327707:TLH327717 TVD327707:TVD327717 UEZ327707:UEZ327717 UOV327707:UOV327717 UYR327707:UYR327717 VIN327707:VIN327717 VSJ327707:VSJ327717 WCF327707:WCF327717 WMB327707:WMB327717 WVX327707:WVX327717 JL393243:JL393253 TH393243:TH393253 ADD393243:ADD393253 AMZ393243:AMZ393253 AWV393243:AWV393253 BGR393243:BGR393253 BQN393243:BQN393253 CAJ393243:CAJ393253 CKF393243:CKF393253 CUB393243:CUB393253 DDX393243:DDX393253 DNT393243:DNT393253 DXP393243:DXP393253 EHL393243:EHL393253 ERH393243:ERH393253 FBD393243:FBD393253 FKZ393243:FKZ393253 FUV393243:FUV393253 GER393243:GER393253 GON393243:GON393253 GYJ393243:GYJ393253 HIF393243:HIF393253 HSB393243:HSB393253 IBX393243:IBX393253 ILT393243:ILT393253 IVP393243:IVP393253 JFL393243:JFL393253 JPH393243:JPH393253 JZD393243:JZD393253 KIZ393243:KIZ393253 KSV393243:KSV393253 LCR393243:LCR393253 LMN393243:LMN393253 LWJ393243:LWJ393253 MGF393243:MGF393253 MQB393243:MQB393253 MZX393243:MZX393253 NJT393243:NJT393253 NTP393243:NTP393253 ODL393243:ODL393253 ONH393243:ONH393253 OXD393243:OXD393253 PGZ393243:PGZ393253 PQV393243:PQV393253 QAR393243:QAR393253 QKN393243:QKN393253 QUJ393243:QUJ393253 REF393243:REF393253 ROB393243:ROB393253 RXX393243:RXX393253 SHT393243:SHT393253 SRP393243:SRP393253 TBL393243:TBL393253 TLH393243:TLH393253 TVD393243:TVD393253 UEZ393243:UEZ393253 UOV393243:UOV393253 UYR393243:UYR393253 VIN393243:VIN393253 VSJ393243:VSJ393253 WCF393243:WCF393253 WMB393243:WMB393253 WVX393243:WVX393253 JL458779:JL458789 TH458779:TH458789 ADD458779:ADD458789 AMZ458779:AMZ458789 AWV458779:AWV458789 BGR458779:BGR458789 BQN458779:BQN458789 CAJ458779:CAJ458789 CKF458779:CKF458789 CUB458779:CUB458789 DDX458779:DDX458789 DNT458779:DNT458789 DXP458779:DXP458789 EHL458779:EHL458789 ERH458779:ERH458789 FBD458779:FBD458789 FKZ458779:FKZ458789 FUV458779:FUV458789 GER458779:GER458789 GON458779:GON458789 GYJ458779:GYJ458789 HIF458779:HIF458789 HSB458779:HSB458789 IBX458779:IBX458789 ILT458779:ILT458789 IVP458779:IVP458789 JFL458779:JFL458789 JPH458779:JPH458789 JZD458779:JZD458789 KIZ458779:KIZ458789 KSV458779:KSV458789 LCR458779:LCR458789 LMN458779:LMN458789 LWJ458779:LWJ458789 MGF458779:MGF458789 MQB458779:MQB458789 MZX458779:MZX458789 NJT458779:NJT458789 NTP458779:NTP458789 ODL458779:ODL458789 ONH458779:ONH458789 OXD458779:OXD458789 PGZ458779:PGZ458789 PQV458779:PQV458789 QAR458779:QAR458789 QKN458779:QKN458789 QUJ458779:QUJ458789 REF458779:REF458789 ROB458779:ROB458789 RXX458779:RXX458789 SHT458779:SHT458789 SRP458779:SRP458789 TBL458779:TBL458789 TLH458779:TLH458789 TVD458779:TVD458789 UEZ458779:UEZ458789 UOV458779:UOV458789 UYR458779:UYR458789 VIN458779:VIN458789 VSJ458779:VSJ458789 WCF458779:WCF458789 WMB458779:WMB458789 WVX458779:WVX458789 JL524315:JL524325 TH524315:TH524325 ADD524315:ADD524325 AMZ524315:AMZ524325 AWV524315:AWV524325 BGR524315:BGR524325 BQN524315:BQN524325 CAJ524315:CAJ524325 CKF524315:CKF524325 CUB524315:CUB524325 DDX524315:DDX524325 DNT524315:DNT524325 DXP524315:DXP524325 EHL524315:EHL524325 ERH524315:ERH524325 FBD524315:FBD524325 FKZ524315:FKZ524325 FUV524315:FUV524325 GER524315:GER524325 GON524315:GON524325 GYJ524315:GYJ524325 HIF524315:HIF524325 HSB524315:HSB524325 IBX524315:IBX524325 ILT524315:ILT524325 IVP524315:IVP524325 JFL524315:JFL524325 JPH524315:JPH524325 JZD524315:JZD524325 KIZ524315:KIZ524325 KSV524315:KSV524325 LCR524315:LCR524325 LMN524315:LMN524325 LWJ524315:LWJ524325 MGF524315:MGF524325 MQB524315:MQB524325 MZX524315:MZX524325 NJT524315:NJT524325 NTP524315:NTP524325 ODL524315:ODL524325 ONH524315:ONH524325 OXD524315:OXD524325 PGZ524315:PGZ524325 PQV524315:PQV524325 QAR524315:QAR524325 QKN524315:QKN524325 QUJ524315:QUJ524325 REF524315:REF524325 ROB524315:ROB524325 RXX524315:RXX524325 SHT524315:SHT524325 SRP524315:SRP524325 TBL524315:TBL524325 TLH524315:TLH524325 TVD524315:TVD524325 UEZ524315:UEZ524325 UOV524315:UOV524325 UYR524315:UYR524325 VIN524315:VIN524325 VSJ524315:VSJ524325 WCF524315:WCF524325 WMB524315:WMB524325 WVX524315:WVX524325 JL589851:JL589861 TH589851:TH589861 ADD589851:ADD589861 AMZ589851:AMZ589861 AWV589851:AWV589861 BGR589851:BGR589861 BQN589851:BQN589861 CAJ589851:CAJ589861 CKF589851:CKF589861 CUB589851:CUB589861 DDX589851:DDX589861 DNT589851:DNT589861 DXP589851:DXP589861 EHL589851:EHL589861 ERH589851:ERH589861 FBD589851:FBD589861 FKZ589851:FKZ589861 FUV589851:FUV589861 GER589851:GER589861 GON589851:GON589861 GYJ589851:GYJ589861 HIF589851:HIF589861 HSB589851:HSB589861 IBX589851:IBX589861 ILT589851:ILT589861 IVP589851:IVP589861 JFL589851:JFL589861 JPH589851:JPH589861 JZD589851:JZD589861 KIZ589851:KIZ589861 KSV589851:KSV589861 LCR589851:LCR589861 LMN589851:LMN589861 LWJ589851:LWJ589861 MGF589851:MGF589861 MQB589851:MQB589861 MZX589851:MZX589861 NJT589851:NJT589861 NTP589851:NTP589861 ODL589851:ODL589861 ONH589851:ONH589861 OXD589851:OXD589861 PGZ589851:PGZ589861 PQV589851:PQV589861 QAR589851:QAR589861 QKN589851:QKN589861 QUJ589851:QUJ589861 REF589851:REF589861 ROB589851:ROB589861 RXX589851:RXX589861 SHT589851:SHT589861 SRP589851:SRP589861 TBL589851:TBL589861 TLH589851:TLH589861 TVD589851:TVD589861 UEZ589851:UEZ589861 UOV589851:UOV589861 UYR589851:UYR589861 VIN589851:VIN589861 VSJ589851:VSJ589861 WCF589851:WCF589861 WMB589851:WMB589861 WVX589851:WVX589861 JL655387:JL655397 TH655387:TH655397 ADD655387:ADD655397 AMZ655387:AMZ655397 AWV655387:AWV655397 BGR655387:BGR655397 BQN655387:BQN655397 CAJ655387:CAJ655397 CKF655387:CKF655397 CUB655387:CUB655397 DDX655387:DDX655397 DNT655387:DNT655397 DXP655387:DXP655397 EHL655387:EHL655397 ERH655387:ERH655397 FBD655387:FBD655397 FKZ655387:FKZ655397 FUV655387:FUV655397 GER655387:GER655397 GON655387:GON655397 GYJ655387:GYJ655397 HIF655387:HIF655397 HSB655387:HSB655397 IBX655387:IBX655397 ILT655387:ILT655397 IVP655387:IVP655397 JFL655387:JFL655397 JPH655387:JPH655397 JZD655387:JZD655397 KIZ655387:KIZ655397 KSV655387:KSV655397 LCR655387:LCR655397 LMN655387:LMN655397 LWJ655387:LWJ655397 MGF655387:MGF655397 MQB655387:MQB655397 MZX655387:MZX655397 NJT655387:NJT655397 NTP655387:NTP655397 ODL655387:ODL655397 ONH655387:ONH655397 OXD655387:OXD655397 PGZ655387:PGZ655397 PQV655387:PQV655397 QAR655387:QAR655397 QKN655387:QKN655397 QUJ655387:QUJ655397 REF655387:REF655397 ROB655387:ROB655397 RXX655387:RXX655397 SHT655387:SHT655397 SRP655387:SRP655397 TBL655387:TBL655397 TLH655387:TLH655397 TVD655387:TVD655397 UEZ655387:UEZ655397 UOV655387:UOV655397 UYR655387:UYR655397 VIN655387:VIN655397 VSJ655387:VSJ655397 WCF655387:WCF655397 WMB655387:WMB655397 WVX655387:WVX655397 JL720923:JL720933 TH720923:TH720933 ADD720923:ADD720933 AMZ720923:AMZ720933 AWV720923:AWV720933 BGR720923:BGR720933 BQN720923:BQN720933 CAJ720923:CAJ720933 CKF720923:CKF720933 CUB720923:CUB720933 DDX720923:DDX720933 DNT720923:DNT720933 DXP720923:DXP720933 EHL720923:EHL720933 ERH720923:ERH720933 FBD720923:FBD720933 FKZ720923:FKZ720933 FUV720923:FUV720933 GER720923:GER720933 GON720923:GON720933 GYJ720923:GYJ720933 HIF720923:HIF720933 HSB720923:HSB720933 IBX720923:IBX720933 ILT720923:ILT720933 IVP720923:IVP720933 JFL720923:JFL720933 JPH720923:JPH720933 JZD720923:JZD720933 KIZ720923:KIZ720933 KSV720923:KSV720933 LCR720923:LCR720933 LMN720923:LMN720933 LWJ720923:LWJ720933 MGF720923:MGF720933 MQB720923:MQB720933 MZX720923:MZX720933 NJT720923:NJT720933 NTP720923:NTP720933 ODL720923:ODL720933 ONH720923:ONH720933 OXD720923:OXD720933 PGZ720923:PGZ720933 PQV720923:PQV720933 QAR720923:QAR720933 QKN720923:QKN720933 QUJ720923:QUJ720933 REF720923:REF720933 ROB720923:ROB720933 RXX720923:RXX720933 SHT720923:SHT720933 SRP720923:SRP720933 TBL720923:TBL720933 TLH720923:TLH720933 TVD720923:TVD720933 UEZ720923:UEZ720933 UOV720923:UOV720933 UYR720923:UYR720933 VIN720923:VIN720933 VSJ720923:VSJ720933 WCF720923:WCF720933 WMB720923:WMB720933 WVX720923:WVX720933 JL786459:JL786469 TH786459:TH786469 ADD786459:ADD786469 AMZ786459:AMZ786469 AWV786459:AWV786469 BGR786459:BGR786469 BQN786459:BQN786469 CAJ786459:CAJ786469 CKF786459:CKF786469 CUB786459:CUB786469 DDX786459:DDX786469 DNT786459:DNT786469 DXP786459:DXP786469 EHL786459:EHL786469 ERH786459:ERH786469 FBD786459:FBD786469 FKZ786459:FKZ786469 FUV786459:FUV786469 GER786459:GER786469 GON786459:GON786469 GYJ786459:GYJ786469 HIF786459:HIF786469 HSB786459:HSB786469 IBX786459:IBX786469 ILT786459:ILT786469 IVP786459:IVP786469 JFL786459:JFL786469 JPH786459:JPH786469 JZD786459:JZD786469 KIZ786459:KIZ786469 KSV786459:KSV786469 LCR786459:LCR786469 LMN786459:LMN786469 LWJ786459:LWJ786469 MGF786459:MGF786469 MQB786459:MQB786469 MZX786459:MZX786469 NJT786459:NJT786469 NTP786459:NTP786469 ODL786459:ODL786469 ONH786459:ONH786469 OXD786459:OXD786469 PGZ786459:PGZ786469 PQV786459:PQV786469 QAR786459:QAR786469 QKN786459:QKN786469 QUJ786459:QUJ786469 REF786459:REF786469 ROB786459:ROB786469 RXX786459:RXX786469 SHT786459:SHT786469 SRP786459:SRP786469 TBL786459:TBL786469 TLH786459:TLH786469 TVD786459:TVD786469 UEZ786459:UEZ786469 UOV786459:UOV786469 UYR786459:UYR786469 VIN786459:VIN786469 VSJ786459:VSJ786469 WCF786459:WCF786469 WMB786459:WMB786469 WVX786459:WVX786469 JL851995:JL852005 TH851995:TH852005 ADD851995:ADD852005 AMZ851995:AMZ852005 AWV851995:AWV852005 BGR851995:BGR852005 BQN851995:BQN852005 CAJ851995:CAJ852005 CKF851995:CKF852005 CUB851995:CUB852005 DDX851995:DDX852005 DNT851995:DNT852005 DXP851995:DXP852005 EHL851995:EHL852005 ERH851995:ERH852005 FBD851995:FBD852005 FKZ851995:FKZ852005 FUV851995:FUV852005 GER851995:GER852005 GON851995:GON852005 GYJ851995:GYJ852005 HIF851995:HIF852005 HSB851995:HSB852005 IBX851995:IBX852005 ILT851995:ILT852005 IVP851995:IVP852005 JFL851995:JFL852005 JPH851995:JPH852005 JZD851995:JZD852005 KIZ851995:KIZ852005 KSV851995:KSV852005 LCR851995:LCR852005 LMN851995:LMN852005 LWJ851995:LWJ852005 MGF851995:MGF852005 MQB851995:MQB852005 MZX851995:MZX852005 NJT851995:NJT852005 NTP851995:NTP852005 ODL851995:ODL852005 ONH851995:ONH852005 OXD851995:OXD852005 PGZ851995:PGZ852005 PQV851995:PQV852005 QAR851995:QAR852005 QKN851995:QKN852005 QUJ851995:QUJ852005 REF851995:REF852005 ROB851995:ROB852005 RXX851995:RXX852005 SHT851995:SHT852005 SRP851995:SRP852005 TBL851995:TBL852005 TLH851995:TLH852005 TVD851995:TVD852005 UEZ851995:UEZ852005 UOV851995:UOV852005 UYR851995:UYR852005 VIN851995:VIN852005 VSJ851995:VSJ852005 WCF851995:WCF852005 WMB851995:WMB852005 WVX851995:WVX852005 JL917531:JL917541 TH917531:TH917541 ADD917531:ADD917541 AMZ917531:AMZ917541 AWV917531:AWV917541 BGR917531:BGR917541 BQN917531:BQN917541 CAJ917531:CAJ917541 CKF917531:CKF917541 CUB917531:CUB917541 DDX917531:DDX917541 DNT917531:DNT917541 DXP917531:DXP917541 EHL917531:EHL917541 ERH917531:ERH917541 FBD917531:FBD917541 FKZ917531:FKZ917541 FUV917531:FUV917541 GER917531:GER917541 GON917531:GON917541 GYJ917531:GYJ917541 HIF917531:HIF917541 HSB917531:HSB917541 IBX917531:IBX917541 ILT917531:ILT917541 IVP917531:IVP917541 JFL917531:JFL917541 JPH917531:JPH917541 JZD917531:JZD917541 KIZ917531:KIZ917541 KSV917531:KSV917541 LCR917531:LCR917541 LMN917531:LMN917541 LWJ917531:LWJ917541 MGF917531:MGF917541 MQB917531:MQB917541 MZX917531:MZX917541 NJT917531:NJT917541 NTP917531:NTP917541 ODL917531:ODL917541 ONH917531:ONH917541 OXD917531:OXD917541 PGZ917531:PGZ917541 PQV917531:PQV917541 QAR917531:QAR917541 QKN917531:QKN917541 QUJ917531:QUJ917541 REF917531:REF917541 ROB917531:ROB917541 RXX917531:RXX917541 SHT917531:SHT917541 SRP917531:SRP917541 TBL917531:TBL917541 TLH917531:TLH917541 TVD917531:TVD917541 UEZ917531:UEZ917541 UOV917531:UOV917541 UYR917531:UYR917541 VIN917531:VIN917541 VSJ917531:VSJ917541 WCF917531:WCF917541 WMB917531:WMB917541 WVX917531:WVX917541 JL983067:JL983077 TH983067:TH983077 ADD983067:ADD983077 AMZ983067:AMZ983077 AWV983067:AWV983077 BGR983067:BGR983077 BQN983067:BQN983077 CAJ983067:CAJ983077 CKF983067:CKF983077 CUB983067:CUB983077 DDX983067:DDX983077 DNT983067:DNT983077 DXP983067:DXP983077 EHL983067:EHL983077 ERH983067:ERH983077 FBD983067:FBD983077 FKZ983067:FKZ983077 FUV983067:FUV983077 GER983067:GER983077 GON983067:GON983077 GYJ983067:GYJ983077 HIF983067:HIF983077 HSB983067:HSB983077 IBX983067:IBX983077 ILT983067:ILT983077 IVP983067:IVP983077 JFL983067:JFL983077 JPH983067:JPH983077 JZD983067:JZD983077 KIZ983067:KIZ983077 KSV983067:KSV983077 LCR983067:LCR983077 LMN983067:LMN983077 LWJ983067:LWJ983077 MGF983067:MGF983077 MQB983067:MQB983077 MZX983067:MZX983077 NJT983067:NJT983077 NTP983067:NTP983077 ODL983067:ODL983077 ONH983067:ONH983077 OXD983067:OXD983077 PGZ983067:PGZ983077 PQV983067:PQV983077 QAR983067:QAR983077 QKN983067:QKN983077 QUJ983067:QUJ983077 REF983067:REF983077 ROB983067:ROB983077 RXX983067:RXX983077 SHT983067:SHT983077 SRP983067:SRP983077 TBL983067:TBL983077 TLH983067:TLH983077 TVD983067:TVD983077 UEZ983067:UEZ983077 UOV983067:UOV983077 UYR983067:UYR983077 VIN983067:VIN983077 VSJ983067:VSJ983077 WCF983067:WCF983077 F27:F37"/>
    <dataValidation type="list" allowBlank="1" showInputMessage="1" showErrorMessage="1" promptTitle="REDUCTION" prompt="REDUCTION" sqref="JN27 WMD983067 WCH983067 VSL983067 VIP983067 UYT983067 UOX983067 UFB983067 TVF983067 TLJ983067 TBN983067 SRR983067 SHV983067 RXZ983067 ROD983067 REH983067 QUL983067 QKP983067 QAT983067 PQX983067 PHB983067 OXF983067 ONJ983067 ODN983067 NTR983067 NJV983067 MZZ983067 MQD983067 MGH983067 LWL983067 LMP983067 LCT983067 KSX983067 KJB983067 JZF983067 JPJ983067 JFN983067 IVR983067 ILV983067 IBZ983067 HSD983067 HIH983067 GYL983067 GOP983067 GET983067 FUX983067 FLB983067 FBF983067 ERJ983067 EHN983067 DXR983067 DNV983067 DDZ983067 CUD983067 CKH983067 CAL983067 BQP983067 BGT983067 AWX983067 ANB983067 ADF983067 TJ983067 JN983067 H983067 WVZ917531 WMD917531 WCH917531 VSL917531 VIP917531 UYT917531 UOX917531 UFB917531 TVF917531 TLJ917531 TBN917531 SRR917531 SHV917531 RXZ917531 ROD917531 REH917531 QUL917531 QKP917531 QAT917531 PQX917531 PHB917531 OXF917531 ONJ917531 ODN917531 NTR917531 NJV917531 MZZ917531 MQD917531 MGH917531 LWL917531 LMP917531 LCT917531 KSX917531 KJB917531 JZF917531 JPJ917531 JFN917531 IVR917531 ILV917531 IBZ917531 HSD917531 HIH917531 GYL917531 GOP917531 GET917531 FUX917531 FLB917531 FBF917531 ERJ917531 EHN917531 DXR917531 DNV917531 DDZ917531 CUD917531 CKH917531 CAL917531 BQP917531 BGT917531 AWX917531 ANB917531 ADF917531 TJ917531 JN917531 H917531 WVZ851995 WMD851995 WCH851995 VSL851995 VIP851995 UYT851995 UOX851995 UFB851995 TVF851995 TLJ851995 TBN851995 SRR851995 SHV851995 RXZ851995 ROD851995 REH851995 QUL851995 QKP851995 QAT851995 PQX851995 PHB851995 OXF851995 ONJ851995 ODN851995 NTR851995 NJV851995 MZZ851995 MQD851995 MGH851995 LWL851995 LMP851995 LCT851995 KSX851995 KJB851995 JZF851995 JPJ851995 JFN851995 IVR851995 ILV851995 IBZ851995 HSD851995 HIH851995 GYL851995 GOP851995 GET851995 FUX851995 FLB851995 FBF851995 ERJ851995 EHN851995 DXR851995 DNV851995 DDZ851995 CUD851995 CKH851995 CAL851995 BQP851995 BGT851995 AWX851995 ANB851995 ADF851995 TJ851995 JN851995 H851995 WVZ786459 WMD786459 WCH786459 VSL786459 VIP786459 UYT786459 UOX786459 UFB786459 TVF786459 TLJ786459 TBN786459 SRR786459 SHV786459 RXZ786459 ROD786459 REH786459 QUL786459 QKP786459 QAT786459 PQX786459 PHB786459 OXF786459 ONJ786459 ODN786459 NTR786459 NJV786459 MZZ786459 MQD786459 MGH786459 LWL786459 LMP786459 LCT786459 KSX786459 KJB786459 JZF786459 JPJ786459 JFN786459 IVR786459 ILV786459 IBZ786459 HSD786459 HIH786459 GYL786459 GOP786459 GET786459 FUX786459 FLB786459 FBF786459 ERJ786459 EHN786459 DXR786459 DNV786459 DDZ786459 CUD786459 CKH786459 CAL786459 BQP786459 BGT786459 AWX786459 ANB786459 ADF786459 TJ786459 JN786459 H786459 WVZ720923 WMD720923 WCH720923 VSL720923 VIP720923 UYT720923 UOX720923 UFB720923 TVF720923 TLJ720923 TBN720923 SRR720923 SHV720923 RXZ720923 ROD720923 REH720923 QUL720923 QKP720923 QAT720923 PQX720923 PHB720923 OXF720923 ONJ720923 ODN720923 NTR720923 NJV720923 MZZ720923 MQD720923 MGH720923 LWL720923 LMP720923 LCT720923 KSX720923 KJB720923 JZF720923 JPJ720923 JFN720923 IVR720923 ILV720923 IBZ720923 HSD720923 HIH720923 GYL720923 GOP720923 GET720923 FUX720923 FLB720923 FBF720923 ERJ720923 EHN720923 DXR720923 DNV720923 DDZ720923 CUD720923 CKH720923 CAL720923 BQP720923 BGT720923 AWX720923 ANB720923 ADF720923 TJ720923 JN720923 H720923 WVZ655387 WMD655387 WCH655387 VSL655387 VIP655387 UYT655387 UOX655387 UFB655387 TVF655387 TLJ655387 TBN655387 SRR655387 SHV655387 RXZ655387 ROD655387 REH655387 QUL655387 QKP655387 QAT655387 PQX655387 PHB655387 OXF655387 ONJ655387 ODN655387 NTR655387 NJV655387 MZZ655387 MQD655387 MGH655387 LWL655387 LMP655387 LCT655387 KSX655387 KJB655387 JZF655387 JPJ655387 JFN655387 IVR655387 ILV655387 IBZ655387 HSD655387 HIH655387 GYL655387 GOP655387 GET655387 FUX655387 FLB655387 FBF655387 ERJ655387 EHN655387 DXR655387 DNV655387 DDZ655387 CUD655387 CKH655387 CAL655387 BQP655387 BGT655387 AWX655387 ANB655387 ADF655387 TJ655387 JN655387 H655387 WVZ589851 WMD589851 WCH589851 VSL589851 VIP589851 UYT589851 UOX589851 UFB589851 TVF589851 TLJ589851 TBN589851 SRR589851 SHV589851 RXZ589851 ROD589851 REH589851 QUL589851 QKP589851 QAT589851 PQX589851 PHB589851 OXF589851 ONJ589851 ODN589851 NTR589851 NJV589851 MZZ589851 MQD589851 MGH589851 LWL589851 LMP589851 LCT589851 KSX589851 KJB589851 JZF589851 JPJ589851 JFN589851 IVR589851 ILV589851 IBZ589851 HSD589851 HIH589851 GYL589851 GOP589851 GET589851 FUX589851 FLB589851 FBF589851 ERJ589851 EHN589851 DXR589851 DNV589851 DDZ589851 CUD589851 CKH589851 CAL589851 BQP589851 BGT589851 AWX589851 ANB589851 ADF589851 TJ589851 JN589851 H589851 WVZ524315 WMD524315 WCH524315 VSL524315 VIP524315 UYT524315 UOX524315 UFB524315 TVF524315 TLJ524315 TBN524315 SRR524315 SHV524315 RXZ524315 ROD524315 REH524315 QUL524315 QKP524315 QAT524315 PQX524315 PHB524315 OXF524315 ONJ524315 ODN524315 NTR524315 NJV524315 MZZ524315 MQD524315 MGH524315 LWL524315 LMP524315 LCT524315 KSX524315 KJB524315 JZF524315 JPJ524315 JFN524315 IVR524315 ILV524315 IBZ524315 HSD524315 HIH524315 GYL524315 GOP524315 GET524315 FUX524315 FLB524315 FBF524315 ERJ524315 EHN524315 DXR524315 DNV524315 DDZ524315 CUD524315 CKH524315 CAL524315 BQP524315 BGT524315 AWX524315 ANB524315 ADF524315 TJ524315 JN524315 H524315 WVZ458779 WMD458779 WCH458779 VSL458779 VIP458779 UYT458779 UOX458779 UFB458779 TVF458779 TLJ458779 TBN458779 SRR458779 SHV458779 RXZ458779 ROD458779 REH458779 QUL458779 QKP458779 QAT458779 PQX458779 PHB458779 OXF458779 ONJ458779 ODN458779 NTR458779 NJV458779 MZZ458779 MQD458779 MGH458779 LWL458779 LMP458779 LCT458779 KSX458779 KJB458779 JZF458779 JPJ458779 JFN458779 IVR458779 ILV458779 IBZ458779 HSD458779 HIH458779 GYL458779 GOP458779 GET458779 FUX458779 FLB458779 FBF458779 ERJ458779 EHN458779 DXR458779 DNV458779 DDZ458779 CUD458779 CKH458779 CAL458779 BQP458779 BGT458779 AWX458779 ANB458779 ADF458779 TJ458779 JN458779 H458779 WVZ393243 WMD393243 WCH393243 VSL393243 VIP393243 UYT393243 UOX393243 UFB393243 TVF393243 TLJ393243 TBN393243 SRR393243 SHV393243 RXZ393243 ROD393243 REH393243 QUL393243 QKP393243 QAT393243 PQX393243 PHB393243 OXF393243 ONJ393243 ODN393243 NTR393243 NJV393243 MZZ393243 MQD393243 MGH393243 LWL393243 LMP393243 LCT393243 KSX393243 KJB393243 JZF393243 JPJ393243 JFN393243 IVR393243 ILV393243 IBZ393243 HSD393243 HIH393243 GYL393243 GOP393243 GET393243 FUX393243 FLB393243 FBF393243 ERJ393243 EHN393243 DXR393243 DNV393243 DDZ393243 CUD393243 CKH393243 CAL393243 BQP393243 BGT393243 AWX393243 ANB393243 ADF393243 TJ393243 JN393243 H393243 WVZ327707 WMD327707 WCH327707 VSL327707 VIP327707 UYT327707 UOX327707 UFB327707 TVF327707 TLJ327707 TBN327707 SRR327707 SHV327707 RXZ327707 ROD327707 REH327707 QUL327707 QKP327707 QAT327707 PQX327707 PHB327707 OXF327707 ONJ327707 ODN327707 NTR327707 NJV327707 MZZ327707 MQD327707 MGH327707 LWL327707 LMP327707 LCT327707 KSX327707 KJB327707 JZF327707 JPJ327707 JFN327707 IVR327707 ILV327707 IBZ327707 HSD327707 HIH327707 GYL327707 GOP327707 GET327707 FUX327707 FLB327707 FBF327707 ERJ327707 EHN327707 DXR327707 DNV327707 DDZ327707 CUD327707 CKH327707 CAL327707 BQP327707 BGT327707 AWX327707 ANB327707 ADF327707 TJ327707 JN327707 H327707 WVZ262171 WMD262171 WCH262171 VSL262171 VIP262171 UYT262171 UOX262171 UFB262171 TVF262171 TLJ262171 TBN262171 SRR262171 SHV262171 RXZ262171 ROD262171 REH262171 QUL262171 QKP262171 QAT262171 PQX262171 PHB262171 OXF262171 ONJ262171 ODN262171 NTR262171 NJV262171 MZZ262171 MQD262171 MGH262171 LWL262171 LMP262171 LCT262171 KSX262171 KJB262171 JZF262171 JPJ262171 JFN262171 IVR262171 ILV262171 IBZ262171 HSD262171 HIH262171 GYL262171 GOP262171 GET262171 FUX262171 FLB262171 FBF262171 ERJ262171 EHN262171 DXR262171 DNV262171 DDZ262171 CUD262171 CKH262171 CAL262171 BQP262171 BGT262171 AWX262171 ANB262171 ADF262171 TJ262171 JN262171 H262171 WVZ196635 WMD196635 WCH196635 VSL196635 VIP196635 UYT196635 UOX196635 UFB196635 TVF196635 TLJ196635 TBN196635 SRR196635 SHV196635 RXZ196635 ROD196635 REH196635 QUL196635 QKP196635 QAT196635 PQX196635 PHB196635 OXF196635 ONJ196635 ODN196635 NTR196635 NJV196635 MZZ196635 MQD196635 MGH196635 LWL196635 LMP196635 LCT196635 KSX196635 KJB196635 JZF196635 JPJ196635 JFN196635 IVR196635 ILV196635 IBZ196635 HSD196635 HIH196635 GYL196635 GOP196635 GET196635 FUX196635 FLB196635 FBF196635 ERJ196635 EHN196635 DXR196635 DNV196635 DDZ196635 CUD196635 CKH196635 CAL196635 BQP196635 BGT196635 AWX196635 ANB196635 ADF196635 TJ196635 JN196635 H196635 WVZ131099 WMD131099 WCH131099 VSL131099 VIP131099 UYT131099 UOX131099 UFB131099 TVF131099 TLJ131099 TBN131099 SRR131099 SHV131099 RXZ131099 ROD131099 REH131099 QUL131099 QKP131099 QAT131099 PQX131099 PHB131099 OXF131099 ONJ131099 ODN131099 NTR131099 NJV131099 MZZ131099 MQD131099 MGH131099 LWL131099 LMP131099 LCT131099 KSX131099 KJB131099 JZF131099 JPJ131099 JFN131099 IVR131099 ILV131099 IBZ131099 HSD131099 HIH131099 GYL131099 GOP131099 GET131099 FUX131099 FLB131099 FBF131099 ERJ131099 EHN131099 DXR131099 DNV131099 DDZ131099 CUD131099 CKH131099 CAL131099 BQP131099 BGT131099 AWX131099 ANB131099 ADF131099 TJ131099 JN131099 H131099 WVZ65563 WMD65563 WCH65563 VSL65563 VIP65563 UYT65563 UOX65563 UFB65563 TVF65563 TLJ65563 TBN65563 SRR65563 SHV65563 RXZ65563 ROD65563 REH65563 QUL65563 QKP65563 QAT65563 PQX65563 PHB65563 OXF65563 ONJ65563 ODN65563 NTR65563 NJV65563 MZZ65563 MQD65563 MGH65563 LWL65563 LMP65563 LCT65563 KSX65563 KJB65563 JZF65563 JPJ65563 JFN65563 IVR65563 ILV65563 IBZ65563 HSD65563 HIH65563 GYL65563 GOP65563 GET65563 FUX65563 FLB65563 FBF65563 ERJ65563 EHN65563 DXR65563 DNV65563 DDZ65563 CUD65563 CKH65563 CAL65563 BQP65563 BGT65563 AWX65563 ANB65563 ADF65563 TJ65563 JN65563 H65563 WVZ27 WMD27 WCH27 VSL27 VIP27 UYT27 UOX27 UFB27 TVF27 TLJ27 TBN27 SRR27 SHV27 RXZ27 ROD27 REH27 QUL27 QKP27 QAT27 PQX27 PHB27 OXF27 ONJ27 ODN27 NTR27 NJV27 MZZ27 MQD27 MGH27 LWL27 LMP27 LCT27 KSX27 KJB27 JZF27 JPJ27 JFN27 IVR27 ILV27 IBZ27 HSD27 HIH27 GYL27 GOP27 GET27 FUX27 FLB27 FBF27 ERJ27 EHN27 DXR27 DNV27 DDZ27 CUD27 CKH27 CAL27 BQP27 BGT27 AWX27 ANB27 ADF27 TJ27 WVZ983067">
      <formula1>$CE$9:$CE$37</formula1>
    </dataValidation>
    <dataValidation type="list" allowBlank="1" showInputMessage="1" showErrorMessage="1" promptTitle="MAJORATION" prompt="MAJORATION" sqref="WWA983067 TK27 ADG27 ANC27 AWY27 BGU27 BQQ27 CAM27 CKI27 CUE27 DEA27 DNW27 DXS27 EHO27 ERK27 FBG27 FLC27 FUY27 GEU27 GOQ27 GYM27 HII27 HSE27 ICA27 ILW27 IVS27 JFO27 JPK27 JZG27 KJC27 KSY27 LCU27 LMQ27 LWM27 MGI27 MQE27 NAA27 NJW27 NTS27 ODO27 ONK27 OXG27 PHC27 PQY27 QAU27 QKQ27 QUM27 REI27 ROE27 RYA27 SHW27 SRS27 TBO27 TLK27 TVG27 UFC27 UOY27 UYU27 VIQ27 VSM27 WCI27 WME27 WWA27 I65563 JO65563 TK65563 ADG65563 ANC65563 AWY65563 BGU65563 BQQ65563 CAM65563 CKI65563 CUE65563 DEA65563 DNW65563 DXS65563 EHO65563 ERK65563 FBG65563 FLC65563 FUY65563 GEU65563 GOQ65563 GYM65563 HII65563 HSE65563 ICA65563 ILW65563 IVS65563 JFO65563 JPK65563 JZG65563 KJC65563 KSY65563 LCU65563 LMQ65563 LWM65563 MGI65563 MQE65563 NAA65563 NJW65563 NTS65563 ODO65563 ONK65563 OXG65563 PHC65563 PQY65563 QAU65563 QKQ65563 QUM65563 REI65563 ROE65563 RYA65563 SHW65563 SRS65563 TBO65563 TLK65563 TVG65563 UFC65563 UOY65563 UYU65563 VIQ65563 VSM65563 WCI65563 WME65563 WWA65563 I131099 JO131099 TK131099 ADG131099 ANC131099 AWY131099 BGU131099 BQQ131099 CAM131099 CKI131099 CUE131099 DEA131099 DNW131099 DXS131099 EHO131099 ERK131099 FBG131099 FLC131099 FUY131099 GEU131099 GOQ131099 GYM131099 HII131099 HSE131099 ICA131099 ILW131099 IVS131099 JFO131099 JPK131099 JZG131099 KJC131099 KSY131099 LCU131099 LMQ131099 LWM131099 MGI131099 MQE131099 NAA131099 NJW131099 NTS131099 ODO131099 ONK131099 OXG131099 PHC131099 PQY131099 QAU131099 QKQ131099 QUM131099 REI131099 ROE131099 RYA131099 SHW131099 SRS131099 TBO131099 TLK131099 TVG131099 UFC131099 UOY131099 UYU131099 VIQ131099 VSM131099 WCI131099 WME131099 WWA131099 I196635 JO196635 TK196635 ADG196635 ANC196635 AWY196635 BGU196635 BQQ196635 CAM196635 CKI196635 CUE196635 DEA196635 DNW196635 DXS196635 EHO196635 ERK196635 FBG196635 FLC196635 FUY196635 GEU196635 GOQ196635 GYM196635 HII196635 HSE196635 ICA196635 ILW196635 IVS196635 JFO196635 JPK196635 JZG196635 KJC196635 KSY196635 LCU196635 LMQ196635 LWM196635 MGI196635 MQE196635 NAA196635 NJW196635 NTS196635 ODO196635 ONK196635 OXG196635 PHC196635 PQY196635 QAU196635 QKQ196635 QUM196635 REI196635 ROE196635 RYA196635 SHW196635 SRS196635 TBO196635 TLK196635 TVG196635 UFC196635 UOY196635 UYU196635 VIQ196635 VSM196635 WCI196635 WME196635 WWA196635 I262171 JO262171 TK262171 ADG262171 ANC262171 AWY262171 BGU262171 BQQ262171 CAM262171 CKI262171 CUE262171 DEA262171 DNW262171 DXS262171 EHO262171 ERK262171 FBG262171 FLC262171 FUY262171 GEU262171 GOQ262171 GYM262171 HII262171 HSE262171 ICA262171 ILW262171 IVS262171 JFO262171 JPK262171 JZG262171 KJC262171 KSY262171 LCU262171 LMQ262171 LWM262171 MGI262171 MQE262171 NAA262171 NJW262171 NTS262171 ODO262171 ONK262171 OXG262171 PHC262171 PQY262171 QAU262171 QKQ262171 QUM262171 REI262171 ROE262171 RYA262171 SHW262171 SRS262171 TBO262171 TLK262171 TVG262171 UFC262171 UOY262171 UYU262171 VIQ262171 VSM262171 WCI262171 WME262171 WWA262171 I327707 JO327707 TK327707 ADG327707 ANC327707 AWY327707 BGU327707 BQQ327707 CAM327707 CKI327707 CUE327707 DEA327707 DNW327707 DXS327707 EHO327707 ERK327707 FBG327707 FLC327707 FUY327707 GEU327707 GOQ327707 GYM327707 HII327707 HSE327707 ICA327707 ILW327707 IVS327707 JFO327707 JPK327707 JZG327707 KJC327707 KSY327707 LCU327707 LMQ327707 LWM327707 MGI327707 MQE327707 NAA327707 NJW327707 NTS327707 ODO327707 ONK327707 OXG327707 PHC327707 PQY327707 QAU327707 QKQ327707 QUM327707 REI327707 ROE327707 RYA327707 SHW327707 SRS327707 TBO327707 TLK327707 TVG327707 UFC327707 UOY327707 UYU327707 VIQ327707 VSM327707 WCI327707 WME327707 WWA327707 I393243 JO393243 TK393243 ADG393243 ANC393243 AWY393243 BGU393243 BQQ393243 CAM393243 CKI393243 CUE393243 DEA393243 DNW393243 DXS393243 EHO393243 ERK393243 FBG393243 FLC393243 FUY393243 GEU393243 GOQ393243 GYM393243 HII393243 HSE393243 ICA393243 ILW393243 IVS393243 JFO393243 JPK393243 JZG393243 KJC393243 KSY393243 LCU393243 LMQ393243 LWM393243 MGI393243 MQE393243 NAA393243 NJW393243 NTS393243 ODO393243 ONK393243 OXG393243 PHC393243 PQY393243 QAU393243 QKQ393243 QUM393243 REI393243 ROE393243 RYA393243 SHW393243 SRS393243 TBO393243 TLK393243 TVG393243 UFC393243 UOY393243 UYU393243 VIQ393243 VSM393243 WCI393243 WME393243 WWA393243 I458779 JO458779 TK458779 ADG458779 ANC458779 AWY458779 BGU458779 BQQ458779 CAM458779 CKI458779 CUE458779 DEA458779 DNW458779 DXS458779 EHO458779 ERK458779 FBG458779 FLC458779 FUY458779 GEU458779 GOQ458779 GYM458779 HII458779 HSE458779 ICA458779 ILW458779 IVS458779 JFO458779 JPK458779 JZG458779 KJC458779 KSY458779 LCU458779 LMQ458779 LWM458779 MGI458779 MQE458779 NAA458779 NJW458779 NTS458779 ODO458779 ONK458779 OXG458779 PHC458779 PQY458779 QAU458779 QKQ458779 QUM458779 REI458779 ROE458779 RYA458779 SHW458779 SRS458779 TBO458779 TLK458779 TVG458779 UFC458779 UOY458779 UYU458779 VIQ458779 VSM458779 WCI458779 WME458779 WWA458779 I524315 JO524315 TK524315 ADG524315 ANC524315 AWY524315 BGU524315 BQQ524315 CAM524315 CKI524315 CUE524315 DEA524315 DNW524315 DXS524315 EHO524315 ERK524315 FBG524315 FLC524315 FUY524315 GEU524315 GOQ524315 GYM524315 HII524315 HSE524315 ICA524315 ILW524315 IVS524315 JFO524315 JPK524315 JZG524315 KJC524315 KSY524315 LCU524315 LMQ524315 LWM524315 MGI524315 MQE524315 NAA524315 NJW524315 NTS524315 ODO524315 ONK524315 OXG524315 PHC524315 PQY524315 QAU524315 QKQ524315 QUM524315 REI524315 ROE524315 RYA524315 SHW524315 SRS524315 TBO524315 TLK524315 TVG524315 UFC524315 UOY524315 UYU524315 VIQ524315 VSM524315 WCI524315 WME524315 WWA524315 I589851 JO589851 TK589851 ADG589851 ANC589851 AWY589851 BGU589851 BQQ589851 CAM589851 CKI589851 CUE589851 DEA589851 DNW589851 DXS589851 EHO589851 ERK589851 FBG589851 FLC589851 FUY589851 GEU589851 GOQ589851 GYM589851 HII589851 HSE589851 ICA589851 ILW589851 IVS589851 JFO589851 JPK589851 JZG589851 KJC589851 KSY589851 LCU589851 LMQ589851 LWM589851 MGI589851 MQE589851 NAA589851 NJW589851 NTS589851 ODO589851 ONK589851 OXG589851 PHC589851 PQY589851 QAU589851 QKQ589851 QUM589851 REI589851 ROE589851 RYA589851 SHW589851 SRS589851 TBO589851 TLK589851 TVG589851 UFC589851 UOY589851 UYU589851 VIQ589851 VSM589851 WCI589851 WME589851 WWA589851 I655387 JO655387 TK655387 ADG655387 ANC655387 AWY655387 BGU655387 BQQ655387 CAM655387 CKI655387 CUE655387 DEA655387 DNW655387 DXS655387 EHO655387 ERK655387 FBG655387 FLC655387 FUY655387 GEU655387 GOQ655387 GYM655387 HII655387 HSE655387 ICA655387 ILW655387 IVS655387 JFO655387 JPK655387 JZG655387 KJC655387 KSY655387 LCU655387 LMQ655387 LWM655387 MGI655387 MQE655387 NAA655387 NJW655387 NTS655387 ODO655387 ONK655387 OXG655387 PHC655387 PQY655387 QAU655387 QKQ655387 QUM655387 REI655387 ROE655387 RYA655387 SHW655387 SRS655387 TBO655387 TLK655387 TVG655387 UFC655387 UOY655387 UYU655387 VIQ655387 VSM655387 WCI655387 WME655387 WWA655387 I720923 JO720923 TK720923 ADG720923 ANC720923 AWY720923 BGU720923 BQQ720923 CAM720923 CKI720923 CUE720923 DEA720923 DNW720923 DXS720923 EHO720923 ERK720923 FBG720923 FLC720923 FUY720923 GEU720923 GOQ720923 GYM720923 HII720923 HSE720923 ICA720923 ILW720923 IVS720923 JFO720923 JPK720923 JZG720923 KJC720923 KSY720923 LCU720923 LMQ720923 LWM720923 MGI720923 MQE720923 NAA720923 NJW720923 NTS720923 ODO720923 ONK720923 OXG720923 PHC720923 PQY720923 QAU720923 QKQ720923 QUM720923 REI720923 ROE720923 RYA720923 SHW720923 SRS720923 TBO720923 TLK720923 TVG720923 UFC720923 UOY720923 UYU720923 VIQ720923 VSM720923 WCI720923 WME720923 WWA720923 I786459 JO786459 TK786459 ADG786459 ANC786459 AWY786459 BGU786459 BQQ786459 CAM786459 CKI786459 CUE786459 DEA786459 DNW786459 DXS786459 EHO786459 ERK786459 FBG786459 FLC786459 FUY786459 GEU786459 GOQ786459 GYM786459 HII786459 HSE786459 ICA786459 ILW786459 IVS786459 JFO786459 JPK786459 JZG786459 KJC786459 KSY786459 LCU786459 LMQ786459 LWM786459 MGI786459 MQE786459 NAA786459 NJW786459 NTS786459 ODO786459 ONK786459 OXG786459 PHC786459 PQY786459 QAU786459 QKQ786459 QUM786459 REI786459 ROE786459 RYA786459 SHW786459 SRS786459 TBO786459 TLK786459 TVG786459 UFC786459 UOY786459 UYU786459 VIQ786459 VSM786459 WCI786459 WME786459 WWA786459 I851995 JO851995 TK851995 ADG851995 ANC851995 AWY851995 BGU851995 BQQ851995 CAM851995 CKI851995 CUE851995 DEA851995 DNW851995 DXS851995 EHO851995 ERK851995 FBG851995 FLC851995 FUY851995 GEU851995 GOQ851995 GYM851995 HII851995 HSE851995 ICA851995 ILW851995 IVS851995 JFO851995 JPK851995 JZG851995 KJC851995 KSY851995 LCU851995 LMQ851995 LWM851995 MGI851995 MQE851995 NAA851995 NJW851995 NTS851995 ODO851995 ONK851995 OXG851995 PHC851995 PQY851995 QAU851995 QKQ851995 QUM851995 REI851995 ROE851995 RYA851995 SHW851995 SRS851995 TBO851995 TLK851995 TVG851995 UFC851995 UOY851995 UYU851995 VIQ851995 VSM851995 WCI851995 WME851995 WWA851995 I917531 JO917531 TK917531 ADG917531 ANC917531 AWY917531 BGU917531 BQQ917531 CAM917531 CKI917531 CUE917531 DEA917531 DNW917531 DXS917531 EHO917531 ERK917531 FBG917531 FLC917531 FUY917531 GEU917531 GOQ917531 GYM917531 HII917531 HSE917531 ICA917531 ILW917531 IVS917531 JFO917531 JPK917531 JZG917531 KJC917531 KSY917531 LCU917531 LMQ917531 LWM917531 MGI917531 MQE917531 NAA917531 NJW917531 NTS917531 ODO917531 ONK917531 OXG917531 PHC917531 PQY917531 QAU917531 QKQ917531 QUM917531 REI917531 ROE917531 RYA917531 SHW917531 SRS917531 TBO917531 TLK917531 TVG917531 UFC917531 UOY917531 UYU917531 VIQ917531 VSM917531 WCI917531 WME917531 WWA917531 I983067 JO983067 TK983067 ADG983067 ANC983067 AWY983067 BGU983067 BQQ983067 CAM983067 CKI983067 CUE983067 DEA983067 DNW983067 DXS983067 EHO983067 ERK983067 FBG983067 FLC983067 FUY983067 GEU983067 GOQ983067 GYM983067 HII983067 HSE983067 ICA983067 ILW983067 IVS983067 JFO983067 JPK983067 JZG983067 KJC983067 KSY983067 LCU983067 LMQ983067 LWM983067 MGI983067 MQE983067 NAA983067 NJW983067 NTS983067 ODO983067 ONK983067 OXG983067 PHC983067 PQY983067 QAU983067 QKQ983067 QUM983067 REI983067 ROE983067 RYA983067 SHW983067 SRS983067 TBO983067 TLK983067 TVG983067 UFC983067 UOY983067 UYU983067 VIQ983067 VSM983067 WCI983067 WME983067 JO27">
      <formula1>$CF$9:$CF$21</formula1>
    </dataValidation>
    <dataValidation allowBlank="1" showInputMessage="1" showErrorMessage="1" promptTitle="NOM ET PRENOM DE L'ASSURE" prompt="NOM ET PRENOM DE L'ASSURE" sqref="WLX983052:WLZ983052 B8:D8 WCB983052:WCD983052 B983052:D983052 B917516:D917516 B851980:D851980 B786444:D786444 B720908:D720908 B655372:D655372 B589836:D589836 B524300:D524300 B458764:D458764 B393228:D393228 B327692:D327692 B262156:D262156 B196620:D196620 B131084:D131084 B65548:D65548 WVT983052:WVV983052 JH9:JJ9 TD9:TF9 ACZ9:ADB9 AMV9:AMX9 AWR9:AWT9 BGN9:BGP9 BQJ9:BQL9 CAF9:CAH9 CKB9:CKD9 CTX9:CTZ9 DDT9:DDV9 DNP9:DNR9 DXL9:DXN9 EHH9:EHJ9 ERD9:ERF9 FAZ9:FBB9 FKV9:FKX9 FUR9:FUT9 GEN9:GEP9 GOJ9:GOL9 GYF9:GYH9 HIB9:HID9 HRX9:HRZ9 IBT9:IBV9 ILP9:ILR9 IVL9:IVN9 JFH9:JFJ9 JPD9:JPF9 JYZ9:JZB9 KIV9:KIX9 KSR9:KST9 LCN9:LCP9 LMJ9:LML9 LWF9:LWH9 MGB9:MGD9 MPX9:MPZ9 MZT9:MZV9 NJP9:NJR9 NTL9:NTN9 ODH9:ODJ9 OND9:ONF9 OWZ9:OXB9 PGV9:PGX9 PQR9:PQT9 QAN9:QAP9 QKJ9:QKL9 QUF9:QUH9 REB9:RED9 RNX9:RNZ9 RXT9:RXV9 SHP9:SHR9 SRL9:SRN9 TBH9:TBJ9 TLD9:TLF9 TUZ9:TVB9 UEV9:UEX9 UOR9:UOT9 UYN9:UYP9 VIJ9:VIL9 VSF9:VSH9 WCB9:WCD9 WLX9:WLZ9 WVT9:WVV9 JH65548:JJ65548 TD65548:TF65548 ACZ65548:ADB65548 AMV65548:AMX65548 AWR65548:AWT65548 BGN65548:BGP65548 BQJ65548:BQL65548 CAF65548:CAH65548 CKB65548:CKD65548 CTX65548:CTZ65548 DDT65548:DDV65548 DNP65548:DNR65548 DXL65548:DXN65548 EHH65548:EHJ65548 ERD65548:ERF65548 FAZ65548:FBB65548 FKV65548:FKX65548 FUR65548:FUT65548 GEN65548:GEP65548 GOJ65548:GOL65548 GYF65548:GYH65548 HIB65548:HID65548 HRX65548:HRZ65548 IBT65548:IBV65548 ILP65548:ILR65548 IVL65548:IVN65548 JFH65548:JFJ65548 JPD65548:JPF65548 JYZ65548:JZB65548 KIV65548:KIX65548 KSR65548:KST65548 LCN65548:LCP65548 LMJ65548:LML65548 LWF65548:LWH65548 MGB65548:MGD65548 MPX65548:MPZ65548 MZT65548:MZV65548 NJP65548:NJR65548 NTL65548:NTN65548 ODH65548:ODJ65548 OND65548:ONF65548 OWZ65548:OXB65548 PGV65548:PGX65548 PQR65548:PQT65548 QAN65548:QAP65548 QKJ65548:QKL65548 QUF65548:QUH65548 REB65548:RED65548 RNX65548:RNZ65548 RXT65548:RXV65548 SHP65548:SHR65548 SRL65548:SRN65548 TBH65548:TBJ65548 TLD65548:TLF65548 TUZ65548:TVB65548 UEV65548:UEX65548 UOR65548:UOT65548 UYN65548:UYP65548 VIJ65548:VIL65548 VSF65548:VSH65548 WCB65548:WCD65548 WLX65548:WLZ65548 WVT65548:WVV65548 JH131084:JJ131084 TD131084:TF131084 ACZ131084:ADB131084 AMV131084:AMX131084 AWR131084:AWT131084 BGN131084:BGP131084 BQJ131084:BQL131084 CAF131084:CAH131084 CKB131084:CKD131084 CTX131084:CTZ131084 DDT131084:DDV131084 DNP131084:DNR131084 DXL131084:DXN131084 EHH131084:EHJ131084 ERD131084:ERF131084 FAZ131084:FBB131084 FKV131084:FKX131084 FUR131084:FUT131084 GEN131084:GEP131084 GOJ131084:GOL131084 GYF131084:GYH131084 HIB131084:HID131084 HRX131084:HRZ131084 IBT131084:IBV131084 ILP131084:ILR131084 IVL131084:IVN131084 JFH131084:JFJ131084 JPD131084:JPF131084 JYZ131084:JZB131084 KIV131084:KIX131084 KSR131084:KST131084 LCN131084:LCP131084 LMJ131084:LML131084 LWF131084:LWH131084 MGB131084:MGD131084 MPX131084:MPZ131084 MZT131084:MZV131084 NJP131084:NJR131084 NTL131084:NTN131084 ODH131084:ODJ131084 OND131084:ONF131084 OWZ131084:OXB131084 PGV131084:PGX131084 PQR131084:PQT131084 QAN131084:QAP131084 QKJ131084:QKL131084 QUF131084:QUH131084 REB131084:RED131084 RNX131084:RNZ131084 RXT131084:RXV131084 SHP131084:SHR131084 SRL131084:SRN131084 TBH131084:TBJ131084 TLD131084:TLF131084 TUZ131084:TVB131084 UEV131084:UEX131084 UOR131084:UOT131084 UYN131084:UYP131084 VIJ131084:VIL131084 VSF131084:VSH131084 WCB131084:WCD131084 WLX131084:WLZ131084 WVT131084:WVV131084 JH196620:JJ196620 TD196620:TF196620 ACZ196620:ADB196620 AMV196620:AMX196620 AWR196620:AWT196620 BGN196620:BGP196620 BQJ196620:BQL196620 CAF196620:CAH196620 CKB196620:CKD196620 CTX196620:CTZ196620 DDT196620:DDV196620 DNP196620:DNR196620 DXL196620:DXN196620 EHH196620:EHJ196620 ERD196620:ERF196620 FAZ196620:FBB196620 FKV196620:FKX196620 FUR196620:FUT196620 GEN196620:GEP196620 GOJ196620:GOL196620 GYF196620:GYH196620 HIB196620:HID196620 HRX196620:HRZ196620 IBT196620:IBV196620 ILP196620:ILR196620 IVL196620:IVN196620 JFH196620:JFJ196620 JPD196620:JPF196620 JYZ196620:JZB196620 KIV196620:KIX196620 KSR196620:KST196620 LCN196620:LCP196620 LMJ196620:LML196620 LWF196620:LWH196620 MGB196620:MGD196620 MPX196620:MPZ196620 MZT196620:MZV196620 NJP196620:NJR196620 NTL196620:NTN196620 ODH196620:ODJ196620 OND196620:ONF196620 OWZ196620:OXB196620 PGV196620:PGX196620 PQR196620:PQT196620 QAN196620:QAP196620 QKJ196620:QKL196620 QUF196620:QUH196620 REB196620:RED196620 RNX196620:RNZ196620 RXT196620:RXV196620 SHP196620:SHR196620 SRL196620:SRN196620 TBH196620:TBJ196620 TLD196620:TLF196620 TUZ196620:TVB196620 UEV196620:UEX196620 UOR196620:UOT196620 UYN196620:UYP196620 VIJ196620:VIL196620 VSF196620:VSH196620 WCB196620:WCD196620 WLX196620:WLZ196620 WVT196620:WVV196620 JH262156:JJ262156 TD262156:TF262156 ACZ262156:ADB262156 AMV262156:AMX262156 AWR262156:AWT262156 BGN262156:BGP262156 BQJ262156:BQL262156 CAF262156:CAH262156 CKB262156:CKD262156 CTX262156:CTZ262156 DDT262156:DDV262156 DNP262156:DNR262156 DXL262156:DXN262156 EHH262156:EHJ262156 ERD262156:ERF262156 FAZ262156:FBB262156 FKV262156:FKX262156 FUR262156:FUT262156 GEN262156:GEP262156 GOJ262156:GOL262156 GYF262156:GYH262156 HIB262156:HID262156 HRX262156:HRZ262156 IBT262156:IBV262156 ILP262156:ILR262156 IVL262156:IVN262156 JFH262156:JFJ262156 JPD262156:JPF262156 JYZ262156:JZB262156 KIV262156:KIX262156 KSR262156:KST262156 LCN262156:LCP262156 LMJ262156:LML262156 LWF262156:LWH262156 MGB262156:MGD262156 MPX262156:MPZ262156 MZT262156:MZV262156 NJP262156:NJR262156 NTL262156:NTN262156 ODH262156:ODJ262156 OND262156:ONF262156 OWZ262156:OXB262156 PGV262156:PGX262156 PQR262156:PQT262156 QAN262156:QAP262156 QKJ262156:QKL262156 QUF262156:QUH262156 REB262156:RED262156 RNX262156:RNZ262156 RXT262156:RXV262156 SHP262156:SHR262156 SRL262156:SRN262156 TBH262156:TBJ262156 TLD262156:TLF262156 TUZ262156:TVB262156 UEV262156:UEX262156 UOR262156:UOT262156 UYN262156:UYP262156 VIJ262156:VIL262156 VSF262156:VSH262156 WCB262156:WCD262156 WLX262156:WLZ262156 WVT262156:WVV262156 JH327692:JJ327692 TD327692:TF327692 ACZ327692:ADB327692 AMV327692:AMX327692 AWR327692:AWT327692 BGN327692:BGP327692 BQJ327692:BQL327692 CAF327692:CAH327692 CKB327692:CKD327692 CTX327692:CTZ327692 DDT327692:DDV327692 DNP327692:DNR327692 DXL327692:DXN327692 EHH327692:EHJ327692 ERD327692:ERF327692 FAZ327692:FBB327692 FKV327692:FKX327692 FUR327692:FUT327692 GEN327692:GEP327692 GOJ327692:GOL327692 GYF327692:GYH327692 HIB327692:HID327692 HRX327692:HRZ327692 IBT327692:IBV327692 ILP327692:ILR327692 IVL327692:IVN327692 JFH327692:JFJ327692 JPD327692:JPF327692 JYZ327692:JZB327692 KIV327692:KIX327692 KSR327692:KST327692 LCN327692:LCP327692 LMJ327692:LML327692 LWF327692:LWH327692 MGB327692:MGD327692 MPX327692:MPZ327692 MZT327692:MZV327692 NJP327692:NJR327692 NTL327692:NTN327692 ODH327692:ODJ327692 OND327692:ONF327692 OWZ327692:OXB327692 PGV327692:PGX327692 PQR327692:PQT327692 QAN327692:QAP327692 QKJ327692:QKL327692 QUF327692:QUH327692 REB327692:RED327692 RNX327692:RNZ327692 RXT327692:RXV327692 SHP327692:SHR327692 SRL327692:SRN327692 TBH327692:TBJ327692 TLD327692:TLF327692 TUZ327692:TVB327692 UEV327692:UEX327692 UOR327692:UOT327692 UYN327692:UYP327692 VIJ327692:VIL327692 VSF327692:VSH327692 WCB327692:WCD327692 WLX327692:WLZ327692 WVT327692:WVV327692 JH393228:JJ393228 TD393228:TF393228 ACZ393228:ADB393228 AMV393228:AMX393228 AWR393228:AWT393228 BGN393228:BGP393228 BQJ393228:BQL393228 CAF393228:CAH393228 CKB393228:CKD393228 CTX393228:CTZ393228 DDT393228:DDV393228 DNP393228:DNR393228 DXL393228:DXN393228 EHH393228:EHJ393228 ERD393228:ERF393228 FAZ393228:FBB393228 FKV393228:FKX393228 FUR393228:FUT393228 GEN393228:GEP393228 GOJ393228:GOL393228 GYF393228:GYH393228 HIB393228:HID393228 HRX393228:HRZ393228 IBT393228:IBV393228 ILP393228:ILR393228 IVL393228:IVN393228 JFH393228:JFJ393228 JPD393228:JPF393228 JYZ393228:JZB393228 KIV393228:KIX393228 KSR393228:KST393228 LCN393228:LCP393228 LMJ393228:LML393228 LWF393228:LWH393228 MGB393228:MGD393228 MPX393228:MPZ393228 MZT393228:MZV393228 NJP393228:NJR393228 NTL393228:NTN393228 ODH393228:ODJ393228 OND393228:ONF393228 OWZ393228:OXB393228 PGV393228:PGX393228 PQR393228:PQT393228 QAN393228:QAP393228 QKJ393228:QKL393228 QUF393228:QUH393228 REB393228:RED393228 RNX393228:RNZ393228 RXT393228:RXV393228 SHP393228:SHR393228 SRL393228:SRN393228 TBH393228:TBJ393228 TLD393228:TLF393228 TUZ393228:TVB393228 UEV393228:UEX393228 UOR393228:UOT393228 UYN393228:UYP393228 VIJ393228:VIL393228 VSF393228:VSH393228 WCB393228:WCD393228 WLX393228:WLZ393228 WVT393228:WVV393228 JH458764:JJ458764 TD458764:TF458764 ACZ458764:ADB458764 AMV458764:AMX458764 AWR458764:AWT458764 BGN458764:BGP458764 BQJ458764:BQL458764 CAF458764:CAH458764 CKB458764:CKD458764 CTX458764:CTZ458764 DDT458764:DDV458764 DNP458764:DNR458764 DXL458764:DXN458764 EHH458764:EHJ458764 ERD458764:ERF458764 FAZ458764:FBB458764 FKV458764:FKX458764 FUR458764:FUT458764 GEN458764:GEP458764 GOJ458764:GOL458764 GYF458764:GYH458764 HIB458764:HID458764 HRX458764:HRZ458764 IBT458764:IBV458764 ILP458764:ILR458764 IVL458764:IVN458764 JFH458764:JFJ458764 JPD458764:JPF458764 JYZ458764:JZB458764 KIV458764:KIX458764 KSR458764:KST458764 LCN458764:LCP458764 LMJ458764:LML458764 LWF458764:LWH458764 MGB458764:MGD458764 MPX458764:MPZ458764 MZT458764:MZV458764 NJP458764:NJR458764 NTL458764:NTN458764 ODH458764:ODJ458764 OND458764:ONF458764 OWZ458764:OXB458764 PGV458764:PGX458764 PQR458764:PQT458764 QAN458764:QAP458764 QKJ458764:QKL458764 QUF458764:QUH458764 REB458764:RED458764 RNX458764:RNZ458764 RXT458764:RXV458764 SHP458764:SHR458764 SRL458764:SRN458764 TBH458764:TBJ458764 TLD458764:TLF458764 TUZ458764:TVB458764 UEV458764:UEX458764 UOR458764:UOT458764 UYN458764:UYP458764 VIJ458764:VIL458764 VSF458764:VSH458764 WCB458764:WCD458764 WLX458764:WLZ458764 WVT458764:WVV458764 JH524300:JJ524300 TD524300:TF524300 ACZ524300:ADB524300 AMV524300:AMX524300 AWR524300:AWT524300 BGN524300:BGP524300 BQJ524300:BQL524300 CAF524300:CAH524300 CKB524300:CKD524300 CTX524300:CTZ524300 DDT524300:DDV524300 DNP524300:DNR524300 DXL524300:DXN524300 EHH524300:EHJ524300 ERD524300:ERF524300 FAZ524300:FBB524300 FKV524300:FKX524300 FUR524300:FUT524300 GEN524300:GEP524300 GOJ524300:GOL524300 GYF524300:GYH524300 HIB524300:HID524300 HRX524300:HRZ524300 IBT524300:IBV524300 ILP524300:ILR524300 IVL524300:IVN524300 JFH524300:JFJ524300 JPD524300:JPF524300 JYZ524300:JZB524300 KIV524300:KIX524300 KSR524300:KST524300 LCN524300:LCP524300 LMJ524300:LML524300 LWF524300:LWH524300 MGB524300:MGD524300 MPX524300:MPZ524300 MZT524300:MZV524300 NJP524300:NJR524300 NTL524300:NTN524300 ODH524300:ODJ524300 OND524300:ONF524300 OWZ524300:OXB524300 PGV524300:PGX524300 PQR524300:PQT524300 QAN524300:QAP524300 QKJ524300:QKL524300 QUF524300:QUH524300 REB524300:RED524300 RNX524300:RNZ524300 RXT524300:RXV524300 SHP524300:SHR524300 SRL524300:SRN524300 TBH524300:TBJ524300 TLD524300:TLF524300 TUZ524300:TVB524300 UEV524300:UEX524300 UOR524300:UOT524300 UYN524300:UYP524300 VIJ524300:VIL524300 VSF524300:VSH524300 WCB524300:WCD524300 WLX524300:WLZ524300 WVT524300:WVV524300 JH589836:JJ589836 TD589836:TF589836 ACZ589836:ADB589836 AMV589836:AMX589836 AWR589836:AWT589836 BGN589836:BGP589836 BQJ589836:BQL589836 CAF589836:CAH589836 CKB589836:CKD589836 CTX589836:CTZ589836 DDT589836:DDV589836 DNP589836:DNR589836 DXL589836:DXN589836 EHH589836:EHJ589836 ERD589836:ERF589836 FAZ589836:FBB589836 FKV589836:FKX589836 FUR589836:FUT589836 GEN589836:GEP589836 GOJ589836:GOL589836 GYF589836:GYH589836 HIB589836:HID589836 HRX589836:HRZ589836 IBT589836:IBV589836 ILP589836:ILR589836 IVL589836:IVN589836 JFH589836:JFJ589836 JPD589836:JPF589836 JYZ589836:JZB589836 KIV589836:KIX589836 KSR589836:KST589836 LCN589836:LCP589836 LMJ589836:LML589836 LWF589836:LWH589836 MGB589836:MGD589836 MPX589836:MPZ589836 MZT589836:MZV589836 NJP589836:NJR589836 NTL589836:NTN589836 ODH589836:ODJ589836 OND589836:ONF589836 OWZ589836:OXB589836 PGV589836:PGX589836 PQR589836:PQT589836 QAN589836:QAP589836 QKJ589836:QKL589836 QUF589836:QUH589836 REB589836:RED589836 RNX589836:RNZ589836 RXT589836:RXV589836 SHP589836:SHR589836 SRL589836:SRN589836 TBH589836:TBJ589836 TLD589836:TLF589836 TUZ589836:TVB589836 UEV589836:UEX589836 UOR589836:UOT589836 UYN589836:UYP589836 VIJ589836:VIL589836 VSF589836:VSH589836 WCB589836:WCD589836 WLX589836:WLZ589836 WVT589836:WVV589836 JH655372:JJ655372 TD655372:TF655372 ACZ655372:ADB655372 AMV655372:AMX655372 AWR655372:AWT655372 BGN655372:BGP655372 BQJ655372:BQL655372 CAF655372:CAH655372 CKB655372:CKD655372 CTX655372:CTZ655372 DDT655372:DDV655372 DNP655372:DNR655372 DXL655372:DXN655372 EHH655372:EHJ655372 ERD655372:ERF655372 FAZ655372:FBB655372 FKV655372:FKX655372 FUR655372:FUT655372 GEN655372:GEP655372 GOJ655372:GOL655372 GYF655372:GYH655372 HIB655372:HID655372 HRX655372:HRZ655372 IBT655372:IBV655372 ILP655372:ILR655372 IVL655372:IVN655372 JFH655372:JFJ655372 JPD655372:JPF655372 JYZ655372:JZB655372 KIV655372:KIX655372 KSR655372:KST655372 LCN655372:LCP655372 LMJ655372:LML655372 LWF655372:LWH655372 MGB655372:MGD655372 MPX655372:MPZ655372 MZT655372:MZV655372 NJP655372:NJR655372 NTL655372:NTN655372 ODH655372:ODJ655372 OND655372:ONF655372 OWZ655372:OXB655372 PGV655372:PGX655372 PQR655372:PQT655372 QAN655372:QAP655372 QKJ655372:QKL655372 QUF655372:QUH655372 REB655372:RED655372 RNX655372:RNZ655372 RXT655372:RXV655372 SHP655372:SHR655372 SRL655372:SRN655372 TBH655372:TBJ655372 TLD655372:TLF655372 TUZ655372:TVB655372 UEV655372:UEX655372 UOR655372:UOT655372 UYN655372:UYP655372 VIJ655372:VIL655372 VSF655372:VSH655372 WCB655372:WCD655372 WLX655372:WLZ655372 WVT655372:WVV655372 JH720908:JJ720908 TD720908:TF720908 ACZ720908:ADB720908 AMV720908:AMX720908 AWR720908:AWT720908 BGN720908:BGP720908 BQJ720908:BQL720908 CAF720908:CAH720908 CKB720908:CKD720908 CTX720908:CTZ720908 DDT720908:DDV720908 DNP720908:DNR720908 DXL720908:DXN720908 EHH720908:EHJ720908 ERD720908:ERF720908 FAZ720908:FBB720908 FKV720908:FKX720908 FUR720908:FUT720908 GEN720908:GEP720908 GOJ720908:GOL720908 GYF720908:GYH720908 HIB720908:HID720908 HRX720908:HRZ720908 IBT720908:IBV720908 ILP720908:ILR720908 IVL720908:IVN720908 JFH720908:JFJ720908 JPD720908:JPF720908 JYZ720908:JZB720908 KIV720908:KIX720908 KSR720908:KST720908 LCN720908:LCP720908 LMJ720908:LML720908 LWF720908:LWH720908 MGB720908:MGD720908 MPX720908:MPZ720908 MZT720908:MZV720908 NJP720908:NJR720908 NTL720908:NTN720908 ODH720908:ODJ720908 OND720908:ONF720908 OWZ720908:OXB720908 PGV720908:PGX720908 PQR720908:PQT720908 QAN720908:QAP720908 QKJ720908:QKL720908 QUF720908:QUH720908 REB720908:RED720908 RNX720908:RNZ720908 RXT720908:RXV720908 SHP720908:SHR720908 SRL720908:SRN720908 TBH720908:TBJ720908 TLD720908:TLF720908 TUZ720908:TVB720908 UEV720908:UEX720908 UOR720908:UOT720908 UYN720908:UYP720908 VIJ720908:VIL720908 VSF720908:VSH720908 WCB720908:WCD720908 WLX720908:WLZ720908 WVT720908:WVV720908 JH786444:JJ786444 TD786444:TF786444 ACZ786444:ADB786444 AMV786444:AMX786444 AWR786444:AWT786444 BGN786444:BGP786444 BQJ786444:BQL786444 CAF786444:CAH786444 CKB786444:CKD786444 CTX786444:CTZ786444 DDT786444:DDV786444 DNP786444:DNR786444 DXL786444:DXN786444 EHH786444:EHJ786444 ERD786444:ERF786444 FAZ786444:FBB786444 FKV786444:FKX786444 FUR786444:FUT786444 GEN786444:GEP786444 GOJ786444:GOL786444 GYF786444:GYH786444 HIB786444:HID786444 HRX786444:HRZ786444 IBT786444:IBV786444 ILP786444:ILR786444 IVL786444:IVN786444 JFH786444:JFJ786444 JPD786444:JPF786444 JYZ786444:JZB786444 KIV786444:KIX786444 KSR786444:KST786444 LCN786444:LCP786444 LMJ786444:LML786444 LWF786444:LWH786444 MGB786444:MGD786444 MPX786444:MPZ786444 MZT786444:MZV786444 NJP786444:NJR786444 NTL786444:NTN786444 ODH786444:ODJ786444 OND786444:ONF786444 OWZ786444:OXB786444 PGV786444:PGX786444 PQR786444:PQT786444 QAN786444:QAP786444 QKJ786444:QKL786444 QUF786444:QUH786444 REB786444:RED786444 RNX786444:RNZ786444 RXT786444:RXV786444 SHP786444:SHR786444 SRL786444:SRN786444 TBH786444:TBJ786444 TLD786444:TLF786444 TUZ786444:TVB786444 UEV786444:UEX786444 UOR786444:UOT786444 UYN786444:UYP786444 VIJ786444:VIL786444 VSF786444:VSH786444 WCB786444:WCD786444 WLX786444:WLZ786444 WVT786444:WVV786444 JH851980:JJ851980 TD851980:TF851980 ACZ851980:ADB851980 AMV851980:AMX851980 AWR851980:AWT851980 BGN851980:BGP851980 BQJ851980:BQL851980 CAF851980:CAH851980 CKB851980:CKD851980 CTX851980:CTZ851980 DDT851980:DDV851980 DNP851980:DNR851980 DXL851980:DXN851980 EHH851980:EHJ851980 ERD851980:ERF851980 FAZ851980:FBB851980 FKV851980:FKX851980 FUR851980:FUT851980 GEN851980:GEP851980 GOJ851980:GOL851980 GYF851980:GYH851980 HIB851980:HID851980 HRX851980:HRZ851980 IBT851980:IBV851980 ILP851980:ILR851980 IVL851980:IVN851980 JFH851980:JFJ851980 JPD851980:JPF851980 JYZ851980:JZB851980 KIV851980:KIX851980 KSR851980:KST851980 LCN851980:LCP851980 LMJ851980:LML851980 LWF851980:LWH851980 MGB851980:MGD851980 MPX851980:MPZ851980 MZT851980:MZV851980 NJP851980:NJR851980 NTL851980:NTN851980 ODH851980:ODJ851980 OND851980:ONF851980 OWZ851980:OXB851980 PGV851980:PGX851980 PQR851980:PQT851980 QAN851980:QAP851980 QKJ851980:QKL851980 QUF851980:QUH851980 REB851980:RED851980 RNX851980:RNZ851980 RXT851980:RXV851980 SHP851980:SHR851980 SRL851980:SRN851980 TBH851980:TBJ851980 TLD851980:TLF851980 TUZ851980:TVB851980 UEV851980:UEX851980 UOR851980:UOT851980 UYN851980:UYP851980 VIJ851980:VIL851980 VSF851980:VSH851980 WCB851980:WCD851980 WLX851980:WLZ851980 WVT851980:WVV851980 JH917516:JJ917516 TD917516:TF917516 ACZ917516:ADB917516 AMV917516:AMX917516 AWR917516:AWT917516 BGN917516:BGP917516 BQJ917516:BQL917516 CAF917516:CAH917516 CKB917516:CKD917516 CTX917516:CTZ917516 DDT917516:DDV917516 DNP917516:DNR917516 DXL917516:DXN917516 EHH917516:EHJ917516 ERD917516:ERF917516 FAZ917516:FBB917516 FKV917516:FKX917516 FUR917516:FUT917516 GEN917516:GEP917516 GOJ917516:GOL917516 GYF917516:GYH917516 HIB917516:HID917516 HRX917516:HRZ917516 IBT917516:IBV917516 ILP917516:ILR917516 IVL917516:IVN917516 JFH917516:JFJ917516 JPD917516:JPF917516 JYZ917516:JZB917516 KIV917516:KIX917516 KSR917516:KST917516 LCN917516:LCP917516 LMJ917516:LML917516 LWF917516:LWH917516 MGB917516:MGD917516 MPX917516:MPZ917516 MZT917516:MZV917516 NJP917516:NJR917516 NTL917516:NTN917516 ODH917516:ODJ917516 OND917516:ONF917516 OWZ917516:OXB917516 PGV917516:PGX917516 PQR917516:PQT917516 QAN917516:QAP917516 QKJ917516:QKL917516 QUF917516:QUH917516 REB917516:RED917516 RNX917516:RNZ917516 RXT917516:RXV917516 SHP917516:SHR917516 SRL917516:SRN917516 TBH917516:TBJ917516 TLD917516:TLF917516 TUZ917516:TVB917516 UEV917516:UEX917516 UOR917516:UOT917516 UYN917516:UYP917516 VIJ917516:VIL917516 VSF917516:VSH917516 WCB917516:WCD917516 WLX917516:WLZ917516 WVT917516:WVV917516 JH983052:JJ983052 TD983052:TF983052 ACZ983052:ADB983052 AMV983052:AMX983052 AWR983052:AWT983052 BGN983052:BGP983052 BQJ983052:BQL983052 CAF983052:CAH983052 CKB983052:CKD983052 CTX983052:CTZ983052 DDT983052:DDV983052 DNP983052:DNR983052 DXL983052:DXN983052 EHH983052:EHJ983052 ERD983052:ERF983052 FAZ983052:FBB983052 FKV983052:FKX983052 FUR983052:FUT983052 GEN983052:GEP983052 GOJ983052:GOL983052 GYF983052:GYH983052 HIB983052:HID983052 HRX983052:HRZ983052 IBT983052:IBV983052 ILP983052:ILR983052 IVL983052:IVN983052 JFH983052:JFJ983052 JPD983052:JPF983052 JYZ983052:JZB983052 KIV983052:KIX983052 KSR983052:KST983052 LCN983052:LCP983052 LMJ983052:LML983052 LWF983052:LWH983052 MGB983052:MGD983052 MPX983052:MPZ983052 MZT983052:MZV983052 NJP983052:NJR983052 NTL983052:NTN983052 ODH983052:ODJ983052 OND983052:ONF983052 OWZ983052:OXB983052 PGV983052:PGX983052 PQR983052:PQT983052 QAN983052:QAP983052 QKJ983052:QKL983052 QUF983052:QUH983052 REB983052:RED983052 RNX983052:RNZ983052 RXT983052:RXV983052 SHP983052:SHR983052 SRL983052:SRN983052 TBH983052:TBJ983052 TLD983052:TLF983052 TUZ983052:TVB983052 UEV983052:UEX983052 UOR983052:UOT983052 UYN983052:UYP983052 VIJ983052:VIL983052 VSF983052:VSH983052 B11:D13"/>
    <dataValidation allowBlank="1" showInputMessage="1" showErrorMessage="1" promptTitle="NOM ET PRENOM DU SOUSCRIPTEUR" prompt="NOM ET PRENOM DU SOUSCRIPTEUR" sqref="JH12:JJ12 B983055:D983055 B917519:D917519 B851983:D851983 B786447:D786447 B720911:D720911 B655375:D655375 B589839:D589839 B524303:D524303 B458767:D458767 B393231:D393231 B327695:D327695 B262159:D262159 B196623:D196623 B131087:D131087 B65551:D65551 TD12:TF12 ACZ12:ADB12 AMV12:AMX12 AWR12:AWT12 BGN12:BGP12 BQJ12:BQL12 CAF12:CAH12 CKB12:CKD12 CTX12:CTZ12 DDT12:DDV12 DNP12:DNR12 DXL12:DXN12 EHH12:EHJ12 ERD12:ERF12 FAZ12:FBB12 FKV12:FKX12 FUR12:FUT12 GEN12:GEP12 GOJ12:GOL12 GYF12:GYH12 HIB12:HID12 HRX12:HRZ12 IBT12:IBV12 ILP12:ILR12 IVL12:IVN12 JFH12:JFJ12 JPD12:JPF12 JYZ12:JZB12 KIV12:KIX12 KSR12:KST12 LCN12:LCP12 LMJ12:LML12 LWF12:LWH12 MGB12:MGD12 MPX12:MPZ12 MZT12:MZV12 NJP12:NJR12 NTL12:NTN12 ODH12:ODJ12 OND12:ONF12 OWZ12:OXB12 PGV12:PGX12 PQR12:PQT12 QAN12:QAP12 QKJ12:QKL12 QUF12:QUH12 REB12:RED12 RNX12:RNZ12 RXT12:RXV12 SHP12:SHR12 SRL12:SRN12 TBH12:TBJ12 TLD12:TLF12 TUZ12:TVB12 UEV12:UEX12 UOR12:UOT12 UYN12:UYP12 VIJ12:VIL12 VSF12:VSH12 WCB12:WCD12 WLX12:WLZ12 WVT12:WVV12 JH65551:JJ65551 TD65551:TF65551 ACZ65551:ADB65551 AMV65551:AMX65551 AWR65551:AWT65551 BGN65551:BGP65551 BQJ65551:BQL65551 CAF65551:CAH65551 CKB65551:CKD65551 CTX65551:CTZ65551 DDT65551:DDV65551 DNP65551:DNR65551 DXL65551:DXN65551 EHH65551:EHJ65551 ERD65551:ERF65551 FAZ65551:FBB65551 FKV65551:FKX65551 FUR65551:FUT65551 GEN65551:GEP65551 GOJ65551:GOL65551 GYF65551:GYH65551 HIB65551:HID65551 HRX65551:HRZ65551 IBT65551:IBV65551 ILP65551:ILR65551 IVL65551:IVN65551 JFH65551:JFJ65551 JPD65551:JPF65551 JYZ65551:JZB65551 KIV65551:KIX65551 KSR65551:KST65551 LCN65551:LCP65551 LMJ65551:LML65551 LWF65551:LWH65551 MGB65551:MGD65551 MPX65551:MPZ65551 MZT65551:MZV65551 NJP65551:NJR65551 NTL65551:NTN65551 ODH65551:ODJ65551 OND65551:ONF65551 OWZ65551:OXB65551 PGV65551:PGX65551 PQR65551:PQT65551 QAN65551:QAP65551 QKJ65551:QKL65551 QUF65551:QUH65551 REB65551:RED65551 RNX65551:RNZ65551 RXT65551:RXV65551 SHP65551:SHR65551 SRL65551:SRN65551 TBH65551:TBJ65551 TLD65551:TLF65551 TUZ65551:TVB65551 UEV65551:UEX65551 UOR65551:UOT65551 UYN65551:UYP65551 VIJ65551:VIL65551 VSF65551:VSH65551 WCB65551:WCD65551 WLX65551:WLZ65551 WVT65551:WVV65551 JH131087:JJ131087 TD131087:TF131087 ACZ131087:ADB131087 AMV131087:AMX131087 AWR131087:AWT131087 BGN131087:BGP131087 BQJ131087:BQL131087 CAF131087:CAH131087 CKB131087:CKD131087 CTX131087:CTZ131087 DDT131087:DDV131087 DNP131087:DNR131087 DXL131087:DXN131087 EHH131087:EHJ131087 ERD131087:ERF131087 FAZ131087:FBB131087 FKV131087:FKX131087 FUR131087:FUT131087 GEN131087:GEP131087 GOJ131087:GOL131087 GYF131087:GYH131087 HIB131087:HID131087 HRX131087:HRZ131087 IBT131087:IBV131087 ILP131087:ILR131087 IVL131087:IVN131087 JFH131087:JFJ131087 JPD131087:JPF131087 JYZ131087:JZB131087 KIV131087:KIX131087 KSR131087:KST131087 LCN131087:LCP131087 LMJ131087:LML131087 LWF131087:LWH131087 MGB131087:MGD131087 MPX131087:MPZ131087 MZT131087:MZV131087 NJP131087:NJR131087 NTL131087:NTN131087 ODH131087:ODJ131087 OND131087:ONF131087 OWZ131087:OXB131087 PGV131087:PGX131087 PQR131087:PQT131087 QAN131087:QAP131087 QKJ131087:QKL131087 QUF131087:QUH131087 REB131087:RED131087 RNX131087:RNZ131087 RXT131087:RXV131087 SHP131087:SHR131087 SRL131087:SRN131087 TBH131087:TBJ131087 TLD131087:TLF131087 TUZ131087:TVB131087 UEV131087:UEX131087 UOR131087:UOT131087 UYN131087:UYP131087 VIJ131087:VIL131087 VSF131087:VSH131087 WCB131087:WCD131087 WLX131087:WLZ131087 WVT131087:WVV131087 JH196623:JJ196623 TD196623:TF196623 ACZ196623:ADB196623 AMV196623:AMX196623 AWR196623:AWT196623 BGN196623:BGP196623 BQJ196623:BQL196623 CAF196623:CAH196623 CKB196623:CKD196623 CTX196623:CTZ196623 DDT196623:DDV196623 DNP196623:DNR196623 DXL196623:DXN196623 EHH196623:EHJ196623 ERD196623:ERF196623 FAZ196623:FBB196623 FKV196623:FKX196623 FUR196623:FUT196623 GEN196623:GEP196623 GOJ196623:GOL196623 GYF196623:GYH196623 HIB196623:HID196623 HRX196623:HRZ196623 IBT196623:IBV196623 ILP196623:ILR196623 IVL196623:IVN196623 JFH196623:JFJ196623 JPD196623:JPF196623 JYZ196623:JZB196623 KIV196623:KIX196623 KSR196623:KST196623 LCN196623:LCP196623 LMJ196623:LML196623 LWF196623:LWH196623 MGB196623:MGD196623 MPX196623:MPZ196623 MZT196623:MZV196623 NJP196623:NJR196623 NTL196623:NTN196623 ODH196623:ODJ196623 OND196623:ONF196623 OWZ196623:OXB196623 PGV196623:PGX196623 PQR196623:PQT196623 QAN196623:QAP196623 QKJ196623:QKL196623 QUF196623:QUH196623 REB196623:RED196623 RNX196623:RNZ196623 RXT196623:RXV196623 SHP196623:SHR196623 SRL196623:SRN196623 TBH196623:TBJ196623 TLD196623:TLF196623 TUZ196623:TVB196623 UEV196623:UEX196623 UOR196623:UOT196623 UYN196623:UYP196623 VIJ196623:VIL196623 VSF196623:VSH196623 WCB196623:WCD196623 WLX196623:WLZ196623 WVT196623:WVV196623 JH262159:JJ262159 TD262159:TF262159 ACZ262159:ADB262159 AMV262159:AMX262159 AWR262159:AWT262159 BGN262159:BGP262159 BQJ262159:BQL262159 CAF262159:CAH262159 CKB262159:CKD262159 CTX262159:CTZ262159 DDT262159:DDV262159 DNP262159:DNR262159 DXL262159:DXN262159 EHH262159:EHJ262159 ERD262159:ERF262159 FAZ262159:FBB262159 FKV262159:FKX262159 FUR262159:FUT262159 GEN262159:GEP262159 GOJ262159:GOL262159 GYF262159:GYH262159 HIB262159:HID262159 HRX262159:HRZ262159 IBT262159:IBV262159 ILP262159:ILR262159 IVL262159:IVN262159 JFH262159:JFJ262159 JPD262159:JPF262159 JYZ262159:JZB262159 KIV262159:KIX262159 KSR262159:KST262159 LCN262159:LCP262159 LMJ262159:LML262159 LWF262159:LWH262159 MGB262159:MGD262159 MPX262159:MPZ262159 MZT262159:MZV262159 NJP262159:NJR262159 NTL262159:NTN262159 ODH262159:ODJ262159 OND262159:ONF262159 OWZ262159:OXB262159 PGV262159:PGX262159 PQR262159:PQT262159 QAN262159:QAP262159 QKJ262159:QKL262159 QUF262159:QUH262159 REB262159:RED262159 RNX262159:RNZ262159 RXT262159:RXV262159 SHP262159:SHR262159 SRL262159:SRN262159 TBH262159:TBJ262159 TLD262159:TLF262159 TUZ262159:TVB262159 UEV262159:UEX262159 UOR262159:UOT262159 UYN262159:UYP262159 VIJ262159:VIL262159 VSF262159:VSH262159 WCB262159:WCD262159 WLX262159:WLZ262159 WVT262159:WVV262159 JH327695:JJ327695 TD327695:TF327695 ACZ327695:ADB327695 AMV327695:AMX327695 AWR327695:AWT327695 BGN327695:BGP327695 BQJ327695:BQL327695 CAF327695:CAH327695 CKB327695:CKD327695 CTX327695:CTZ327695 DDT327695:DDV327695 DNP327695:DNR327695 DXL327695:DXN327695 EHH327695:EHJ327695 ERD327695:ERF327695 FAZ327695:FBB327695 FKV327695:FKX327695 FUR327695:FUT327695 GEN327695:GEP327695 GOJ327695:GOL327695 GYF327695:GYH327695 HIB327695:HID327695 HRX327695:HRZ327695 IBT327695:IBV327695 ILP327695:ILR327695 IVL327695:IVN327695 JFH327695:JFJ327695 JPD327695:JPF327695 JYZ327695:JZB327695 KIV327695:KIX327695 KSR327695:KST327695 LCN327695:LCP327695 LMJ327695:LML327695 LWF327695:LWH327695 MGB327695:MGD327695 MPX327695:MPZ327695 MZT327695:MZV327695 NJP327695:NJR327695 NTL327695:NTN327695 ODH327695:ODJ327695 OND327695:ONF327695 OWZ327695:OXB327695 PGV327695:PGX327695 PQR327695:PQT327695 QAN327695:QAP327695 QKJ327695:QKL327695 QUF327695:QUH327695 REB327695:RED327695 RNX327695:RNZ327695 RXT327695:RXV327695 SHP327695:SHR327695 SRL327695:SRN327695 TBH327695:TBJ327695 TLD327695:TLF327695 TUZ327695:TVB327695 UEV327695:UEX327695 UOR327695:UOT327695 UYN327695:UYP327695 VIJ327695:VIL327695 VSF327695:VSH327695 WCB327695:WCD327695 WLX327695:WLZ327695 WVT327695:WVV327695 JH393231:JJ393231 TD393231:TF393231 ACZ393231:ADB393231 AMV393231:AMX393231 AWR393231:AWT393231 BGN393231:BGP393231 BQJ393231:BQL393231 CAF393231:CAH393231 CKB393231:CKD393231 CTX393231:CTZ393231 DDT393231:DDV393231 DNP393231:DNR393231 DXL393231:DXN393231 EHH393231:EHJ393231 ERD393231:ERF393231 FAZ393231:FBB393231 FKV393231:FKX393231 FUR393231:FUT393231 GEN393231:GEP393231 GOJ393231:GOL393231 GYF393231:GYH393231 HIB393231:HID393231 HRX393231:HRZ393231 IBT393231:IBV393231 ILP393231:ILR393231 IVL393231:IVN393231 JFH393231:JFJ393231 JPD393231:JPF393231 JYZ393231:JZB393231 KIV393231:KIX393231 KSR393231:KST393231 LCN393231:LCP393231 LMJ393231:LML393231 LWF393231:LWH393231 MGB393231:MGD393231 MPX393231:MPZ393231 MZT393231:MZV393231 NJP393231:NJR393231 NTL393231:NTN393231 ODH393231:ODJ393231 OND393231:ONF393231 OWZ393231:OXB393231 PGV393231:PGX393231 PQR393231:PQT393231 QAN393231:QAP393231 QKJ393231:QKL393231 QUF393231:QUH393231 REB393231:RED393231 RNX393231:RNZ393231 RXT393231:RXV393231 SHP393231:SHR393231 SRL393231:SRN393231 TBH393231:TBJ393231 TLD393231:TLF393231 TUZ393231:TVB393231 UEV393231:UEX393231 UOR393231:UOT393231 UYN393231:UYP393231 VIJ393231:VIL393231 VSF393231:VSH393231 WCB393231:WCD393231 WLX393231:WLZ393231 WVT393231:WVV393231 JH458767:JJ458767 TD458767:TF458767 ACZ458767:ADB458767 AMV458767:AMX458767 AWR458767:AWT458767 BGN458767:BGP458767 BQJ458767:BQL458767 CAF458767:CAH458767 CKB458767:CKD458767 CTX458767:CTZ458767 DDT458767:DDV458767 DNP458767:DNR458767 DXL458767:DXN458767 EHH458767:EHJ458767 ERD458767:ERF458767 FAZ458767:FBB458767 FKV458767:FKX458767 FUR458767:FUT458767 GEN458767:GEP458767 GOJ458767:GOL458767 GYF458767:GYH458767 HIB458767:HID458767 HRX458767:HRZ458767 IBT458767:IBV458767 ILP458767:ILR458767 IVL458767:IVN458767 JFH458767:JFJ458767 JPD458767:JPF458767 JYZ458767:JZB458767 KIV458767:KIX458767 KSR458767:KST458767 LCN458767:LCP458767 LMJ458767:LML458767 LWF458767:LWH458767 MGB458767:MGD458767 MPX458767:MPZ458767 MZT458767:MZV458767 NJP458767:NJR458767 NTL458767:NTN458767 ODH458767:ODJ458767 OND458767:ONF458767 OWZ458767:OXB458767 PGV458767:PGX458767 PQR458767:PQT458767 QAN458767:QAP458767 QKJ458767:QKL458767 QUF458767:QUH458767 REB458767:RED458767 RNX458767:RNZ458767 RXT458767:RXV458767 SHP458767:SHR458767 SRL458767:SRN458767 TBH458767:TBJ458767 TLD458767:TLF458767 TUZ458767:TVB458767 UEV458767:UEX458767 UOR458767:UOT458767 UYN458767:UYP458767 VIJ458767:VIL458767 VSF458767:VSH458767 WCB458767:WCD458767 WLX458767:WLZ458767 WVT458767:WVV458767 JH524303:JJ524303 TD524303:TF524303 ACZ524303:ADB524303 AMV524303:AMX524303 AWR524303:AWT524303 BGN524303:BGP524303 BQJ524303:BQL524303 CAF524303:CAH524303 CKB524303:CKD524303 CTX524303:CTZ524303 DDT524303:DDV524303 DNP524303:DNR524303 DXL524303:DXN524303 EHH524303:EHJ524303 ERD524303:ERF524303 FAZ524303:FBB524303 FKV524303:FKX524303 FUR524303:FUT524303 GEN524303:GEP524303 GOJ524303:GOL524303 GYF524303:GYH524303 HIB524303:HID524303 HRX524303:HRZ524303 IBT524303:IBV524303 ILP524303:ILR524303 IVL524303:IVN524303 JFH524303:JFJ524303 JPD524303:JPF524303 JYZ524303:JZB524303 KIV524303:KIX524303 KSR524303:KST524303 LCN524303:LCP524303 LMJ524303:LML524303 LWF524303:LWH524303 MGB524303:MGD524303 MPX524303:MPZ524303 MZT524303:MZV524303 NJP524303:NJR524303 NTL524303:NTN524303 ODH524303:ODJ524303 OND524303:ONF524303 OWZ524303:OXB524303 PGV524303:PGX524303 PQR524303:PQT524303 QAN524303:QAP524303 QKJ524303:QKL524303 QUF524303:QUH524303 REB524303:RED524303 RNX524303:RNZ524303 RXT524303:RXV524303 SHP524303:SHR524303 SRL524303:SRN524303 TBH524303:TBJ524303 TLD524303:TLF524303 TUZ524303:TVB524303 UEV524303:UEX524303 UOR524303:UOT524303 UYN524303:UYP524303 VIJ524303:VIL524303 VSF524303:VSH524303 WCB524303:WCD524303 WLX524303:WLZ524303 WVT524303:WVV524303 JH589839:JJ589839 TD589839:TF589839 ACZ589839:ADB589839 AMV589839:AMX589839 AWR589839:AWT589839 BGN589839:BGP589839 BQJ589839:BQL589839 CAF589839:CAH589839 CKB589839:CKD589839 CTX589839:CTZ589839 DDT589839:DDV589839 DNP589839:DNR589839 DXL589839:DXN589839 EHH589839:EHJ589839 ERD589839:ERF589839 FAZ589839:FBB589839 FKV589839:FKX589839 FUR589839:FUT589839 GEN589839:GEP589839 GOJ589839:GOL589839 GYF589839:GYH589839 HIB589839:HID589839 HRX589839:HRZ589839 IBT589839:IBV589839 ILP589839:ILR589839 IVL589839:IVN589839 JFH589839:JFJ589839 JPD589839:JPF589839 JYZ589839:JZB589839 KIV589839:KIX589839 KSR589839:KST589839 LCN589839:LCP589839 LMJ589839:LML589839 LWF589839:LWH589839 MGB589839:MGD589839 MPX589839:MPZ589839 MZT589839:MZV589839 NJP589839:NJR589839 NTL589839:NTN589839 ODH589839:ODJ589839 OND589839:ONF589839 OWZ589839:OXB589839 PGV589839:PGX589839 PQR589839:PQT589839 QAN589839:QAP589839 QKJ589839:QKL589839 QUF589839:QUH589839 REB589839:RED589839 RNX589839:RNZ589839 RXT589839:RXV589839 SHP589839:SHR589839 SRL589839:SRN589839 TBH589839:TBJ589839 TLD589839:TLF589839 TUZ589839:TVB589839 UEV589839:UEX589839 UOR589839:UOT589839 UYN589839:UYP589839 VIJ589839:VIL589839 VSF589839:VSH589839 WCB589839:WCD589839 WLX589839:WLZ589839 WVT589839:WVV589839 JH655375:JJ655375 TD655375:TF655375 ACZ655375:ADB655375 AMV655375:AMX655375 AWR655375:AWT655375 BGN655375:BGP655375 BQJ655375:BQL655375 CAF655375:CAH655375 CKB655375:CKD655375 CTX655375:CTZ655375 DDT655375:DDV655375 DNP655375:DNR655375 DXL655375:DXN655375 EHH655375:EHJ655375 ERD655375:ERF655375 FAZ655375:FBB655375 FKV655375:FKX655375 FUR655375:FUT655375 GEN655375:GEP655375 GOJ655375:GOL655375 GYF655375:GYH655375 HIB655375:HID655375 HRX655375:HRZ655375 IBT655375:IBV655375 ILP655375:ILR655375 IVL655375:IVN655375 JFH655375:JFJ655375 JPD655375:JPF655375 JYZ655375:JZB655375 KIV655375:KIX655375 KSR655375:KST655375 LCN655375:LCP655375 LMJ655375:LML655375 LWF655375:LWH655375 MGB655375:MGD655375 MPX655375:MPZ655375 MZT655375:MZV655375 NJP655375:NJR655375 NTL655375:NTN655375 ODH655375:ODJ655375 OND655375:ONF655375 OWZ655375:OXB655375 PGV655375:PGX655375 PQR655375:PQT655375 QAN655375:QAP655375 QKJ655375:QKL655375 QUF655375:QUH655375 REB655375:RED655375 RNX655375:RNZ655375 RXT655375:RXV655375 SHP655375:SHR655375 SRL655375:SRN655375 TBH655375:TBJ655375 TLD655375:TLF655375 TUZ655375:TVB655375 UEV655375:UEX655375 UOR655375:UOT655375 UYN655375:UYP655375 VIJ655375:VIL655375 VSF655375:VSH655375 WCB655375:WCD655375 WLX655375:WLZ655375 WVT655375:WVV655375 JH720911:JJ720911 TD720911:TF720911 ACZ720911:ADB720911 AMV720911:AMX720911 AWR720911:AWT720911 BGN720911:BGP720911 BQJ720911:BQL720911 CAF720911:CAH720911 CKB720911:CKD720911 CTX720911:CTZ720911 DDT720911:DDV720911 DNP720911:DNR720911 DXL720911:DXN720911 EHH720911:EHJ720911 ERD720911:ERF720911 FAZ720911:FBB720911 FKV720911:FKX720911 FUR720911:FUT720911 GEN720911:GEP720911 GOJ720911:GOL720911 GYF720911:GYH720911 HIB720911:HID720911 HRX720911:HRZ720911 IBT720911:IBV720911 ILP720911:ILR720911 IVL720911:IVN720911 JFH720911:JFJ720911 JPD720911:JPF720911 JYZ720911:JZB720911 KIV720911:KIX720911 KSR720911:KST720911 LCN720911:LCP720911 LMJ720911:LML720911 LWF720911:LWH720911 MGB720911:MGD720911 MPX720911:MPZ720911 MZT720911:MZV720911 NJP720911:NJR720911 NTL720911:NTN720911 ODH720911:ODJ720911 OND720911:ONF720911 OWZ720911:OXB720911 PGV720911:PGX720911 PQR720911:PQT720911 QAN720911:QAP720911 QKJ720911:QKL720911 QUF720911:QUH720911 REB720911:RED720911 RNX720911:RNZ720911 RXT720911:RXV720911 SHP720911:SHR720911 SRL720911:SRN720911 TBH720911:TBJ720911 TLD720911:TLF720911 TUZ720911:TVB720911 UEV720911:UEX720911 UOR720911:UOT720911 UYN720911:UYP720911 VIJ720911:VIL720911 VSF720911:VSH720911 WCB720911:WCD720911 WLX720911:WLZ720911 WVT720911:WVV720911 JH786447:JJ786447 TD786447:TF786447 ACZ786447:ADB786447 AMV786447:AMX786447 AWR786447:AWT786447 BGN786447:BGP786447 BQJ786447:BQL786447 CAF786447:CAH786447 CKB786447:CKD786447 CTX786447:CTZ786447 DDT786447:DDV786447 DNP786447:DNR786447 DXL786447:DXN786447 EHH786447:EHJ786447 ERD786447:ERF786447 FAZ786447:FBB786447 FKV786447:FKX786447 FUR786447:FUT786447 GEN786447:GEP786447 GOJ786447:GOL786447 GYF786447:GYH786447 HIB786447:HID786447 HRX786447:HRZ786447 IBT786447:IBV786447 ILP786447:ILR786447 IVL786447:IVN786447 JFH786447:JFJ786447 JPD786447:JPF786447 JYZ786447:JZB786447 KIV786447:KIX786447 KSR786447:KST786447 LCN786447:LCP786447 LMJ786447:LML786447 LWF786447:LWH786447 MGB786447:MGD786447 MPX786447:MPZ786447 MZT786447:MZV786447 NJP786447:NJR786447 NTL786447:NTN786447 ODH786447:ODJ786447 OND786447:ONF786447 OWZ786447:OXB786447 PGV786447:PGX786447 PQR786447:PQT786447 QAN786447:QAP786447 QKJ786447:QKL786447 QUF786447:QUH786447 REB786447:RED786447 RNX786447:RNZ786447 RXT786447:RXV786447 SHP786447:SHR786447 SRL786447:SRN786447 TBH786447:TBJ786447 TLD786447:TLF786447 TUZ786447:TVB786447 UEV786447:UEX786447 UOR786447:UOT786447 UYN786447:UYP786447 VIJ786447:VIL786447 VSF786447:VSH786447 WCB786447:WCD786447 WLX786447:WLZ786447 WVT786447:WVV786447 JH851983:JJ851983 TD851983:TF851983 ACZ851983:ADB851983 AMV851983:AMX851983 AWR851983:AWT851983 BGN851983:BGP851983 BQJ851983:BQL851983 CAF851983:CAH851983 CKB851983:CKD851983 CTX851983:CTZ851983 DDT851983:DDV851983 DNP851983:DNR851983 DXL851983:DXN851983 EHH851983:EHJ851983 ERD851983:ERF851983 FAZ851983:FBB851983 FKV851983:FKX851983 FUR851983:FUT851983 GEN851983:GEP851983 GOJ851983:GOL851983 GYF851983:GYH851983 HIB851983:HID851983 HRX851983:HRZ851983 IBT851983:IBV851983 ILP851983:ILR851983 IVL851983:IVN851983 JFH851983:JFJ851983 JPD851983:JPF851983 JYZ851983:JZB851983 KIV851983:KIX851983 KSR851983:KST851983 LCN851983:LCP851983 LMJ851983:LML851983 LWF851983:LWH851983 MGB851983:MGD851983 MPX851983:MPZ851983 MZT851983:MZV851983 NJP851983:NJR851983 NTL851983:NTN851983 ODH851983:ODJ851983 OND851983:ONF851983 OWZ851983:OXB851983 PGV851983:PGX851983 PQR851983:PQT851983 QAN851983:QAP851983 QKJ851983:QKL851983 QUF851983:QUH851983 REB851983:RED851983 RNX851983:RNZ851983 RXT851983:RXV851983 SHP851983:SHR851983 SRL851983:SRN851983 TBH851983:TBJ851983 TLD851983:TLF851983 TUZ851983:TVB851983 UEV851983:UEX851983 UOR851983:UOT851983 UYN851983:UYP851983 VIJ851983:VIL851983 VSF851983:VSH851983 WCB851983:WCD851983 WLX851983:WLZ851983 WVT851983:WVV851983 JH917519:JJ917519 TD917519:TF917519 ACZ917519:ADB917519 AMV917519:AMX917519 AWR917519:AWT917519 BGN917519:BGP917519 BQJ917519:BQL917519 CAF917519:CAH917519 CKB917519:CKD917519 CTX917519:CTZ917519 DDT917519:DDV917519 DNP917519:DNR917519 DXL917519:DXN917519 EHH917519:EHJ917519 ERD917519:ERF917519 FAZ917519:FBB917519 FKV917519:FKX917519 FUR917519:FUT917519 GEN917519:GEP917519 GOJ917519:GOL917519 GYF917519:GYH917519 HIB917519:HID917519 HRX917519:HRZ917519 IBT917519:IBV917519 ILP917519:ILR917519 IVL917519:IVN917519 JFH917519:JFJ917519 JPD917519:JPF917519 JYZ917519:JZB917519 KIV917519:KIX917519 KSR917519:KST917519 LCN917519:LCP917519 LMJ917519:LML917519 LWF917519:LWH917519 MGB917519:MGD917519 MPX917519:MPZ917519 MZT917519:MZV917519 NJP917519:NJR917519 NTL917519:NTN917519 ODH917519:ODJ917519 OND917519:ONF917519 OWZ917519:OXB917519 PGV917519:PGX917519 PQR917519:PQT917519 QAN917519:QAP917519 QKJ917519:QKL917519 QUF917519:QUH917519 REB917519:RED917519 RNX917519:RNZ917519 RXT917519:RXV917519 SHP917519:SHR917519 SRL917519:SRN917519 TBH917519:TBJ917519 TLD917519:TLF917519 TUZ917519:TVB917519 UEV917519:UEX917519 UOR917519:UOT917519 UYN917519:UYP917519 VIJ917519:VIL917519 VSF917519:VSH917519 WCB917519:WCD917519 WLX917519:WLZ917519 WVT917519:WVV917519 JH983055:JJ983055 TD983055:TF983055 ACZ983055:ADB983055 AMV983055:AMX983055 AWR983055:AWT983055 BGN983055:BGP983055 BQJ983055:BQL983055 CAF983055:CAH983055 CKB983055:CKD983055 CTX983055:CTZ983055 DDT983055:DDV983055 DNP983055:DNR983055 DXL983055:DXN983055 EHH983055:EHJ983055 ERD983055:ERF983055 FAZ983055:FBB983055 FKV983055:FKX983055 FUR983055:FUT983055 GEN983055:GEP983055 GOJ983055:GOL983055 GYF983055:GYH983055 HIB983055:HID983055 HRX983055:HRZ983055 IBT983055:IBV983055 ILP983055:ILR983055 IVL983055:IVN983055 JFH983055:JFJ983055 JPD983055:JPF983055 JYZ983055:JZB983055 KIV983055:KIX983055 KSR983055:KST983055 LCN983055:LCP983055 LMJ983055:LML983055 LWF983055:LWH983055 MGB983055:MGD983055 MPX983055:MPZ983055 MZT983055:MZV983055 NJP983055:NJR983055 NTL983055:NTN983055 ODH983055:ODJ983055 OND983055:ONF983055 OWZ983055:OXB983055 PGV983055:PGX983055 PQR983055:PQT983055 QAN983055:QAP983055 QKJ983055:QKL983055 QUF983055:QUH983055 REB983055:RED983055 RNX983055:RNZ983055 RXT983055:RXV983055 SHP983055:SHR983055 SRL983055:SRN983055 TBH983055:TBJ983055 TLD983055:TLF983055 TUZ983055:TVB983055 UEV983055:UEX983055 UOR983055:UOT983055 UYN983055:UYP983055 VIJ983055:VIL983055 VSF983055:VSH983055 WCB983055:WCD983055 WLX983055:WLZ983055 WVT983055:WVV983055"/>
    <dataValidation allowBlank="1" showInputMessage="1" showErrorMessage="1" promptTitle="NOM ET PRENOM DU CONDUCTEUR" prompt="NOM ET PRENOM DU CONDUCTEUR" sqref="JH13:JJ14 B983056:D983056 B917520:D917520 B851984:D851984 B786448:D786448 B720912:D720912 B655376:D655376 B589840:D589840 B524304:D524304 B458768:D458768 B393232:D393232 B327696:D327696 B262160:D262160 B196624:D196624 B131088:D131088 B65552:D65552 TD13:TF14 ACZ13:ADB14 AMV13:AMX14 AWR13:AWT14 BGN13:BGP14 BQJ13:BQL14 CAF13:CAH14 CKB13:CKD14 CTX13:CTZ14 DDT13:DDV14 DNP13:DNR14 DXL13:DXN14 EHH13:EHJ14 ERD13:ERF14 FAZ13:FBB14 FKV13:FKX14 FUR13:FUT14 GEN13:GEP14 GOJ13:GOL14 GYF13:GYH14 HIB13:HID14 HRX13:HRZ14 IBT13:IBV14 ILP13:ILR14 IVL13:IVN14 JFH13:JFJ14 JPD13:JPF14 JYZ13:JZB14 KIV13:KIX14 KSR13:KST14 LCN13:LCP14 LMJ13:LML14 LWF13:LWH14 MGB13:MGD14 MPX13:MPZ14 MZT13:MZV14 NJP13:NJR14 NTL13:NTN14 ODH13:ODJ14 OND13:ONF14 OWZ13:OXB14 PGV13:PGX14 PQR13:PQT14 QAN13:QAP14 QKJ13:QKL14 QUF13:QUH14 REB13:RED14 RNX13:RNZ14 RXT13:RXV14 SHP13:SHR14 SRL13:SRN14 TBH13:TBJ14 TLD13:TLF14 TUZ13:TVB14 UEV13:UEX14 UOR13:UOT14 UYN13:UYP14 VIJ13:VIL14 VSF13:VSH14 WCB13:WCD14 WLX13:WLZ14 WVT13:WVV14 JH65552:JJ65552 TD65552:TF65552 ACZ65552:ADB65552 AMV65552:AMX65552 AWR65552:AWT65552 BGN65552:BGP65552 BQJ65552:BQL65552 CAF65552:CAH65552 CKB65552:CKD65552 CTX65552:CTZ65552 DDT65552:DDV65552 DNP65552:DNR65552 DXL65552:DXN65552 EHH65552:EHJ65552 ERD65552:ERF65552 FAZ65552:FBB65552 FKV65552:FKX65552 FUR65552:FUT65552 GEN65552:GEP65552 GOJ65552:GOL65552 GYF65552:GYH65552 HIB65552:HID65552 HRX65552:HRZ65552 IBT65552:IBV65552 ILP65552:ILR65552 IVL65552:IVN65552 JFH65552:JFJ65552 JPD65552:JPF65552 JYZ65552:JZB65552 KIV65552:KIX65552 KSR65552:KST65552 LCN65552:LCP65552 LMJ65552:LML65552 LWF65552:LWH65552 MGB65552:MGD65552 MPX65552:MPZ65552 MZT65552:MZV65552 NJP65552:NJR65552 NTL65552:NTN65552 ODH65552:ODJ65552 OND65552:ONF65552 OWZ65552:OXB65552 PGV65552:PGX65552 PQR65552:PQT65552 QAN65552:QAP65552 QKJ65552:QKL65552 QUF65552:QUH65552 REB65552:RED65552 RNX65552:RNZ65552 RXT65552:RXV65552 SHP65552:SHR65552 SRL65552:SRN65552 TBH65552:TBJ65552 TLD65552:TLF65552 TUZ65552:TVB65552 UEV65552:UEX65552 UOR65552:UOT65552 UYN65552:UYP65552 VIJ65552:VIL65552 VSF65552:VSH65552 WCB65552:WCD65552 WLX65552:WLZ65552 WVT65552:WVV65552 JH131088:JJ131088 TD131088:TF131088 ACZ131088:ADB131088 AMV131088:AMX131088 AWR131088:AWT131088 BGN131088:BGP131088 BQJ131088:BQL131088 CAF131088:CAH131088 CKB131088:CKD131088 CTX131088:CTZ131088 DDT131088:DDV131088 DNP131088:DNR131088 DXL131088:DXN131088 EHH131088:EHJ131088 ERD131088:ERF131088 FAZ131088:FBB131088 FKV131088:FKX131088 FUR131088:FUT131088 GEN131088:GEP131088 GOJ131088:GOL131088 GYF131088:GYH131088 HIB131088:HID131088 HRX131088:HRZ131088 IBT131088:IBV131088 ILP131088:ILR131088 IVL131088:IVN131088 JFH131088:JFJ131088 JPD131088:JPF131088 JYZ131088:JZB131088 KIV131088:KIX131088 KSR131088:KST131088 LCN131088:LCP131088 LMJ131088:LML131088 LWF131088:LWH131088 MGB131088:MGD131088 MPX131088:MPZ131088 MZT131088:MZV131088 NJP131088:NJR131088 NTL131088:NTN131088 ODH131088:ODJ131088 OND131088:ONF131088 OWZ131088:OXB131088 PGV131088:PGX131088 PQR131088:PQT131088 QAN131088:QAP131088 QKJ131088:QKL131088 QUF131088:QUH131088 REB131088:RED131088 RNX131088:RNZ131088 RXT131088:RXV131088 SHP131088:SHR131088 SRL131088:SRN131088 TBH131088:TBJ131088 TLD131088:TLF131088 TUZ131088:TVB131088 UEV131088:UEX131088 UOR131088:UOT131088 UYN131088:UYP131088 VIJ131088:VIL131088 VSF131088:VSH131088 WCB131088:WCD131088 WLX131088:WLZ131088 WVT131088:WVV131088 JH196624:JJ196624 TD196624:TF196624 ACZ196624:ADB196624 AMV196624:AMX196624 AWR196624:AWT196624 BGN196624:BGP196624 BQJ196624:BQL196624 CAF196624:CAH196624 CKB196624:CKD196624 CTX196624:CTZ196624 DDT196624:DDV196624 DNP196624:DNR196624 DXL196624:DXN196624 EHH196624:EHJ196624 ERD196624:ERF196624 FAZ196624:FBB196624 FKV196624:FKX196624 FUR196624:FUT196624 GEN196624:GEP196624 GOJ196624:GOL196624 GYF196624:GYH196624 HIB196624:HID196624 HRX196624:HRZ196624 IBT196624:IBV196624 ILP196624:ILR196624 IVL196624:IVN196624 JFH196624:JFJ196624 JPD196624:JPF196624 JYZ196624:JZB196624 KIV196624:KIX196624 KSR196624:KST196624 LCN196624:LCP196624 LMJ196624:LML196624 LWF196624:LWH196624 MGB196624:MGD196624 MPX196624:MPZ196624 MZT196624:MZV196624 NJP196624:NJR196624 NTL196624:NTN196624 ODH196624:ODJ196624 OND196624:ONF196624 OWZ196624:OXB196624 PGV196624:PGX196624 PQR196624:PQT196624 QAN196624:QAP196624 QKJ196624:QKL196624 QUF196624:QUH196624 REB196624:RED196624 RNX196624:RNZ196624 RXT196624:RXV196624 SHP196624:SHR196624 SRL196624:SRN196624 TBH196624:TBJ196624 TLD196624:TLF196624 TUZ196624:TVB196624 UEV196624:UEX196624 UOR196624:UOT196624 UYN196624:UYP196624 VIJ196624:VIL196624 VSF196624:VSH196624 WCB196624:WCD196624 WLX196624:WLZ196624 WVT196624:WVV196624 JH262160:JJ262160 TD262160:TF262160 ACZ262160:ADB262160 AMV262160:AMX262160 AWR262160:AWT262160 BGN262160:BGP262160 BQJ262160:BQL262160 CAF262160:CAH262160 CKB262160:CKD262160 CTX262160:CTZ262160 DDT262160:DDV262160 DNP262160:DNR262160 DXL262160:DXN262160 EHH262160:EHJ262160 ERD262160:ERF262160 FAZ262160:FBB262160 FKV262160:FKX262160 FUR262160:FUT262160 GEN262160:GEP262160 GOJ262160:GOL262160 GYF262160:GYH262160 HIB262160:HID262160 HRX262160:HRZ262160 IBT262160:IBV262160 ILP262160:ILR262160 IVL262160:IVN262160 JFH262160:JFJ262160 JPD262160:JPF262160 JYZ262160:JZB262160 KIV262160:KIX262160 KSR262160:KST262160 LCN262160:LCP262160 LMJ262160:LML262160 LWF262160:LWH262160 MGB262160:MGD262160 MPX262160:MPZ262160 MZT262160:MZV262160 NJP262160:NJR262160 NTL262160:NTN262160 ODH262160:ODJ262160 OND262160:ONF262160 OWZ262160:OXB262160 PGV262160:PGX262160 PQR262160:PQT262160 QAN262160:QAP262160 QKJ262160:QKL262160 QUF262160:QUH262160 REB262160:RED262160 RNX262160:RNZ262160 RXT262160:RXV262160 SHP262160:SHR262160 SRL262160:SRN262160 TBH262160:TBJ262160 TLD262160:TLF262160 TUZ262160:TVB262160 UEV262160:UEX262160 UOR262160:UOT262160 UYN262160:UYP262160 VIJ262160:VIL262160 VSF262160:VSH262160 WCB262160:WCD262160 WLX262160:WLZ262160 WVT262160:WVV262160 JH327696:JJ327696 TD327696:TF327696 ACZ327696:ADB327696 AMV327696:AMX327696 AWR327696:AWT327696 BGN327696:BGP327696 BQJ327696:BQL327696 CAF327696:CAH327696 CKB327696:CKD327696 CTX327696:CTZ327696 DDT327696:DDV327696 DNP327696:DNR327696 DXL327696:DXN327696 EHH327696:EHJ327696 ERD327696:ERF327696 FAZ327696:FBB327696 FKV327696:FKX327696 FUR327696:FUT327696 GEN327696:GEP327696 GOJ327696:GOL327696 GYF327696:GYH327696 HIB327696:HID327696 HRX327696:HRZ327696 IBT327696:IBV327696 ILP327696:ILR327696 IVL327696:IVN327696 JFH327696:JFJ327696 JPD327696:JPF327696 JYZ327696:JZB327696 KIV327696:KIX327696 KSR327696:KST327696 LCN327696:LCP327696 LMJ327696:LML327696 LWF327696:LWH327696 MGB327696:MGD327696 MPX327696:MPZ327696 MZT327696:MZV327696 NJP327696:NJR327696 NTL327696:NTN327696 ODH327696:ODJ327696 OND327696:ONF327696 OWZ327696:OXB327696 PGV327696:PGX327696 PQR327696:PQT327696 QAN327696:QAP327696 QKJ327696:QKL327696 QUF327696:QUH327696 REB327696:RED327696 RNX327696:RNZ327696 RXT327696:RXV327696 SHP327696:SHR327696 SRL327696:SRN327696 TBH327696:TBJ327696 TLD327696:TLF327696 TUZ327696:TVB327696 UEV327696:UEX327696 UOR327696:UOT327696 UYN327696:UYP327696 VIJ327696:VIL327696 VSF327696:VSH327696 WCB327696:WCD327696 WLX327696:WLZ327696 WVT327696:WVV327696 JH393232:JJ393232 TD393232:TF393232 ACZ393232:ADB393232 AMV393232:AMX393232 AWR393232:AWT393232 BGN393232:BGP393232 BQJ393232:BQL393232 CAF393232:CAH393232 CKB393232:CKD393232 CTX393232:CTZ393232 DDT393232:DDV393232 DNP393232:DNR393232 DXL393232:DXN393232 EHH393232:EHJ393232 ERD393232:ERF393232 FAZ393232:FBB393232 FKV393232:FKX393232 FUR393232:FUT393232 GEN393232:GEP393232 GOJ393232:GOL393232 GYF393232:GYH393232 HIB393232:HID393232 HRX393232:HRZ393232 IBT393232:IBV393232 ILP393232:ILR393232 IVL393232:IVN393232 JFH393232:JFJ393232 JPD393232:JPF393232 JYZ393232:JZB393232 KIV393232:KIX393232 KSR393232:KST393232 LCN393232:LCP393232 LMJ393232:LML393232 LWF393232:LWH393232 MGB393232:MGD393232 MPX393232:MPZ393232 MZT393232:MZV393232 NJP393232:NJR393232 NTL393232:NTN393232 ODH393232:ODJ393232 OND393232:ONF393232 OWZ393232:OXB393232 PGV393232:PGX393232 PQR393232:PQT393232 QAN393232:QAP393232 QKJ393232:QKL393232 QUF393232:QUH393232 REB393232:RED393232 RNX393232:RNZ393232 RXT393232:RXV393232 SHP393232:SHR393232 SRL393232:SRN393232 TBH393232:TBJ393232 TLD393232:TLF393232 TUZ393232:TVB393232 UEV393232:UEX393232 UOR393232:UOT393232 UYN393232:UYP393232 VIJ393232:VIL393232 VSF393232:VSH393232 WCB393232:WCD393232 WLX393232:WLZ393232 WVT393232:WVV393232 JH458768:JJ458768 TD458768:TF458768 ACZ458768:ADB458768 AMV458768:AMX458768 AWR458768:AWT458768 BGN458768:BGP458768 BQJ458768:BQL458768 CAF458768:CAH458768 CKB458768:CKD458768 CTX458768:CTZ458768 DDT458768:DDV458768 DNP458768:DNR458768 DXL458768:DXN458768 EHH458768:EHJ458768 ERD458768:ERF458768 FAZ458768:FBB458768 FKV458768:FKX458768 FUR458768:FUT458768 GEN458768:GEP458768 GOJ458768:GOL458768 GYF458768:GYH458768 HIB458768:HID458768 HRX458768:HRZ458768 IBT458768:IBV458768 ILP458768:ILR458768 IVL458768:IVN458768 JFH458768:JFJ458768 JPD458768:JPF458768 JYZ458768:JZB458768 KIV458768:KIX458768 KSR458768:KST458768 LCN458768:LCP458768 LMJ458768:LML458768 LWF458768:LWH458768 MGB458768:MGD458768 MPX458768:MPZ458768 MZT458768:MZV458768 NJP458768:NJR458768 NTL458768:NTN458768 ODH458768:ODJ458768 OND458768:ONF458768 OWZ458768:OXB458768 PGV458768:PGX458768 PQR458768:PQT458768 QAN458768:QAP458768 QKJ458768:QKL458768 QUF458768:QUH458768 REB458768:RED458768 RNX458768:RNZ458768 RXT458768:RXV458768 SHP458768:SHR458768 SRL458768:SRN458768 TBH458768:TBJ458768 TLD458768:TLF458768 TUZ458768:TVB458768 UEV458768:UEX458768 UOR458768:UOT458768 UYN458768:UYP458768 VIJ458768:VIL458768 VSF458768:VSH458768 WCB458768:WCD458768 WLX458768:WLZ458768 WVT458768:WVV458768 JH524304:JJ524304 TD524304:TF524304 ACZ524304:ADB524304 AMV524304:AMX524304 AWR524304:AWT524304 BGN524304:BGP524304 BQJ524304:BQL524304 CAF524304:CAH524304 CKB524304:CKD524304 CTX524304:CTZ524304 DDT524304:DDV524304 DNP524304:DNR524304 DXL524304:DXN524304 EHH524304:EHJ524304 ERD524304:ERF524304 FAZ524304:FBB524304 FKV524304:FKX524304 FUR524304:FUT524304 GEN524304:GEP524304 GOJ524304:GOL524304 GYF524304:GYH524304 HIB524304:HID524304 HRX524304:HRZ524304 IBT524304:IBV524304 ILP524304:ILR524304 IVL524304:IVN524304 JFH524304:JFJ524304 JPD524304:JPF524304 JYZ524304:JZB524304 KIV524304:KIX524304 KSR524304:KST524304 LCN524304:LCP524304 LMJ524304:LML524304 LWF524304:LWH524304 MGB524304:MGD524304 MPX524304:MPZ524304 MZT524304:MZV524304 NJP524304:NJR524304 NTL524304:NTN524304 ODH524304:ODJ524304 OND524304:ONF524304 OWZ524304:OXB524304 PGV524304:PGX524304 PQR524304:PQT524304 QAN524304:QAP524304 QKJ524304:QKL524304 QUF524304:QUH524304 REB524304:RED524304 RNX524304:RNZ524304 RXT524304:RXV524304 SHP524304:SHR524304 SRL524304:SRN524304 TBH524304:TBJ524304 TLD524304:TLF524304 TUZ524304:TVB524304 UEV524304:UEX524304 UOR524304:UOT524304 UYN524304:UYP524304 VIJ524304:VIL524304 VSF524304:VSH524304 WCB524304:WCD524304 WLX524304:WLZ524304 WVT524304:WVV524304 JH589840:JJ589840 TD589840:TF589840 ACZ589840:ADB589840 AMV589840:AMX589840 AWR589840:AWT589840 BGN589840:BGP589840 BQJ589840:BQL589840 CAF589840:CAH589840 CKB589840:CKD589840 CTX589840:CTZ589840 DDT589840:DDV589840 DNP589840:DNR589840 DXL589840:DXN589840 EHH589840:EHJ589840 ERD589840:ERF589840 FAZ589840:FBB589840 FKV589840:FKX589840 FUR589840:FUT589840 GEN589840:GEP589840 GOJ589840:GOL589840 GYF589840:GYH589840 HIB589840:HID589840 HRX589840:HRZ589840 IBT589840:IBV589840 ILP589840:ILR589840 IVL589840:IVN589840 JFH589840:JFJ589840 JPD589840:JPF589840 JYZ589840:JZB589840 KIV589840:KIX589840 KSR589840:KST589840 LCN589840:LCP589840 LMJ589840:LML589840 LWF589840:LWH589840 MGB589840:MGD589840 MPX589840:MPZ589840 MZT589840:MZV589840 NJP589840:NJR589840 NTL589840:NTN589840 ODH589840:ODJ589840 OND589840:ONF589840 OWZ589840:OXB589840 PGV589840:PGX589840 PQR589840:PQT589840 QAN589840:QAP589840 QKJ589840:QKL589840 QUF589840:QUH589840 REB589840:RED589840 RNX589840:RNZ589840 RXT589840:RXV589840 SHP589840:SHR589840 SRL589840:SRN589840 TBH589840:TBJ589840 TLD589840:TLF589840 TUZ589840:TVB589840 UEV589840:UEX589840 UOR589840:UOT589840 UYN589840:UYP589840 VIJ589840:VIL589840 VSF589840:VSH589840 WCB589840:WCD589840 WLX589840:WLZ589840 WVT589840:WVV589840 JH655376:JJ655376 TD655376:TF655376 ACZ655376:ADB655376 AMV655376:AMX655376 AWR655376:AWT655376 BGN655376:BGP655376 BQJ655376:BQL655376 CAF655376:CAH655376 CKB655376:CKD655376 CTX655376:CTZ655376 DDT655376:DDV655376 DNP655376:DNR655376 DXL655376:DXN655376 EHH655376:EHJ655376 ERD655376:ERF655376 FAZ655376:FBB655376 FKV655376:FKX655376 FUR655376:FUT655376 GEN655376:GEP655376 GOJ655376:GOL655376 GYF655376:GYH655376 HIB655376:HID655376 HRX655376:HRZ655376 IBT655376:IBV655376 ILP655376:ILR655376 IVL655376:IVN655376 JFH655376:JFJ655376 JPD655376:JPF655376 JYZ655376:JZB655376 KIV655376:KIX655376 KSR655376:KST655376 LCN655376:LCP655376 LMJ655376:LML655376 LWF655376:LWH655376 MGB655376:MGD655376 MPX655376:MPZ655376 MZT655376:MZV655376 NJP655376:NJR655376 NTL655376:NTN655376 ODH655376:ODJ655376 OND655376:ONF655376 OWZ655376:OXB655376 PGV655376:PGX655376 PQR655376:PQT655376 QAN655376:QAP655376 QKJ655376:QKL655376 QUF655376:QUH655376 REB655376:RED655376 RNX655376:RNZ655376 RXT655376:RXV655376 SHP655376:SHR655376 SRL655376:SRN655376 TBH655376:TBJ655376 TLD655376:TLF655376 TUZ655376:TVB655376 UEV655376:UEX655376 UOR655376:UOT655376 UYN655376:UYP655376 VIJ655376:VIL655376 VSF655376:VSH655376 WCB655376:WCD655376 WLX655376:WLZ655376 WVT655376:WVV655376 JH720912:JJ720912 TD720912:TF720912 ACZ720912:ADB720912 AMV720912:AMX720912 AWR720912:AWT720912 BGN720912:BGP720912 BQJ720912:BQL720912 CAF720912:CAH720912 CKB720912:CKD720912 CTX720912:CTZ720912 DDT720912:DDV720912 DNP720912:DNR720912 DXL720912:DXN720912 EHH720912:EHJ720912 ERD720912:ERF720912 FAZ720912:FBB720912 FKV720912:FKX720912 FUR720912:FUT720912 GEN720912:GEP720912 GOJ720912:GOL720912 GYF720912:GYH720912 HIB720912:HID720912 HRX720912:HRZ720912 IBT720912:IBV720912 ILP720912:ILR720912 IVL720912:IVN720912 JFH720912:JFJ720912 JPD720912:JPF720912 JYZ720912:JZB720912 KIV720912:KIX720912 KSR720912:KST720912 LCN720912:LCP720912 LMJ720912:LML720912 LWF720912:LWH720912 MGB720912:MGD720912 MPX720912:MPZ720912 MZT720912:MZV720912 NJP720912:NJR720912 NTL720912:NTN720912 ODH720912:ODJ720912 OND720912:ONF720912 OWZ720912:OXB720912 PGV720912:PGX720912 PQR720912:PQT720912 QAN720912:QAP720912 QKJ720912:QKL720912 QUF720912:QUH720912 REB720912:RED720912 RNX720912:RNZ720912 RXT720912:RXV720912 SHP720912:SHR720912 SRL720912:SRN720912 TBH720912:TBJ720912 TLD720912:TLF720912 TUZ720912:TVB720912 UEV720912:UEX720912 UOR720912:UOT720912 UYN720912:UYP720912 VIJ720912:VIL720912 VSF720912:VSH720912 WCB720912:WCD720912 WLX720912:WLZ720912 WVT720912:WVV720912 JH786448:JJ786448 TD786448:TF786448 ACZ786448:ADB786448 AMV786448:AMX786448 AWR786448:AWT786448 BGN786448:BGP786448 BQJ786448:BQL786448 CAF786448:CAH786448 CKB786448:CKD786448 CTX786448:CTZ786448 DDT786448:DDV786448 DNP786448:DNR786448 DXL786448:DXN786448 EHH786448:EHJ786448 ERD786448:ERF786448 FAZ786448:FBB786448 FKV786448:FKX786448 FUR786448:FUT786448 GEN786448:GEP786448 GOJ786448:GOL786448 GYF786448:GYH786448 HIB786448:HID786448 HRX786448:HRZ786448 IBT786448:IBV786448 ILP786448:ILR786448 IVL786448:IVN786448 JFH786448:JFJ786448 JPD786448:JPF786448 JYZ786448:JZB786448 KIV786448:KIX786448 KSR786448:KST786448 LCN786448:LCP786448 LMJ786448:LML786448 LWF786448:LWH786448 MGB786448:MGD786448 MPX786448:MPZ786448 MZT786448:MZV786448 NJP786448:NJR786448 NTL786448:NTN786448 ODH786448:ODJ786448 OND786448:ONF786448 OWZ786448:OXB786448 PGV786448:PGX786448 PQR786448:PQT786448 QAN786448:QAP786448 QKJ786448:QKL786448 QUF786448:QUH786448 REB786448:RED786448 RNX786448:RNZ786448 RXT786448:RXV786448 SHP786448:SHR786448 SRL786448:SRN786448 TBH786448:TBJ786448 TLD786448:TLF786448 TUZ786448:TVB786448 UEV786448:UEX786448 UOR786448:UOT786448 UYN786448:UYP786448 VIJ786448:VIL786448 VSF786448:VSH786448 WCB786448:WCD786448 WLX786448:WLZ786448 WVT786448:WVV786448 JH851984:JJ851984 TD851984:TF851984 ACZ851984:ADB851984 AMV851984:AMX851984 AWR851984:AWT851984 BGN851984:BGP851984 BQJ851984:BQL851984 CAF851984:CAH851984 CKB851984:CKD851984 CTX851984:CTZ851984 DDT851984:DDV851984 DNP851984:DNR851984 DXL851984:DXN851984 EHH851984:EHJ851984 ERD851984:ERF851984 FAZ851984:FBB851984 FKV851984:FKX851984 FUR851984:FUT851984 GEN851984:GEP851984 GOJ851984:GOL851984 GYF851984:GYH851984 HIB851984:HID851984 HRX851984:HRZ851984 IBT851984:IBV851984 ILP851984:ILR851984 IVL851984:IVN851984 JFH851984:JFJ851984 JPD851984:JPF851984 JYZ851984:JZB851984 KIV851984:KIX851984 KSR851984:KST851984 LCN851984:LCP851984 LMJ851984:LML851984 LWF851984:LWH851984 MGB851984:MGD851984 MPX851984:MPZ851984 MZT851984:MZV851984 NJP851984:NJR851984 NTL851984:NTN851984 ODH851984:ODJ851984 OND851984:ONF851984 OWZ851984:OXB851984 PGV851984:PGX851984 PQR851984:PQT851984 QAN851984:QAP851984 QKJ851984:QKL851984 QUF851984:QUH851984 REB851984:RED851984 RNX851984:RNZ851984 RXT851984:RXV851984 SHP851984:SHR851984 SRL851984:SRN851984 TBH851984:TBJ851984 TLD851984:TLF851984 TUZ851984:TVB851984 UEV851984:UEX851984 UOR851984:UOT851984 UYN851984:UYP851984 VIJ851984:VIL851984 VSF851984:VSH851984 WCB851984:WCD851984 WLX851984:WLZ851984 WVT851984:WVV851984 JH917520:JJ917520 TD917520:TF917520 ACZ917520:ADB917520 AMV917520:AMX917520 AWR917520:AWT917520 BGN917520:BGP917520 BQJ917520:BQL917520 CAF917520:CAH917520 CKB917520:CKD917520 CTX917520:CTZ917520 DDT917520:DDV917520 DNP917520:DNR917520 DXL917520:DXN917520 EHH917520:EHJ917520 ERD917520:ERF917520 FAZ917520:FBB917520 FKV917520:FKX917520 FUR917520:FUT917520 GEN917520:GEP917520 GOJ917520:GOL917520 GYF917520:GYH917520 HIB917520:HID917520 HRX917520:HRZ917520 IBT917520:IBV917520 ILP917520:ILR917520 IVL917520:IVN917520 JFH917520:JFJ917520 JPD917520:JPF917520 JYZ917520:JZB917520 KIV917520:KIX917520 KSR917520:KST917520 LCN917520:LCP917520 LMJ917520:LML917520 LWF917520:LWH917520 MGB917520:MGD917520 MPX917520:MPZ917520 MZT917520:MZV917520 NJP917520:NJR917520 NTL917520:NTN917520 ODH917520:ODJ917520 OND917520:ONF917520 OWZ917520:OXB917520 PGV917520:PGX917520 PQR917520:PQT917520 QAN917520:QAP917520 QKJ917520:QKL917520 QUF917520:QUH917520 REB917520:RED917520 RNX917520:RNZ917520 RXT917520:RXV917520 SHP917520:SHR917520 SRL917520:SRN917520 TBH917520:TBJ917520 TLD917520:TLF917520 TUZ917520:TVB917520 UEV917520:UEX917520 UOR917520:UOT917520 UYN917520:UYP917520 VIJ917520:VIL917520 VSF917520:VSH917520 WCB917520:WCD917520 WLX917520:WLZ917520 WVT917520:WVV917520 JH983056:JJ983056 TD983056:TF983056 ACZ983056:ADB983056 AMV983056:AMX983056 AWR983056:AWT983056 BGN983056:BGP983056 BQJ983056:BQL983056 CAF983056:CAH983056 CKB983056:CKD983056 CTX983056:CTZ983056 DDT983056:DDV983056 DNP983056:DNR983056 DXL983056:DXN983056 EHH983056:EHJ983056 ERD983056:ERF983056 FAZ983056:FBB983056 FKV983056:FKX983056 FUR983056:FUT983056 GEN983056:GEP983056 GOJ983056:GOL983056 GYF983056:GYH983056 HIB983056:HID983056 HRX983056:HRZ983056 IBT983056:IBV983056 ILP983056:ILR983056 IVL983056:IVN983056 JFH983056:JFJ983056 JPD983056:JPF983056 JYZ983056:JZB983056 KIV983056:KIX983056 KSR983056:KST983056 LCN983056:LCP983056 LMJ983056:LML983056 LWF983056:LWH983056 MGB983056:MGD983056 MPX983056:MPZ983056 MZT983056:MZV983056 NJP983056:NJR983056 NTL983056:NTN983056 ODH983056:ODJ983056 OND983056:ONF983056 OWZ983056:OXB983056 PGV983056:PGX983056 PQR983056:PQT983056 QAN983056:QAP983056 QKJ983056:QKL983056 QUF983056:QUH983056 REB983056:RED983056 RNX983056:RNZ983056 RXT983056:RXV983056 SHP983056:SHR983056 SRL983056:SRN983056 TBH983056:TBJ983056 TLD983056:TLF983056 TUZ983056:TVB983056 UEV983056:UEX983056 UOR983056:UOT983056 UYN983056:UYP983056 VIJ983056:VIL983056 VSF983056:VSH983056 WCB983056:WCD983056 WLX983056:WLZ983056 WVT983056:WVV983056"/>
    <dataValidation allowBlank="1" showInputMessage="1" showErrorMessage="1" promptTitle="N° ATTESTION ET N° CARTE ROSE" prompt="N° ATTESTION ET N° CARTE ROSE" sqref="WVY983056:WWB983056 WMC983056:WMF983056 G983056:J983056 G917520:J917520 G851984:J851984 G786448:J786448 G720912:J720912 G655376:J655376 G589840:J589840 G524304:J524304 G458768:J458768 G393232:J393232 G327696:J327696 G262160:J262160 G196624:J196624 G131088:J131088 G65552:J65552 JM13:JP14 TI13:TL14 ADE13:ADH14 ANA13:AND14 AWW13:AWZ14 BGS13:BGV14 BQO13:BQR14 CAK13:CAN14 CKG13:CKJ14 CUC13:CUF14 DDY13:DEB14 DNU13:DNX14 DXQ13:DXT14 EHM13:EHP14 ERI13:ERL14 FBE13:FBH14 FLA13:FLD14 FUW13:FUZ14 GES13:GEV14 GOO13:GOR14 GYK13:GYN14 HIG13:HIJ14 HSC13:HSF14 IBY13:ICB14 ILU13:ILX14 IVQ13:IVT14 JFM13:JFP14 JPI13:JPL14 JZE13:JZH14 KJA13:KJD14 KSW13:KSZ14 LCS13:LCV14 LMO13:LMR14 LWK13:LWN14 MGG13:MGJ14 MQC13:MQF14 MZY13:NAB14 NJU13:NJX14 NTQ13:NTT14 ODM13:ODP14 ONI13:ONL14 OXE13:OXH14 PHA13:PHD14 PQW13:PQZ14 QAS13:QAV14 QKO13:QKR14 QUK13:QUN14 REG13:REJ14 ROC13:ROF14 RXY13:RYB14 SHU13:SHX14 SRQ13:SRT14 TBM13:TBP14 TLI13:TLL14 TVE13:TVH14 UFA13:UFD14 UOW13:UOZ14 UYS13:UYV14 VIO13:VIR14 VSK13:VSN14 WCG13:WCJ14 WMC13:WMF14 WVY13:WWB14 JM65552:JP65552 TI65552:TL65552 ADE65552:ADH65552 ANA65552:AND65552 AWW65552:AWZ65552 BGS65552:BGV65552 BQO65552:BQR65552 CAK65552:CAN65552 CKG65552:CKJ65552 CUC65552:CUF65552 DDY65552:DEB65552 DNU65552:DNX65552 DXQ65552:DXT65552 EHM65552:EHP65552 ERI65552:ERL65552 FBE65552:FBH65552 FLA65552:FLD65552 FUW65552:FUZ65552 GES65552:GEV65552 GOO65552:GOR65552 GYK65552:GYN65552 HIG65552:HIJ65552 HSC65552:HSF65552 IBY65552:ICB65552 ILU65552:ILX65552 IVQ65552:IVT65552 JFM65552:JFP65552 JPI65552:JPL65552 JZE65552:JZH65552 KJA65552:KJD65552 KSW65552:KSZ65552 LCS65552:LCV65552 LMO65552:LMR65552 LWK65552:LWN65552 MGG65552:MGJ65552 MQC65552:MQF65552 MZY65552:NAB65552 NJU65552:NJX65552 NTQ65552:NTT65552 ODM65552:ODP65552 ONI65552:ONL65552 OXE65552:OXH65552 PHA65552:PHD65552 PQW65552:PQZ65552 QAS65552:QAV65552 QKO65552:QKR65552 QUK65552:QUN65552 REG65552:REJ65552 ROC65552:ROF65552 RXY65552:RYB65552 SHU65552:SHX65552 SRQ65552:SRT65552 TBM65552:TBP65552 TLI65552:TLL65552 TVE65552:TVH65552 UFA65552:UFD65552 UOW65552:UOZ65552 UYS65552:UYV65552 VIO65552:VIR65552 VSK65552:VSN65552 WCG65552:WCJ65552 WMC65552:WMF65552 WVY65552:WWB65552 JM131088:JP131088 TI131088:TL131088 ADE131088:ADH131088 ANA131088:AND131088 AWW131088:AWZ131088 BGS131088:BGV131088 BQO131088:BQR131088 CAK131088:CAN131088 CKG131088:CKJ131088 CUC131088:CUF131088 DDY131088:DEB131088 DNU131088:DNX131088 DXQ131088:DXT131088 EHM131088:EHP131088 ERI131088:ERL131088 FBE131088:FBH131088 FLA131088:FLD131088 FUW131088:FUZ131088 GES131088:GEV131088 GOO131088:GOR131088 GYK131088:GYN131088 HIG131088:HIJ131088 HSC131088:HSF131088 IBY131088:ICB131088 ILU131088:ILX131088 IVQ131088:IVT131088 JFM131088:JFP131088 JPI131088:JPL131088 JZE131088:JZH131088 KJA131088:KJD131088 KSW131088:KSZ131088 LCS131088:LCV131088 LMO131088:LMR131088 LWK131088:LWN131088 MGG131088:MGJ131088 MQC131088:MQF131088 MZY131088:NAB131088 NJU131088:NJX131088 NTQ131088:NTT131088 ODM131088:ODP131088 ONI131088:ONL131088 OXE131088:OXH131088 PHA131088:PHD131088 PQW131088:PQZ131088 QAS131088:QAV131088 QKO131088:QKR131088 QUK131088:QUN131088 REG131088:REJ131088 ROC131088:ROF131088 RXY131088:RYB131088 SHU131088:SHX131088 SRQ131088:SRT131088 TBM131088:TBP131088 TLI131088:TLL131088 TVE131088:TVH131088 UFA131088:UFD131088 UOW131088:UOZ131088 UYS131088:UYV131088 VIO131088:VIR131088 VSK131088:VSN131088 WCG131088:WCJ131088 WMC131088:WMF131088 WVY131088:WWB131088 JM196624:JP196624 TI196624:TL196624 ADE196624:ADH196624 ANA196624:AND196624 AWW196624:AWZ196624 BGS196624:BGV196624 BQO196624:BQR196624 CAK196624:CAN196624 CKG196624:CKJ196624 CUC196624:CUF196624 DDY196624:DEB196624 DNU196624:DNX196624 DXQ196624:DXT196624 EHM196624:EHP196624 ERI196624:ERL196624 FBE196624:FBH196624 FLA196624:FLD196624 FUW196624:FUZ196624 GES196624:GEV196624 GOO196624:GOR196624 GYK196624:GYN196624 HIG196624:HIJ196624 HSC196624:HSF196624 IBY196624:ICB196624 ILU196624:ILX196624 IVQ196624:IVT196624 JFM196624:JFP196624 JPI196624:JPL196624 JZE196624:JZH196624 KJA196624:KJD196624 KSW196624:KSZ196624 LCS196624:LCV196624 LMO196624:LMR196624 LWK196624:LWN196624 MGG196624:MGJ196624 MQC196624:MQF196624 MZY196624:NAB196624 NJU196624:NJX196624 NTQ196624:NTT196624 ODM196624:ODP196624 ONI196624:ONL196624 OXE196624:OXH196624 PHA196624:PHD196624 PQW196624:PQZ196624 QAS196624:QAV196624 QKO196624:QKR196624 QUK196624:QUN196624 REG196624:REJ196624 ROC196624:ROF196624 RXY196624:RYB196624 SHU196624:SHX196624 SRQ196624:SRT196624 TBM196624:TBP196624 TLI196624:TLL196624 TVE196624:TVH196624 UFA196624:UFD196624 UOW196624:UOZ196624 UYS196624:UYV196624 VIO196624:VIR196624 VSK196624:VSN196624 WCG196624:WCJ196624 WMC196624:WMF196624 WVY196624:WWB196624 JM262160:JP262160 TI262160:TL262160 ADE262160:ADH262160 ANA262160:AND262160 AWW262160:AWZ262160 BGS262160:BGV262160 BQO262160:BQR262160 CAK262160:CAN262160 CKG262160:CKJ262160 CUC262160:CUF262160 DDY262160:DEB262160 DNU262160:DNX262160 DXQ262160:DXT262160 EHM262160:EHP262160 ERI262160:ERL262160 FBE262160:FBH262160 FLA262160:FLD262160 FUW262160:FUZ262160 GES262160:GEV262160 GOO262160:GOR262160 GYK262160:GYN262160 HIG262160:HIJ262160 HSC262160:HSF262160 IBY262160:ICB262160 ILU262160:ILX262160 IVQ262160:IVT262160 JFM262160:JFP262160 JPI262160:JPL262160 JZE262160:JZH262160 KJA262160:KJD262160 KSW262160:KSZ262160 LCS262160:LCV262160 LMO262160:LMR262160 LWK262160:LWN262160 MGG262160:MGJ262160 MQC262160:MQF262160 MZY262160:NAB262160 NJU262160:NJX262160 NTQ262160:NTT262160 ODM262160:ODP262160 ONI262160:ONL262160 OXE262160:OXH262160 PHA262160:PHD262160 PQW262160:PQZ262160 QAS262160:QAV262160 QKO262160:QKR262160 QUK262160:QUN262160 REG262160:REJ262160 ROC262160:ROF262160 RXY262160:RYB262160 SHU262160:SHX262160 SRQ262160:SRT262160 TBM262160:TBP262160 TLI262160:TLL262160 TVE262160:TVH262160 UFA262160:UFD262160 UOW262160:UOZ262160 UYS262160:UYV262160 VIO262160:VIR262160 VSK262160:VSN262160 WCG262160:WCJ262160 WMC262160:WMF262160 WVY262160:WWB262160 JM327696:JP327696 TI327696:TL327696 ADE327696:ADH327696 ANA327696:AND327696 AWW327696:AWZ327696 BGS327696:BGV327696 BQO327696:BQR327696 CAK327696:CAN327696 CKG327696:CKJ327696 CUC327696:CUF327696 DDY327696:DEB327696 DNU327696:DNX327696 DXQ327696:DXT327696 EHM327696:EHP327696 ERI327696:ERL327696 FBE327696:FBH327696 FLA327696:FLD327696 FUW327696:FUZ327696 GES327696:GEV327696 GOO327696:GOR327696 GYK327696:GYN327696 HIG327696:HIJ327696 HSC327696:HSF327696 IBY327696:ICB327696 ILU327696:ILX327696 IVQ327696:IVT327696 JFM327696:JFP327696 JPI327696:JPL327696 JZE327696:JZH327696 KJA327696:KJD327696 KSW327696:KSZ327696 LCS327696:LCV327696 LMO327696:LMR327696 LWK327696:LWN327696 MGG327696:MGJ327696 MQC327696:MQF327696 MZY327696:NAB327696 NJU327696:NJX327696 NTQ327696:NTT327696 ODM327696:ODP327696 ONI327696:ONL327696 OXE327696:OXH327696 PHA327696:PHD327696 PQW327696:PQZ327696 QAS327696:QAV327696 QKO327696:QKR327696 QUK327696:QUN327696 REG327696:REJ327696 ROC327696:ROF327696 RXY327696:RYB327696 SHU327696:SHX327696 SRQ327696:SRT327696 TBM327696:TBP327696 TLI327696:TLL327696 TVE327696:TVH327696 UFA327696:UFD327696 UOW327696:UOZ327696 UYS327696:UYV327696 VIO327696:VIR327696 VSK327696:VSN327696 WCG327696:WCJ327696 WMC327696:WMF327696 WVY327696:WWB327696 JM393232:JP393232 TI393232:TL393232 ADE393232:ADH393232 ANA393232:AND393232 AWW393232:AWZ393232 BGS393232:BGV393232 BQO393232:BQR393232 CAK393232:CAN393232 CKG393232:CKJ393232 CUC393232:CUF393232 DDY393232:DEB393232 DNU393232:DNX393232 DXQ393232:DXT393232 EHM393232:EHP393232 ERI393232:ERL393232 FBE393232:FBH393232 FLA393232:FLD393232 FUW393232:FUZ393232 GES393232:GEV393232 GOO393232:GOR393232 GYK393232:GYN393232 HIG393232:HIJ393232 HSC393232:HSF393232 IBY393232:ICB393232 ILU393232:ILX393232 IVQ393232:IVT393232 JFM393232:JFP393232 JPI393232:JPL393232 JZE393232:JZH393232 KJA393232:KJD393232 KSW393232:KSZ393232 LCS393232:LCV393232 LMO393232:LMR393232 LWK393232:LWN393232 MGG393232:MGJ393232 MQC393232:MQF393232 MZY393232:NAB393232 NJU393232:NJX393232 NTQ393232:NTT393232 ODM393232:ODP393232 ONI393232:ONL393232 OXE393232:OXH393232 PHA393232:PHD393232 PQW393232:PQZ393232 QAS393232:QAV393232 QKO393232:QKR393232 QUK393232:QUN393232 REG393232:REJ393232 ROC393232:ROF393232 RXY393232:RYB393232 SHU393232:SHX393232 SRQ393232:SRT393232 TBM393232:TBP393232 TLI393232:TLL393232 TVE393232:TVH393232 UFA393232:UFD393232 UOW393232:UOZ393232 UYS393232:UYV393232 VIO393232:VIR393232 VSK393232:VSN393232 WCG393232:WCJ393232 WMC393232:WMF393232 WVY393232:WWB393232 JM458768:JP458768 TI458768:TL458768 ADE458768:ADH458768 ANA458768:AND458768 AWW458768:AWZ458768 BGS458768:BGV458768 BQO458768:BQR458768 CAK458768:CAN458768 CKG458768:CKJ458768 CUC458768:CUF458768 DDY458768:DEB458768 DNU458768:DNX458768 DXQ458768:DXT458768 EHM458768:EHP458768 ERI458768:ERL458768 FBE458768:FBH458768 FLA458768:FLD458768 FUW458768:FUZ458768 GES458768:GEV458768 GOO458768:GOR458768 GYK458768:GYN458768 HIG458768:HIJ458768 HSC458768:HSF458768 IBY458768:ICB458768 ILU458768:ILX458768 IVQ458768:IVT458768 JFM458768:JFP458768 JPI458768:JPL458768 JZE458768:JZH458768 KJA458768:KJD458768 KSW458768:KSZ458768 LCS458768:LCV458768 LMO458768:LMR458768 LWK458768:LWN458768 MGG458768:MGJ458768 MQC458768:MQF458768 MZY458768:NAB458768 NJU458768:NJX458768 NTQ458768:NTT458768 ODM458768:ODP458768 ONI458768:ONL458768 OXE458768:OXH458768 PHA458768:PHD458768 PQW458768:PQZ458768 QAS458768:QAV458768 QKO458768:QKR458768 QUK458768:QUN458768 REG458768:REJ458768 ROC458768:ROF458768 RXY458768:RYB458768 SHU458768:SHX458768 SRQ458768:SRT458768 TBM458768:TBP458768 TLI458768:TLL458768 TVE458768:TVH458768 UFA458768:UFD458768 UOW458768:UOZ458768 UYS458768:UYV458768 VIO458768:VIR458768 VSK458768:VSN458768 WCG458768:WCJ458768 WMC458768:WMF458768 WVY458768:WWB458768 JM524304:JP524304 TI524304:TL524304 ADE524304:ADH524304 ANA524304:AND524304 AWW524304:AWZ524304 BGS524304:BGV524304 BQO524304:BQR524304 CAK524304:CAN524304 CKG524304:CKJ524304 CUC524304:CUF524304 DDY524304:DEB524304 DNU524304:DNX524304 DXQ524304:DXT524304 EHM524304:EHP524304 ERI524304:ERL524304 FBE524304:FBH524304 FLA524304:FLD524304 FUW524304:FUZ524304 GES524304:GEV524304 GOO524304:GOR524304 GYK524304:GYN524304 HIG524304:HIJ524304 HSC524304:HSF524304 IBY524304:ICB524304 ILU524304:ILX524304 IVQ524304:IVT524304 JFM524304:JFP524304 JPI524304:JPL524304 JZE524304:JZH524304 KJA524304:KJD524304 KSW524304:KSZ524304 LCS524304:LCV524304 LMO524304:LMR524304 LWK524304:LWN524304 MGG524304:MGJ524304 MQC524304:MQF524304 MZY524304:NAB524304 NJU524304:NJX524304 NTQ524304:NTT524304 ODM524304:ODP524304 ONI524304:ONL524304 OXE524304:OXH524304 PHA524304:PHD524304 PQW524304:PQZ524304 QAS524304:QAV524304 QKO524304:QKR524304 QUK524304:QUN524304 REG524304:REJ524304 ROC524304:ROF524304 RXY524304:RYB524304 SHU524304:SHX524304 SRQ524304:SRT524304 TBM524304:TBP524304 TLI524304:TLL524304 TVE524304:TVH524304 UFA524304:UFD524304 UOW524304:UOZ524304 UYS524304:UYV524304 VIO524304:VIR524304 VSK524304:VSN524304 WCG524304:WCJ524304 WMC524304:WMF524304 WVY524304:WWB524304 JM589840:JP589840 TI589840:TL589840 ADE589840:ADH589840 ANA589840:AND589840 AWW589840:AWZ589840 BGS589840:BGV589840 BQO589840:BQR589840 CAK589840:CAN589840 CKG589840:CKJ589840 CUC589840:CUF589840 DDY589840:DEB589840 DNU589840:DNX589840 DXQ589840:DXT589840 EHM589840:EHP589840 ERI589840:ERL589840 FBE589840:FBH589840 FLA589840:FLD589840 FUW589840:FUZ589840 GES589840:GEV589840 GOO589840:GOR589840 GYK589840:GYN589840 HIG589840:HIJ589840 HSC589840:HSF589840 IBY589840:ICB589840 ILU589840:ILX589840 IVQ589840:IVT589840 JFM589840:JFP589840 JPI589840:JPL589840 JZE589840:JZH589840 KJA589840:KJD589840 KSW589840:KSZ589840 LCS589840:LCV589840 LMO589840:LMR589840 LWK589840:LWN589840 MGG589840:MGJ589840 MQC589840:MQF589840 MZY589840:NAB589840 NJU589840:NJX589840 NTQ589840:NTT589840 ODM589840:ODP589840 ONI589840:ONL589840 OXE589840:OXH589840 PHA589840:PHD589840 PQW589840:PQZ589840 QAS589840:QAV589840 QKO589840:QKR589840 QUK589840:QUN589840 REG589840:REJ589840 ROC589840:ROF589840 RXY589840:RYB589840 SHU589840:SHX589840 SRQ589840:SRT589840 TBM589840:TBP589840 TLI589840:TLL589840 TVE589840:TVH589840 UFA589840:UFD589840 UOW589840:UOZ589840 UYS589840:UYV589840 VIO589840:VIR589840 VSK589840:VSN589840 WCG589840:WCJ589840 WMC589840:WMF589840 WVY589840:WWB589840 JM655376:JP655376 TI655376:TL655376 ADE655376:ADH655376 ANA655376:AND655376 AWW655376:AWZ655376 BGS655376:BGV655376 BQO655376:BQR655376 CAK655376:CAN655376 CKG655376:CKJ655376 CUC655376:CUF655376 DDY655376:DEB655376 DNU655376:DNX655376 DXQ655376:DXT655376 EHM655376:EHP655376 ERI655376:ERL655376 FBE655376:FBH655376 FLA655376:FLD655376 FUW655376:FUZ655376 GES655376:GEV655376 GOO655376:GOR655376 GYK655376:GYN655376 HIG655376:HIJ655376 HSC655376:HSF655376 IBY655376:ICB655376 ILU655376:ILX655376 IVQ655376:IVT655376 JFM655376:JFP655376 JPI655376:JPL655376 JZE655376:JZH655376 KJA655376:KJD655376 KSW655376:KSZ655376 LCS655376:LCV655376 LMO655376:LMR655376 LWK655376:LWN655376 MGG655376:MGJ655376 MQC655376:MQF655376 MZY655376:NAB655376 NJU655376:NJX655376 NTQ655376:NTT655376 ODM655376:ODP655376 ONI655376:ONL655376 OXE655376:OXH655376 PHA655376:PHD655376 PQW655376:PQZ655376 QAS655376:QAV655376 QKO655376:QKR655376 QUK655376:QUN655376 REG655376:REJ655376 ROC655376:ROF655376 RXY655376:RYB655376 SHU655376:SHX655376 SRQ655376:SRT655376 TBM655376:TBP655376 TLI655376:TLL655376 TVE655376:TVH655376 UFA655376:UFD655376 UOW655376:UOZ655376 UYS655376:UYV655376 VIO655376:VIR655376 VSK655376:VSN655376 WCG655376:WCJ655376 WMC655376:WMF655376 WVY655376:WWB655376 JM720912:JP720912 TI720912:TL720912 ADE720912:ADH720912 ANA720912:AND720912 AWW720912:AWZ720912 BGS720912:BGV720912 BQO720912:BQR720912 CAK720912:CAN720912 CKG720912:CKJ720912 CUC720912:CUF720912 DDY720912:DEB720912 DNU720912:DNX720912 DXQ720912:DXT720912 EHM720912:EHP720912 ERI720912:ERL720912 FBE720912:FBH720912 FLA720912:FLD720912 FUW720912:FUZ720912 GES720912:GEV720912 GOO720912:GOR720912 GYK720912:GYN720912 HIG720912:HIJ720912 HSC720912:HSF720912 IBY720912:ICB720912 ILU720912:ILX720912 IVQ720912:IVT720912 JFM720912:JFP720912 JPI720912:JPL720912 JZE720912:JZH720912 KJA720912:KJD720912 KSW720912:KSZ720912 LCS720912:LCV720912 LMO720912:LMR720912 LWK720912:LWN720912 MGG720912:MGJ720912 MQC720912:MQF720912 MZY720912:NAB720912 NJU720912:NJX720912 NTQ720912:NTT720912 ODM720912:ODP720912 ONI720912:ONL720912 OXE720912:OXH720912 PHA720912:PHD720912 PQW720912:PQZ720912 QAS720912:QAV720912 QKO720912:QKR720912 QUK720912:QUN720912 REG720912:REJ720912 ROC720912:ROF720912 RXY720912:RYB720912 SHU720912:SHX720912 SRQ720912:SRT720912 TBM720912:TBP720912 TLI720912:TLL720912 TVE720912:TVH720912 UFA720912:UFD720912 UOW720912:UOZ720912 UYS720912:UYV720912 VIO720912:VIR720912 VSK720912:VSN720912 WCG720912:WCJ720912 WMC720912:WMF720912 WVY720912:WWB720912 JM786448:JP786448 TI786448:TL786448 ADE786448:ADH786448 ANA786448:AND786448 AWW786448:AWZ786448 BGS786448:BGV786448 BQO786448:BQR786448 CAK786448:CAN786448 CKG786448:CKJ786448 CUC786448:CUF786448 DDY786448:DEB786448 DNU786448:DNX786448 DXQ786448:DXT786448 EHM786448:EHP786448 ERI786448:ERL786448 FBE786448:FBH786448 FLA786448:FLD786448 FUW786448:FUZ786448 GES786448:GEV786448 GOO786448:GOR786448 GYK786448:GYN786448 HIG786448:HIJ786448 HSC786448:HSF786448 IBY786448:ICB786448 ILU786448:ILX786448 IVQ786448:IVT786448 JFM786448:JFP786448 JPI786448:JPL786448 JZE786448:JZH786448 KJA786448:KJD786448 KSW786448:KSZ786448 LCS786448:LCV786448 LMO786448:LMR786448 LWK786448:LWN786448 MGG786448:MGJ786448 MQC786448:MQF786448 MZY786448:NAB786448 NJU786448:NJX786448 NTQ786448:NTT786448 ODM786448:ODP786448 ONI786448:ONL786448 OXE786448:OXH786448 PHA786448:PHD786448 PQW786448:PQZ786448 QAS786448:QAV786448 QKO786448:QKR786448 QUK786448:QUN786448 REG786448:REJ786448 ROC786448:ROF786448 RXY786448:RYB786448 SHU786448:SHX786448 SRQ786448:SRT786448 TBM786448:TBP786448 TLI786448:TLL786448 TVE786448:TVH786448 UFA786448:UFD786448 UOW786448:UOZ786448 UYS786448:UYV786448 VIO786448:VIR786448 VSK786448:VSN786448 WCG786448:WCJ786448 WMC786448:WMF786448 WVY786448:WWB786448 JM851984:JP851984 TI851984:TL851984 ADE851984:ADH851984 ANA851984:AND851984 AWW851984:AWZ851984 BGS851984:BGV851984 BQO851984:BQR851984 CAK851984:CAN851984 CKG851984:CKJ851984 CUC851984:CUF851984 DDY851984:DEB851984 DNU851984:DNX851984 DXQ851984:DXT851984 EHM851984:EHP851984 ERI851984:ERL851984 FBE851984:FBH851984 FLA851984:FLD851984 FUW851984:FUZ851984 GES851984:GEV851984 GOO851984:GOR851984 GYK851984:GYN851984 HIG851984:HIJ851984 HSC851984:HSF851984 IBY851984:ICB851984 ILU851984:ILX851984 IVQ851984:IVT851984 JFM851984:JFP851984 JPI851984:JPL851984 JZE851984:JZH851984 KJA851984:KJD851984 KSW851984:KSZ851984 LCS851984:LCV851984 LMO851984:LMR851984 LWK851984:LWN851984 MGG851984:MGJ851984 MQC851984:MQF851984 MZY851984:NAB851984 NJU851984:NJX851984 NTQ851984:NTT851984 ODM851984:ODP851984 ONI851984:ONL851984 OXE851984:OXH851984 PHA851984:PHD851984 PQW851984:PQZ851984 QAS851984:QAV851984 QKO851984:QKR851984 QUK851984:QUN851984 REG851984:REJ851984 ROC851984:ROF851984 RXY851984:RYB851984 SHU851984:SHX851984 SRQ851984:SRT851984 TBM851984:TBP851984 TLI851984:TLL851984 TVE851984:TVH851984 UFA851984:UFD851984 UOW851984:UOZ851984 UYS851984:UYV851984 VIO851984:VIR851984 VSK851984:VSN851984 WCG851984:WCJ851984 WMC851984:WMF851984 WVY851984:WWB851984 JM917520:JP917520 TI917520:TL917520 ADE917520:ADH917520 ANA917520:AND917520 AWW917520:AWZ917520 BGS917520:BGV917520 BQO917520:BQR917520 CAK917520:CAN917520 CKG917520:CKJ917520 CUC917520:CUF917520 DDY917520:DEB917520 DNU917520:DNX917520 DXQ917520:DXT917520 EHM917520:EHP917520 ERI917520:ERL917520 FBE917520:FBH917520 FLA917520:FLD917520 FUW917520:FUZ917520 GES917520:GEV917520 GOO917520:GOR917520 GYK917520:GYN917520 HIG917520:HIJ917520 HSC917520:HSF917520 IBY917520:ICB917520 ILU917520:ILX917520 IVQ917520:IVT917520 JFM917520:JFP917520 JPI917520:JPL917520 JZE917520:JZH917520 KJA917520:KJD917520 KSW917520:KSZ917520 LCS917520:LCV917520 LMO917520:LMR917520 LWK917520:LWN917520 MGG917520:MGJ917520 MQC917520:MQF917520 MZY917520:NAB917520 NJU917520:NJX917520 NTQ917520:NTT917520 ODM917520:ODP917520 ONI917520:ONL917520 OXE917520:OXH917520 PHA917520:PHD917520 PQW917520:PQZ917520 QAS917520:QAV917520 QKO917520:QKR917520 QUK917520:QUN917520 REG917520:REJ917520 ROC917520:ROF917520 RXY917520:RYB917520 SHU917520:SHX917520 SRQ917520:SRT917520 TBM917520:TBP917520 TLI917520:TLL917520 TVE917520:TVH917520 UFA917520:UFD917520 UOW917520:UOZ917520 UYS917520:UYV917520 VIO917520:VIR917520 VSK917520:VSN917520 WCG917520:WCJ917520 WMC917520:WMF917520 WVY917520:WWB917520 JM983056:JP983056 TI983056:TL983056 ADE983056:ADH983056 ANA983056:AND983056 AWW983056:AWZ983056 BGS983056:BGV983056 BQO983056:BQR983056 CAK983056:CAN983056 CKG983056:CKJ983056 CUC983056:CUF983056 DDY983056:DEB983056 DNU983056:DNX983056 DXQ983056:DXT983056 EHM983056:EHP983056 ERI983056:ERL983056 FBE983056:FBH983056 FLA983056:FLD983056 FUW983056:FUZ983056 GES983056:GEV983056 GOO983056:GOR983056 GYK983056:GYN983056 HIG983056:HIJ983056 HSC983056:HSF983056 IBY983056:ICB983056 ILU983056:ILX983056 IVQ983056:IVT983056 JFM983056:JFP983056 JPI983056:JPL983056 JZE983056:JZH983056 KJA983056:KJD983056 KSW983056:KSZ983056 LCS983056:LCV983056 LMO983056:LMR983056 LWK983056:LWN983056 MGG983056:MGJ983056 MQC983056:MQF983056 MZY983056:NAB983056 NJU983056:NJX983056 NTQ983056:NTT983056 ODM983056:ODP983056 ONI983056:ONL983056 OXE983056:OXH983056 PHA983056:PHD983056 PQW983056:PQZ983056 QAS983056:QAV983056 QKO983056:QKR983056 QUK983056:QUN983056 REG983056:REJ983056 ROC983056:ROF983056 RXY983056:RYB983056 SHU983056:SHX983056 SRQ983056:SRT983056 TBM983056:TBP983056 TLI983056:TLL983056 TVE983056:TVH983056 UFA983056:UFD983056 UOW983056:UOZ983056 UYS983056:UYV983056 VIO983056:VIR983056 VSK983056:VSN983056 WCG983056:WCJ983056 F13:F14"/>
    <dataValidation allowBlank="1" showInputMessage="1" showErrorMessage="1" promptTitle="N° IMMATRICULATION" prompt="N° IMMATRICULATION" sqref="WVZ983059 H983059 H917523 H851987 H786451 H720915 H655379 H589843 H524307 H458771 H393235 H327699 H262163 H196627 H131091 H65555 JN17 TJ17 ADF17 ANB17 AWX17 BGT17 BQP17 CAL17 CKH17 CUD17 DDZ17 DNV17 DXR17 EHN17 ERJ17 FBF17 FLB17 FUX17 GET17 GOP17 GYL17 HIH17 HSD17 IBZ17 ILV17 IVR17 JFN17 JPJ17 JZF17 KJB17 KSX17 LCT17 LMP17 LWL17 MGH17 MQD17 MZZ17 NJV17 NTR17 ODN17 ONJ17 OXF17 PHB17 PQX17 QAT17 QKP17 QUL17 REH17 ROD17 RXZ17 SHV17 SRR17 TBN17 TLJ17 TVF17 UFB17 UOX17 UYT17 VIP17 VSL17 WCH17 WMD17 WVZ17 JN65555 TJ65555 ADF65555 ANB65555 AWX65555 BGT65555 BQP65555 CAL65555 CKH65555 CUD65555 DDZ65555 DNV65555 DXR65555 EHN65555 ERJ65555 FBF65555 FLB65555 FUX65555 GET65555 GOP65555 GYL65555 HIH65555 HSD65555 IBZ65555 ILV65555 IVR65555 JFN65555 JPJ65555 JZF65555 KJB65555 KSX65555 LCT65555 LMP65555 LWL65555 MGH65555 MQD65555 MZZ65555 NJV65555 NTR65555 ODN65555 ONJ65555 OXF65555 PHB65555 PQX65555 QAT65555 QKP65555 QUL65555 REH65555 ROD65555 RXZ65555 SHV65555 SRR65555 TBN65555 TLJ65555 TVF65555 UFB65555 UOX65555 UYT65555 VIP65555 VSL65555 WCH65555 WMD65555 WVZ65555 JN131091 TJ131091 ADF131091 ANB131091 AWX131091 BGT131091 BQP131091 CAL131091 CKH131091 CUD131091 DDZ131091 DNV131091 DXR131091 EHN131091 ERJ131091 FBF131091 FLB131091 FUX131091 GET131091 GOP131091 GYL131091 HIH131091 HSD131091 IBZ131091 ILV131091 IVR131091 JFN131091 JPJ131091 JZF131091 KJB131091 KSX131091 LCT131091 LMP131091 LWL131091 MGH131091 MQD131091 MZZ131091 NJV131091 NTR131091 ODN131091 ONJ131091 OXF131091 PHB131091 PQX131091 QAT131091 QKP131091 QUL131091 REH131091 ROD131091 RXZ131091 SHV131091 SRR131091 TBN131091 TLJ131091 TVF131091 UFB131091 UOX131091 UYT131091 VIP131091 VSL131091 WCH131091 WMD131091 WVZ131091 JN196627 TJ196627 ADF196627 ANB196627 AWX196627 BGT196627 BQP196627 CAL196627 CKH196627 CUD196627 DDZ196627 DNV196627 DXR196627 EHN196627 ERJ196627 FBF196627 FLB196627 FUX196627 GET196627 GOP196627 GYL196627 HIH196627 HSD196627 IBZ196627 ILV196627 IVR196627 JFN196627 JPJ196627 JZF196627 KJB196627 KSX196627 LCT196627 LMP196627 LWL196627 MGH196627 MQD196627 MZZ196627 NJV196627 NTR196627 ODN196627 ONJ196627 OXF196627 PHB196627 PQX196627 QAT196627 QKP196627 QUL196627 REH196627 ROD196627 RXZ196627 SHV196627 SRR196627 TBN196627 TLJ196627 TVF196627 UFB196627 UOX196627 UYT196627 VIP196627 VSL196627 WCH196627 WMD196627 WVZ196627 JN262163 TJ262163 ADF262163 ANB262163 AWX262163 BGT262163 BQP262163 CAL262163 CKH262163 CUD262163 DDZ262163 DNV262163 DXR262163 EHN262163 ERJ262163 FBF262163 FLB262163 FUX262163 GET262163 GOP262163 GYL262163 HIH262163 HSD262163 IBZ262163 ILV262163 IVR262163 JFN262163 JPJ262163 JZF262163 KJB262163 KSX262163 LCT262163 LMP262163 LWL262163 MGH262163 MQD262163 MZZ262163 NJV262163 NTR262163 ODN262163 ONJ262163 OXF262163 PHB262163 PQX262163 QAT262163 QKP262163 QUL262163 REH262163 ROD262163 RXZ262163 SHV262163 SRR262163 TBN262163 TLJ262163 TVF262163 UFB262163 UOX262163 UYT262163 VIP262163 VSL262163 WCH262163 WMD262163 WVZ262163 JN327699 TJ327699 ADF327699 ANB327699 AWX327699 BGT327699 BQP327699 CAL327699 CKH327699 CUD327699 DDZ327699 DNV327699 DXR327699 EHN327699 ERJ327699 FBF327699 FLB327699 FUX327699 GET327699 GOP327699 GYL327699 HIH327699 HSD327699 IBZ327699 ILV327699 IVR327699 JFN327699 JPJ327699 JZF327699 KJB327699 KSX327699 LCT327699 LMP327699 LWL327699 MGH327699 MQD327699 MZZ327699 NJV327699 NTR327699 ODN327699 ONJ327699 OXF327699 PHB327699 PQX327699 QAT327699 QKP327699 QUL327699 REH327699 ROD327699 RXZ327699 SHV327699 SRR327699 TBN327699 TLJ327699 TVF327699 UFB327699 UOX327699 UYT327699 VIP327699 VSL327699 WCH327699 WMD327699 WVZ327699 JN393235 TJ393235 ADF393235 ANB393235 AWX393235 BGT393235 BQP393235 CAL393235 CKH393235 CUD393235 DDZ393235 DNV393235 DXR393235 EHN393235 ERJ393235 FBF393235 FLB393235 FUX393235 GET393235 GOP393235 GYL393235 HIH393235 HSD393235 IBZ393235 ILV393235 IVR393235 JFN393235 JPJ393235 JZF393235 KJB393235 KSX393235 LCT393235 LMP393235 LWL393235 MGH393235 MQD393235 MZZ393235 NJV393235 NTR393235 ODN393235 ONJ393235 OXF393235 PHB393235 PQX393235 QAT393235 QKP393235 QUL393235 REH393235 ROD393235 RXZ393235 SHV393235 SRR393235 TBN393235 TLJ393235 TVF393235 UFB393235 UOX393235 UYT393235 VIP393235 VSL393235 WCH393235 WMD393235 WVZ393235 JN458771 TJ458771 ADF458771 ANB458771 AWX458771 BGT458771 BQP458771 CAL458771 CKH458771 CUD458771 DDZ458771 DNV458771 DXR458771 EHN458771 ERJ458771 FBF458771 FLB458771 FUX458771 GET458771 GOP458771 GYL458771 HIH458771 HSD458771 IBZ458771 ILV458771 IVR458771 JFN458771 JPJ458771 JZF458771 KJB458771 KSX458771 LCT458771 LMP458771 LWL458771 MGH458771 MQD458771 MZZ458771 NJV458771 NTR458771 ODN458771 ONJ458771 OXF458771 PHB458771 PQX458771 QAT458771 QKP458771 QUL458771 REH458771 ROD458771 RXZ458771 SHV458771 SRR458771 TBN458771 TLJ458771 TVF458771 UFB458771 UOX458771 UYT458771 VIP458771 VSL458771 WCH458771 WMD458771 WVZ458771 JN524307 TJ524307 ADF524307 ANB524307 AWX524307 BGT524307 BQP524307 CAL524307 CKH524307 CUD524307 DDZ524307 DNV524307 DXR524307 EHN524307 ERJ524307 FBF524307 FLB524307 FUX524307 GET524307 GOP524307 GYL524307 HIH524307 HSD524307 IBZ524307 ILV524307 IVR524307 JFN524307 JPJ524307 JZF524307 KJB524307 KSX524307 LCT524307 LMP524307 LWL524307 MGH524307 MQD524307 MZZ524307 NJV524307 NTR524307 ODN524307 ONJ524307 OXF524307 PHB524307 PQX524307 QAT524307 QKP524307 QUL524307 REH524307 ROD524307 RXZ524307 SHV524307 SRR524307 TBN524307 TLJ524307 TVF524307 UFB524307 UOX524307 UYT524307 VIP524307 VSL524307 WCH524307 WMD524307 WVZ524307 JN589843 TJ589843 ADF589843 ANB589843 AWX589843 BGT589843 BQP589843 CAL589843 CKH589843 CUD589843 DDZ589843 DNV589843 DXR589843 EHN589843 ERJ589843 FBF589843 FLB589843 FUX589843 GET589843 GOP589843 GYL589843 HIH589843 HSD589843 IBZ589843 ILV589843 IVR589843 JFN589843 JPJ589843 JZF589843 KJB589843 KSX589843 LCT589843 LMP589843 LWL589843 MGH589843 MQD589843 MZZ589843 NJV589843 NTR589843 ODN589843 ONJ589843 OXF589843 PHB589843 PQX589843 QAT589843 QKP589843 QUL589843 REH589843 ROD589843 RXZ589843 SHV589843 SRR589843 TBN589843 TLJ589843 TVF589843 UFB589843 UOX589843 UYT589843 VIP589843 VSL589843 WCH589843 WMD589843 WVZ589843 JN655379 TJ655379 ADF655379 ANB655379 AWX655379 BGT655379 BQP655379 CAL655379 CKH655379 CUD655379 DDZ655379 DNV655379 DXR655379 EHN655379 ERJ655379 FBF655379 FLB655379 FUX655379 GET655379 GOP655379 GYL655379 HIH655379 HSD655379 IBZ655379 ILV655379 IVR655379 JFN655379 JPJ655379 JZF655379 KJB655379 KSX655379 LCT655379 LMP655379 LWL655379 MGH655379 MQD655379 MZZ655379 NJV655379 NTR655379 ODN655379 ONJ655379 OXF655379 PHB655379 PQX655379 QAT655379 QKP655379 QUL655379 REH655379 ROD655379 RXZ655379 SHV655379 SRR655379 TBN655379 TLJ655379 TVF655379 UFB655379 UOX655379 UYT655379 VIP655379 VSL655379 WCH655379 WMD655379 WVZ655379 JN720915 TJ720915 ADF720915 ANB720915 AWX720915 BGT720915 BQP720915 CAL720915 CKH720915 CUD720915 DDZ720915 DNV720915 DXR720915 EHN720915 ERJ720915 FBF720915 FLB720915 FUX720915 GET720915 GOP720915 GYL720915 HIH720915 HSD720915 IBZ720915 ILV720915 IVR720915 JFN720915 JPJ720915 JZF720915 KJB720915 KSX720915 LCT720915 LMP720915 LWL720915 MGH720915 MQD720915 MZZ720915 NJV720915 NTR720915 ODN720915 ONJ720915 OXF720915 PHB720915 PQX720915 QAT720915 QKP720915 QUL720915 REH720915 ROD720915 RXZ720915 SHV720915 SRR720915 TBN720915 TLJ720915 TVF720915 UFB720915 UOX720915 UYT720915 VIP720915 VSL720915 WCH720915 WMD720915 WVZ720915 JN786451 TJ786451 ADF786451 ANB786451 AWX786451 BGT786451 BQP786451 CAL786451 CKH786451 CUD786451 DDZ786451 DNV786451 DXR786451 EHN786451 ERJ786451 FBF786451 FLB786451 FUX786451 GET786451 GOP786451 GYL786451 HIH786451 HSD786451 IBZ786451 ILV786451 IVR786451 JFN786451 JPJ786451 JZF786451 KJB786451 KSX786451 LCT786451 LMP786451 LWL786451 MGH786451 MQD786451 MZZ786451 NJV786451 NTR786451 ODN786451 ONJ786451 OXF786451 PHB786451 PQX786451 QAT786451 QKP786451 QUL786451 REH786451 ROD786451 RXZ786451 SHV786451 SRR786451 TBN786451 TLJ786451 TVF786451 UFB786451 UOX786451 UYT786451 VIP786451 VSL786451 WCH786451 WMD786451 WVZ786451 JN851987 TJ851987 ADF851987 ANB851987 AWX851987 BGT851987 BQP851987 CAL851987 CKH851987 CUD851987 DDZ851987 DNV851987 DXR851987 EHN851987 ERJ851987 FBF851987 FLB851987 FUX851987 GET851987 GOP851987 GYL851987 HIH851987 HSD851987 IBZ851987 ILV851987 IVR851987 JFN851987 JPJ851987 JZF851987 KJB851987 KSX851987 LCT851987 LMP851987 LWL851987 MGH851987 MQD851987 MZZ851987 NJV851987 NTR851987 ODN851987 ONJ851987 OXF851987 PHB851987 PQX851987 QAT851987 QKP851987 QUL851987 REH851987 ROD851987 RXZ851987 SHV851987 SRR851987 TBN851987 TLJ851987 TVF851987 UFB851987 UOX851987 UYT851987 VIP851987 VSL851987 WCH851987 WMD851987 WVZ851987 JN917523 TJ917523 ADF917523 ANB917523 AWX917523 BGT917523 BQP917523 CAL917523 CKH917523 CUD917523 DDZ917523 DNV917523 DXR917523 EHN917523 ERJ917523 FBF917523 FLB917523 FUX917523 GET917523 GOP917523 GYL917523 HIH917523 HSD917523 IBZ917523 ILV917523 IVR917523 JFN917523 JPJ917523 JZF917523 KJB917523 KSX917523 LCT917523 LMP917523 LWL917523 MGH917523 MQD917523 MZZ917523 NJV917523 NTR917523 ODN917523 ONJ917523 OXF917523 PHB917523 PQX917523 QAT917523 QKP917523 QUL917523 REH917523 ROD917523 RXZ917523 SHV917523 SRR917523 TBN917523 TLJ917523 TVF917523 UFB917523 UOX917523 UYT917523 VIP917523 VSL917523 WCH917523 WMD917523 WVZ917523 JN983059 TJ983059 ADF983059 ANB983059 AWX983059 BGT983059 BQP983059 CAL983059 CKH983059 CUD983059 DDZ983059 DNV983059 DXR983059 EHN983059 ERJ983059 FBF983059 FLB983059 FUX983059 GET983059 GOP983059 GYL983059 HIH983059 HSD983059 IBZ983059 ILV983059 IVR983059 JFN983059 JPJ983059 JZF983059 KJB983059 KSX983059 LCT983059 LMP983059 LWL983059 MGH983059 MQD983059 MZZ983059 NJV983059 NTR983059 ODN983059 ONJ983059 OXF983059 PHB983059 PQX983059 QAT983059 QKP983059 QUL983059 REH983059 ROD983059 RXZ983059 SHV983059 SRR983059 TBN983059 TLJ983059 TVF983059 UFB983059 UOX983059 UYT983059 VIP983059 VSL983059 WCH983059 WMD983059"/>
    <dataValidation allowBlank="1" showInputMessage="1" showErrorMessage="1" promptTitle="N° CHASSIS" prompt="N° CHASSIS" sqref="WVX983061:WVY983061 F983061:G983061 F917525:G917525 F851989:G851989 F786453:G786453 F720917:G720917 F655381:G655381 F589845:G589845 F524309:G524309 F458773:G458773 F393237:G393237 F327701:G327701 F262165:G262165 F196629:G196629 F131093:G131093 F65557:G65557 JL19:JM20 TH19:TI20 ADD19:ADE20 AMZ19:ANA20 AWV19:AWW20 BGR19:BGS20 BQN19:BQO20 CAJ19:CAK20 CKF19:CKG20 CUB19:CUC20 DDX19:DDY20 DNT19:DNU20 DXP19:DXQ20 EHL19:EHM20 ERH19:ERI20 FBD19:FBE20 FKZ19:FLA20 FUV19:FUW20 GER19:GES20 GON19:GOO20 GYJ19:GYK20 HIF19:HIG20 HSB19:HSC20 IBX19:IBY20 ILT19:ILU20 IVP19:IVQ20 JFL19:JFM20 JPH19:JPI20 JZD19:JZE20 KIZ19:KJA20 KSV19:KSW20 LCR19:LCS20 LMN19:LMO20 LWJ19:LWK20 MGF19:MGG20 MQB19:MQC20 MZX19:MZY20 NJT19:NJU20 NTP19:NTQ20 ODL19:ODM20 ONH19:ONI20 OXD19:OXE20 PGZ19:PHA20 PQV19:PQW20 QAR19:QAS20 QKN19:QKO20 QUJ19:QUK20 REF19:REG20 ROB19:ROC20 RXX19:RXY20 SHT19:SHU20 SRP19:SRQ20 TBL19:TBM20 TLH19:TLI20 TVD19:TVE20 UEZ19:UFA20 UOV19:UOW20 UYR19:UYS20 VIN19:VIO20 VSJ19:VSK20 WCF19:WCG20 WMB19:WMC20 WVX19:WVY20 JL65557:JM65557 TH65557:TI65557 ADD65557:ADE65557 AMZ65557:ANA65557 AWV65557:AWW65557 BGR65557:BGS65557 BQN65557:BQO65557 CAJ65557:CAK65557 CKF65557:CKG65557 CUB65557:CUC65557 DDX65557:DDY65557 DNT65557:DNU65557 DXP65557:DXQ65557 EHL65557:EHM65557 ERH65557:ERI65557 FBD65557:FBE65557 FKZ65557:FLA65557 FUV65557:FUW65557 GER65557:GES65557 GON65557:GOO65557 GYJ65557:GYK65557 HIF65557:HIG65557 HSB65557:HSC65557 IBX65557:IBY65557 ILT65557:ILU65557 IVP65557:IVQ65557 JFL65557:JFM65557 JPH65557:JPI65557 JZD65557:JZE65557 KIZ65557:KJA65557 KSV65557:KSW65557 LCR65557:LCS65557 LMN65557:LMO65557 LWJ65557:LWK65557 MGF65557:MGG65557 MQB65557:MQC65557 MZX65557:MZY65557 NJT65557:NJU65557 NTP65557:NTQ65557 ODL65557:ODM65557 ONH65557:ONI65557 OXD65557:OXE65557 PGZ65557:PHA65557 PQV65557:PQW65557 QAR65557:QAS65557 QKN65557:QKO65557 QUJ65557:QUK65557 REF65557:REG65557 ROB65557:ROC65557 RXX65557:RXY65557 SHT65557:SHU65557 SRP65557:SRQ65557 TBL65557:TBM65557 TLH65557:TLI65557 TVD65557:TVE65557 UEZ65557:UFA65557 UOV65557:UOW65557 UYR65557:UYS65557 VIN65557:VIO65557 VSJ65557:VSK65557 WCF65557:WCG65557 WMB65557:WMC65557 WVX65557:WVY65557 JL131093:JM131093 TH131093:TI131093 ADD131093:ADE131093 AMZ131093:ANA131093 AWV131093:AWW131093 BGR131093:BGS131093 BQN131093:BQO131093 CAJ131093:CAK131093 CKF131093:CKG131093 CUB131093:CUC131093 DDX131093:DDY131093 DNT131093:DNU131093 DXP131093:DXQ131093 EHL131093:EHM131093 ERH131093:ERI131093 FBD131093:FBE131093 FKZ131093:FLA131093 FUV131093:FUW131093 GER131093:GES131093 GON131093:GOO131093 GYJ131093:GYK131093 HIF131093:HIG131093 HSB131093:HSC131093 IBX131093:IBY131093 ILT131093:ILU131093 IVP131093:IVQ131093 JFL131093:JFM131093 JPH131093:JPI131093 JZD131093:JZE131093 KIZ131093:KJA131093 KSV131093:KSW131093 LCR131093:LCS131093 LMN131093:LMO131093 LWJ131093:LWK131093 MGF131093:MGG131093 MQB131093:MQC131093 MZX131093:MZY131093 NJT131093:NJU131093 NTP131093:NTQ131093 ODL131093:ODM131093 ONH131093:ONI131093 OXD131093:OXE131093 PGZ131093:PHA131093 PQV131093:PQW131093 QAR131093:QAS131093 QKN131093:QKO131093 QUJ131093:QUK131093 REF131093:REG131093 ROB131093:ROC131093 RXX131093:RXY131093 SHT131093:SHU131093 SRP131093:SRQ131093 TBL131093:TBM131093 TLH131093:TLI131093 TVD131093:TVE131093 UEZ131093:UFA131093 UOV131093:UOW131093 UYR131093:UYS131093 VIN131093:VIO131093 VSJ131093:VSK131093 WCF131093:WCG131093 WMB131093:WMC131093 WVX131093:WVY131093 JL196629:JM196629 TH196629:TI196629 ADD196629:ADE196629 AMZ196629:ANA196629 AWV196629:AWW196629 BGR196629:BGS196629 BQN196629:BQO196629 CAJ196629:CAK196629 CKF196629:CKG196629 CUB196629:CUC196629 DDX196629:DDY196629 DNT196629:DNU196629 DXP196629:DXQ196629 EHL196629:EHM196629 ERH196629:ERI196629 FBD196629:FBE196629 FKZ196629:FLA196629 FUV196629:FUW196629 GER196629:GES196629 GON196629:GOO196629 GYJ196629:GYK196629 HIF196629:HIG196629 HSB196629:HSC196629 IBX196629:IBY196629 ILT196629:ILU196629 IVP196629:IVQ196629 JFL196629:JFM196629 JPH196629:JPI196629 JZD196629:JZE196629 KIZ196629:KJA196629 KSV196629:KSW196629 LCR196629:LCS196629 LMN196629:LMO196629 LWJ196629:LWK196629 MGF196629:MGG196629 MQB196629:MQC196629 MZX196629:MZY196629 NJT196629:NJU196629 NTP196629:NTQ196629 ODL196629:ODM196629 ONH196629:ONI196629 OXD196629:OXE196629 PGZ196629:PHA196629 PQV196629:PQW196629 QAR196629:QAS196629 QKN196629:QKO196629 QUJ196629:QUK196629 REF196629:REG196629 ROB196629:ROC196629 RXX196629:RXY196629 SHT196629:SHU196629 SRP196629:SRQ196629 TBL196629:TBM196629 TLH196629:TLI196629 TVD196629:TVE196629 UEZ196629:UFA196629 UOV196629:UOW196629 UYR196629:UYS196629 VIN196629:VIO196629 VSJ196629:VSK196629 WCF196629:WCG196629 WMB196629:WMC196629 WVX196629:WVY196629 JL262165:JM262165 TH262165:TI262165 ADD262165:ADE262165 AMZ262165:ANA262165 AWV262165:AWW262165 BGR262165:BGS262165 BQN262165:BQO262165 CAJ262165:CAK262165 CKF262165:CKG262165 CUB262165:CUC262165 DDX262165:DDY262165 DNT262165:DNU262165 DXP262165:DXQ262165 EHL262165:EHM262165 ERH262165:ERI262165 FBD262165:FBE262165 FKZ262165:FLA262165 FUV262165:FUW262165 GER262165:GES262165 GON262165:GOO262165 GYJ262165:GYK262165 HIF262165:HIG262165 HSB262165:HSC262165 IBX262165:IBY262165 ILT262165:ILU262165 IVP262165:IVQ262165 JFL262165:JFM262165 JPH262165:JPI262165 JZD262165:JZE262165 KIZ262165:KJA262165 KSV262165:KSW262165 LCR262165:LCS262165 LMN262165:LMO262165 LWJ262165:LWK262165 MGF262165:MGG262165 MQB262165:MQC262165 MZX262165:MZY262165 NJT262165:NJU262165 NTP262165:NTQ262165 ODL262165:ODM262165 ONH262165:ONI262165 OXD262165:OXE262165 PGZ262165:PHA262165 PQV262165:PQW262165 QAR262165:QAS262165 QKN262165:QKO262165 QUJ262165:QUK262165 REF262165:REG262165 ROB262165:ROC262165 RXX262165:RXY262165 SHT262165:SHU262165 SRP262165:SRQ262165 TBL262165:TBM262165 TLH262165:TLI262165 TVD262165:TVE262165 UEZ262165:UFA262165 UOV262165:UOW262165 UYR262165:UYS262165 VIN262165:VIO262165 VSJ262165:VSK262165 WCF262165:WCG262165 WMB262165:WMC262165 WVX262165:WVY262165 JL327701:JM327701 TH327701:TI327701 ADD327701:ADE327701 AMZ327701:ANA327701 AWV327701:AWW327701 BGR327701:BGS327701 BQN327701:BQO327701 CAJ327701:CAK327701 CKF327701:CKG327701 CUB327701:CUC327701 DDX327701:DDY327701 DNT327701:DNU327701 DXP327701:DXQ327701 EHL327701:EHM327701 ERH327701:ERI327701 FBD327701:FBE327701 FKZ327701:FLA327701 FUV327701:FUW327701 GER327701:GES327701 GON327701:GOO327701 GYJ327701:GYK327701 HIF327701:HIG327701 HSB327701:HSC327701 IBX327701:IBY327701 ILT327701:ILU327701 IVP327701:IVQ327701 JFL327701:JFM327701 JPH327701:JPI327701 JZD327701:JZE327701 KIZ327701:KJA327701 KSV327701:KSW327701 LCR327701:LCS327701 LMN327701:LMO327701 LWJ327701:LWK327701 MGF327701:MGG327701 MQB327701:MQC327701 MZX327701:MZY327701 NJT327701:NJU327701 NTP327701:NTQ327701 ODL327701:ODM327701 ONH327701:ONI327701 OXD327701:OXE327701 PGZ327701:PHA327701 PQV327701:PQW327701 QAR327701:QAS327701 QKN327701:QKO327701 QUJ327701:QUK327701 REF327701:REG327701 ROB327701:ROC327701 RXX327701:RXY327701 SHT327701:SHU327701 SRP327701:SRQ327701 TBL327701:TBM327701 TLH327701:TLI327701 TVD327701:TVE327701 UEZ327701:UFA327701 UOV327701:UOW327701 UYR327701:UYS327701 VIN327701:VIO327701 VSJ327701:VSK327701 WCF327701:WCG327701 WMB327701:WMC327701 WVX327701:WVY327701 JL393237:JM393237 TH393237:TI393237 ADD393237:ADE393237 AMZ393237:ANA393237 AWV393237:AWW393237 BGR393237:BGS393237 BQN393237:BQO393237 CAJ393237:CAK393237 CKF393237:CKG393237 CUB393237:CUC393237 DDX393237:DDY393237 DNT393237:DNU393237 DXP393237:DXQ393237 EHL393237:EHM393237 ERH393237:ERI393237 FBD393237:FBE393237 FKZ393237:FLA393237 FUV393237:FUW393237 GER393237:GES393237 GON393237:GOO393237 GYJ393237:GYK393237 HIF393237:HIG393237 HSB393237:HSC393237 IBX393237:IBY393237 ILT393237:ILU393237 IVP393237:IVQ393237 JFL393237:JFM393237 JPH393237:JPI393237 JZD393237:JZE393237 KIZ393237:KJA393237 KSV393237:KSW393237 LCR393237:LCS393237 LMN393237:LMO393237 LWJ393237:LWK393237 MGF393237:MGG393237 MQB393237:MQC393237 MZX393237:MZY393237 NJT393237:NJU393237 NTP393237:NTQ393237 ODL393237:ODM393237 ONH393237:ONI393237 OXD393237:OXE393237 PGZ393237:PHA393237 PQV393237:PQW393237 QAR393237:QAS393237 QKN393237:QKO393237 QUJ393237:QUK393237 REF393237:REG393237 ROB393237:ROC393237 RXX393237:RXY393237 SHT393237:SHU393237 SRP393237:SRQ393237 TBL393237:TBM393237 TLH393237:TLI393237 TVD393237:TVE393237 UEZ393237:UFA393237 UOV393237:UOW393237 UYR393237:UYS393237 VIN393237:VIO393237 VSJ393237:VSK393237 WCF393237:WCG393237 WMB393237:WMC393237 WVX393237:WVY393237 JL458773:JM458773 TH458773:TI458773 ADD458773:ADE458773 AMZ458773:ANA458773 AWV458773:AWW458773 BGR458773:BGS458773 BQN458773:BQO458773 CAJ458773:CAK458773 CKF458773:CKG458773 CUB458773:CUC458773 DDX458773:DDY458773 DNT458773:DNU458773 DXP458773:DXQ458773 EHL458773:EHM458773 ERH458773:ERI458773 FBD458773:FBE458773 FKZ458773:FLA458773 FUV458773:FUW458773 GER458773:GES458773 GON458773:GOO458773 GYJ458773:GYK458773 HIF458773:HIG458773 HSB458773:HSC458773 IBX458773:IBY458773 ILT458773:ILU458773 IVP458773:IVQ458773 JFL458773:JFM458773 JPH458773:JPI458773 JZD458773:JZE458773 KIZ458773:KJA458773 KSV458773:KSW458773 LCR458773:LCS458773 LMN458773:LMO458773 LWJ458773:LWK458773 MGF458773:MGG458773 MQB458773:MQC458773 MZX458773:MZY458773 NJT458773:NJU458773 NTP458773:NTQ458773 ODL458773:ODM458773 ONH458773:ONI458773 OXD458773:OXE458773 PGZ458773:PHA458773 PQV458773:PQW458773 QAR458773:QAS458773 QKN458773:QKO458773 QUJ458773:QUK458773 REF458773:REG458773 ROB458773:ROC458773 RXX458773:RXY458773 SHT458773:SHU458773 SRP458773:SRQ458773 TBL458773:TBM458773 TLH458773:TLI458773 TVD458773:TVE458773 UEZ458773:UFA458773 UOV458773:UOW458773 UYR458773:UYS458773 VIN458773:VIO458773 VSJ458773:VSK458773 WCF458773:WCG458773 WMB458773:WMC458773 WVX458773:WVY458773 JL524309:JM524309 TH524309:TI524309 ADD524309:ADE524309 AMZ524309:ANA524309 AWV524309:AWW524309 BGR524309:BGS524309 BQN524309:BQO524309 CAJ524309:CAK524309 CKF524309:CKG524309 CUB524309:CUC524309 DDX524309:DDY524309 DNT524309:DNU524309 DXP524309:DXQ524309 EHL524309:EHM524309 ERH524309:ERI524309 FBD524309:FBE524309 FKZ524309:FLA524309 FUV524309:FUW524309 GER524309:GES524309 GON524309:GOO524309 GYJ524309:GYK524309 HIF524309:HIG524309 HSB524309:HSC524309 IBX524309:IBY524309 ILT524309:ILU524309 IVP524309:IVQ524309 JFL524309:JFM524309 JPH524309:JPI524309 JZD524309:JZE524309 KIZ524309:KJA524309 KSV524309:KSW524309 LCR524309:LCS524309 LMN524309:LMO524309 LWJ524309:LWK524309 MGF524309:MGG524309 MQB524309:MQC524309 MZX524309:MZY524309 NJT524309:NJU524309 NTP524309:NTQ524309 ODL524309:ODM524309 ONH524309:ONI524309 OXD524309:OXE524309 PGZ524309:PHA524309 PQV524309:PQW524309 QAR524309:QAS524309 QKN524309:QKO524309 QUJ524309:QUK524309 REF524309:REG524309 ROB524309:ROC524309 RXX524309:RXY524309 SHT524309:SHU524309 SRP524309:SRQ524309 TBL524309:TBM524309 TLH524309:TLI524309 TVD524309:TVE524309 UEZ524309:UFA524309 UOV524309:UOW524309 UYR524309:UYS524309 VIN524309:VIO524309 VSJ524309:VSK524309 WCF524309:WCG524309 WMB524309:WMC524309 WVX524309:WVY524309 JL589845:JM589845 TH589845:TI589845 ADD589845:ADE589845 AMZ589845:ANA589845 AWV589845:AWW589845 BGR589845:BGS589845 BQN589845:BQO589845 CAJ589845:CAK589845 CKF589845:CKG589845 CUB589845:CUC589845 DDX589845:DDY589845 DNT589845:DNU589845 DXP589845:DXQ589845 EHL589845:EHM589845 ERH589845:ERI589845 FBD589845:FBE589845 FKZ589845:FLA589845 FUV589845:FUW589845 GER589845:GES589845 GON589845:GOO589845 GYJ589845:GYK589845 HIF589845:HIG589845 HSB589845:HSC589845 IBX589845:IBY589845 ILT589845:ILU589845 IVP589845:IVQ589845 JFL589845:JFM589845 JPH589845:JPI589845 JZD589845:JZE589845 KIZ589845:KJA589845 KSV589845:KSW589845 LCR589845:LCS589845 LMN589845:LMO589845 LWJ589845:LWK589845 MGF589845:MGG589845 MQB589845:MQC589845 MZX589845:MZY589845 NJT589845:NJU589845 NTP589845:NTQ589845 ODL589845:ODM589845 ONH589845:ONI589845 OXD589845:OXE589845 PGZ589845:PHA589845 PQV589845:PQW589845 QAR589845:QAS589845 QKN589845:QKO589845 QUJ589845:QUK589845 REF589845:REG589845 ROB589845:ROC589845 RXX589845:RXY589845 SHT589845:SHU589845 SRP589845:SRQ589845 TBL589845:TBM589845 TLH589845:TLI589845 TVD589845:TVE589845 UEZ589845:UFA589845 UOV589845:UOW589845 UYR589845:UYS589845 VIN589845:VIO589845 VSJ589845:VSK589845 WCF589845:WCG589845 WMB589845:WMC589845 WVX589845:WVY589845 JL655381:JM655381 TH655381:TI655381 ADD655381:ADE655381 AMZ655381:ANA655381 AWV655381:AWW655381 BGR655381:BGS655381 BQN655381:BQO655381 CAJ655381:CAK655381 CKF655381:CKG655381 CUB655381:CUC655381 DDX655381:DDY655381 DNT655381:DNU655381 DXP655381:DXQ655381 EHL655381:EHM655381 ERH655381:ERI655381 FBD655381:FBE655381 FKZ655381:FLA655381 FUV655381:FUW655381 GER655381:GES655381 GON655381:GOO655381 GYJ655381:GYK655381 HIF655381:HIG655381 HSB655381:HSC655381 IBX655381:IBY655381 ILT655381:ILU655381 IVP655381:IVQ655381 JFL655381:JFM655381 JPH655381:JPI655381 JZD655381:JZE655381 KIZ655381:KJA655381 KSV655381:KSW655381 LCR655381:LCS655381 LMN655381:LMO655381 LWJ655381:LWK655381 MGF655381:MGG655381 MQB655381:MQC655381 MZX655381:MZY655381 NJT655381:NJU655381 NTP655381:NTQ655381 ODL655381:ODM655381 ONH655381:ONI655381 OXD655381:OXE655381 PGZ655381:PHA655381 PQV655381:PQW655381 QAR655381:QAS655381 QKN655381:QKO655381 QUJ655381:QUK655381 REF655381:REG655381 ROB655381:ROC655381 RXX655381:RXY655381 SHT655381:SHU655381 SRP655381:SRQ655381 TBL655381:TBM655381 TLH655381:TLI655381 TVD655381:TVE655381 UEZ655381:UFA655381 UOV655381:UOW655381 UYR655381:UYS655381 VIN655381:VIO655381 VSJ655381:VSK655381 WCF655381:WCG655381 WMB655381:WMC655381 WVX655381:WVY655381 JL720917:JM720917 TH720917:TI720917 ADD720917:ADE720917 AMZ720917:ANA720917 AWV720917:AWW720917 BGR720917:BGS720917 BQN720917:BQO720917 CAJ720917:CAK720917 CKF720917:CKG720917 CUB720917:CUC720917 DDX720917:DDY720917 DNT720917:DNU720917 DXP720917:DXQ720917 EHL720917:EHM720917 ERH720917:ERI720917 FBD720917:FBE720917 FKZ720917:FLA720917 FUV720917:FUW720917 GER720917:GES720917 GON720917:GOO720917 GYJ720917:GYK720917 HIF720917:HIG720917 HSB720917:HSC720917 IBX720917:IBY720917 ILT720917:ILU720917 IVP720917:IVQ720917 JFL720917:JFM720917 JPH720917:JPI720917 JZD720917:JZE720917 KIZ720917:KJA720917 KSV720917:KSW720917 LCR720917:LCS720917 LMN720917:LMO720917 LWJ720917:LWK720917 MGF720917:MGG720917 MQB720917:MQC720917 MZX720917:MZY720917 NJT720917:NJU720917 NTP720917:NTQ720917 ODL720917:ODM720917 ONH720917:ONI720917 OXD720917:OXE720917 PGZ720917:PHA720917 PQV720917:PQW720917 QAR720917:QAS720917 QKN720917:QKO720917 QUJ720917:QUK720917 REF720917:REG720917 ROB720917:ROC720917 RXX720917:RXY720917 SHT720917:SHU720917 SRP720917:SRQ720917 TBL720917:TBM720917 TLH720917:TLI720917 TVD720917:TVE720917 UEZ720917:UFA720917 UOV720917:UOW720917 UYR720917:UYS720917 VIN720917:VIO720917 VSJ720917:VSK720917 WCF720917:WCG720917 WMB720917:WMC720917 WVX720917:WVY720917 JL786453:JM786453 TH786453:TI786453 ADD786453:ADE786453 AMZ786453:ANA786453 AWV786453:AWW786453 BGR786453:BGS786453 BQN786453:BQO786453 CAJ786453:CAK786453 CKF786453:CKG786453 CUB786453:CUC786453 DDX786453:DDY786453 DNT786453:DNU786453 DXP786453:DXQ786453 EHL786453:EHM786453 ERH786453:ERI786453 FBD786453:FBE786453 FKZ786453:FLA786453 FUV786453:FUW786453 GER786453:GES786453 GON786453:GOO786453 GYJ786453:GYK786453 HIF786453:HIG786453 HSB786453:HSC786453 IBX786453:IBY786453 ILT786453:ILU786453 IVP786453:IVQ786453 JFL786453:JFM786453 JPH786453:JPI786453 JZD786453:JZE786453 KIZ786453:KJA786453 KSV786453:KSW786453 LCR786453:LCS786453 LMN786453:LMO786453 LWJ786453:LWK786453 MGF786453:MGG786453 MQB786453:MQC786453 MZX786453:MZY786453 NJT786453:NJU786453 NTP786453:NTQ786453 ODL786453:ODM786453 ONH786453:ONI786453 OXD786453:OXE786453 PGZ786453:PHA786453 PQV786453:PQW786453 QAR786453:QAS786453 QKN786453:QKO786453 QUJ786453:QUK786453 REF786453:REG786453 ROB786453:ROC786453 RXX786453:RXY786453 SHT786453:SHU786453 SRP786453:SRQ786453 TBL786453:TBM786453 TLH786453:TLI786453 TVD786453:TVE786453 UEZ786453:UFA786453 UOV786453:UOW786453 UYR786453:UYS786453 VIN786453:VIO786453 VSJ786453:VSK786453 WCF786453:WCG786453 WMB786453:WMC786453 WVX786453:WVY786453 JL851989:JM851989 TH851989:TI851989 ADD851989:ADE851989 AMZ851989:ANA851989 AWV851989:AWW851989 BGR851989:BGS851989 BQN851989:BQO851989 CAJ851989:CAK851989 CKF851989:CKG851989 CUB851989:CUC851989 DDX851989:DDY851989 DNT851989:DNU851989 DXP851989:DXQ851989 EHL851989:EHM851989 ERH851989:ERI851989 FBD851989:FBE851989 FKZ851989:FLA851989 FUV851989:FUW851989 GER851989:GES851989 GON851989:GOO851989 GYJ851989:GYK851989 HIF851989:HIG851989 HSB851989:HSC851989 IBX851989:IBY851989 ILT851989:ILU851989 IVP851989:IVQ851989 JFL851989:JFM851989 JPH851989:JPI851989 JZD851989:JZE851989 KIZ851989:KJA851989 KSV851989:KSW851989 LCR851989:LCS851989 LMN851989:LMO851989 LWJ851989:LWK851989 MGF851989:MGG851989 MQB851989:MQC851989 MZX851989:MZY851989 NJT851989:NJU851989 NTP851989:NTQ851989 ODL851989:ODM851989 ONH851989:ONI851989 OXD851989:OXE851989 PGZ851989:PHA851989 PQV851989:PQW851989 QAR851989:QAS851989 QKN851989:QKO851989 QUJ851989:QUK851989 REF851989:REG851989 ROB851989:ROC851989 RXX851989:RXY851989 SHT851989:SHU851989 SRP851989:SRQ851989 TBL851989:TBM851989 TLH851989:TLI851989 TVD851989:TVE851989 UEZ851989:UFA851989 UOV851989:UOW851989 UYR851989:UYS851989 VIN851989:VIO851989 VSJ851989:VSK851989 WCF851989:WCG851989 WMB851989:WMC851989 WVX851989:WVY851989 JL917525:JM917525 TH917525:TI917525 ADD917525:ADE917525 AMZ917525:ANA917525 AWV917525:AWW917525 BGR917525:BGS917525 BQN917525:BQO917525 CAJ917525:CAK917525 CKF917525:CKG917525 CUB917525:CUC917525 DDX917525:DDY917525 DNT917525:DNU917525 DXP917525:DXQ917525 EHL917525:EHM917525 ERH917525:ERI917525 FBD917525:FBE917525 FKZ917525:FLA917525 FUV917525:FUW917525 GER917525:GES917525 GON917525:GOO917525 GYJ917525:GYK917525 HIF917525:HIG917525 HSB917525:HSC917525 IBX917525:IBY917525 ILT917525:ILU917525 IVP917525:IVQ917525 JFL917525:JFM917525 JPH917525:JPI917525 JZD917525:JZE917525 KIZ917525:KJA917525 KSV917525:KSW917525 LCR917525:LCS917525 LMN917525:LMO917525 LWJ917525:LWK917525 MGF917525:MGG917525 MQB917525:MQC917525 MZX917525:MZY917525 NJT917525:NJU917525 NTP917525:NTQ917525 ODL917525:ODM917525 ONH917525:ONI917525 OXD917525:OXE917525 PGZ917525:PHA917525 PQV917525:PQW917525 QAR917525:QAS917525 QKN917525:QKO917525 QUJ917525:QUK917525 REF917525:REG917525 ROB917525:ROC917525 RXX917525:RXY917525 SHT917525:SHU917525 SRP917525:SRQ917525 TBL917525:TBM917525 TLH917525:TLI917525 TVD917525:TVE917525 UEZ917525:UFA917525 UOV917525:UOW917525 UYR917525:UYS917525 VIN917525:VIO917525 VSJ917525:VSK917525 WCF917525:WCG917525 WMB917525:WMC917525 WVX917525:WVY917525 JL983061:JM983061 TH983061:TI983061 ADD983061:ADE983061 AMZ983061:ANA983061 AWV983061:AWW983061 BGR983061:BGS983061 BQN983061:BQO983061 CAJ983061:CAK983061 CKF983061:CKG983061 CUB983061:CUC983061 DDX983061:DDY983061 DNT983061:DNU983061 DXP983061:DXQ983061 EHL983061:EHM983061 ERH983061:ERI983061 FBD983061:FBE983061 FKZ983061:FLA983061 FUV983061:FUW983061 GER983061:GES983061 GON983061:GOO983061 GYJ983061:GYK983061 HIF983061:HIG983061 HSB983061:HSC983061 IBX983061:IBY983061 ILT983061:ILU983061 IVP983061:IVQ983061 JFL983061:JFM983061 JPH983061:JPI983061 JZD983061:JZE983061 KIZ983061:KJA983061 KSV983061:KSW983061 LCR983061:LCS983061 LMN983061:LMO983061 LWJ983061:LWK983061 MGF983061:MGG983061 MQB983061:MQC983061 MZX983061:MZY983061 NJT983061:NJU983061 NTP983061:NTQ983061 ODL983061:ODM983061 ONH983061:ONI983061 OXD983061:OXE983061 PGZ983061:PHA983061 PQV983061:PQW983061 QAR983061:QAS983061 QKN983061:QKO983061 QUJ983061:QUK983061 REF983061:REG983061 ROB983061:ROC983061 RXX983061:RXY983061 SHT983061:SHU983061 SRP983061:SRQ983061 TBL983061:TBM983061 TLH983061:TLI983061 TVD983061:TVE983061 UEZ983061:UFA983061 UOV983061:UOW983061 UYR983061:UYS983061 VIN983061:VIO983061 VSJ983061:VSK983061 WCF983061:WCG983061 WMB983061:WMC983061"/>
    <dataValidation allowBlank="1" showInputMessage="1" showErrorMessage="1" promptTitle="N° IMMATRICULATION  REMORQUE" prompt="N° IMMATRICULATION  REMORQUE" sqref="WWB983061 J983061 J917525 J851989 J786453 J720917 J655381 J589845 J524309 J458773 J393237 J327701 J262165 J196629 J131093 J65557 JP19:JP20 TL19:TL20 ADH19:ADH20 AND19:AND20 AWZ19:AWZ20 BGV19:BGV20 BQR19:BQR20 CAN19:CAN20 CKJ19:CKJ20 CUF19:CUF20 DEB19:DEB20 DNX19:DNX20 DXT19:DXT20 EHP19:EHP20 ERL19:ERL20 FBH19:FBH20 FLD19:FLD20 FUZ19:FUZ20 GEV19:GEV20 GOR19:GOR20 GYN19:GYN20 HIJ19:HIJ20 HSF19:HSF20 ICB19:ICB20 ILX19:ILX20 IVT19:IVT20 JFP19:JFP20 JPL19:JPL20 JZH19:JZH20 KJD19:KJD20 KSZ19:KSZ20 LCV19:LCV20 LMR19:LMR20 LWN19:LWN20 MGJ19:MGJ20 MQF19:MQF20 NAB19:NAB20 NJX19:NJX20 NTT19:NTT20 ODP19:ODP20 ONL19:ONL20 OXH19:OXH20 PHD19:PHD20 PQZ19:PQZ20 QAV19:QAV20 QKR19:QKR20 QUN19:QUN20 REJ19:REJ20 ROF19:ROF20 RYB19:RYB20 SHX19:SHX20 SRT19:SRT20 TBP19:TBP20 TLL19:TLL20 TVH19:TVH20 UFD19:UFD20 UOZ19:UOZ20 UYV19:UYV20 VIR19:VIR20 VSN19:VSN20 WCJ19:WCJ20 WMF19:WMF20 WWB19:WWB20 JP65557 TL65557 ADH65557 AND65557 AWZ65557 BGV65557 BQR65557 CAN65557 CKJ65557 CUF65557 DEB65557 DNX65557 DXT65557 EHP65557 ERL65557 FBH65557 FLD65557 FUZ65557 GEV65557 GOR65557 GYN65557 HIJ65557 HSF65557 ICB65557 ILX65557 IVT65557 JFP65557 JPL65557 JZH65557 KJD65557 KSZ65557 LCV65557 LMR65557 LWN65557 MGJ65557 MQF65557 NAB65557 NJX65557 NTT65557 ODP65557 ONL65557 OXH65557 PHD65557 PQZ65557 QAV65557 QKR65557 QUN65557 REJ65557 ROF65557 RYB65557 SHX65557 SRT65557 TBP65557 TLL65557 TVH65557 UFD65557 UOZ65557 UYV65557 VIR65557 VSN65557 WCJ65557 WMF65557 WWB65557 JP131093 TL131093 ADH131093 AND131093 AWZ131093 BGV131093 BQR131093 CAN131093 CKJ131093 CUF131093 DEB131093 DNX131093 DXT131093 EHP131093 ERL131093 FBH131093 FLD131093 FUZ131093 GEV131093 GOR131093 GYN131093 HIJ131093 HSF131093 ICB131093 ILX131093 IVT131093 JFP131093 JPL131093 JZH131093 KJD131093 KSZ131093 LCV131093 LMR131093 LWN131093 MGJ131093 MQF131093 NAB131093 NJX131093 NTT131093 ODP131093 ONL131093 OXH131093 PHD131093 PQZ131093 QAV131093 QKR131093 QUN131093 REJ131093 ROF131093 RYB131093 SHX131093 SRT131093 TBP131093 TLL131093 TVH131093 UFD131093 UOZ131093 UYV131093 VIR131093 VSN131093 WCJ131093 WMF131093 WWB131093 JP196629 TL196629 ADH196629 AND196629 AWZ196629 BGV196629 BQR196629 CAN196629 CKJ196629 CUF196629 DEB196629 DNX196629 DXT196629 EHP196629 ERL196629 FBH196629 FLD196629 FUZ196629 GEV196629 GOR196629 GYN196629 HIJ196629 HSF196629 ICB196629 ILX196629 IVT196629 JFP196629 JPL196629 JZH196629 KJD196629 KSZ196629 LCV196629 LMR196629 LWN196629 MGJ196629 MQF196629 NAB196629 NJX196629 NTT196629 ODP196629 ONL196629 OXH196629 PHD196629 PQZ196629 QAV196629 QKR196629 QUN196629 REJ196629 ROF196629 RYB196629 SHX196629 SRT196629 TBP196629 TLL196629 TVH196629 UFD196629 UOZ196629 UYV196629 VIR196629 VSN196629 WCJ196629 WMF196629 WWB196629 JP262165 TL262165 ADH262165 AND262165 AWZ262165 BGV262165 BQR262165 CAN262165 CKJ262165 CUF262165 DEB262165 DNX262165 DXT262165 EHP262165 ERL262165 FBH262165 FLD262165 FUZ262165 GEV262165 GOR262165 GYN262165 HIJ262165 HSF262165 ICB262165 ILX262165 IVT262165 JFP262165 JPL262165 JZH262165 KJD262165 KSZ262165 LCV262165 LMR262165 LWN262165 MGJ262165 MQF262165 NAB262165 NJX262165 NTT262165 ODP262165 ONL262165 OXH262165 PHD262165 PQZ262165 QAV262165 QKR262165 QUN262165 REJ262165 ROF262165 RYB262165 SHX262165 SRT262165 TBP262165 TLL262165 TVH262165 UFD262165 UOZ262165 UYV262165 VIR262165 VSN262165 WCJ262165 WMF262165 WWB262165 JP327701 TL327701 ADH327701 AND327701 AWZ327701 BGV327701 BQR327701 CAN327701 CKJ327701 CUF327701 DEB327701 DNX327701 DXT327701 EHP327701 ERL327701 FBH327701 FLD327701 FUZ327701 GEV327701 GOR327701 GYN327701 HIJ327701 HSF327701 ICB327701 ILX327701 IVT327701 JFP327701 JPL327701 JZH327701 KJD327701 KSZ327701 LCV327701 LMR327701 LWN327701 MGJ327701 MQF327701 NAB327701 NJX327701 NTT327701 ODP327701 ONL327701 OXH327701 PHD327701 PQZ327701 QAV327701 QKR327701 QUN327701 REJ327701 ROF327701 RYB327701 SHX327701 SRT327701 TBP327701 TLL327701 TVH327701 UFD327701 UOZ327701 UYV327701 VIR327701 VSN327701 WCJ327701 WMF327701 WWB327701 JP393237 TL393237 ADH393237 AND393237 AWZ393237 BGV393237 BQR393237 CAN393237 CKJ393237 CUF393237 DEB393237 DNX393237 DXT393237 EHP393237 ERL393237 FBH393237 FLD393237 FUZ393237 GEV393237 GOR393237 GYN393237 HIJ393237 HSF393237 ICB393237 ILX393237 IVT393237 JFP393237 JPL393237 JZH393237 KJD393237 KSZ393237 LCV393237 LMR393237 LWN393237 MGJ393237 MQF393237 NAB393237 NJX393237 NTT393237 ODP393237 ONL393237 OXH393237 PHD393237 PQZ393237 QAV393237 QKR393237 QUN393237 REJ393237 ROF393237 RYB393237 SHX393237 SRT393237 TBP393237 TLL393237 TVH393237 UFD393237 UOZ393237 UYV393237 VIR393237 VSN393237 WCJ393237 WMF393237 WWB393237 JP458773 TL458773 ADH458773 AND458773 AWZ458773 BGV458773 BQR458773 CAN458773 CKJ458773 CUF458773 DEB458773 DNX458773 DXT458773 EHP458773 ERL458773 FBH458773 FLD458773 FUZ458773 GEV458773 GOR458773 GYN458773 HIJ458773 HSF458773 ICB458773 ILX458773 IVT458773 JFP458773 JPL458773 JZH458773 KJD458773 KSZ458773 LCV458773 LMR458773 LWN458773 MGJ458773 MQF458773 NAB458773 NJX458773 NTT458773 ODP458773 ONL458773 OXH458773 PHD458773 PQZ458773 QAV458773 QKR458773 QUN458773 REJ458773 ROF458773 RYB458773 SHX458773 SRT458773 TBP458773 TLL458773 TVH458773 UFD458773 UOZ458773 UYV458773 VIR458773 VSN458773 WCJ458773 WMF458773 WWB458773 JP524309 TL524309 ADH524309 AND524309 AWZ524309 BGV524309 BQR524309 CAN524309 CKJ524309 CUF524309 DEB524309 DNX524309 DXT524309 EHP524309 ERL524309 FBH524309 FLD524309 FUZ524309 GEV524309 GOR524309 GYN524309 HIJ524309 HSF524309 ICB524309 ILX524309 IVT524309 JFP524309 JPL524309 JZH524309 KJD524309 KSZ524309 LCV524309 LMR524309 LWN524309 MGJ524309 MQF524309 NAB524309 NJX524309 NTT524309 ODP524309 ONL524309 OXH524309 PHD524309 PQZ524309 QAV524309 QKR524309 QUN524309 REJ524309 ROF524309 RYB524309 SHX524309 SRT524309 TBP524309 TLL524309 TVH524309 UFD524309 UOZ524309 UYV524309 VIR524309 VSN524309 WCJ524309 WMF524309 WWB524309 JP589845 TL589845 ADH589845 AND589845 AWZ589845 BGV589845 BQR589845 CAN589845 CKJ589845 CUF589845 DEB589845 DNX589845 DXT589845 EHP589845 ERL589845 FBH589845 FLD589845 FUZ589845 GEV589845 GOR589845 GYN589845 HIJ589845 HSF589845 ICB589845 ILX589845 IVT589845 JFP589845 JPL589845 JZH589845 KJD589845 KSZ589845 LCV589845 LMR589845 LWN589845 MGJ589845 MQF589845 NAB589845 NJX589845 NTT589845 ODP589845 ONL589845 OXH589845 PHD589845 PQZ589845 QAV589845 QKR589845 QUN589845 REJ589845 ROF589845 RYB589845 SHX589845 SRT589845 TBP589845 TLL589845 TVH589845 UFD589845 UOZ589845 UYV589845 VIR589845 VSN589845 WCJ589845 WMF589845 WWB589845 JP655381 TL655381 ADH655381 AND655381 AWZ655381 BGV655381 BQR655381 CAN655381 CKJ655381 CUF655381 DEB655381 DNX655381 DXT655381 EHP655381 ERL655381 FBH655381 FLD655381 FUZ655381 GEV655381 GOR655381 GYN655381 HIJ655381 HSF655381 ICB655381 ILX655381 IVT655381 JFP655381 JPL655381 JZH655381 KJD655381 KSZ655381 LCV655381 LMR655381 LWN655381 MGJ655381 MQF655381 NAB655381 NJX655381 NTT655381 ODP655381 ONL655381 OXH655381 PHD655381 PQZ655381 QAV655381 QKR655381 QUN655381 REJ655381 ROF655381 RYB655381 SHX655381 SRT655381 TBP655381 TLL655381 TVH655381 UFD655381 UOZ655381 UYV655381 VIR655381 VSN655381 WCJ655381 WMF655381 WWB655381 JP720917 TL720917 ADH720917 AND720917 AWZ720917 BGV720917 BQR720917 CAN720917 CKJ720917 CUF720917 DEB720917 DNX720917 DXT720917 EHP720917 ERL720917 FBH720917 FLD720917 FUZ720917 GEV720917 GOR720917 GYN720917 HIJ720917 HSF720917 ICB720917 ILX720917 IVT720917 JFP720917 JPL720917 JZH720917 KJD720917 KSZ720917 LCV720917 LMR720917 LWN720917 MGJ720917 MQF720917 NAB720917 NJX720917 NTT720917 ODP720917 ONL720917 OXH720917 PHD720917 PQZ720917 QAV720917 QKR720917 QUN720917 REJ720917 ROF720917 RYB720917 SHX720917 SRT720917 TBP720917 TLL720917 TVH720917 UFD720917 UOZ720917 UYV720917 VIR720917 VSN720917 WCJ720917 WMF720917 WWB720917 JP786453 TL786453 ADH786453 AND786453 AWZ786453 BGV786453 BQR786453 CAN786453 CKJ786453 CUF786453 DEB786453 DNX786453 DXT786453 EHP786453 ERL786453 FBH786453 FLD786453 FUZ786453 GEV786453 GOR786453 GYN786453 HIJ786453 HSF786453 ICB786453 ILX786453 IVT786453 JFP786453 JPL786453 JZH786453 KJD786453 KSZ786453 LCV786453 LMR786453 LWN786453 MGJ786453 MQF786453 NAB786453 NJX786453 NTT786453 ODP786453 ONL786453 OXH786453 PHD786453 PQZ786453 QAV786453 QKR786453 QUN786453 REJ786453 ROF786453 RYB786453 SHX786453 SRT786453 TBP786453 TLL786453 TVH786453 UFD786453 UOZ786453 UYV786453 VIR786453 VSN786453 WCJ786453 WMF786453 WWB786453 JP851989 TL851989 ADH851989 AND851989 AWZ851989 BGV851989 BQR851989 CAN851989 CKJ851989 CUF851989 DEB851989 DNX851989 DXT851989 EHP851989 ERL851989 FBH851989 FLD851989 FUZ851989 GEV851989 GOR851989 GYN851989 HIJ851989 HSF851989 ICB851989 ILX851989 IVT851989 JFP851989 JPL851989 JZH851989 KJD851989 KSZ851989 LCV851989 LMR851989 LWN851989 MGJ851989 MQF851989 NAB851989 NJX851989 NTT851989 ODP851989 ONL851989 OXH851989 PHD851989 PQZ851989 QAV851989 QKR851989 QUN851989 REJ851989 ROF851989 RYB851989 SHX851989 SRT851989 TBP851989 TLL851989 TVH851989 UFD851989 UOZ851989 UYV851989 VIR851989 VSN851989 WCJ851989 WMF851989 WWB851989 JP917525 TL917525 ADH917525 AND917525 AWZ917525 BGV917525 BQR917525 CAN917525 CKJ917525 CUF917525 DEB917525 DNX917525 DXT917525 EHP917525 ERL917525 FBH917525 FLD917525 FUZ917525 GEV917525 GOR917525 GYN917525 HIJ917525 HSF917525 ICB917525 ILX917525 IVT917525 JFP917525 JPL917525 JZH917525 KJD917525 KSZ917525 LCV917525 LMR917525 LWN917525 MGJ917525 MQF917525 NAB917525 NJX917525 NTT917525 ODP917525 ONL917525 OXH917525 PHD917525 PQZ917525 QAV917525 QKR917525 QUN917525 REJ917525 ROF917525 RYB917525 SHX917525 SRT917525 TBP917525 TLL917525 TVH917525 UFD917525 UOZ917525 UYV917525 VIR917525 VSN917525 WCJ917525 WMF917525 WWB917525 JP983061 TL983061 ADH983061 AND983061 AWZ983061 BGV983061 BQR983061 CAN983061 CKJ983061 CUF983061 DEB983061 DNX983061 DXT983061 EHP983061 ERL983061 FBH983061 FLD983061 FUZ983061 GEV983061 GOR983061 GYN983061 HIJ983061 HSF983061 ICB983061 ILX983061 IVT983061 JFP983061 JPL983061 JZH983061 KJD983061 KSZ983061 LCV983061 LMR983061 LWN983061 MGJ983061 MQF983061 NAB983061 NJX983061 NTT983061 ODP983061 ONL983061 OXH983061 PHD983061 PQZ983061 QAV983061 QKR983061 QUN983061 REJ983061 ROF983061 RYB983061 SHX983061 SRT983061 TBP983061 TLL983061 TVH983061 UFD983061 UOZ983061 UYV983061 VIR983061 VSN983061 WCJ983061 WMF983061"/>
    <dataValidation allowBlank="1" showInputMessage="1" showErrorMessage="1" promptTitle="DATE DE MISE EN CIRCULATION" prompt="DATE DE MISE EN CIRCULATION" sqref="WVT983062 B983062 B917526 B851990 B786454 B720918 B655382 B589846 B524310 B458774 B393238 B327702 B262166 B196630 B131094 B65558 JH21 TD21 ACZ21 AMV21 AWR21 BGN21 BQJ21 CAF21 CKB21 CTX21 DDT21 DNP21 DXL21 EHH21 ERD21 FAZ21 FKV21 FUR21 GEN21 GOJ21 GYF21 HIB21 HRX21 IBT21 ILP21 IVL21 JFH21 JPD21 JYZ21 KIV21 KSR21 LCN21 LMJ21 LWF21 MGB21 MPX21 MZT21 NJP21 NTL21 ODH21 OND21 OWZ21 PGV21 PQR21 QAN21 QKJ21 QUF21 REB21 RNX21 RXT21 SHP21 SRL21 TBH21 TLD21 TUZ21 UEV21 UOR21 UYN21 VIJ21 VSF21 WCB21 WLX21 WVT21 JH65558 TD65558 ACZ65558 AMV65558 AWR65558 BGN65558 BQJ65558 CAF65558 CKB65558 CTX65558 DDT65558 DNP65558 DXL65558 EHH65558 ERD65558 FAZ65558 FKV65558 FUR65558 GEN65558 GOJ65558 GYF65558 HIB65558 HRX65558 IBT65558 ILP65558 IVL65558 JFH65558 JPD65558 JYZ65558 KIV65558 KSR65558 LCN65558 LMJ65558 LWF65558 MGB65558 MPX65558 MZT65558 NJP65558 NTL65558 ODH65558 OND65558 OWZ65558 PGV65558 PQR65558 QAN65558 QKJ65558 QUF65558 REB65558 RNX65558 RXT65558 SHP65558 SRL65558 TBH65558 TLD65558 TUZ65558 UEV65558 UOR65558 UYN65558 VIJ65558 VSF65558 WCB65558 WLX65558 WVT65558 JH131094 TD131094 ACZ131094 AMV131094 AWR131094 BGN131094 BQJ131094 CAF131094 CKB131094 CTX131094 DDT131094 DNP131094 DXL131094 EHH131094 ERD131094 FAZ131094 FKV131094 FUR131094 GEN131094 GOJ131094 GYF131094 HIB131094 HRX131094 IBT131094 ILP131094 IVL131094 JFH131094 JPD131094 JYZ131094 KIV131094 KSR131094 LCN131094 LMJ131094 LWF131094 MGB131094 MPX131094 MZT131094 NJP131094 NTL131094 ODH131094 OND131094 OWZ131094 PGV131094 PQR131094 QAN131094 QKJ131094 QUF131094 REB131094 RNX131094 RXT131094 SHP131094 SRL131094 TBH131094 TLD131094 TUZ131094 UEV131094 UOR131094 UYN131094 VIJ131094 VSF131094 WCB131094 WLX131094 WVT131094 JH196630 TD196630 ACZ196630 AMV196630 AWR196630 BGN196630 BQJ196630 CAF196630 CKB196630 CTX196630 DDT196630 DNP196630 DXL196630 EHH196630 ERD196630 FAZ196630 FKV196630 FUR196630 GEN196630 GOJ196630 GYF196630 HIB196630 HRX196630 IBT196630 ILP196630 IVL196630 JFH196630 JPD196630 JYZ196630 KIV196630 KSR196630 LCN196630 LMJ196630 LWF196630 MGB196630 MPX196630 MZT196630 NJP196630 NTL196630 ODH196630 OND196630 OWZ196630 PGV196630 PQR196630 QAN196630 QKJ196630 QUF196630 REB196630 RNX196630 RXT196630 SHP196630 SRL196630 TBH196630 TLD196630 TUZ196630 UEV196630 UOR196630 UYN196630 VIJ196630 VSF196630 WCB196630 WLX196630 WVT196630 JH262166 TD262166 ACZ262166 AMV262166 AWR262166 BGN262166 BQJ262166 CAF262166 CKB262166 CTX262166 DDT262166 DNP262166 DXL262166 EHH262166 ERD262166 FAZ262166 FKV262166 FUR262166 GEN262166 GOJ262166 GYF262166 HIB262166 HRX262166 IBT262166 ILP262166 IVL262166 JFH262166 JPD262166 JYZ262166 KIV262166 KSR262166 LCN262166 LMJ262166 LWF262166 MGB262166 MPX262166 MZT262166 NJP262166 NTL262166 ODH262166 OND262166 OWZ262166 PGV262166 PQR262166 QAN262166 QKJ262166 QUF262166 REB262166 RNX262166 RXT262166 SHP262166 SRL262166 TBH262166 TLD262166 TUZ262166 UEV262166 UOR262166 UYN262166 VIJ262166 VSF262166 WCB262166 WLX262166 WVT262166 JH327702 TD327702 ACZ327702 AMV327702 AWR327702 BGN327702 BQJ327702 CAF327702 CKB327702 CTX327702 DDT327702 DNP327702 DXL327702 EHH327702 ERD327702 FAZ327702 FKV327702 FUR327702 GEN327702 GOJ327702 GYF327702 HIB327702 HRX327702 IBT327702 ILP327702 IVL327702 JFH327702 JPD327702 JYZ327702 KIV327702 KSR327702 LCN327702 LMJ327702 LWF327702 MGB327702 MPX327702 MZT327702 NJP327702 NTL327702 ODH327702 OND327702 OWZ327702 PGV327702 PQR327702 QAN327702 QKJ327702 QUF327702 REB327702 RNX327702 RXT327702 SHP327702 SRL327702 TBH327702 TLD327702 TUZ327702 UEV327702 UOR327702 UYN327702 VIJ327702 VSF327702 WCB327702 WLX327702 WVT327702 JH393238 TD393238 ACZ393238 AMV393238 AWR393238 BGN393238 BQJ393238 CAF393238 CKB393238 CTX393238 DDT393238 DNP393238 DXL393238 EHH393238 ERD393238 FAZ393238 FKV393238 FUR393238 GEN393238 GOJ393238 GYF393238 HIB393238 HRX393238 IBT393238 ILP393238 IVL393238 JFH393238 JPD393238 JYZ393238 KIV393238 KSR393238 LCN393238 LMJ393238 LWF393238 MGB393238 MPX393238 MZT393238 NJP393238 NTL393238 ODH393238 OND393238 OWZ393238 PGV393238 PQR393238 QAN393238 QKJ393238 QUF393238 REB393238 RNX393238 RXT393238 SHP393238 SRL393238 TBH393238 TLD393238 TUZ393238 UEV393238 UOR393238 UYN393238 VIJ393238 VSF393238 WCB393238 WLX393238 WVT393238 JH458774 TD458774 ACZ458774 AMV458774 AWR458774 BGN458774 BQJ458774 CAF458774 CKB458774 CTX458774 DDT458774 DNP458774 DXL458774 EHH458774 ERD458774 FAZ458774 FKV458774 FUR458774 GEN458774 GOJ458774 GYF458774 HIB458774 HRX458774 IBT458774 ILP458774 IVL458774 JFH458774 JPD458774 JYZ458774 KIV458774 KSR458774 LCN458774 LMJ458774 LWF458774 MGB458774 MPX458774 MZT458774 NJP458774 NTL458774 ODH458774 OND458774 OWZ458774 PGV458774 PQR458774 QAN458774 QKJ458774 QUF458774 REB458774 RNX458774 RXT458774 SHP458774 SRL458774 TBH458774 TLD458774 TUZ458774 UEV458774 UOR458774 UYN458774 VIJ458774 VSF458774 WCB458774 WLX458774 WVT458774 JH524310 TD524310 ACZ524310 AMV524310 AWR524310 BGN524310 BQJ524310 CAF524310 CKB524310 CTX524310 DDT524310 DNP524310 DXL524310 EHH524310 ERD524310 FAZ524310 FKV524310 FUR524310 GEN524310 GOJ524310 GYF524310 HIB524310 HRX524310 IBT524310 ILP524310 IVL524310 JFH524310 JPD524310 JYZ524310 KIV524310 KSR524310 LCN524310 LMJ524310 LWF524310 MGB524310 MPX524310 MZT524310 NJP524310 NTL524310 ODH524310 OND524310 OWZ524310 PGV524310 PQR524310 QAN524310 QKJ524310 QUF524310 REB524310 RNX524310 RXT524310 SHP524310 SRL524310 TBH524310 TLD524310 TUZ524310 UEV524310 UOR524310 UYN524310 VIJ524310 VSF524310 WCB524310 WLX524310 WVT524310 JH589846 TD589846 ACZ589846 AMV589846 AWR589846 BGN589846 BQJ589846 CAF589846 CKB589846 CTX589846 DDT589846 DNP589846 DXL589846 EHH589846 ERD589846 FAZ589846 FKV589846 FUR589846 GEN589846 GOJ589846 GYF589846 HIB589846 HRX589846 IBT589846 ILP589846 IVL589846 JFH589846 JPD589846 JYZ589846 KIV589846 KSR589846 LCN589846 LMJ589846 LWF589846 MGB589846 MPX589846 MZT589846 NJP589846 NTL589846 ODH589846 OND589846 OWZ589846 PGV589846 PQR589846 QAN589846 QKJ589846 QUF589846 REB589846 RNX589846 RXT589846 SHP589846 SRL589846 TBH589846 TLD589846 TUZ589846 UEV589846 UOR589846 UYN589846 VIJ589846 VSF589846 WCB589846 WLX589846 WVT589846 JH655382 TD655382 ACZ655382 AMV655382 AWR655382 BGN655382 BQJ655382 CAF655382 CKB655382 CTX655382 DDT655382 DNP655382 DXL655382 EHH655382 ERD655382 FAZ655382 FKV655382 FUR655382 GEN655382 GOJ655382 GYF655382 HIB655382 HRX655382 IBT655382 ILP655382 IVL655382 JFH655382 JPD655382 JYZ655382 KIV655382 KSR655382 LCN655382 LMJ655382 LWF655382 MGB655382 MPX655382 MZT655382 NJP655382 NTL655382 ODH655382 OND655382 OWZ655382 PGV655382 PQR655382 QAN655382 QKJ655382 QUF655382 REB655382 RNX655382 RXT655382 SHP655382 SRL655382 TBH655382 TLD655382 TUZ655382 UEV655382 UOR655382 UYN655382 VIJ655382 VSF655382 WCB655382 WLX655382 WVT655382 JH720918 TD720918 ACZ720918 AMV720918 AWR720918 BGN720918 BQJ720918 CAF720918 CKB720918 CTX720918 DDT720918 DNP720918 DXL720918 EHH720918 ERD720918 FAZ720918 FKV720918 FUR720918 GEN720918 GOJ720918 GYF720918 HIB720918 HRX720918 IBT720918 ILP720918 IVL720918 JFH720918 JPD720918 JYZ720918 KIV720918 KSR720918 LCN720918 LMJ720918 LWF720918 MGB720918 MPX720918 MZT720918 NJP720918 NTL720918 ODH720918 OND720918 OWZ720918 PGV720918 PQR720918 QAN720918 QKJ720918 QUF720918 REB720918 RNX720918 RXT720918 SHP720918 SRL720918 TBH720918 TLD720918 TUZ720918 UEV720918 UOR720918 UYN720918 VIJ720918 VSF720918 WCB720918 WLX720918 WVT720918 JH786454 TD786454 ACZ786454 AMV786454 AWR786454 BGN786454 BQJ786454 CAF786454 CKB786454 CTX786454 DDT786454 DNP786454 DXL786454 EHH786454 ERD786454 FAZ786454 FKV786454 FUR786454 GEN786454 GOJ786454 GYF786454 HIB786454 HRX786454 IBT786454 ILP786454 IVL786454 JFH786454 JPD786454 JYZ786454 KIV786454 KSR786454 LCN786454 LMJ786454 LWF786454 MGB786454 MPX786454 MZT786454 NJP786454 NTL786454 ODH786454 OND786454 OWZ786454 PGV786454 PQR786454 QAN786454 QKJ786454 QUF786454 REB786454 RNX786454 RXT786454 SHP786454 SRL786454 TBH786454 TLD786454 TUZ786454 UEV786454 UOR786454 UYN786454 VIJ786454 VSF786454 WCB786454 WLX786454 WVT786454 JH851990 TD851990 ACZ851990 AMV851990 AWR851990 BGN851990 BQJ851990 CAF851990 CKB851990 CTX851990 DDT851990 DNP851990 DXL851990 EHH851990 ERD851990 FAZ851990 FKV851990 FUR851990 GEN851990 GOJ851990 GYF851990 HIB851990 HRX851990 IBT851990 ILP851990 IVL851990 JFH851990 JPD851990 JYZ851990 KIV851990 KSR851990 LCN851990 LMJ851990 LWF851990 MGB851990 MPX851990 MZT851990 NJP851990 NTL851990 ODH851990 OND851990 OWZ851990 PGV851990 PQR851990 QAN851990 QKJ851990 QUF851990 REB851990 RNX851990 RXT851990 SHP851990 SRL851990 TBH851990 TLD851990 TUZ851990 UEV851990 UOR851990 UYN851990 VIJ851990 VSF851990 WCB851990 WLX851990 WVT851990 JH917526 TD917526 ACZ917526 AMV917526 AWR917526 BGN917526 BQJ917526 CAF917526 CKB917526 CTX917526 DDT917526 DNP917526 DXL917526 EHH917526 ERD917526 FAZ917526 FKV917526 FUR917526 GEN917526 GOJ917526 GYF917526 HIB917526 HRX917526 IBT917526 ILP917526 IVL917526 JFH917526 JPD917526 JYZ917526 KIV917526 KSR917526 LCN917526 LMJ917526 LWF917526 MGB917526 MPX917526 MZT917526 NJP917526 NTL917526 ODH917526 OND917526 OWZ917526 PGV917526 PQR917526 QAN917526 QKJ917526 QUF917526 REB917526 RNX917526 RXT917526 SHP917526 SRL917526 TBH917526 TLD917526 TUZ917526 UEV917526 UOR917526 UYN917526 VIJ917526 VSF917526 WCB917526 WLX917526 WVT917526 JH983062 TD983062 ACZ983062 AMV983062 AWR983062 BGN983062 BQJ983062 CAF983062 CKB983062 CTX983062 DDT983062 DNP983062 DXL983062 EHH983062 ERD983062 FAZ983062 FKV983062 FUR983062 GEN983062 GOJ983062 GYF983062 HIB983062 HRX983062 IBT983062 ILP983062 IVL983062 JFH983062 JPD983062 JYZ983062 KIV983062 KSR983062 LCN983062 LMJ983062 LWF983062 MGB983062 MPX983062 MZT983062 NJP983062 NTL983062 ODH983062 OND983062 OWZ983062 PGV983062 PQR983062 QAN983062 QKJ983062 QUF983062 REB983062 RNX983062 RXT983062 SHP983062 SRL983062 TBH983062 TLD983062 TUZ983062 UEV983062 UOR983062 UYN983062 VIJ983062 VSF983062 WCB983062 WLX983062"/>
    <dataValidation allowBlank="1" showInputMessage="1" showErrorMessage="1" promptTitle="DATE ECHEANCE" prompt="DATE ECHEANCE" sqref="WVX983054:WVY983054 F11:G11 F983054:G983054 F917518:G917518 F851982:G851982 F786446:G786446 F720910:G720910 F655374:G655374 F589838:G589838 F524302:G524302 F458766:G458766 F393230:G393230 F327694:G327694 F262158:G262158 F196622:G196622 F131086:G131086 F65550:G65550 JL11:JM11 TH11:TI11 ADD11:ADE11 AMZ11:ANA11 AWV11:AWW11 BGR11:BGS11 BQN11:BQO11 CAJ11:CAK11 CKF11:CKG11 CUB11:CUC11 DDX11:DDY11 DNT11:DNU11 DXP11:DXQ11 EHL11:EHM11 ERH11:ERI11 FBD11:FBE11 FKZ11:FLA11 FUV11:FUW11 GER11:GES11 GON11:GOO11 GYJ11:GYK11 HIF11:HIG11 HSB11:HSC11 IBX11:IBY11 ILT11:ILU11 IVP11:IVQ11 JFL11:JFM11 JPH11:JPI11 JZD11:JZE11 KIZ11:KJA11 KSV11:KSW11 LCR11:LCS11 LMN11:LMO11 LWJ11:LWK11 MGF11:MGG11 MQB11:MQC11 MZX11:MZY11 NJT11:NJU11 NTP11:NTQ11 ODL11:ODM11 ONH11:ONI11 OXD11:OXE11 PGZ11:PHA11 PQV11:PQW11 QAR11:QAS11 QKN11:QKO11 QUJ11:QUK11 REF11:REG11 ROB11:ROC11 RXX11:RXY11 SHT11:SHU11 SRP11:SRQ11 TBL11:TBM11 TLH11:TLI11 TVD11:TVE11 UEZ11:UFA11 UOV11:UOW11 UYR11:UYS11 VIN11:VIO11 VSJ11:VSK11 WCF11:WCG11 WMB11:WMC11 WVX11:WVY11 JL65550:JM65550 TH65550:TI65550 ADD65550:ADE65550 AMZ65550:ANA65550 AWV65550:AWW65550 BGR65550:BGS65550 BQN65550:BQO65550 CAJ65550:CAK65550 CKF65550:CKG65550 CUB65550:CUC65550 DDX65550:DDY65550 DNT65550:DNU65550 DXP65550:DXQ65550 EHL65550:EHM65550 ERH65550:ERI65550 FBD65550:FBE65550 FKZ65550:FLA65550 FUV65550:FUW65550 GER65550:GES65550 GON65550:GOO65550 GYJ65550:GYK65550 HIF65550:HIG65550 HSB65550:HSC65550 IBX65550:IBY65550 ILT65550:ILU65550 IVP65550:IVQ65550 JFL65550:JFM65550 JPH65550:JPI65550 JZD65550:JZE65550 KIZ65550:KJA65550 KSV65550:KSW65550 LCR65550:LCS65550 LMN65550:LMO65550 LWJ65550:LWK65550 MGF65550:MGG65550 MQB65550:MQC65550 MZX65550:MZY65550 NJT65550:NJU65550 NTP65550:NTQ65550 ODL65550:ODM65550 ONH65550:ONI65550 OXD65550:OXE65550 PGZ65550:PHA65550 PQV65550:PQW65550 QAR65550:QAS65550 QKN65550:QKO65550 QUJ65550:QUK65550 REF65550:REG65550 ROB65550:ROC65550 RXX65550:RXY65550 SHT65550:SHU65550 SRP65550:SRQ65550 TBL65550:TBM65550 TLH65550:TLI65550 TVD65550:TVE65550 UEZ65550:UFA65550 UOV65550:UOW65550 UYR65550:UYS65550 VIN65550:VIO65550 VSJ65550:VSK65550 WCF65550:WCG65550 WMB65550:WMC65550 WVX65550:WVY65550 JL131086:JM131086 TH131086:TI131086 ADD131086:ADE131086 AMZ131086:ANA131086 AWV131086:AWW131086 BGR131086:BGS131086 BQN131086:BQO131086 CAJ131086:CAK131086 CKF131086:CKG131086 CUB131086:CUC131086 DDX131086:DDY131086 DNT131086:DNU131086 DXP131086:DXQ131086 EHL131086:EHM131086 ERH131086:ERI131086 FBD131086:FBE131086 FKZ131086:FLA131086 FUV131086:FUW131086 GER131086:GES131086 GON131086:GOO131086 GYJ131086:GYK131086 HIF131086:HIG131086 HSB131086:HSC131086 IBX131086:IBY131086 ILT131086:ILU131086 IVP131086:IVQ131086 JFL131086:JFM131086 JPH131086:JPI131086 JZD131086:JZE131086 KIZ131086:KJA131086 KSV131086:KSW131086 LCR131086:LCS131086 LMN131086:LMO131086 LWJ131086:LWK131086 MGF131086:MGG131086 MQB131086:MQC131086 MZX131086:MZY131086 NJT131086:NJU131086 NTP131086:NTQ131086 ODL131086:ODM131086 ONH131086:ONI131086 OXD131086:OXE131086 PGZ131086:PHA131086 PQV131086:PQW131086 QAR131086:QAS131086 QKN131086:QKO131086 QUJ131086:QUK131086 REF131086:REG131086 ROB131086:ROC131086 RXX131086:RXY131086 SHT131086:SHU131086 SRP131086:SRQ131086 TBL131086:TBM131086 TLH131086:TLI131086 TVD131086:TVE131086 UEZ131086:UFA131086 UOV131086:UOW131086 UYR131086:UYS131086 VIN131086:VIO131086 VSJ131086:VSK131086 WCF131086:WCG131086 WMB131086:WMC131086 WVX131086:WVY131086 JL196622:JM196622 TH196622:TI196622 ADD196622:ADE196622 AMZ196622:ANA196622 AWV196622:AWW196622 BGR196622:BGS196622 BQN196622:BQO196622 CAJ196622:CAK196622 CKF196622:CKG196622 CUB196622:CUC196622 DDX196622:DDY196622 DNT196622:DNU196622 DXP196622:DXQ196622 EHL196622:EHM196622 ERH196622:ERI196622 FBD196622:FBE196622 FKZ196622:FLA196622 FUV196622:FUW196622 GER196622:GES196622 GON196622:GOO196622 GYJ196622:GYK196622 HIF196622:HIG196622 HSB196622:HSC196622 IBX196622:IBY196622 ILT196622:ILU196622 IVP196622:IVQ196622 JFL196622:JFM196622 JPH196622:JPI196622 JZD196622:JZE196622 KIZ196622:KJA196622 KSV196622:KSW196622 LCR196622:LCS196622 LMN196622:LMO196622 LWJ196622:LWK196622 MGF196622:MGG196622 MQB196622:MQC196622 MZX196622:MZY196622 NJT196622:NJU196622 NTP196622:NTQ196622 ODL196622:ODM196622 ONH196622:ONI196622 OXD196622:OXE196622 PGZ196622:PHA196622 PQV196622:PQW196622 QAR196622:QAS196622 QKN196622:QKO196622 QUJ196622:QUK196622 REF196622:REG196622 ROB196622:ROC196622 RXX196622:RXY196622 SHT196622:SHU196622 SRP196622:SRQ196622 TBL196622:TBM196622 TLH196622:TLI196622 TVD196622:TVE196622 UEZ196622:UFA196622 UOV196622:UOW196622 UYR196622:UYS196622 VIN196622:VIO196622 VSJ196622:VSK196622 WCF196622:WCG196622 WMB196622:WMC196622 WVX196622:WVY196622 JL262158:JM262158 TH262158:TI262158 ADD262158:ADE262158 AMZ262158:ANA262158 AWV262158:AWW262158 BGR262158:BGS262158 BQN262158:BQO262158 CAJ262158:CAK262158 CKF262158:CKG262158 CUB262158:CUC262158 DDX262158:DDY262158 DNT262158:DNU262158 DXP262158:DXQ262158 EHL262158:EHM262158 ERH262158:ERI262158 FBD262158:FBE262158 FKZ262158:FLA262158 FUV262158:FUW262158 GER262158:GES262158 GON262158:GOO262158 GYJ262158:GYK262158 HIF262158:HIG262158 HSB262158:HSC262158 IBX262158:IBY262158 ILT262158:ILU262158 IVP262158:IVQ262158 JFL262158:JFM262158 JPH262158:JPI262158 JZD262158:JZE262158 KIZ262158:KJA262158 KSV262158:KSW262158 LCR262158:LCS262158 LMN262158:LMO262158 LWJ262158:LWK262158 MGF262158:MGG262158 MQB262158:MQC262158 MZX262158:MZY262158 NJT262158:NJU262158 NTP262158:NTQ262158 ODL262158:ODM262158 ONH262158:ONI262158 OXD262158:OXE262158 PGZ262158:PHA262158 PQV262158:PQW262158 QAR262158:QAS262158 QKN262158:QKO262158 QUJ262158:QUK262158 REF262158:REG262158 ROB262158:ROC262158 RXX262158:RXY262158 SHT262158:SHU262158 SRP262158:SRQ262158 TBL262158:TBM262158 TLH262158:TLI262158 TVD262158:TVE262158 UEZ262158:UFA262158 UOV262158:UOW262158 UYR262158:UYS262158 VIN262158:VIO262158 VSJ262158:VSK262158 WCF262158:WCG262158 WMB262158:WMC262158 WVX262158:WVY262158 JL327694:JM327694 TH327694:TI327694 ADD327694:ADE327694 AMZ327694:ANA327694 AWV327694:AWW327694 BGR327694:BGS327694 BQN327694:BQO327694 CAJ327694:CAK327694 CKF327694:CKG327694 CUB327694:CUC327694 DDX327694:DDY327694 DNT327694:DNU327694 DXP327694:DXQ327694 EHL327694:EHM327694 ERH327694:ERI327694 FBD327694:FBE327694 FKZ327694:FLA327694 FUV327694:FUW327694 GER327694:GES327694 GON327694:GOO327694 GYJ327694:GYK327694 HIF327694:HIG327694 HSB327694:HSC327694 IBX327694:IBY327694 ILT327694:ILU327694 IVP327694:IVQ327694 JFL327694:JFM327694 JPH327694:JPI327694 JZD327694:JZE327694 KIZ327694:KJA327694 KSV327694:KSW327694 LCR327694:LCS327694 LMN327694:LMO327694 LWJ327694:LWK327694 MGF327694:MGG327694 MQB327694:MQC327694 MZX327694:MZY327694 NJT327694:NJU327694 NTP327694:NTQ327694 ODL327694:ODM327694 ONH327694:ONI327694 OXD327694:OXE327694 PGZ327694:PHA327694 PQV327694:PQW327694 QAR327694:QAS327694 QKN327694:QKO327694 QUJ327694:QUK327694 REF327694:REG327694 ROB327694:ROC327694 RXX327694:RXY327694 SHT327694:SHU327694 SRP327694:SRQ327694 TBL327694:TBM327694 TLH327694:TLI327694 TVD327694:TVE327694 UEZ327694:UFA327694 UOV327694:UOW327694 UYR327694:UYS327694 VIN327694:VIO327694 VSJ327694:VSK327694 WCF327694:WCG327694 WMB327694:WMC327694 WVX327694:WVY327694 JL393230:JM393230 TH393230:TI393230 ADD393230:ADE393230 AMZ393230:ANA393230 AWV393230:AWW393230 BGR393230:BGS393230 BQN393230:BQO393230 CAJ393230:CAK393230 CKF393230:CKG393230 CUB393230:CUC393230 DDX393230:DDY393230 DNT393230:DNU393230 DXP393230:DXQ393230 EHL393230:EHM393230 ERH393230:ERI393230 FBD393230:FBE393230 FKZ393230:FLA393230 FUV393230:FUW393230 GER393230:GES393230 GON393230:GOO393230 GYJ393230:GYK393230 HIF393230:HIG393230 HSB393230:HSC393230 IBX393230:IBY393230 ILT393230:ILU393230 IVP393230:IVQ393230 JFL393230:JFM393230 JPH393230:JPI393230 JZD393230:JZE393230 KIZ393230:KJA393230 KSV393230:KSW393230 LCR393230:LCS393230 LMN393230:LMO393230 LWJ393230:LWK393230 MGF393230:MGG393230 MQB393230:MQC393230 MZX393230:MZY393230 NJT393230:NJU393230 NTP393230:NTQ393230 ODL393230:ODM393230 ONH393230:ONI393230 OXD393230:OXE393230 PGZ393230:PHA393230 PQV393230:PQW393230 QAR393230:QAS393230 QKN393230:QKO393230 QUJ393230:QUK393230 REF393230:REG393230 ROB393230:ROC393230 RXX393230:RXY393230 SHT393230:SHU393230 SRP393230:SRQ393230 TBL393230:TBM393230 TLH393230:TLI393230 TVD393230:TVE393230 UEZ393230:UFA393230 UOV393230:UOW393230 UYR393230:UYS393230 VIN393230:VIO393230 VSJ393230:VSK393230 WCF393230:WCG393230 WMB393230:WMC393230 WVX393230:WVY393230 JL458766:JM458766 TH458766:TI458766 ADD458766:ADE458766 AMZ458766:ANA458766 AWV458766:AWW458766 BGR458766:BGS458766 BQN458766:BQO458766 CAJ458766:CAK458766 CKF458766:CKG458766 CUB458766:CUC458766 DDX458766:DDY458766 DNT458766:DNU458766 DXP458766:DXQ458766 EHL458766:EHM458766 ERH458766:ERI458766 FBD458766:FBE458766 FKZ458766:FLA458766 FUV458766:FUW458766 GER458766:GES458766 GON458766:GOO458766 GYJ458766:GYK458766 HIF458766:HIG458766 HSB458766:HSC458766 IBX458766:IBY458766 ILT458766:ILU458766 IVP458766:IVQ458766 JFL458766:JFM458766 JPH458766:JPI458766 JZD458766:JZE458766 KIZ458766:KJA458766 KSV458766:KSW458766 LCR458766:LCS458766 LMN458766:LMO458766 LWJ458766:LWK458766 MGF458766:MGG458766 MQB458766:MQC458766 MZX458766:MZY458766 NJT458766:NJU458766 NTP458766:NTQ458766 ODL458766:ODM458766 ONH458766:ONI458766 OXD458766:OXE458766 PGZ458766:PHA458766 PQV458766:PQW458766 QAR458766:QAS458766 QKN458766:QKO458766 QUJ458766:QUK458766 REF458766:REG458766 ROB458766:ROC458766 RXX458766:RXY458766 SHT458766:SHU458766 SRP458766:SRQ458766 TBL458766:TBM458766 TLH458766:TLI458766 TVD458766:TVE458766 UEZ458766:UFA458766 UOV458766:UOW458766 UYR458766:UYS458766 VIN458766:VIO458766 VSJ458766:VSK458766 WCF458766:WCG458766 WMB458766:WMC458766 WVX458766:WVY458766 JL524302:JM524302 TH524302:TI524302 ADD524302:ADE524302 AMZ524302:ANA524302 AWV524302:AWW524302 BGR524302:BGS524302 BQN524302:BQO524302 CAJ524302:CAK524302 CKF524302:CKG524302 CUB524302:CUC524302 DDX524302:DDY524302 DNT524302:DNU524302 DXP524302:DXQ524302 EHL524302:EHM524302 ERH524302:ERI524302 FBD524302:FBE524302 FKZ524302:FLA524302 FUV524302:FUW524302 GER524302:GES524302 GON524302:GOO524302 GYJ524302:GYK524302 HIF524302:HIG524302 HSB524302:HSC524302 IBX524302:IBY524302 ILT524302:ILU524302 IVP524302:IVQ524302 JFL524302:JFM524302 JPH524302:JPI524302 JZD524302:JZE524302 KIZ524302:KJA524302 KSV524302:KSW524302 LCR524302:LCS524302 LMN524302:LMO524302 LWJ524302:LWK524302 MGF524302:MGG524302 MQB524302:MQC524302 MZX524302:MZY524302 NJT524302:NJU524302 NTP524302:NTQ524302 ODL524302:ODM524302 ONH524302:ONI524302 OXD524302:OXE524302 PGZ524302:PHA524302 PQV524302:PQW524302 QAR524302:QAS524302 QKN524302:QKO524302 QUJ524302:QUK524302 REF524302:REG524302 ROB524302:ROC524302 RXX524302:RXY524302 SHT524302:SHU524302 SRP524302:SRQ524302 TBL524302:TBM524302 TLH524302:TLI524302 TVD524302:TVE524302 UEZ524302:UFA524302 UOV524302:UOW524302 UYR524302:UYS524302 VIN524302:VIO524302 VSJ524302:VSK524302 WCF524302:WCG524302 WMB524302:WMC524302 WVX524302:WVY524302 JL589838:JM589838 TH589838:TI589838 ADD589838:ADE589838 AMZ589838:ANA589838 AWV589838:AWW589838 BGR589838:BGS589838 BQN589838:BQO589838 CAJ589838:CAK589838 CKF589838:CKG589838 CUB589838:CUC589838 DDX589838:DDY589838 DNT589838:DNU589838 DXP589838:DXQ589838 EHL589838:EHM589838 ERH589838:ERI589838 FBD589838:FBE589838 FKZ589838:FLA589838 FUV589838:FUW589838 GER589838:GES589838 GON589838:GOO589838 GYJ589838:GYK589838 HIF589838:HIG589838 HSB589838:HSC589838 IBX589838:IBY589838 ILT589838:ILU589838 IVP589838:IVQ589838 JFL589838:JFM589838 JPH589838:JPI589838 JZD589838:JZE589838 KIZ589838:KJA589838 KSV589838:KSW589838 LCR589838:LCS589838 LMN589838:LMO589838 LWJ589838:LWK589838 MGF589838:MGG589838 MQB589838:MQC589838 MZX589838:MZY589838 NJT589838:NJU589838 NTP589838:NTQ589838 ODL589838:ODM589838 ONH589838:ONI589838 OXD589838:OXE589838 PGZ589838:PHA589838 PQV589838:PQW589838 QAR589838:QAS589838 QKN589838:QKO589838 QUJ589838:QUK589838 REF589838:REG589838 ROB589838:ROC589838 RXX589838:RXY589838 SHT589838:SHU589838 SRP589838:SRQ589838 TBL589838:TBM589838 TLH589838:TLI589838 TVD589838:TVE589838 UEZ589838:UFA589838 UOV589838:UOW589838 UYR589838:UYS589838 VIN589838:VIO589838 VSJ589838:VSK589838 WCF589838:WCG589838 WMB589838:WMC589838 WVX589838:WVY589838 JL655374:JM655374 TH655374:TI655374 ADD655374:ADE655374 AMZ655374:ANA655374 AWV655374:AWW655374 BGR655374:BGS655374 BQN655374:BQO655374 CAJ655374:CAK655374 CKF655374:CKG655374 CUB655374:CUC655374 DDX655374:DDY655374 DNT655374:DNU655374 DXP655374:DXQ655374 EHL655374:EHM655374 ERH655374:ERI655374 FBD655374:FBE655374 FKZ655374:FLA655374 FUV655374:FUW655374 GER655374:GES655374 GON655374:GOO655374 GYJ655374:GYK655374 HIF655374:HIG655374 HSB655374:HSC655374 IBX655374:IBY655374 ILT655374:ILU655374 IVP655374:IVQ655374 JFL655374:JFM655374 JPH655374:JPI655374 JZD655374:JZE655374 KIZ655374:KJA655374 KSV655374:KSW655374 LCR655374:LCS655374 LMN655374:LMO655374 LWJ655374:LWK655374 MGF655374:MGG655374 MQB655374:MQC655374 MZX655374:MZY655374 NJT655374:NJU655374 NTP655374:NTQ655374 ODL655374:ODM655374 ONH655374:ONI655374 OXD655374:OXE655374 PGZ655374:PHA655374 PQV655374:PQW655374 QAR655374:QAS655374 QKN655374:QKO655374 QUJ655374:QUK655374 REF655374:REG655374 ROB655374:ROC655374 RXX655374:RXY655374 SHT655374:SHU655374 SRP655374:SRQ655374 TBL655374:TBM655374 TLH655374:TLI655374 TVD655374:TVE655374 UEZ655374:UFA655374 UOV655374:UOW655374 UYR655374:UYS655374 VIN655374:VIO655374 VSJ655374:VSK655374 WCF655374:WCG655374 WMB655374:WMC655374 WVX655374:WVY655374 JL720910:JM720910 TH720910:TI720910 ADD720910:ADE720910 AMZ720910:ANA720910 AWV720910:AWW720910 BGR720910:BGS720910 BQN720910:BQO720910 CAJ720910:CAK720910 CKF720910:CKG720910 CUB720910:CUC720910 DDX720910:DDY720910 DNT720910:DNU720910 DXP720910:DXQ720910 EHL720910:EHM720910 ERH720910:ERI720910 FBD720910:FBE720910 FKZ720910:FLA720910 FUV720910:FUW720910 GER720910:GES720910 GON720910:GOO720910 GYJ720910:GYK720910 HIF720910:HIG720910 HSB720910:HSC720910 IBX720910:IBY720910 ILT720910:ILU720910 IVP720910:IVQ720910 JFL720910:JFM720910 JPH720910:JPI720910 JZD720910:JZE720910 KIZ720910:KJA720910 KSV720910:KSW720910 LCR720910:LCS720910 LMN720910:LMO720910 LWJ720910:LWK720910 MGF720910:MGG720910 MQB720910:MQC720910 MZX720910:MZY720910 NJT720910:NJU720910 NTP720910:NTQ720910 ODL720910:ODM720910 ONH720910:ONI720910 OXD720910:OXE720910 PGZ720910:PHA720910 PQV720910:PQW720910 QAR720910:QAS720910 QKN720910:QKO720910 QUJ720910:QUK720910 REF720910:REG720910 ROB720910:ROC720910 RXX720910:RXY720910 SHT720910:SHU720910 SRP720910:SRQ720910 TBL720910:TBM720910 TLH720910:TLI720910 TVD720910:TVE720910 UEZ720910:UFA720910 UOV720910:UOW720910 UYR720910:UYS720910 VIN720910:VIO720910 VSJ720910:VSK720910 WCF720910:WCG720910 WMB720910:WMC720910 WVX720910:WVY720910 JL786446:JM786446 TH786446:TI786446 ADD786446:ADE786446 AMZ786446:ANA786446 AWV786446:AWW786446 BGR786446:BGS786446 BQN786446:BQO786446 CAJ786446:CAK786446 CKF786446:CKG786446 CUB786446:CUC786446 DDX786446:DDY786446 DNT786446:DNU786446 DXP786446:DXQ786446 EHL786446:EHM786446 ERH786446:ERI786446 FBD786446:FBE786446 FKZ786446:FLA786446 FUV786446:FUW786446 GER786446:GES786446 GON786446:GOO786446 GYJ786446:GYK786446 HIF786446:HIG786446 HSB786446:HSC786446 IBX786446:IBY786446 ILT786446:ILU786446 IVP786446:IVQ786446 JFL786446:JFM786446 JPH786446:JPI786446 JZD786446:JZE786446 KIZ786446:KJA786446 KSV786446:KSW786446 LCR786446:LCS786446 LMN786446:LMO786446 LWJ786446:LWK786446 MGF786446:MGG786446 MQB786446:MQC786446 MZX786446:MZY786446 NJT786446:NJU786446 NTP786446:NTQ786446 ODL786446:ODM786446 ONH786446:ONI786446 OXD786446:OXE786446 PGZ786446:PHA786446 PQV786446:PQW786446 QAR786446:QAS786446 QKN786446:QKO786446 QUJ786446:QUK786446 REF786446:REG786446 ROB786446:ROC786446 RXX786446:RXY786446 SHT786446:SHU786446 SRP786446:SRQ786446 TBL786446:TBM786446 TLH786446:TLI786446 TVD786446:TVE786446 UEZ786446:UFA786446 UOV786446:UOW786446 UYR786446:UYS786446 VIN786446:VIO786446 VSJ786446:VSK786446 WCF786446:WCG786446 WMB786446:WMC786446 WVX786446:WVY786446 JL851982:JM851982 TH851982:TI851982 ADD851982:ADE851982 AMZ851982:ANA851982 AWV851982:AWW851982 BGR851982:BGS851982 BQN851982:BQO851982 CAJ851982:CAK851982 CKF851982:CKG851982 CUB851982:CUC851982 DDX851982:DDY851982 DNT851982:DNU851982 DXP851982:DXQ851982 EHL851982:EHM851982 ERH851982:ERI851982 FBD851982:FBE851982 FKZ851982:FLA851982 FUV851982:FUW851982 GER851982:GES851982 GON851982:GOO851982 GYJ851982:GYK851982 HIF851982:HIG851982 HSB851982:HSC851982 IBX851982:IBY851982 ILT851982:ILU851982 IVP851982:IVQ851982 JFL851982:JFM851982 JPH851982:JPI851982 JZD851982:JZE851982 KIZ851982:KJA851982 KSV851982:KSW851982 LCR851982:LCS851982 LMN851982:LMO851982 LWJ851982:LWK851982 MGF851982:MGG851982 MQB851982:MQC851982 MZX851982:MZY851982 NJT851982:NJU851982 NTP851982:NTQ851982 ODL851982:ODM851982 ONH851982:ONI851982 OXD851982:OXE851982 PGZ851982:PHA851982 PQV851982:PQW851982 QAR851982:QAS851982 QKN851982:QKO851982 QUJ851982:QUK851982 REF851982:REG851982 ROB851982:ROC851982 RXX851982:RXY851982 SHT851982:SHU851982 SRP851982:SRQ851982 TBL851982:TBM851982 TLH851982:TLI851982 TVD851982:TVE851982 UEZ851982:UFA851982 UOV851982:UOW851982 UYR851982:UYS851982 VIN851982:VIO851982 VSJ851982:VSK851982 WCF851982:WCG851982 WMB851982:WMC851982 WVX851982:WVY851982 JL917518:JM917518 TH917518:TI917518 ADD917518:ADE917518 AMZ917518:ANA917518 AWV917518:AWW917518 BGR917518:BGS917518 BQN917518:BQO917518 CAJ917518:CAK917518 CKF917518:CKG917518 CUB917518:CUC917518 DDX917518:DDY917518 DNT917518:DNU917518 DXP917518:DXQ917518 EHL917518:EHM917518 ERH917518:ERI917518 FBD917518:FBE917518 FKZ917518:FLA917518 FUV917518:FUW917518 GER917518:GES917518 GON917518:GOO917518 GYJ917518:GYK917518 HIF917518:HIG917518 HSB917518:HSC917518 IBX917518:IBY917518 ILT917518:ILU917518 IVP917518:IVQ917518 JFL917518:JFM917518 JPH917518:JPI917518 JZD917518:JZE917518 KIZ917518:KJA917518 KSV917518:KSW917518 LCR917518:LCS917518 LMN917518:LMO917518 LWJ917518:LWK917518 MGF917518:MGG917518 MQB917518:MQC917518 MZX917518:MZY917518 NJT917518:NJU917518 NTP917518:NTQ917518 ODL917518:ODM917518 ONH917518:ONI917518 OXD917518:OXE917518 PGZ917518:PHA917518 PQV917518:PQW917518 QAR917518:QAS917518 QKN917518:QKO917518 QUJ917518:QUK917518 REF917518:REG917518 ROB917518:ROC917518 RXX917518:RXY917518 SHT917518:SHU917518 SRP917518:SRQ917518 TBL917518:TBM917518 TLH917518:TLI917518 TVD917518:TVE917518 UEZ917518:UFA917518 UOV917518:UOW917518 UYR917518:UYS917518 VIN917518:VIO917518 VSJ917518:VSK917518 WCF917518:WCG917518 WMB917518:WMC917518 WVX917518:WVY917518 JL983054:JM983054 TH983054:TI983054 ADD983054:ADE983054 AMZ983054:ANA983054 AWV983054:AWW983054 BGR983054:BGS983054 BQN983054:BQO983054 CAJ983054:CAK983054 CKF983054:CKG983054 CUB983054:CUC983054 DDX983054:DDY983054 DNT983054:DNU983054 DXP983054:DXQ983054 EHL983054:EHM983054 ERH983054:ERI983054 FBD983054:FBE983054 FKZ983054:FLA983054 FUV983054:FUW983054 GER983054:GES983054 GON983054:GOO983054 GYJ983054:GYK983054 HIF983054:HIG983054 HSB983054:HSC983054 IBX983054:IBY983054 ILT983054:ILU983054 IVP983054:IVQ983054 JFL983054:JFM983054 JPH983054:JPI983054 JZD983054:JZE983054 KIZ983054:KJA983054 KSV983054:KSW983054 LCR983054:LCS983054 LMN983054:LMO983054 LWJ983054:LWK983054 MGF983054:MGG983054 MQB983054:MQC983054 MZX983054:MZY983054 NJT983054:NJU983054 NTP983054:NTQ983054 ODL983054:ODM983054 ONH983054:ONI983054 OXD983054:OXE983054 PGZ983054:PHA983054 PQV983054:PQW983054 QAR983054:QAS983054 QKN983054:QKO983054 QUJ983054:QUK983054 REF983054:REG983054 ROB983054:ROC983054 RXX983054:RXY983054 SHT983054:SHU983054 SRP983054:SRQ983054 TBL983054:TBM983054 TLH983054:TLI983054 TVD983054:TVE983054 UEZ983054:UFA983054 UOV983054:UOW983054 UYR983054:UYS983054 VIN983054:VIO983054 VSJ983054:VSK983054 WCF983054:WCG983054 WMB983054:WMC983054"/>
    <dataValidation allowBlank="1" showInputMessage="1" showErrorMessage="1" promptTitle="N° DE POLICE " prompt="N° DE POLICE " sqref="WVX983052:WVY983052 F983052:G983052 F917516:G917516 F851980:G851980 F786444:G786444 F720908:G720908 F655372:G655372 F589836:G589836 F524300:G524300 F458764:G458764 F393228:G393228 F327692:G327692 F262156:G262156 F196620:G196620 F131084:G131084 F65548:G65548 JL9:JM9 TH9:TI9 ADD9:ADE9 AMZ9:ANA9 AWV9:AWW9 BGR9:BGS9 BQN9:BQO9 CAJ9:CAK9 CKF9:CKG9 CUB9:CUC9 DDX9:DDY9 DNT9:DNU9 DXP9:DXQ9 EHL9:EHM9 ERH9:ERI9 FBD9:FBE9 FKZ9:FLA9 FUV9:FUW9 GER9:GES9 GON9:GOO9 GYJ9:GYK9 HIF9:HIG9 HSB9:HSC9 IBX9:IBY9 ILT9:ILU9 IVP9:IVQ9 JFL9:JFM9 JPH9:JPI9 JZD9:JZE9 KIZ9:KJA9 KSV9:KSW9 LCR9:LCS9 LMN9:LMO9 LWJ9:LWK9 MGF9:MGG9 MQB9:MQC9 MZX9:MZY9 NJT9:NJU9 NTP9:NTQ9 ODL9:ODM9 ONH9:ONI9 OXD9:OXE9 PGZ9:PHA9 PQV9:PQW9 QAR9:QAS9 QKN9:QKO9 QUJ9:QUK9 REF9:REG9 ROB9:ROC9 RXX9:RXY9 SHT9:SHU9 SRP9:SRQ9 TBL9:TBM9 TLH9:TLI9 TVD9:TVE9 UEZ9:UFA9 UOV9:UOW9 UYR9:UYS9 VIN9:VIO9 VSJ9:VSK9 WCF9:WCG9 WMB9:WMC9 WVX9:WVY9 JL65548:JM65548 TH65548:TI65548 ADD65548:ADE65548 AMZ65548:ANA65548 AWV65548:AWW65548 BGR65548:BGS65548 BQN65548:BQO65548 CAJ65548:CAK65548 CKF65548:CKG65548 CUB65548:CUC65548 DDX65548:DDY65548 DNT65548:DNU65548 DXP65548:DXQ65548 EHL65548:EHM65548 ERH65548:ERI65548 FBD65548:FBE65548 FKZ65548:FLA65548 FUV65548:FUW65548 GER65548:GES65548 GON65548:GOO65548 GYJ65548:GYK65548 HIF65548:HIG65548 HSB65548:HSC65548 IBX65548:IBY65548 ILT65548:ILU65548 IVP65548:IVQ65548 JFL65548:JFM65548 JPH65548:JPI65548 JZD65548:JZE65548 KIZ65548:KJA65548 KSV65548:KSW65548 LCR65548:LCS65548 LMN65548:LMO65548 LWJ65548:LWK65548 MGF65548:MGG65548 MQB65548:MQC65548 MZX65548:MZY65548 NJT65548:NJU65548 NTP65548:NTQ65548 ODL65548:ODM65548 ONH65548:ONI65548 OXD65548:OXE65548 PGZ65548:PHA65548 PQV65548:PQW65548 QAR65548:QAS65548 QKN65548:QKO65548 QUJ65548:QUK65548 REF65548:REG65548 ROB65548:ROC65548 RXX65548:RXY65548 SHT65548:SHU65548 SRP65548:SRQ65548 TBL65548:TBM65548 TLH65548:TLI65548 TVD65548:TVE65548 UEZ65548:UFA65548 UOV65548:UOW65548 UYR65548:UYS65548 VIN65548:VIO65548 VSJ65548:VSK65548 WCF65548:WCG65548 WMB65548:WMC65548 WVX65548:WVY65548 JL131084:JM131084 TH131084:TI131084 ADD131084:ADE131084 AMZ131084:ANA131084 AWV131084:AWW131084 BGR131084:BGS131084 BQN131084:BQO131084 CAJ131084:CAK131084 CKF131084:CKG131084 CUB131084:CUC131084 DDX131084:DDY131084 DNT131084:DNU131084 DXP131084:DXQ131084 EHL131084:EHM131084 ERH131084:ERI131084 FBD131084:FBE131084 FKZ131084:FLA131084 FUV131084:FUW131084 GER131084:GES131084 GON131084:GOO131084 GYJ131084:GYK131084 HIF131084:HIG131084 HSB131084:HSC131084 IBX131084:IBY131084 ILT131084:ILU131084 IVP131084:IVQ131084 JFL131084:JFM131084 JPH131084:JPI131084 JZD131084:JZE131084 KIZ131084:KJA131084 KSV131084:KSW131084 LCR131084:LCS131084 LMN131084:LMO131084 LWJ131084:LWK131084 MGF131084:MGG131084 MQB131084:MQC131084 MZX131084:MZY131084 NJT131084:NJU131084 NTP131084:NTQ131084 ODL131084:ODM131084 ONH131084:ONI131084 OXD131084:OXE131084 PGZ131084:PHA131084 PQV131084:PQW131084 QAR131084:QAS131084 QKN131084:QKO131084 QUJ131084:QUK131084 REF131084:REG131084 ROB131084:ROC131084 RXX131084:RXY131084 SHT131084:SHU131084 SRP131084:SRQ131084 TBL131084:TBM131084 TLH131084:TLI131084 TVD131084:TVE131084 UEZ131084:UFA131084 UOV131084:UOW131084 UYR131084:UYS131084 VIN131084:VIO131084 VSJ131084:VSK131084 WCF131084:WCG131084 WMB131084:WMC131084 WVX131084:WVY131084 JL196620:JM196620 TH196620:TI196620 ADD196620:ADE196620 AMZ196620:ANA196620 AWV196620:AWW196620 BGR196620:BGS196620 BQN196620:BQO196620 CAJ196620:CAK196620 CKF196620:CKG196620 CUB196620:CUC196620 DDX196620:DDY196620 DNT196620:DNU196620 DXP196620:DXQ196620 EHL196620:EHM196620 ERH196620:ERI196620 FBD196620:FBE196620 FKZ196620:FLA196620 FUV196620:FUW196620 GER196620:GES196620 GON196620:GOO196620 GYJ196620:GYK196620 HIF196620:HIG196620 HSB196620:HSC196620 IBX196620:IBY196620 ILT196620:ILU196620 IVP196620:IVQ196620 JFL196620:JFM196620 JPH196620:JPI196620 JZD196620:JZE196620 KIZ196620:KJA196620 KSV196620:KSW196620 LCR196620:LCS196620 LMN196620:LMO196620 LWJ196620:LWK196620 MGF196620:MGG196620 MQB196620:MQC196620 MZX196620:MZY196620 NJT196620:NJU196620 NTP196620:NTQ196620 ODL196620:ODM196620 ONH196620:ONI196620 OXD196620:OXE196620 PGZ196620:PHA196620 PQV196620:PQW196620 QAR196620:QAS196620 QKN196620:QKO196620 QUJ196620:QUK196620 REF196620:REG196620 ROB196620:ROC196620 RXX196620:RXY196620 SHT196620:SHU196620 SRP196620:SRQ196620 TBL196620:TBM196620 TLH196620:TLI196620 TVD196620:TVE196620 UEZ196620:UFA196620 UOV196620:UOW196620 UYR196620:UYS196620 VIN196620:VIO196620 VSJ196620:VSK196620 WCF196620:WCG196620 WMB196620:WMC196620 WVX196620:WVY196620 JL262156:JM262156 TH262156:TI262156 ADD262156:ADE262156 AMZ262156:ANA262156 AWV262156:AWW262156 BGR262156:BGS262156 BQN262156:BQO262156 CAJ262156:CAK262156 CKF262156:CKG262156 CUB262156:CUC262156 DDX262156:DDY262156 DNT262156:DNU262156 DXP262156:DXQ262156 EHL262156:EHM262156 ERH262156:ERI262156 FBD262156:FBE262156 FKZ262156:FLA262156 FUV262156:FUW262156 GER262156:GES262156 GON262156:GOO262156 GYJ262156:GYK262156 HIF262156:HIG262156 HSB262156:HSC262156 IBX262156:IBY262156 ILT262156:ILU262156 IVP262156:IVQ262156 JFL262156:JFM262156 JPH262156:JPI262156 JZD262156:JZE262156 KIZ262156:KJA262156 KSV262156:KSW262156 LCR262156:LCS262156 LMN262156:LMO262156 LWJ262156:LWK262156 MGF262156:MGG262156 MQB262156:MQC262156 MZX262156:MZY262156 NJT262156:NJU262156 NTP262156:NTQ262156 ODL262156:ODM262156 ONH262156:ONI262156 OXD262156:OXE262156 PGZ262156:PHA262156 PQV262156:PQW262156 QAR262156:QAS262156 QKN262156:QKO262156 QUJ262156:QUK262156 REF262156:REG262156 ROB262156:ROC262156 RXX262156:RXY262156 SHT262156:SHU262156 SRP262156:SRQ262156 TBL262156:TBM262156 TLH262156:TLI262156 TVD262156:TVE262156 UEZ262156:UFA262156 UOV262156:UOW262156 UYR262156:UYS262156 VIN262156:VIO262156 VSJ262156:VSK262156 WCF262156:WCG262156 WMB262156:WMC262156 WVX262156:WVY262156 JL327692:JM327692 TH327692:TI327692 ADD327692:ADE327692 AMZ327692:ANA327692 AWV327692:AWW327692 BGR327692:BGS327692 BQN327692:BQO327692 CAJ327692:CAK327692 CKF327692:CKG327692 CUB327692:CUC327692 DDX327692:DDY327692 DNT327692:DNU327692 DXP327692:DXQ327692 EHL327692:EHM327692 ERH327692:ERI327692 FBD327692:FBE327692 FKZ327692:FLA327692 FUV327692:FUW327692 GER327692:GES327692 GON327692:GOO327692 GYJ327692:GYK327692 HIF327692:HIG327692 HSB327692:HSC327692 IBX327692:IBY327692 ILT327692:ILU327692 IVP327692:IVQ327692 JFL327692:JFM327692 JPH327692:JPI327692 JZD327692:JZE327692 KIZ327692:KJA327692 KSV327692:KSW327692 LCR327692:LCS327692 LMN327692:LMO327692 LWJ327692:LWK327692 MGF327692:MGG327692 MQB327692:MQC327692 MZX327692:MZY327692 NJT327692:NJU327692 NTP327692:NTQ327692 ODL327692:ODM327692 ONH327692:ONI327692 OXD327692:OXE327692 PGZ327692:PHA327692 PQV327692:PQW327692 QAR327692:QAS327692 QKN327692:QKO327692 QUJ327692:QUK327692 REF327692:REG327692 ROB327692:ROC327692 RXX327692:RXY327692 SHT327692:SHU327692 SRP327692:SRQ327692 TBL327692:TBM327692 TLH327692:TLI327692 TVD327692:TVE327692 UEZ327692:UFA327692 UOV327692:UOW327692 UYR327692:UYS327692 VIN327692:VIO327692 VSJ327692:VSK327692 WCF327692:WCG327692 WMB327692:WMC327692 WVX327692:WVY327692 JL393228:JM393228 TH393228:TI393228 ADD393228:ADE393228 AMZ393228:ANA393228 AWV393228:AWW393228 BGR393228:BGS393228 BQN393228:BQO393228 CAJ393228:CAK393228 CKF393228:CKG393228 CUB393228:CUC393228 DDX393228:DDY393228 DNT393228:DNU393228 DXP393228:DXQ393228 EHL393228:EHM393228 ERH393228:ERI393228 FBD393228:FBE393228 FKZ393228:FLA393228 FUV393228:FUW393228 GER393228:GES393228 GON393228:GOO393228 GYJ393228:GYK393228 HIF393228:HIG393228 HSB393228:HSC393228 IBX393228:IBY393228 ILT393228:ILU393228 IVP393228:IVQ393228 JFL393228:JFM393228 JPH393228:JPI393228 JZD393228:JZE393228 KIZ393228:KJA393228 KSV393228:KSW393228 LCR393228:LCS393228 LMN393228:LMO393228 LWJ393228:LWK393228 MGF393228:MGG393228 MQB393228:MQC393228 MZX393228:MZY393228 NJT393228:NJU393228 NTP393228:NTQ393228 ODL393228:ODM393228 ONH393228:ONI393228 OXD393228:OXE393228 PGZ393228:PHA393228 PQV393228:PQW393228 QAR393228:QAS393228 QKN393228:QKO393228 QUJ393228:QUK393228 REF393228:REG393228 ROB393228:ROC393228 RXX393228:RXY393228 SHT393228:SHU393228 SRP393228:SRQ393228 TBL393228:TBM393228 TLH393228:TLI393228 TVD393228:TVE393228 UEZ393228:UFA393228 UOV393228:UOW393228 UYR393228:UYS393228 VIN393228:VIO393228 VSJ393228:VSK393228 WCF393228:WCG393228 WMB393228:WMC393228 WVX393228:WVY393228 JL458764:JM458764 TH458764:TI458764 ADD458764:ADE458764 AMZ458764:ANA458764 AWV458764:AWW458764 BGR458764:BGS458764 BQN458764:BQO458764 CAJ458764:CAK458764 CKF458764:CKG458764 CUB458764:CUC458764 DDX458764:DDY458764 DNT458764:DNU458764 DXP458764:DXQ458764 EHL458764:EHM458764 ERH458764:ERI458764 FBD458764:FBE458764 FKZ458764:FLA458764 FUV458764:FUW458764 GER458764:GES458764 GON458764:GOO458764 GYJ458764:GYK458764 HIF458764:HIG458764 HSB458764:HSC458764 IBX458764:IBY458764 ILT458764:ILU458764 IVP458764:IVQ458764 JFL458764:JFM458764 JPH458764:JPI458764 JZD458764:JZE458764 KIZ458764:KJA458764 KSV458764:KSW458764 LCR458764:LCS458764 LMN458764:LMO458764 LWJ458764:LWK458764 MGF458764:MGG458764 MQB458764:MQC458764 MZX458764:MZY458764 NJT458764:NJU458764 NTP458764:NTQ458764 ODL458764:ODM458764 ONH458764:ONI458764 OXD458764:OXE458764 PGZ458764:PHA458764 PQV458764:PQW458764 QAR458764:QAS458764 QKN458764:QKO458764 QUJ458764:QUK458764 REF458764:REG458764 ROB458764:ROC458764 RXX458764:RXY458764 SHT458764:SHU458764 SRP458764:SRQ458764 TBL458764:TBM458764 TLH458764:TLI458764 TVD458764:TVE458764 UEZ458764:UFA458764 UOV458764:UOW458764 UYR458764:UYS458764 VIN458764:VIO458764 VSJ458764:VSK458764 WCF458764:WCG458764 WMB458764:WMC458764 WVX458764:WVY458764 JL524300:JM524300 TH524300:TI524300 ADD524300:ADE524300 AMZ524300:ANA524300 AWV524300:AWW524300 BGR524300:BGS524300 BQN524300:BQO524300 CAJ524300:CAK524300 CKF524300:CKG524300 CUB524300:CUC524300 DDX524300:DDY524300 DNT524300:DNU524300 DXP524300:DXQ524300 EHL524300:EHM524300 ERH524300:ERI524300 FBD524300:FBE524300 FKZ524300:FLA524300 FUV524300:FUW524300 GER524300:GES524300 GON524300:GOO524300 GYJ524300:GYK524300 HIF524300:HIG524300 HSB524300:HSC524300 IBX524300:IBY524300 ILT524300:ILU524300 IVP524300:IVQ524300 JFL524300:JFM524300 JPH524300:JPI524300 JZD524300:JZE524300 KIZ524300:KJA524300 KSV524300:KSW524300 LCR524300:LCS524300 LMN524300:LMO524300 LWJ524300:LWK524300 MGF524300:MGG524300 MQB524300:MQC524300 MZX524300:MZY524300 NJT524300:NJU524300 NTP524300:NTQ524300 ODL524300:ODM524300 ONH524300:ONI524300 OXD524300:OXE524300 PGZ524300:PHA524300 PQV524300:PQW524300 QAR524300:QAS524300 QKN524300:QKO524300 QUJ524300:QUK524300 REF524300:REG524300 ROB524300:ROC524300 RXX524300:RXY524300 SHT524300:SHU524300 SRP524300:SRQ524300 TBL524300:TBM524300 TLH524300:TLI524300 TVD524300:TVE524300 UEZ524300:UFA524300 UOV524300:UOW524300 UYR524300:UYS524300 VIN524300:VIO524300 VSJ524300:VSK524300 WCF524300:WCG524300 WMB524300:WMC524300 WVX524300:WVY524300 JL589836:JM589836 TH589836:TI589836 ADD589836:ADE589836 AMZ589836:ANA589836 AWV589836:AWW589836 BGR589836:BGS589836 BQN589836:BQO589836 CAJ589836:CAK589836 CKF589836:CKG589836 CUB589836:CUC589836 DDX589836:DDY589836 DNT589836:DNU589836 DXP589836:DXQ589836 EHL589836:EHM589836 ERH589836:ERI589836 FBD589836:FBE589836 FKZ589836:FLA589836 FUV589836:FUW589836 GER589836:GES589836 GON589836:GOO589836 GYJ589836:GYK589836 HIF589836:HIG589836 HSB589836:HSC589836 IBX589836:IBY589836 ILT589836:ILU589836 IVP589836:IVQ589836 JFL589836:JFM589836 JPH589836:JPI589836 JZD589836:JZE589836 KIZ589836:KJA589836 KSV589836:KSW589836 LCR589836:LCS589836 LMN589836:LMO589836 LWJ589836:LWK589836 MGF589836:MGG589836 MQB589836:MQC589836 MZX589836:MZY589836 NJT589836:NJU589836 NTP589836:NTQ589836 ODL589836:ODM589836 ONH589836:ONI589836 OXD589836:OXE589836 PGZ589836:PHA589836 PQV589836:PQW589836 QAR589836:QAS589836 QKN589836:QKO589836 QUJ589836:QUK589836 REF589836:REG589836 ROB589836:ROC589836 RXX589836:RXY589836 SHT589836:SHU589836 SRP589836:SRQ589836 TBL589836:TBM589836 TLH589836:TLI589836 TVD589836:TVE589836 UEZ589836:UFA589836 UOV589836:UOW589836 UYR589836:UYS589836 VIN589836:VIO589836 VSJ589836:VSK589836 WCF589836:WCG589836 WMB589836:WMC589836 WVX589836:WVY589836 JL655372:JM655372 TH655372:TI655372 ADD655372:ADE655372 AMZ655372:ANA655372 AWV655372:AWW655372 BGR655372:BGS655372 BQN655372:BQO655372 CAJ655372:CAK655372 CKF655372:CKG655372 CUB655372:CUC655372 DDX655372:DDY655372 DNT655372:DNU655372 DXP655372:DXQ655372 EHL655372:EHM655372 ERH655372:ERI655372 FBD655372:FBE655372 FKZ655372:FLA655372 FUV655372:FUW655372 GER655372:GES655372 GON655372:GOO655372 GYJ655372:GYK655372 HIF655372:HIG655372 HSB655372:HSC655372 IBX655372:IBY655372 ILT655372:ILU655372 IVP655372:IVQ655372 JFL655372:JFM655372 JPH655372:JPI655372 JZD655372:JZE655372 KIZ655372:KJA655372 KSV655372:KSW655372 LCR655372:LCS655372 LMN655372:LMO655372 LWJ655372:LWK655372 MGF655372:MGG655372 MQB655372:MQC655372 MZX655372:MZY655372 NJT655372:NJU655372 NTP655372:NTQ655372 ODL655372:ODM655372 ONH655372:ONI655372 OXD655372:OXE655372 PGZ655372:PHA655372 PQV655372:PQW655372 QAR655372:QAS655372 QKN655372:QKO655372 QUJ655372:QUK655372 REF655372:REG655372 ROB655372:ROC655372 RXX655372:RXY655372 SHT655372:SHU655372 SRP655372:SRQ655372 TBL655372:TBM655372 TLH655372:TLI655372 TVD655372:TVE655372 UEZ655372:UFA655372 UOV655372:UOW655372 UYR655372:UYS655372 VIN655372:VIO655372 VSJ655372:VSK655372 WCF655372:WCG655372 WMB655372:WMC655372 WVX655372:WVY655372 JL720908:JM720908 TH720908:TI720908 ADD720908:ADE720908 AMZ720908:ANA720908 AWV720908:AWW720908 BGR720908:BGS720908 BQN720908:BQO720908 CAJ720908:CAK720908 CKF720908:CKG720908 CUB720908:CUC720908 DDX720908:DDY720908 DNT720908:DNU720908 DXP720908:DXQ720908 EHL720908:EHM720908 ERH720908:ERI720908 FBD720908:FBE720908 FKZ720908:FLA720908 FUV720908:FUW720908 GER720908:GES720908 GON720908:GOO720908 GYJ720908:GYK720908 HIF720908:HIG720908 HSB720908:HSC720908 IBX720908:IBY720908 ILT720908:ILU720908 IVP720908:IVQ720908 JFL720908:JFM720908 JPH720908:JPI720908 JZD720908:JZE720908 KIZ720908:KJA720908 KSV720908:KSW720908 LCR720908:LCS720908 LMN720908:LMO720908 LWJ720908:LWK720908 MGF720908:MGG720908 MQB720908:MQC720908 MZX720908:MZY720908 NJT720908:NJU720908 NTP720908:NTQ720908 ODL720908:ODM720908 ONH720908:ONI720908 OXD720908:OXE720908 PGZ720908:PHA720908 PQV720908:PQW720908 QAR720908:QAS720908 QKN720908:QKO720908 QUJ720908:QUK720908 REF720908:REG720908 ROB720908:ROC720908 RXX720908:RXY720908 SHT720908:SHU720908 SRP720908:SRQ720908 TBL720908:TBM720908 TLH720908:TLI720908 TVD720908:TVE720908 UEZ720908:UFA720908 UOV720908:UOW720908 UYR720908:UYS720908 VIN720908:VIO720908 VSJ720908:VSK720908 WCF720908:WCG720908 WMB720908:WMC720908 WVX720908:WVY720908 JL786444:JM786444 TH786444:TI786444 ADD786444:ADE786444 AMZ786444:ANA786444 AWV786444:AWW786444 BGR786444:BGS786444 BQN786444:BQO786444 CAJ786444:CAK786444 CKF786444:CKG786444 CUB786444:CUC786444 DDX786444:DDY786444 DNT786444:DNU786444 DXP786444:DXQ786444 EHL786444:EHM786444 ERH786444:ERI786444 FBD786444:FBE786444 FKZ786444:FLA786444 FUV786444:FUW786444 GER786444:GES786444 GON786444:GOO786444 GYJ786444:GYK786444 HIF786444:HIG786444 HSB786444:HSC786444 IBX786444:IBY786444 ILT786444:ILU786444 IVP786444:IVQ786444 JFL786444:JFM786444 JPH786444:JPI786444 JZD786444:JZE786444 KIZ786444:KJA786444 KSV786444:KSW786444 LCR786444:LCS786444 LMN786444:LMO786444 LWJ786444:LWK786444 MGF786444:MGG786444 MQB786444:MQC786444 MZX786444:MZY786444 NJT786444:NJU786444 NTP786444:NTQ786444 ODL786444:ODM786444 ONH786444:ONI786444 OXD786444:OXE786444 PGZ786444:PHA786444 PQV786444:PQW786444 QAR786444:QAS786444 QKN786444:QKO786444 QUJ786444:QUK786444 REF786444:REG786444 ROB786444:ROC786444 RXX786444:RXY786444 SHT786444:SHU786444 SRP786444:SRQ786444 TBL786444:TBM786444 TLH786444:TLI786444 TVD786444:TVE786444 UEZ786444:UFA786444 UOV786444:UOW786444 UYR786444:UYS786444 VIN786444:VIO786444 VSJ786444:VSK786444 WCF786444:WCG786444 WMB786444:WMC786444 WVX786444:WVY786444 JL851980:JM851980 TH851980:TI851980 ADD851980:ADE851980 AMZ851980:ANA851980 AWV851980:AWW851980 BGR851980:BGS851980 BQN851980:BQO851980 CAJ851980:CAK851980 CKF851980:CKG851980 CUB851980:CUC851980 DDX851980:DDY851980 DNT851980:DNU851980 DXP851980:DXQ851980 EHL851980:EHM851980 ERH851980:ERI851980 FBD851980:FBE851980 FKZ851980:FLA851980 FUV851980:FUW851980 GER851980:GES851980 GON851980:GOO851980 GYJ851980:GYK851980 HIF851980:HIG851980 HSB851980:HSC851980 IBX851980:IBY851980 ILT851980:ILU851980 IVP851980:IVQ851980 JFL851980:JFM851980 JPH851980:JPI851980 JZD851980:JZE851980 KIZ851980:KJA851980 KSV851980:KSW851980 LCR851980:LCS851980 LMN851980:LMO851980 LWJ851980:LWK851980 MGF851980:MGG851980 MQB851980:MQC851980 MZX851980:MZY851980 NJT851980:NJU851980 NTP851980:NTQ851980 ODL851980:ODM851980 ONH851980:ONI851980 OXD851980:OXE851980 PGZ851980:PHA851980 PQV851980:PQW851980 QAR851980:QAS851980 QKN851980:QKO851980 QUJ851980:QUK851980 REF851980:REG851980 ROB851980:ROC851980 RXX851980:RXY851980 SHT851980:SHU851980 SRP851980:SRQ851980 TBL851980:TBM851980 TLH851980:TLI851980 TVD851980:TVE851980 UEZ851980:UFA851980 UOV851980:UOW851980 UYR851980:UYS851980 VIN851980:VIO851980 VSJ851980:VSK851980 WCF851980:WCG851980 WMB851980:WMC851980 WVX851980:WVY851980 JL917516:JM917516 TH917516:TI917516 ADD917516:ADE917516 AMZ917516:ANA917516 AWV917516:AWW917516 BGR917516:BGS917516 BQN917516:BQO917516 CAJ917516:CAK917516 CKF917516:CKG917516 CUB917516:CUC917516 DDX917516:DDY917516 DNT917516:DNU917516 DXP917516:DXQ917516 EHL917516:EHM917516 ERH917516:ERI917516 FBD917516:FBE917516 FKZ917516:FLA917516 FUV917516:FUW917516 GER917516:GES917516 GON917516:GOO917516 GYJ917516:GYK917516 HIF917516:HIG917516 HSB917516:HSC917516 IBX917516:IBY917516 ILT917516:ILU917516 IVP917516:IVQ917516 JFL917516:JFM917516 JPH917516:JPI917516 JZD917516:JZE917516 KIZ917516:KJA917516 KSV917516:KSW917516 LCR917516:LCS917516 LMN917516:LMO917516 LWJ917516:LWK917516 MGF917516:MGG917516 MQB917516:MQC917516 MZX917516:MZY917516 NJT917516:NJU917516 NTP917516:NTQ917516 ODL917516:ODM917516 ONH917516:ONI917516 OXD917516:OXE917516 PGZ917516:PHA917516 PQV917516:PQW917516 QAR917516:QAS917516 QKN917516:QKO917516 QUJ917516:QUK917516 REF917516:REG917516 ROB917516:ROC917516 RXX917516:RXY917516 SHT917516:SHU917516 SRP917516:SRQ917516 TBL917516:TBM917516 TLH917516:TLI917516 TVD917516:TVE917516 UEZ917516:UFA917516 UOV917516:UOW917516 UYR917516:UYS917516 VIN917516:VIO917516 VSJ917516:VSK917516 WCF917516:WCG917516 WMB917516:WMC917516 WVX917516:WVY917516 JL983052:JM983052 TH983052:TI983052 ADD983052:ADE983052 AMZ983052:ANA983052 AWV983052:AWW983052 BGR983052:BGS983052 BQN983052:BQO983052 CAJ983052:CAK983052 CKF983052:CKG983052 CUB983052:CUC983052 DDX983052:DDY983052 DNT983052:DNU983052 DXP983052:DXQ983052 EHL983052:EHM983052 ERH983052:ERI983052 FBD983052:FBE983052 FKZ983052:FLA983052 FUV983052:FUW983052 GER983052:GES983052 GON983052:GOO983052 GYJ983052:GYK983052 HIF983052:HIG983052 HSB983052:HSC983052 IBX983052:IBY983052 ILT983052:ILU983052 IVP983052:IVQ983052 JFL983052:JFM983052 JPH983052:JPI983052 JZD983052:JZE983052 KIZ983052:KJA983052 KSV983052:KSW983052 LCR983052:LCS983052 LMN983052:LMO983052 LWJ983052:LWK983052 MGF983052:MGG983052 MQB983052:MQC983052 MZX983052:MZY983052 NJT983052:NJU983052 NTP983052:NTQ983052 ODL983052:ODM983052 ONH983052:ONI983052 OXD983052:OXE983052 PGZ983052:PHA983052 PQV983052:PQW983052 QAR983052:QAS983052 QKN983052:QKO983052 QUJ983052:QUK983052 REF983052:REG983052 ROB983052:ROC983052 RXX983052:RXY983052 SHT983052:SHU983052 SRP983052:SRQ983052 TBL983052:TBM983052 TLH983052:TLI983052 TVD983052:TVE983052 UEZ983052:UFA983052 UOV983052:UOW983052 UYR983052:UYS983052 VIN983052:VIO983052 VSJ983052:VSK983052 WCF983052:WCG983052 WMB983052:WMC983052 E9"/>
    <dataValidation type="textLength" allowBlank="1" showInputMessage="1" showErrorMessage="1" errorTitle="LONGUEUR 7 à 10 CARACTERES" error="LONGUEUR 7 à 10 CARACTERES" promptTitle="N° IMMATRICULATION" prompt="N° IMMATRICULATION" sqref="H17:J18">
      <formula1>7</formula1>
      <formula2>50</formula2>
    </dataValidation>
    <dataValidation type="textLength" allowBlank="1" showInputMessage="1" showErrorMessage="1" errorTitle="LONGUEUR 7 à 10 CARACTERES" error="LONGUEUR 7 à 10 CARACTERES" promptTitle="N° CHASSIS" prompt="N° CHASSIS" sqref="F19:G19">
      <formula1>7</formula1>
      <formula2>50</formula2>
    </dataValidation>
    <dataValidation type="date" allowBlank="1" showInputMessage="1" showErrorMessage="1" promptTitle="DATE DE MISE EN CIRCULATION" prompt="DATE DE MISE EN CIRCULATION" sqref="B21">
      <formula1>1</formula1>
      <formula2>49674</formula2>
    </dataValidation>
    <dataValidation type="date" allowBlank="1" showInputMessage="1" showErrorMessage="1" sqref="D21">
      <formula1>1</formula1>
      <formula2>49674</formula2>
    </dataValidation>
    <dataValidation type="textLength" allowBlank="1" showInputMessage="1" showErrorMessage="1" errorTitle="LONGUEUR 7 à 10 CARACTERES" error="LONGUEUR 7 à 10 CARACTERES" promptTitle="N° IMMATRICULATION  REMORQUE" prompt="N° IMMATRICULATION  REMORQUE" sqref="J19:J20">
      <formula1>7</formula1>
      <formula2>20</formula2>
    </dataValidation>
    <dataValidation type="date" allowBlank="1" showInputMessage="1" showErrorMessage="1" promptTitle="EFFET/RESILIATION/SUSPENSION" prompt="EFFET/RESILIATION/SUSPENSION" sqref="F15:G15">
      <formula1>1</formula1>
      <formula2>49674</formula2>
    </dataValidation>
    <dataValidation type="date" allowBlank="1" showInputMessage="1" showErrorMessage="1" promptTitle="ECHEANCE CONTRAT A LA SOUSCRIP" prompt="ECHEANCE CONTRAT A LA SOUSCRIP" sqref="H15:J15">
      <formula1>1</formula1>
      <formula2>49674</formula2>
    </dataValidation>
    <dataValidation type="whole" allowBlank="1" showInputMessage="1" showErrorMessage="1" promptTitle="PERIODE DE COUVERTURE" prompt="PERIODE DE COUVERTURE" sqref="J10">
      <formula1>0</formula1>
      <formula2>365</formula2>
    </dataValidation>
    <dataValidation type="whole" allowBlank="1" showInputMessage="1" showErrorMessage="1" sqref="J11">
      <formula1>0</formula1>
      <formula2>365</formula2>
    </dataValidation>
    <dataValidation type="decimal" operator="greaterThanOrEqual" allowBlank="1" showInputMessage="1" showErrorMessage="1" promptTitle="VALEUR ACCESOIRES" prompt="VALEUR ACCESOIRES" sqref="G22">
      <formula1>0</formula1>
    </dataValidation>
    <dataValidation type="whole" allowBlank="1" showInputMessage="1" showErrorMessage="1" errorTitle="INSERER UNIQUEMENT DES NOMBRES" error="INSERER UNIQUEMENT DES NOMBRES" promptTitle="PUISSANCE" prompt="PUISSANCE" sqref="B20">
      <formula1>0</formula1>
      <formula2>1000000</formula2>
    </dataValidation>
    <dataValidation type="list" allowBlank="1" showInputMessage="1" showErrorMessage="1" sqref="E24:J24">
      <formula1>$DO$8:$DO$12</formula1>
    </dataValidation>
    <dataValidation type="whole" allowBlank="1" showInputMessage="1" showErrorMessage="1" errorTitle="INSERER UNIQUEMENT DES NOMBRES" error="INSERER UNIQUEMENT DES NOMBRES" sqref="F21:G21">
      <formula1>0</formula1>
      <formula2>1000000</formula2>
    </dataValidation>
    <dataValidation type="decimal" operator="greaterThanOrEqual" allowBlank="1" showInputMessage="1" showErrorMessage="1" errorTitle="INSERER UNIQUEMENT DES NOMBRES" error="INSERER UNIQUEMENT DES NOMBRES" promptTitle="VALEUR NEUVE" prompt="VALEUR NEUVE" sqref="B22">
      <formula1>0</formula1>
    </dataValidation>
    <dataValidation type="decimal" operator="greaterThanOrEqual" allowBlank="1" showInputMessage="1" showErrorMessage="1" promptTitle="VALEUR VENALE" prompt="VALEUR VENALE" sqref="D22">
      <formula1>0</formula1>
    </dataValidation>
    <dataValidation type="list" allowBlank="1" showInputMessage="1" showErrorMessage="1" promptTitle="SOURCE D'ENERGIE" prompt="SOURCE D'ENERGIE" sqref="D19">
      <formula1>$BS$8:$BS$10</formula1>
    </dataValidation>
    <dataValidation type="list" allowBlank="1" showInputMessage="1" showErrorMessage="1" sqref="K4:L6">
      <formula1>$U$4:$U$12</formula1>
    </dataValidation>
    <dataValidation type="list" allowBlank="1" showInputMessage="1" showErrorMessage="1" sqref="WWD983044 WMH983044 WCL983044 VSP983044 VIT983044 UYX983044 UPB983044 UFF983044 TVJ983044 TLN983044 TBR983044 SRV983044 SHZ983044 RYD983044 ROH983044 REL983044 QUP983044 QKT983044 QAX983044 PRB983044 PHF983044 OXJ983044 ONN983044 ODR983044 NTV983044 NJZ983044 NAD983044 MQH983044 MGL983044 LWP983044 LMT983044 LCX983044 KTB983044 KJF983044 JZJ983044 JPN983044 JFR983044 IVV983044 ILZ983044 ICD983044 HSH983044 HIL983044 GYP983044 GOT983044 GEX983044 FVB983044 FLF983044 FBJ983044 ERN983044 EHR983044 DXV983044 DNZ983044 DED983044 CUH983044 CKL983044 CAP983044 BQT983044 BGX983044 AXB983044 ANF983044 ADJ983044 TN983044 JR983044 L983044 WWD917508 WMH917508 WCL917508 VSP917508 VIT917508 UYX917508 UPB917508 UFF917508 TVJ917508 TLN917508 TBR917508 SRV917508 SHZ917508 RYD917508 ROH917508 REL917508 QUP917508 QKT917508 QAX917508 PRB917508 PHF917508 OXJ917508 ONN917508 ODR917508 NTV917508 NJZ917508 NAD917508 MQH917508 MGL917508 LWP917508 LMT917508 LCX917508 KTB917508 KJF917508 JZJ917508 JPN917508 JFR917508 IVV917508 ILZ917508 ICD917508 HSH917508 HIL917508 GYP917508 GOT917508 GEX917508 FVB917508 FLF917508 FBJ917508 ERN917508 EHR917508 DXV917508 DNZ917508 DED917508 CUH917508 CKL917508 CAP917508 BQT917508 BGX917508 AXB917508 ANF917508 ADJ917508 TN917508 JR917508 L917508 WWD851972 WMH851972 WCL851972 VSP851972 VIT851972 UYX851972 UPB851972 UFF851972 TVJ851972 TLN851972 TBR851972 SRV851972 SHZ851972 RYD851972 ROH851972 REL851972 QUP851972 QKT851972 QAX851972 PRB851972 PHF851972 OXJ851972 ONN851972 ODR851972 NTV851972 NJZ851972 NAD851972 MQH851972 MGL851972 LWP851972 LMT851972 LCX851972 KTB851972 KJF851972 JZJ851972 JPN851972 JFR851972 IVV851972 ILZ851972 ICD851972 HSH851972 HIL851972 GYP851972 GOT851972 GEX851972 FVB851972 FLF851972 FBJ851972 ERN851972 EHR851972 DXV851972 DNZ851972 DED851972 CUH851972 CKL851972 CAP851972 BQT851972 BGX851972 AXB851972 ANF851972 ADJ851972 TN851972 JR851972 L851972 WWD786436 WMH786436 WCL786436 VSP786436 VIT786436 UYX786436 UPB786436 UFF786436 TVJ786436 TLN786436 TBR786436 SRV786436 SHZ786436 RYD786436 ROH786436 REL786436 QUP786436 QKT786436 QAX786436 PRB786436 PHF786436 OXJ786436 ONN786436 ODR786436 NTV786436 NJZ786436 NAD786436 MQH786436 MGL786436 LWP786436 LMT786436 LCX786436 KTB786436 KJF786436 JZJ786436 JPN786436 JFR786436 IVV786436 ILZ786436 ICD786436 HSH786436 HIL786436 GYP786436 GOT786436 GEX786436 FVB786436 FLF786436 FBJ786436 ERN786436 EHR786436 DXV786436 DNZ786436 DED786436 CUH786436 CKL786436 CAP786436 BQT786436 BGX786436 AXB786436 ANF786436 ADJ786436 TN786436 JR786436 L786436 WWD720900 WMH720900 WCL720900 VSP720900 VIT720900 UYX720900 UPB720900 UFF720900 TVJ720900 TLN720900 TBR720900 SRV720900 SHZ720900 RYD720900 ROH720900 REL720900 QUP720900 QKT720900 QAX720900 PRB720900 PHF720900 OXJ720900 ONN720900 ODR720900 NTV720900 NJZ720900 NAD720900 MQH720900 MGL720900 LWP720900 LMT720900 LCX720900 KTB720900 KJF720900 JZJ720900 JPN720900 JFR720900 IVV720900 ILZ720900 ICD720900 HSH720900 HIL720900 GYP720900 GOT720900 GEX720900 FVB720900 FLF720900 FBJ720900 ERN720900 EHR720900 DXV720900 DNZ720900 DED720900 CUH720900 CKL720900 CAP720900 BQT720900 BGX720900 AXB720900 ANF720900 ADJ720900 TN720900 JR720900 L720900 WWD655364 WMH655364 WCL655364 VSP655364 VIT655364 UYX655364 UPB655364 UFF655364 TVJ655364 TLN655364 TBR655364 SRV655364 SHZ655364 RYD655364 ROH655364 REL655364 QUP655364 QKT655364 QAX655364 PRB655364 PHF655364 OXJ655364 ONN655364 ODR655364 NTV655364 NJZ655364 NAD655364 MQH655364 MGL655364 LWP655364 LMT655364 LCX655364 KTB655364 KJF655364 JZJ655364 JPN655364 JFR655364 IVV655364 ILZ655364 ICD655364 HSH655364 HIL655364 GYP655364 GOT655364 GEX655364 FVB655364 FLF655364 FBJ655364 ERN655364 EHR655364 DXV655364 DNZ655364 DED655364 CUH655364 CKL655364 CAP655364 BQT655364 BGX655364 AXB655364 ANF655364 ADJ655364 TN655364 JR655364 L655364 WWD589828 WMH589828 WCL589828 VSP589828 VIT589828 UYX589828 UPB589828 UFF589828 TVJ589828 TLN589828 TBR589828 SRV589828 SHZ589828 RYD589828 ROH589828 REL589828 QUP589828 QKT589828 QAX589828 PRB589828 PHF589828 OXJ589828 ONN589828 ODR589828 NTV589828 NJZ589828 NAD589828 MQH589828 MGL589828 LWP589828 LMT589828 LCX589828 KTB589828 KJF589828 JZJ589828 JPN589828 JFR589828 IVV589828 ILZ589828 ICD589828 HSH589828 HIL589828 GYP589828 GOT589828 GEX589828 FVB589828 FLF589828 FBJ589828 ERN589828 EHR589828 DXV589828 DNZ589828 DED589828 CUH589828 CKL589828 CAP589828 BQT589828 BGX589828 AXB589828 ANF589828 ADJ589828 TN589828 JR589828 L589828 WWD524292 WMH524292 WCL524292 VSP524292 VIT524292 UYX524292 UPB524292 UFF524292 TVJ524292 TLN524292 TBR524292 SRV524292 SHZ524292 RYD524292 ROH524292 REL524292 QUP524292 QKT524292 QAX524292 PRB524292 PHF524292 OXJ524292 ONN524292 ODR524292 NTV524292 NJZ524292 NAD524292 MQH524292 MGL524292 LWP524292 LMT524292 LCX524292 KTB524292 KJF524292 JZJ524292 JPN524292 JFR524292 IVV524292 ILZ524292 ICD524292 HSH524292 HIL524292 GYP524292 GOT524292 GEX524292 FVB524292 FLF524292 FBJ524292 ERN524292 EHR524292 DXV524292 DNZ524292 DED524292 CUH524292 CKL524292 CAP524292 BQT524292 BGX524292 AXB524292 ANF524292 ADJ524292 TN524292 JR524292 L524292 WWD458756 WMH458756 WCL458756 VSP458756 VIT458756 UYX458756 UPB458756 UFF458756 TVJ458756 TLN458756 TBR458756 SRV458756 SHZ458756 RYD458756 ROH458756 REL458756 QUP458756 QKT458756 QAX458756 PRB458756 PHF458756 OXJ458756 ONN458756 ODR458756 NTV458756 NJZ458756 NAD458756 MQH458756 MGL458756 LWP458756 LMT458756 LCX458756 KTB458756 KJF458756 JZJ458756 JPN458756 JFR458756 IVV458756 ILZ458756 ICD458756 HSH458756 HIL458756 GYP458756 GOT458756 GEX458756 FVB458756 FLF458756 FBJ458756 ERN458756 EHR458756 DXV458756 DNZ458756 DED458756 CUH458756 CKL458756 CAP458756 BQT458756 BGX458756 AXB458756 ANF458756 ADJ458756 TN458756 JR458756 L458756 WWD393220 WMH393220 WCL393220 VSP393220 VIT393220 UYX393220 UPB393220 UFF393220 TVJ393220 TLN393220 TBR393220 SRV393220 SHZ393220 RYD393220 ROH393220 REL393220 QUP393220 QKT393220 QAX393220 PRB393220 PHF393220 OXJ393220 ONN393220 ODR393220 NTV393220 NJZ393220 NAD393220 MQH393220 MGL393220 LWP393220 LMT393220 LCX393220 KTB393220 KJF393220 JZJ393220 JPN393220 JFR393220 IVV393220 ILZ393220 ICD393220 HSH393220 HIL393220 GYP393220 GOT393220 GEX393220 FVB393220 FLF393220 FBJ393220 ERN393220 EHR393220 DXV393220 DNZ393220 DED393220 CUH393220 CKL393220 CAP393220 BQT393220 BGX393220 AXB393220 ANF393220 ADJ393220 TN393220 JR393220 L393220 WWD327684 WMH327684 WCL327684 VSP327684 VIT327684 UYX327684 UPB327684 UFF327684 TVJ327684 TLN327684 TBR327684 SRV327684 SHZ327684 RYD327684 ROH327684 REL327684 QUP327684 QKT327684 QAX327684 PRB327684 PHF327684 OXJ327684 ONN327684 ODR327684 NTV327684 NJZ327684 NAD327684 MQH327684 MGL327684 LWP327684 LMT327684 LCX327684 KTB327684 KJF327684 JZJ327684 JPN327684 JFR327684 IVV327684 ILZ327684 ICD327684 HSH327684 HIL327684 GYP327684 GOT327684 GEX327684 FVB327684 FLF327684 FBJ327684 ERN327684 EHR327684 DXV327684 DNZ327684 DED327684 CUH327684 CKL327684 CAP327684 BQT327684 BGX327684 AXB327684 ANF327684 ADJ327684 TN327684 JR327684 L327684 WWD262148 WMH262148 WCL262148 VSP262148 VIT262148 UYX262148 UPB262148 UFF262148 TVJ262148 TLN262148 TBR262148 SRV262148 SHZ262148 RYD262148 ROH262148 REL262148 QUP262148 QKT262148 QAX262148 PRB262148 PHF262148 OXJ262148 ONN262148 ODR262148 NTV262148 NJZ262148 NAD262148 MQH262148 MGL262148 LWP262148 LMT262148 LCX262148 KTB262148 KJF262148 JZJ262148 JPN262148 JFR262148 IVV262148 ILZ262148 ICD262148 HSH262148 HIL262148 GYP262148 GOT262148 GEX262148 FVB262148 FLF262148 FBJ262148 ERN262148 EHR262148 DXV262148 DNZ262148 DED262148 CUH262148 CKL262148 CAP262148 BQT262148 BGX262148 AXB262148 ANF262148 ADJ262148 TN262148 JR262148 L262148 WWD196612 WMH196612 WCL196612 VSP196612 VIT196612 UYX196612 UPB196612 UFF196612 TVJ196612 TLN196612 TBR196612 SRV196612 SHZ196612 RYD196612 ROH196612 REL196612 QUP196612 QKT196612 QAX196612 PRB196612 PHF196612 OXJ196612 ONN196612 ODR196612 NTV196612 NJZ196612 NAD196612 MQH196612 MGL196612 LWP196612 LMT196612 LCX196612 KTB196612 KJF196612 JZJ196612 JPN196612 JFR196612 IVV196612 ILZ196612 ICD196612 HSH196612 HIL196612 GYP196612 GOT196612 GEX196612 FVB196612 FLF196612 FBJ196612 ERN196612 EHR196612 DXV196612 DNZ196612 DED196612 CUH196612 CKL196612 CAP196612 BQT196612 BGX196612 AXB196612 ANF196612 ADJ196612 TN196612 JR196612 L196612 WWD131076 WMH131076 WCL131076 VSP131076 VIT131076 UYX131076 UPB131076 UFF131076 TVJ131076 TLN131076 TBR131076 SRV131076 SHZ131076 RYD131076 ROH131076 REL131076 QUP131076 QKT131076 QAX131076 PRB131076 PHF131076 OXJ131076 ONN131076 ODR131076 NTV131076 NJZ131076 NAD131076 MQH131076 MGL131076 LWP131076 LMT131076 LCX131076 KTB131076 KJF131076 JZJ131076 JPN131076 JFR131076 IVV131076 ILZ131076 ICD131076 HSH131076 HIL131076 GYP131076 GOT131076 GEX131076 FVB131076 FLF131076 FBJ131076 ERN131076 EHR131076 DXV131076 DNZ131076 DED131076 CUH131076 CKL131076 CAP131076 BQT131076 BGX131076 AXB131076 ANF131076 ADJ131076 TN131076 JR131076 L131076 WWD65540 WMH65540 WCL65540 VSP65540 VIT65540 UYX65540 UPB65540 UFF65540 TVJ65540 TLN65540 TBR65540 SRV65540 SHZ65540 RYD65540 ROH65540 REL65540 QUP65540 QKT65540 QAX65540 PRB65540 PHF65540 OXJ65540 ONN65540 ODR65540 NTV65540 NJZ65540 NAD65540 MQH65540 MGL65540 LWP65540 LMT65540 LCX65540 KTB65540 KJF65540 JZJ65540 JPN65540 JFR65540 IVV65540 ILZ65540 ICD65540 HSH65540 HIL65540 GYP65540 GOT65540 GEX65540 FVB65540 FLF65540 FBJ65540 ERN65540 EHR65540 DXV65540 DNZ65540 DED65540 CUH65540 CKL65540 CAP65540 BQT65540 BGX65540 AXB65540 ANF65540 ADJ65540 TN65540 JR65540 L65540 WWD1 WMH1 WCL1 VSP1 VIT1 UYX1 UPB1 UFF1 TVJ1 TLN1 TBR1 SRV1 SHZ1 RYD1 ROH1 REL1 QUP1 QKT1 QAX1 PRB1 PHF1 OXJ1 ONN1 ODR1 NTV1 NJZ1 NAD1 MQH1 MGL1 LWP1 LMT1 LCX1 KTB1 KJF1 JZJ1 JPN1 JFR1 IVV1 ILZ1 ICD1 HSH1 HIL1 GYP1 GOT1 GEX1 FVB1 FLF1 FBJ1 ERN1 EHR1 DXV1 DNZ1 DED1 CUH1 CKL1 CAP1 BQT1 BGX1 AXB1 ANF1 ADJ1 TN1 JR1">
      <formula1>$DX$12:$DX$13</formula1>
    </dataValidation>
    <dataValidation type="date" operator="greaterThanOrEqual" allowBlank="1" showInputMessage="1" showErrorMessage="1" errorTitle="anti-datée" error="Anti-datée" promptTitle="SAISIR UNE DATE" prompt=" DATE D'EFFET" sqref="F131085:G131085 F196621:G196621 F262157:G262157 F327693:G327693 F393229:G393229 F458765:G458765 F524301:G524301 F589837:G589837 F655373:G655373 F720909:G720909 F786445:G786445 F851981:G851981 F917517:G917517 F983053:G983053 F65549:G65549 F10:G10">
      <formula1>IF(H7="TRANS GARANTIES",1/1/1990,IF(H7="CHANG IMMATRI",1/1/1990,IF(H7="CHANG PROPRIETAIR",1/1/1990,IF(H7="DUPLICATA",1/1/1990,CG9))))</formula1>
    </dataValidation>
    <dataValidation allowBlank="1" showInputMessage="1" showErrorMessage="1" promptTitle="CODE AGENT APPORTEUR " prompt="CODE AGENT APPORTEUR " sqref="J8:J9"/>
    <dataValidation type="list" allowBlank="1" showInputMessage="1" showErrorMessage="1" promptTitle="CHOISIR UNE COMPAGNIE" prompt="CHOISIR UNE COMPAGNIE" sqref="JL12:JP12 WVX983055:WWB983055 TH12:TL12 ADD12:ADH12 AMZ12:AND12 AWV12:AWZ12 BGR12:BGV12 BQN12:BQR12 CAJ12:CAN12 CKF12:CKJ12 CUB12:CUF12 DDX12:DEB12 DNT12:DNX12 DXP12:DXT12 EHL12:EHP12 ERH12:ERL12 FBD12:FBH12 FKZ12:FLD12 FUV12:FUZ12 GER12:GEV12 GON12:GOR12 GYJ12:GYN12 HIF12:HIJ12 HSB12:HSF12 IBX12:ICB12 ILT12:ILX12 IVP12:IVT12 JFL12:JFP12 JPH12:JPL12 JZD12:JZH12 KIZ12:KJD12 KSV12:KSZ12 LCR12:LCV12 LMN12:LMR12 LWJ12:LWN12 MGF12:MGJ12 MQB12:MQF12 MZX12:NAB12 NJT12:NJX12 NTP12:NTT12 ODL12:ODP12 ONH12:ONL12 OXD12:OXH12 PGZ12:PHD12 PQV12:PQZ12 QAR12:QAV12 QKN12:QKR12 QUJ12:QUN12 REF12:REJ12 ROB12:ROF12 RXX12:RYB12 SHT12:SHX12 SRP12:SRT12 TBL12:TBP12 TLH12:TLL12 TVD12:TVH12 UEZ12:UFD12 UOV12:UOZ12 UYR12:UYV12 VIN12:VIR12 VSJ12:VSN12 WCF12:WCJ12 WMB12:WMF12 WVX12:WWB12 F65551:J65551 JL65551:JP65551 TH65551:TL65551 ADD65551:ADH65551 AMZ65551:AND65551 AWV65551:AWZ65551 BGR65551:BGV65551 BQN65551:BQR65551 CAJ65551:CAN65551 CKF65551:CKJ65551 CUB65551:CUF65551 DDX65551:DEB65551 DNT65551:DNX65551 DXP65551:DXT65551 EHL65551:EHP65551 ERH65551:ERL65551 FBD65551:FBH65551 FKZ65551:FLD65551 FUV65551:FUZ65551 GER65551:GEV65551 GON65551:GOR65551 GYJ65551:GYN65551 HIF65551:HIJ65551 HSB65551:HSF65551 IBX65551:ICB65551 ILT65551:ILX65551 IVP65551:IVT65551 JFL65551:JFP65551 JPH65551:JPL65551 JZD65551:JZH65551 KIZ65551:KJD65551 KSV65551:KSZ65551 LCR65551:LCV65551 LMN65551:LMR65551 LWJ65551:LWN65551 MGF65551:MGJ65551 MQB65551:MQF65551 MZX65551:NAB65551 NJT65551:NJX65551 NTP65551:NTT65551 ODL65551:ODP65551 ONH65551:ONL65551 OXD65551:OXH65551 PGZ65551:PHD65551 PQV65551:PQZ65551 QAR65551:QAV65551 QKN65551:QKR65551 QUJ65551:QUN65551 REF65551:REJ65551 ROB65551:ROF65551 RXX65551:RYB65551 SHT65551:SHX65551 SRP65551:SRT65551 TBL65551:TBP65551 TLH65551:TLL65551 TVD65551:TVH65551 UEZ65551:UFD65551 UOV65551:UOZ65551 UYR65551:UYV65551 VIN65551:VIR65551 VSJ65551:VSN65551 WCF65551:WCJ65551 WMB65551:WMF65551 WVX65551:WWB65551 F131087:J131087 JL131087:JP131087 TH131087:TL131087 ADD131087:ADH131087 AMZ131087:AND131087 AWV131087:AWZ131087 BGR131087:BGV131087 BQN131087:BQR131087 CAJ131087:CAN131087 CKF131087:CKJ131087 CUB131087:CUF131087 DDX131087:DEB131087 DNT131087:DNX131087 DXP131087:DXT131087 EHL131087:EHP131087 ERH131087:ERL131087 FBD131087:FBH131087 FKZ131087:FLD131087 FUV131087:FUZ131087 GER131087:GEV131087 GON131087:GOR131087 GYJ131087:GYN131087 HIF131087:HIJ131087 HSB131087:HSF131087 IBX131087:ICB131087 ILT131087:ILX131087 IVP131087:IVT131087 JFL131087:JFP131087 JPH131087:JPL131087 JZD131087:JZH131087 KIZ131087:KJD131087 KSV131087:KSZ131087 LCR131087:LCV131087 LMN131087:LMR131087 LWJ131087:LWN131087 MGF131087:MGJ131087 MQB131087:MQF131087 MZX131087:NAB131087 NJT131087:NJX131087 NTP131087:NTT131087 ODL131087:ODP131087 ONH131087:ONL131087 OXD131087:OXH131087 PGZ131087:PHD131087 PQV131087:PQZ131087 QAR131087:QAV131087 QKN131087:QKR131087 QUJ131087:QUN131087 REF131087:REJ131087 ROB131087:ROF131087 RXX131087:RYB131087 SHT131087:SHX131087 SRP131087:SRT131087 TBL131087:TBP131087 TLH131087:TLL131087 TVD131087:TVH131087 UEZ131087:UFD131087 UOV131087:UOZ131087 UYR131087:UYV131087 VIN131087:VIR131087 VSJ131087:VSN131087 WCF131087:WCJ131087 WMB131087:WMF131087 WVX131087:WWB131087 F196623:J196623 JL196623:JP196623 TH196623:TL196623 ADD196623:ADH196623 AMZ196623:AND196623 AWV196623:AWZ196623 BGR196623:BGV196623 BQN196623:BQR196623 CAJ196623:CAN196623 CKF196623:CKJ196623 CUB196623:CUF196623 DDX196623:DEB196623 DNT196623:DNX196623 DXP196623:DXT196623 EHL196623:EHP196623 ERH196623:ERL196623 FBD196623:FBH196623 FKZ196623:FLD196623 FUV196623:FUZ196623 GER196623:GEV196623 GON196623:GOR196623 GYJ196623:GYN196623 HIF196623:HIJ196623 HSB196623:HSF196623 IBX196623:ICB196623 ILT196623:ILX196623 IVP196623:IVT196623 JFL196623:JFP196623 JPH196623:JPL196623 JZD196623:JZH196623 KIZ196623:KJD196623 KSV196623:KSZ196623 LCR196623:LCV196623 LMN196623:LMR196623 LWJ196623:LWN196623 MGF196623:MGJ196623 MQB196623:MQF196623 MZX196623:NAB196623 NJT196623:NJX196623 NTP196623:NTT196623 ODL196623:ODP196623 ONH196623:ONL196623 OXD196623:OXH196623 PGZ196623:PHD196623 PQV196623:PQZ196623 QAR196623:QAV196623 QKN196623:QKR196623 QUJ196623:QUN196623 REF196623:REJ196623 ROB196623:ROF196623 RXX196623:RYB196623 SHT196623:SHX196623 SRP196623:SRT196623 TBL196623:TBP196623 TLH196623:TLL196623 TVD196623:TVH196623 UEZ196623:UFD196623 UOV196623:UOZ196623 UYR196623:UYV196623 VIN196623:VIR196623 VSJ196623:VSN196623 WCF196623:WCJ196623 WMB196623:WMF196623 WVX196623:WWB196623 F262159:J262159 JL262159:JP262159 TH262159:TL262159 ADD262159:ADH262159 AMZ262159:AND262159 AWV262159:AWZ262159 BGR262159:BGV262159 BQN262159:BQR262159 CAJ262159:CAN262159 CKF262159:CKJ262159 CUB262159:CUF262159 DDX262159:DEB262159 DNT262159:DNX262159 DXP262159:DXT262159 EHL262159:EHP262159 ERH262159:ERL262159 FBD262159:FBH262159 FKZ262159:FLD262159 FUV262159:FUZ262159 GER262159:GEV262159 GON262159:GOR262159 GYJ262159:GYN262159 HIF262159:HIJ262159 HSB262159:HSF262159 IBX262159:ICB262159 ILT262159:ILX262159 IVP262159:IVT262159 JFL262159:JFP262159 JPH262159:JPL262159 JZD262159:JZH262159 KIZ262159:KJD262159 KSV262159:KSZ262159 LCR262159:LCV262159 LMN262159:LMR262159 LWJ262159:LWN262159 MGF262159:MGJ262159 MQB262159:MQF262159 MZX262159:NAB262159 NJT262159:NJX262159 NTP262159:NTT262159 ODL262159:ODP262159 ONH262159:ONL262159 OXD262159:OXH262159 PGZ262159:PHD262159 PQV262159:PQZ262159 QAR262159:QAV262159 QKN262159:QKR262159 QUJ262159:QUN262159 REF262159:REJ262159 ROB262159:ROF262159 RXX262159:RYB262159 SHT262159:SHX262159 SRP262159:SRT262159 TBL262159:TBP262159 TLH262159:TLL262159 TVD262159:TVH262159 UEZ262159:UFD262159 UOV262159:UOZ262159 UYR262159:UYV262159 VIN262159:VIR262159 VSJ262159:VSN262159 WCF262159:WCJ262159 WMB262159:WMF262159 WVX262159:WWB262159 F327695:J327695 JL327695:JP327695 TH327695:TL327695 ADD327695:ADH327695 AMZ327695:AND327695 AWV327695:AWZ327695 BGR327695:BGV327695 BQN327695:BQR327695 CAJ327695:CAN327695 CKF327695:CKJ327695 CUB327695:CUF327695 DDX327695:DEB327695 DNT327695:DNX327695 DXP327695:DXT327695 EHL327695:EHP327695 ERH327695:ERL327695 FBD327695:FBH327695 FKZ327695:FLD327695 FUV327695:FUZ327695 GER327695:GEV327695 GON327695:GOR327695 GYJ327695:GYN327695 HIF327695:HIJ327695 HSB327695:HSF327695 IBX327695:ICB327695 ILT327695:ILX327695 IVP327695:IVT327695 JFL327695:JFP327695 JPH327695:JPL327695 JZD327695:JZH327695 KIZ327695:KJD327695 KSV327695:KSZ327695 LCR327695:LCV327695 LMN327695:LMR327695 LWJ327695:LWN327695 MGF327695:MGJ327695 MQB327695:MQF327695 MZX327695:NAB327695 NJT327695:NJX327695 NTP327695:NTT327695 ODL327695:ODP327695 ONH327695:ONL327695 OXD327695:OXH327695 PGZ327695:PHD327695 PQV327695:PQZ327695 QAR327695:QAV327695 QKN327695:QKR327695 QUJ327695:QUN327695 REF327695:REJ327695 ROB327695:ROF327695 RXX327695:RYB327695 SHT327695:SHX327695 SRP327695:SRT327695 TBL327695:TBP327695 TLH327695:TLL327695 TVD327695:TVH327695 UEZ327695:UFD327695 UOV327695:UOZ327695 UYR327695:UYV327695 VIN327695:VIR327695 VSJ327695:VSN327695 WCF327695:WCJ327695 WMB327695:WMF327695 WVX327695:WWB327695 F393231:J393231 JL393231:JP393231 TH393231:TL393231 ADD393231:ADH393231 AMZ393231:AND393231 AWV393231:AWZ393231 BGR393231:BGV393231 BQN393231:BQR393231 CAJ393231:CAN393231 CKF393231:CKJ393231 CUB393231:CUF393231 DDX393231:DEB393231 DNT393231:DNX393231 DXP393231:DXT393231 EHL393231:EHP393231 ERH393231:ERL393231 FBD393231:FBH393231 FKZ393231:FLD393231 FUV393231:FUZ393231 GER393231:GEV393231 GON393231:GOR393231 GYJ393231:GYN393231 HIF393231:HIJ393231 HSB393231:HSF393231 IBX393231:ICB393231 ILT393231:ILX393231 IVP393231:IVT393231 JFL393231:JFP393231 JPH393231:JPL393231 JZD393231:JZH393231 KIZ393231:KJD393231 KSV393231:KSZ393231 LCR393231:LCV393231 LMN393231:LMR393231 LWJ393231:LWN393231 MGF393231:MGJ393231 MQB393231:MQF393231 MZX393231:NAB393231 NJT393231:NJX393231 NTP393231:NTT393231 ODL393231:ODP393231 ONH393231:ONL393231 OXD393231:OXH393231 PGZ393231:PHD393231 PQV393231:PQZ393231 QAR393231:QAV393231 QKN393231:QKR393231 QUJ393231:QUN393231 REF393231:REJ393231 ROB393231:ROF393231 RXX393231:RYB393231 SHT393231:SHX393231 SRP393231:SRT393231 TBL393231:TBP393231 TLH393231:TLL393231 TVD393231:TVH393231 UEZ393231:UFD393231 UOV393231:UOZ393231 UYR393231:UYV393231 VIN393231:VIR393231 VSJ393231:VSN393231 WCF393231:WCJ393231 WMB393231:WMF393231 WVX393231:WWB393231 F458767:J458767 JL458767:JP458767 TH458767:TL458767 ADD458767:ADH458767 AMZ458767:AND458767 AWV458767:AWZ458767 BGR458767:BGV458767 BQN458767:BQR458767 CAJ458767:CAN458767 CKF458767:CKJ458767 CUB458767:CUF458767 DDX458767:DEB458767 DNT458767:DNX458767 DXP458767:DXT458767 EHL458767:EHP458767 ERH458767:ERL458767 FBD458767:FBH458767 FKZ458767:FLD458767 FUV458767:FUZ458767 GER458767:GEV458767 GON458767:GOR458767 GYJ458767:GYN458767 HIF458767:HIJ458767 HSB458767:HSF458767 IBX458767:ICB458767 ILT458767:ILX458767 IVP458767:IVT458767 JFL458767:JFP458767 JPH458767:JPL458767 JZD458767:JZH458767 KIZ458767:KJD458767 KSV458767:KSZ458767 LCR458767:LCV458767 LMN458767:LMR458767 LWJ458767:LWN458767 MGF458767:MGJ458767 MQB458767:MQF458767 MZX458767:NAB458767 NJT458767:NJX458767 NTP458767:NTT458767 ODL458767:ODP458767 ONH458767:ONL458767 OXD458767:OXH458767 PGZ458767:PHD458767 PQV458767:PQZ458767 QAR458767:QAV458767 QKN458767:QKR458767 QUJ458767:QUN458767 REF458767:REJ458767 ROB458767:ROF458767 RXX458767:RYB458767 SHT458767:SHX458767 SRP458767:SRT458767 TBL458767:TBP458767 TLH458767:TLL458767 TVD458767:TVH458767 UEZ458767:UFD458767 UOV458767:UOZ458767 UYR458767:UYV458767 VIN458767:VIR458767 VSJ458767:VSN458767 WCF458767:WCJ458767 WMB458767:WMF458767 WVX458767:WWB458767 F524303:J524303 JL524303:JP524303 TH524303:TL524303 ADD524303:ADH524303 AMZ524303:AND524303 AWV524303:AWZ524303 BGR524303:BGV524303 BQN524303:BQR524303 CAJ524303:CAN524303 CKF524303:CKJ524303 CUB524303:CUF524303 DDX524303:DEB524303 DNT524303:DNX524303 DXP524303:DXT524303 EHL524303:EHP524303 ERH524303:ERL524303 FBD524303:FBH524303 FKZ524303:FLD524303 FUV524303:FUZ524303 GER524303:GEV524303 GON524303:GOR524303 GYJ524303:GYN524303 HIF524303:HIJ524303 HSB524303:HSF524303 IBX524303:ICB524303 ILT524303:ILX524303 IVP524303:IVT524303 JFL524303:JFP524303 JPH524303:JPL524303 JZD524303:JZH524303 KIZ524303:KJD524303 KSV524303:KSZ524303 LCR524303:LCV524303 LMN524303:LMR524303 LWJ524303:LWN524303 MGF524303:MGJ524303 MQB524303:MQF524303 MZX524303:NAB524303 NJT524303:NJX524303 NTP524303:NTT524303 ODL524303:ODP524303 ONH524303:ONL524303 OXD524303:OXH524303 PGZ524303:PHD524303 PQV524303:PQZ524303 QAR524303:QAV524303 QKN524303:QKR524303 QUJ524303:QUN524303 REF524303:REJ524303 ROB524303:ROF524303 RXX524303:RYB524303 SHT524303:SHX524303 SRP524303:SRT524303 TBL524303:TBP524303 TLH524303:TLL524303 TVD524303:TVH524303 UEZ524303:UFD524303 UOV524303:UOZ524303 UYR524303:UYV524303 VIN524303:VIR524303 VSJ524303:VSN524303 WCF524303:WCJ524303 WMB524303:WMF524303 WVX524303:WWB524303 F589839:J589839 JL589839:JP589839 TH589839:TL589839 ADD589839:ADH589839 AMZ589839:AND589839 AWV589839:AWZ589839 BGR589839:BGV589839 BQN589839:BQR589839 CAJ589839:CAN589839 CKF589839:CKJ589839 CUB589839:CUF589839 DDX589839:DEB589839 DNT589839:DNX589839 DXP589839:DXT589839 EHL589839:EHP589839 ERH589839:ERL589839 FBD589839:FBH589839 FKZ589839:FLD589839 FUV589839:FUZ589839 GER589839:GEV589839 GON589839:GOR589839 GYJ589839:GYN589839 HIF589839:HIJ589839 HSB589839:HSF589839 IBX589839:ICB589839 ILT589839:ILX589839 IVP589839:IVT589839 JFL589839:JFP589839 JPH589839:JPL589839 JZD589839:JZH589839 KIZ589839:KJD589839 KSV589839:KSZ589839 LCR589839:LCV589839 LMN589839:LMR589839 LWJ589839:LWN589839 MGF589839:MGJ589839 MQB589839:MQF589839 MZX589839:NAB589839 NJT589839:NJX589839 NTP589839:NTT589839 ODL589839:ODP589839 ONH589839:ONL589839 OXD589839:OXH589839 PGZ589839:PHD589839 PQV589839:PQZ589839 QAR589839:QAV589839 QKN589839:QKR589839 QUJ589839:QUN589839 REF589839:REJ589839 ROB589839:ROF589839 RXX589839:RYB589839 SHT589839:SHX589839 SRP589839:SRT589839 TBL589839:TBP589839 TLH589839:TLL589839 TVD589839:TVH589839 UEZ589839:UFD589839 UOV589839:UOZ589839 UYR589839:UYV589839 VIN589839:VIR589839 VSJ589839:VSN589839 WCF589839:WCJ589839 WMB589839:WMF589839 WVX589839:WWB589839 F655375:J655375 JL655375:JP655375 TH655375:TL655375 ADD655375:ADH655375 AMZ655375:AND655375 AWV655375:AWZ655375 BGR655375:BGV655375 BQN655375:BQR655375 CAJ655375:CAN655375 CKF655375:CKJ655375 CUB655375:CUF655375 DDX655375:DEB655375 DNT655375:DNX655375 DXP655375:DXT655375 EHL655375:EHP655375 ERH655375:ERL655375 FBD655375:FBH655375 FKZ655375:FLD655375 FUV655375:FUZ655375 GER655375:GEV655375 GON655375:GOR655375 GYJ655375:GYN655375 HIF655375:HIJ655375 HSB655375:HSF655375 IBX655375:ICB655375 ILT655375:ILX655375 IVP655375:IVT655375 JFL655375:JFP655375 JPH655375:JPL655375 JZD655375:JZH655375 KIZ655375:KJD655375 KSV655375:KSZ655375 LCR655375:LCV655375 LMN655375:LMR655375 LWJ655375:LWN655375 MGF655375:MGJ655375 MQB655375:MQF655375 MZX655375:NAB655375 NJT655375:NJX655375 NTP655375:NTT655375 ODL655375:ODP655375 ONH655375:ONL655375 OXD655375:OXH655375 PGZ655375:PHD655375 PQV655375:PQZ655375 QAR655375:QAV655375 QKN655375:QKR655375 QUJ655375:QUN655375 REF655375:REJ655375 ROB655375:ROF655375 RXX655375:RYB655375 SHT655375:SHX655375 SRP655375:SRT655375 TBL655375:TBP655375 TLH655375:TLL655375 TVD655375:TVH655375 UEZ655375:UFD655375 UOV655375:UOZ655375 UYR655375:UYV655375 VIN655375:VIR655375 VSJ655375:VSN655375 WCF655375:WCJ655375 WMB655375:WMF655375 WVX655375:WWB655375 F720911:J720911 JL720911:JP720911 TH720911:TL720911 ADD720911:ADH720911 AMZ720911:AND720911 AWV720911:AWZ720911 BGR720911:BGV720911 BQN720911:BQR720911 CAJ720911:CAN720911 CKF720911:CKJ720911 CUB720911:CUF720911 DDX720911:DEB720911 DNT720911:DNX720911 DXP720911:DXT720911 EHL720911:EHP720911 ERH720911:ERL720911 FBD720911:FBH720911 FKZ720911:FLD720911 FUV720911:FUZ720911 GER720911:GEV720911 GON720911:GOR720911 GYJ720911:GYN720911 HIF720911:HIJ720911 HSB720911:HSF720911 IBX720911:ICB720911 ILT720911:ILX720911 IVP720911:IVT720911 JFL720911:JFP720911 JPH720911:JPL720911 JZD720911:JZH720911 KIZ720911:KJD720911 KSV720911:KSZ720911 LCR720911:LCV720911 LMN720911:LMR720911 LWJ720911:LWN720911 MGF720911:MGJ720911 MQB720911:MQF720911 MZX720911:NAB720911 NJT720911:NJX720911 NTP720911:NTT720911 ODL720911:ODP720911 ONH720911:ONL720911 OXD720911:OXH720911 PGZ720911:PHD720911 PQV720911:PQZ720911 QAR720911:QAV720911 QKN720911:QKR720911 QUJ720911:QUN720911 REF720911:REJ720911 ROB720911:ROF720911 RXX720911:RYB720911 SHT720911:SHX720911 SRP720911:SRT720911 TBL720911:TBP720911 TLH720911:TLL720911 TVD720911:TVH720911 UEZ720911:UFD720911 UOV720911:UOZ720911 UYR720911:UYV720911 VIN720911:VIR720911 VSJ720911:VSN720911 WCF720911:WCJ720911 WMB720911:WMF720911 WVX720911:WWB720911 F786447:J786447 JL786447:JP786447 TH786447:TL786447 ADD786447:ADH786447 AMZ786447:AND786447 AWV786447:AWZ786447 BGR786447:BGV786447 BQN786447:BQR786447 CAJ786447:CAN786447 CKF786447:CKJ786447 CUB786447:CUF786447 DDX786447:DEB786447 DNT786447:DNX786447 DXP786447:DXT786447 EHL786447:EHP786447 ERH786447:ERL786447 FBD786447:FBH786447 FKZ786447:FLD786447 FUV786447:FUZ786447 GER786447:GEV786447 GON786447:GOR786447 GYJ786447:GYN786447 HIF786447:HIJ786447 HSB786447:HSF786447 IBX786447:ICB786447 ILT786447:ILX786447 IVP786447:IVT786447 JFL786447:JFP786447 JPH786447:JPL786447 JZD786447:JZH786447 KIZ786447:KJD786447 KSV786447:KSZ786447 LCR786447:LCV786447 LMN786447:LMR786447 LWJ786447:LWN786447 MGF786447:MGJ786447 MQB786447:MQF786447 MZX786447:NAB786447 NJT786447:NJX786447 NTP786447:NTT786447 ODL786447:ODP786447 ONH786447:ONL786447 OXD786447:OXH786447 PGZ786447:PHD786447 PQV786447:PQZ786447 QAR786447:QAV786447 QKN786447:QKR786447 QUJ786447:QUN786447 REF786447:REJ786447 ROB786447:ROF786447 RXX786447:RYB786447 SHT786447:SHX786447 SRP786447:SRT786447 TBL786447:TBP786447 TLH786447:TLL786447 TVD786447:TVH786447 UEZ786447:UFD786447 UOV786447:UOZ786447 UYR786447:UYV786447 VIN786447:VIR786447 VSJ786447:VSN786447 WCF786447:WCJ786447 WMB786447:WMF786447 WVX786447:WWB786447 F851983:J851983 JL851983:JP851983 TH851983:TL851983 ADD851983:ADH851983 AMZ851983:AND851983 AWV851983:AWZ851983 BGR851983:BGV851983 BQN851983:BQR851983 CAJ851983:CAN851983 CKF851983:CKJ851983 CUB851983:CUF851983 DDX851983:DEB851983 DNT851983:DNX851983 DXP851983:DXT851983 EHL851983:EHP851983 ERH851983:ERL851983 FBD851983:FBH851983 FKZ851983:FLD851983 FUV851983:FUZ851983 GER851983:GEV851983 GON851983:GOR851983 GYJ851983:GYN851983 HIF851983:HIJ851983 HSB851983:HSF851983 IBX851983:ICB851983 ILT851983:ILX851983 IVP851983:IVT851983 JFL851983:JFP851983 JPH851983:JPL851983 JZD851983:JZH851983 KIZ851983:KJD851983 KSV851983:KSZ851983 LCR851983:LCV851983 LMN851983:LMR851983 LWJ851983:LWN851983 MGF851983:MGJ851983 MQB851983:MQF851983 MZX851983:NAB851983 NJT851983:NJX851983 NTP851983:NTT851983 ODL851983:ODP851983 ONH851983:ONL851983 OXD851983:OXH851983 PGZ851983:PHD851983 PQV851983:PQZ851983 QAR851983:QAV851983 QKN851983:QKR851983 QUJ851983:QUN851983 REF851983:REJ851983 ROB851983:ROF851983 RXX851983:RYB851983 SHT851983:SHX851983 SRP851983:SRT851983 TBL851983:TBP851983 TLH851983:TLL851983 TVD851983:TVH851983 UEZ851983:UFD851983 UOV851983:UOZ851983 UYR851983:UYV851983 VIN851983:VIR851983 VSJ851983:VSN851983 WCF851983:WCJ851983 WMB851983:WMF851983 WVX851983:WWB851983 F917519:J917519 JL917519:JP917519 TH917519:TL917519 ADD917519:ADH917519 AMZ917519:AND917519 AWV917519:AWZ917519 BGR917519:BGV917519 BQN917519:BQR917519 CAJ917519:CAN917519 CKF917519:CKJ917519 CUB917519:CUF917519 DDX917519:DEB917519 DNT917519:DNX917519 DXP917519:DXT917519 EHL917519:EHP917519 ERH917519:ERL917519 FBD917519:FBH917519 FKZ917519:FLD917519 FUV917519:FUZ917519 GER917519:GEV917519 GON917519:GOR917519 GYJ917519:GYN917519 HIF917519:HIJ917519 HSB917519:HSF917519 IBX917519:ICB917519 ILT917519:ILX917519 IVP917519:IVT917519 JFL917519:JFP917519 JPH917519:JPL917519 JZD917519:JZH917519 KIZ917519:KJD917519 KSV917519:KSZ917519 LCR917519:LCV917519 LMN917519:LMR917519 LWJ917519:LWN917519 MGF917519:MGJ917519 MQB917519:MQF917519 MZX917519:NAB917519 NJT917519:NJX917519 NTP917519:NTT917519 ODL917519:ODP917519 ONH917519:ONL917519 OXD917519:OXH917519 PGZ917519:PHD917519 PQV917519:PQZ917519 QAR917519:QAV917519 QKN917519:QKR917519 QUJ917519:QUN917519 REF917519:REJ917519 ROB917519:ROF917519 RXX917519:RYB917519 SHT917519:SHX917519 SRP917519:SRT917519 TBL917519:TBP917519 TLH917519:TLL917519 TVD917519:TVH917519 UEZ917519:UFD917519 UOV917519:UOZ917519 UYR917519:UYV917519 VIN917519:VIR917519 VSJ917519:VSN917519 WCF917519:WCJ917519 WMB917519:WMF917519 WVX917519:WWB917519 F983055:J983055 JL983055:JP983055 TH983055:TL983055 ADD983055:ADH983055 AMZ983055:AND983055 AWV983055:AWZ983055 BGR983055:BGV983055 BQN983055:BQR983055 CAJ983055:CAN983055 CKF983055:CKJ983055 CUB983055:CUF983055 DDX983055:DEB983055 DNT983055:DNX983055 DXP983055:DXT983055 EHL983055:EHP983055 ERH983055:ERL983055 FBD983055:FBH983055 FKZ983055:FLD983055 FUV983055:FUZ983055 GER983055:GEV983055 GON983055:GOR983055 GYJ983055:GYN983055 HIF983055:HIJ983055 HSB983055:HSF983055 IBX983055:ICB983055 ILT983055:ILX983055 IVP983055:IVT983055 JFL983055:JFP983055 JPH983055:JPL983055 JZD983055:JZH983055 KIZ983055:KJD983055 KSV983055:KSZ983055 LCR983055:LCV983055 LMN983055:LMR983055 LWJ983055:LWN983055 MGF983055:MGJ983055 MQB983055:MQF983055 MZX983055:NAB983055 NJT983055:NJX983055 NTP983055:NTT983055 ODL983055:ODP983055 ONH983055:ONL983055 OXD983055:OXH983055 PGZ983055:PHD983055 PQV983055:PQZ983055 QAR983055:QAV983055 QKN983055:QKR983055 QUJ983055:QUN983055 REF983055:REJ983055 ROB983055:ROF983055 RXX983055:RYB983055 SHT983055:SHX983055 SRP983055:SRT983055 TBL983055:TBP983055 TLH983055:TLL983055 TVD983055:TVH983055 UEZ983055:UFD983055 UOV983055:UOZ983055 UYR983055:UYV983055 VIN983055:VIR983055 VSJ983055:VSN983055 WCF983055:WCJ983055 WMB983055:WMF983055">
      <formula1>$CB$9:$CB$29</formula1>
    </dataValidation>
    <dataValidation type="list" allowBlank="1" showInputMessage="1" showErrorMessage="1" promptTitle="CHOISIR UNE COMPAGNIE" prompt="CHOISIR UNE COMPAGNIE" sqref="F12:J12">
      <formula1>$CB$9:$CB$30</formula1>
    </dataValidation>
    <dataValidation type="list" allowBlank="1" showInputMessage="1" showErrorMessage="1" promptTitle="PUISSANCE" prompt="PUISSANCE" sqref="WVT983061 B19 WLX983061 WCB983061 VSF983061 VIJ983061 UYN983061 UOR983061 UEV983061 TUZ983061 TLD983061 TBH983061 SRL983061 SHP983061 RXT983061 RNX983061 REB983061 QUF983061 QKJ983061 QAN983061 PQR983061 PGV983061 OWZ983061 OND983061 ODH983061 NTL983061 NJP983061 MZT983061 MPX983061 MGB983061 LWF983061 LMJ983061 LCN983061 KSR983061 KIV983061 JYZ983061 JPD983061 JFH983061 IVL983061 ILP983061 IBT983061 HRX983061 HIB983061 GYF983061 GOJ983061 GEN983061 FUR983061 FKV983061 FAZ983061 ERD983061 EHH983061 DXL983061 DNP983061 DDT983061 CTX983061 CKB983061 CAF983061 BQJ983061 BGN983061 AWR983061 AMV983061 ACZ983061 TD983061 JH983061 B983061 WVT917525 WLX917525 WCB917525 VSF917525 VIJ917525 UYN917525 UOR917525 UEV917525 TUZ917525 TLD917525 TBH917525 SRL917525 SHP917525 RXT917525 RNX917525 REB917525 QUF917525 QKJ917525 QAN917525 PQR917525 PGV917525 OWZ917525 OND917525 ODH917525 NTL917525 NJP917525 MZT917525 MPX917525 MGB917525 LWF917525 LMJ917525 LCN917525 KSR917525 KIV917525 JYZ917525 JPD917525 JFH917525 IVL917525 ILP917525 IBT917525 HRX917525 HIB917525 GYF917525 GOJ917525 GEN917525 FUR917525 FKV917525 FAZ917525 ERD917525 EHH917525 DXL917525 DNP917525 DDT917525 CTX917525 CKB917525 CAF917525 BQJ917525 BGN917525 AWR917525 AMV917525 ACZ917525 TD917525 JH917525 B917525 WVT851989 WLX851989 WCB851989 VSF851989 VIJ851989 UYN851989 UOR851989 UEV851989 TUZ851989 TLD851989 TBH851989 SRL851989 SHP851989 RXT851989 RNX851989 REB851989 QUF851989 QKJ851989 QAN851989 PQR851989 PGV851989 OWZ851989 OND851989 ODH851989 NTL851989 NJP851989 MZT851989 MPX851989 MGB851989 LWF851989 LMJ851989 LCN851989 KSR851989 KIV851989 JYZ851989 JPD851989 JFH851989 IVL851989 ILP851989 IBT851989 HRX851989 HIB851989 GYF851989 GOJ851989 GEN851989 FUR851989 FKV851989 FAZ851989 ERD851989 EHH851989 DXL851989 DNP851989 DDT851989 CTX851989 CKB851989 CAF851989 BQJ851989 BGN851989 AWR851989 AMV851989 ACZ851989 TD851989 JH851989 B851989 WVT786453 WLX786453 WCB786453 VSF786453 VIJ786453 UYN786453 UOR786453 UEV786453 TUZ786453 TLD786453 TBH786453 SRL786453 SHP786453 RXT786453 RNX786453 REB786453 QUF786453 QKJ786453 QAN786453 PQR786453 PGV786453 OWZ786453 OND786453 ODH786453 NTL786453 NJP786453 MZT786453 MPX786453 MGB786453 LWF786453 LMJ786453 LCN786453 KSR786453 KIV786453 JYZ786453 JPD786453 JFH786453 IVL786453 ILP786453 IBT786453 HRX786453 HIB786453 GYF786453 GOJ786453 GEN786453 FUR786453 FKV786453 FAZ786453 ERD786453 EHH786453 DXL786453 DNP786453 DDT786453 CTX786453 CKB786453 CAF786453 BQJ786453 BGN786453 AWR786453 AMV786453 ACZ786453 TD786453 JH786453 B786453 WVT720917 WLX720917 WCB720917 VSF720917 VIJ720917 UYN720917 UOR720917 UEV720917 TUZ720917 TLD720917 TBH720917 SRL720917 SHP720917 RXT720917 RNX720917 REB720917 QUF720917 QKJ720917 QAN720917 PQR720917 PGV720917 OWZ720917 OND720917 ODH720917 NTL720917 NJP720917 MZT720917 MPX720917 MGB720917 LWF720917 LMJ720917 LCN720917 KSR720917 KIV720917 JYZ720917 JPD720917 JFH720917 IVL720917 ILP720917 IBT720917 HRX720917 HIB720917 GYF720917 GOJ720917 GEN720917 FUR720917 FKV720917 FAZ720917 ERD720917 EHH720917 DXL720917 DNP720917 DDT720917 CTX720917 CKB720917 CAF720917 BQJ720917 BGN720917 AWR720917 AMV720917 ACZ720917 TD720917 JH720917 B720917 WVT655381 WLX655381 WCB655381 VSF655381 VIJ655381 UYN655381 UOR655381 UEV655381 TUZ655381 TLD655381 TBH655381 SRL655381 SHP655381 RXT655381 RNX655381 REB655381 QUF655381 QKJ655381 QAN655381 PQR655381 PGV655381 OWZ655381 OND655381 ODH655381 NTL655381 NJP655381 MZT655381 MPX655381 MGB655381 LWF655381 LMJ655381 LCN655381 KSR655381 KIV655381 JYZ655381 JPD655381 JFH655381 IVL655381 ILP655381 IBT655381 HRX655381 HIB655381 GYF655381 GOJ655381 GEN655381 FUR655381 FKV655381 FAZ655381 ERD655381 EHH655381 DXL655381 DNP655381 DDT655381 CTX655381 CKB655381 CAF655381 BQJ655381 BGN655381 AWR655381 AMV655381 ACZ655381 TD655381 JH655381 B655381 WVT589845 WLX589845 WCB589845 VSF589845 VIJ589845 UYN589845 UOR589845 UEV589845 TUZ589845 TLD589845 TBH589845 SRL589845 SHP589845 RXT589845 RNX589845 REB589845 QUF589845 QKJ589845 QAN589845 PQR589845 PGV589845 OWZ589845 OND589845 ODH589845 NTL589845 NJP589845 MZT589845 MPX589845 MGB589845 LWF589845 LMJ589845 LCN589845 KSR589845 KIV589845 JYZ589845 JPD589845 JFH589845 IVL589845 ILP589845 IBT589845 HRX589845 HIB589845 GYF589845 GOJ589845 GEN589845 FUR589845 FKV589845 FAZ589845 ERD589845 EHH589845 DXL589845 DNP589845 DDT589845 CTX589845 CKB589845 CAF589845 BQJ589845 BGN589845 AWR589845 AMV589845 ACZ589845 TD589845 JH589845 B589845 WVT524309 WLX524309 WCB524309 VSF524309 VIJ524309 UYN524309 UOR524309 UEV524309 TUZ524309 TLD524309 TBH524309 SRL524309 SHP524309 RXT524309 RNX524309 REB524309 QUF524309 QKJ524309 QAN524309 PQR524309 PGV524309 OWZ524309 OND524309 ODH524309 NTL524309 NJP524309 MZT524309 MPX524309 MGB524309 LWF524309 LMJ524309 LCN524309 KSR524309 KIV524309 JYZ524309 JPD524309 JFH524309 IVL524309 ILP524309 IBT524309 HRX524309 HIB524309 GYF524309 GOJ524309 GEN524309 FUR524309 FKV524309 FAZ524309 ERD524309 EHH524309 DXL524309 DNP524309 DDT524309 CTX524309 CKB524309 CAF524309 BQJ524309 BGN524309 AWR524309 AMV524309 ACZ524309 TD524309 JH524309 B524309 WVT458773 WLX458773 WCB458773 VSF458773 VIJ458773 UYN458773 UOR458773 UEV458773 TUZ458773 TLD458773 TBH458773 SRL458773 SHP458773 RXT458773 RNX458773 REB458773 QUF458773 QKJ458773 QAN458773 PQR458773 PGV458773 OWZ458773 OND458773 ODH458773 NTL458773 NJP458773 MZT458773 MPX458773 MGB458773 LWF458773 LMJ458773 LCN458773 KSR458773 KIV458773 JYZ458773 JPD458773 JFH458773 IVL458773 ILP458773 IBT458773 HRX458773 HIB458773 GYF458773 GOJ458773 GEN458773 FUR458773 FKV458773 FAZ458773 ERD458773 EHH458773 DXL458773 DNP458773 DDT458773 CTX458773 CKB458773 CAF458773 BQJ458773 BGN458773 AWR458773 AMV458773 ACZ458773 TD458773 JH458773 B458773 WVT393237 WLX393237 WCB393237 VSF393237 VIJ393237 UYN393237 UOR393237 UEV393237 TUZ393237 TLD393237 TBH393237 SRL393237 SHP393237 RXT393237 RNX393237 REB393237 QUF393237 QKJ393237 QAN393237 PQR393237 PGV393237 OWZ393237 OND393237 ODH393237 NTL393237 NJP393237 MZT393237 MPX393237 MGB393237 LWF393237 LMJ393237 LCN393237 KSR393237 KIV393237 JYZ393237 JPD393237 JFH393237 IVL393237 ILP393237 IBT393237 HRX393237 HIB393237 GYF393237 GOJ393237 GEN393237 FUR393237 FKV393237 FAZ393237 ERD393237 EHH393237 DXL393237 DNP393237 DDT393237 CTX393237 CKB393237 CAF393237 BQJ393237 BGN393237 AWR393237 AMV393237 ACZ393237 TD393237 JH393237 B393237 WVT327701 WLX327701 WCB327701 VSF327701 VIJ327701 UYN327701 UOR327701 UEV327701 TUZ327701 TLD327701 TBH327701 SRL327701 SHP327701 RXT327701 RNX327701 REB327701 QUF327701 QKJ327701 QAN327701 PQR327701 PGV327701 OWZ327701 OND327701 ODH327701 NTL327701 NJP327701 MZT327701 MPX327701 MGB327701 LWF327701 LMJ327701 LCN327701 KSR327701 KIV327701 JYZ327701 JPD327701 JFH327701 IVL327701 ILP327701 IBT327701 HRX327701 HIB327701 GYF327701 GOJ327701 GEN327701 FUR327701 FKV327701 FAZ327701 ERD327701 EHH327701 DXL327701 DNP327701 DDT327701 CTX327701 CKB327701 CAF327701 BQJ327701 BGN327701 AWR327701 AMV327701 ACZ327701 TD327701 JH327701 B327701 WVT262165 WLX262165 WCB262165 VSF262165 VIJ262165 UYN262165 UOR262165 UEV262165 TUZ262165 TLD262165 TBH262165 SRL262165 SHP262165 RXT262165 RNX262165 REB262165 QUF262165 QKJ262165 QAN262165 PQR262165 PGV262165 OWZ262165 OND262165 ODH262165 NTL262165 NJP262165 MZT262165 MPX262165 MGB262165 LWF262165 LMJ262165 LCN262165 KSR262165 KIV262165 JYZ262165 JPD262165 JFH262165 IVL262165 ILP262165 IBT262165 HRX262165 HIB262165 GYF262165 GOJ262165 GEN262165 FUR262165 FKV262165 FAZ262165 ERD262165 EHH262165 DXL262165 DNP262165 DDT262165 CTX262165 CKB262165 CAF262165 BQJ262165 BGN262165 AWR262165 AMV262165 ACZ262165 TD262165 JH262165 B262165 WVT196629 WLX196629 WCB196629 VSF196629 VIJ196629 UYN196629 UOR196629 UEV196629 TUZ196629 TLD196629 TBH196629 SRL196629 SHP196629 RXT196629 RNX196629 REB196629 QUF196629 QKJ196629 QAN196629 PQR196629 PGV196629 OWZ196629 OND196629 ODH196629 NTL196629 NJP196629 MZT196629 MPX196629 MGB196629 LWF196629 LMJ196629 LCN196629 KSR196629 KIV196629 JYZ196629 JPD196629 JFH196629 IVL196629 ILP196629 IBT196629 HRX196629 HIB196629 GYF196629 GOJ196629 GEN196629 FUR196629 FKV196629 FAZ196629 ERD196629 EHH196629 DXL196629 DNP196629 DDT196629 CTX196629 CKB196629 CAF196629 BQJ196629 BGN196629 AWR196629 AMV196629 ACZ196629 TD196629 JH196629 B196629 WVT131093 WLX131093 WCB131093 VSF131093 VIJ131093 UYN131093 UOR131093 UEV131093 TUZ131093 TLD131093 TBH131093 SRL131093 SHP131093 RXT131093 RNX131093 REB131093 QUF131093 QKJ131093 QAN131093 PQR131093 PGV131093 OWZ131093 OND131093 ODH131093 NTL131093 NJP131093 MZT131093 MPX131093 MGB131093 LWF131093 LMJ131093 LCN131093 KSR131093 KIV131093 JYZ131093 JPD131093 JFH131093 IVL131093 ILP131093 IBT131093 HRX131093 HIB131093 GYF131093 GOJ131093 GEN131093 FUR131093 FKV131093 FAZ131093 ERD131093 EHH131093 DXL131093 DNP131093 DDT131093 CTX131093 CKB131093 CAF131093 BQJ131093 BGN131093 AWR131093 AMV131093 ACZ131093 TD131093 JH131093 B131093 WVT65557 WLX65557 WCB65557 VSF65557 VIJ65557 UYN65557 UOR65557 UEV65557 TUZ65557 TLD65557 TBH65557 SRL65557 SHP65557 RXT65557 RNX65557 REB65557 QUF65557 QKJ65557 QAN65557 PQR65557 PGV65557 OWZ65557 OND65557 ODH65557 NTL65557 NJP65557 MZT65557 MPX65557 MGB65557 LWF65557 LMJ65557 LCN65557 KSR65557 KIV65557 JYZ65557 JPD65557 JFH65557 IVL65557 ILP65557 IBT65557 HRX65557 HIB65557 GYF65557 GOJ65557 GEN65557 FUR65557 FKV65557 FAZ65557 ERD65557 EHH65557 DXL65557 DNP65557 DDT65557 CTX65557 CKB65557 CAF65557 BQJ65557 BGN65557 AWR65557 AMV65557 ACZ65557 TD65557 JH65557 B65557 WVT19:WVT20 WLX19:WLX20 WCB19:WCB20 VSF19:VSF20 VIJ19:VIJ20 UYN19:UYN20 UOR19:UOR20 UEV19:UEV20 TUZ19:TUZ20 TLD19:TLD20 TBH19:TBH20 SRL19:SRL20 SHP19:SHP20 RXT19:RXT20 RNX19:RNX20 REB19:REB20 QUF19:QUF20 QKJ19:QKJ20 QAN19:QAN20 PQR19:PQR20 PGV19:PGV20 OWZ19:OWZ20 OND19:OND20 ODH19:ODH20 NTL19:NTL20 NJP19:NJP20 MZT19:MZT20 MPX19:MPX20 MGB19:MGB20 LWF19:LWF20 LMJ19:LMJ20 LCN19:LCN20 KSR19:KSR20 KIV19:KIV20 JYZ19:JYZ20 JPD19:JPD20 JFH19:JFH20 IVL19:IVL20 ILP19:ILP20 IBT19:IBT20 HRX19:HRX20 HIB19:HIB20 GYF19:GYF20 GOJ19:GOJ20 GEN19:GEN20 FUR19:FUR20 FKV19:FKV20 FAZ19:FAZ20 ERD19:ERD20 EHH19:EHH20 DXL19:DXL20 DNP19:DNP20 DDT19:DDT20 CTX19:CTX20 CKB19:CKB20 CAF19:CAF20 BQJ19:BQJ20 BGN19:BGN20 AWR19:AWR20 AMV19:AMV20 ACZ19:ACZ20 TD19:TD20 JH19:JH20">
      <formula1>$BT$8:$BT$71</formula1>
    </dataValidation>
    <dataValidation type="list" allowBlank="1" showInputMessage="1" showErrorMessage="1" promptTitle="ADRESSE ASSURE" prompt="ADRESSE ASSURE" sqref="B65549:D65549 WVT983053:WVV983053 WLX983053:WLZ983053 WCB983053:WCD983053 VSF983053:VSH983053 VIJ983053:VIL983053 UYN983053:UYP983053 UOR983053:UOT983053 UEV983053:UEX983053 TUZ983053:TVB983053 TLD983053:TLF983053 TBH983053:TBJ983053 SRL983053:SRN983053 SHP983053:SHR983053 RXT983053:RXV983053 RNX983053:RNZ983053 REB983053:RED983053 QUF983053:QUH983053 QKJ983053:QKL983053 QAN983053:QAP983053 PQR983053:PQT983053 PGV983053:PGX983053 OWZ983053:OXB983053 OND983053:ONF983053 ODH983053:ODJ983053 NTL983053:NTN983053 NJP983053:NJR983053 MZT983053:MZV983053 MPX983053:MPZ983053 MGB983053:MGD983053 LWF983053:LWH983053 LMJ983053:LML983053 LCN983053:LCP983053 KSR983053:KST983053 KIV983053:KIX983053 JYZ983053:JZB983053 JPD983053:JPF983053 JFH983053:JFJ983053 IVL983053:IVN983053 ILP983053:ILR983053 IBT983053:IBV983053 HRX983053:HRZ983053 HIB983053:HID983053 GYF983053:GYH983053 GOJ983053:GOL983053 GEN983053:GEP983053 FUR983053:FUT983053 FKV983053:FKX983053 FAZ983053:FBB983053 ERD983053:ERF983053 EHH983053:EHJ983053 DXL983053:DXN983053 DNP983053:DNR983053 DDT983053:DDV983053 CTX983053:CTZ983053 CKB983053:CKD983053 CAF983053:CAH983053 BQJ983053:BQL983053 BGN983053:BGP983053 AWR983053:AWT983053 AMV983053:AMX983053 ACZ983053:ADB983053 TD983053:TF983053 JH983053:JJ983053 B983053:D983053 WVT917517:WVV917517 WLX917517:WLZ917517 WCB917517:WCD917517 VSF917517:VSH917517 VIJ917517:VIL917517 UYN917517:UYP917517 UOR917517:UOT917517 UEV917517:UEX917517 TUZ917517:TVB917517 TLD917517:TLF917517 TBH917517:TBJ917517 SRL917517:SRN917517 SHP917517:SHR917517 RXT917517:RXV917517 RNX917517:RNZ917517 REB917517:RED917517 QUF917517:QUH917517 QKJ917517:QKL917517 QAN917517:QAP917517 PQR917517:PQT917517 PGV917517:PGX917517 OWZ917517:OXB917517 OND917517:ONF917517 ODH917517:ODJ917517 NTL917517:NTN917517 NJP917517:NJR917517 MZT917517:MZV917517 MPX917517:MPZ917517 MGB917517:MGD917517 LWF917517:LWH917517 LMJ917517:LML917517 LCN917517:LCP917517 KSR917517:KST917517 KIV917517:KIX917517 JYZ917517:JZB917517 JPD917517:JPF917517 JFH917517:JFJ917517 IVL917517:IVN917517 ILP917517:ILR917517 IBT917517:IBV917517 HRX917517:HRZ917517 HIB917517:HID917517 GYF917517:GYH917517 GOJ917517:GOL917517 GEN917517:GEP917517 FUR917517:FUT917517 FKV917517:FKX917517 FAZ917517:FBB917517 ERD917517:ERF917517 EHH917517:EHJ917517 DXL917517:DXN917517 DNP917517:DNR917517 DDT917517:DDV917517 CTX917517:CTZ917517 CKB917517:CKD917517 CAF917517:CAH917517 BQJ917517:BQL917517 BGN917517:BGP917517 AWR917517:AWT917517 AMV917517:AMX917517 ACZ917517:ADB917517 TD917517:TF917517 JH917517:JJ917517 B917517:D917517 WVT851981:WVV851981 WLX851981:WLZ851981 WCB851981:WCD851981 VSF851981:VSH851981 VIJ851981:VIL851981 UYN851981:UYP851981 UOR851981:UOT851981 UEV851981:UEX851981 TUZ851981:TVB851981 TLD851981:TLF851981 TBH851981:TBJ851981 SRL851981:SRN851981 SHP851981:SHR851981 RXT851981:RXV851981 RNX851981:RNZ851981 REB851981:RED851981 QUF851981:QUH851981 QKJ851981:QKL851981 QAN851981:QAP851981 PQR851981:PQT851981 PGV851981:PGX851981 OWZ851981:OXB851981 OND851981:ONF851981 ODH851981:ODJ851981 NTL851981:NTN851981 NJP851981:NJR851981 MZT851981:MZV851981 MPX851981:MPZ851981 MGB851981:MGD851981 LWF851981:LWH851981 LMJ851981:LML851981 LCN851981:LCP851981 KSR851981:KST851981 KIV851981:KIX851981 JYZ851981:JZB851981 JPD851981:JPF851981 JFH851981:JFJ851981 IVL851981:IVN851981 ILP851981:ILR851981 IBT851981:IBV851981 HRX851981:HRZ851981 HIB851981:HID851981 GYF851981:GYH851981 GOJ851981:GOL851981 GEN851981:GEP851981 FUR851981:FUT851981 FKV851981:FKX851981 FAZ851981:FBB851981 ERD851981:ERF851981 EHH851981:EHJ851981 DXL851981:DXN851981 DNP851981:DNR851981 DDT851981:DDV851981 CTX851981:CTZ851981 CKB851981:CKD851981 CAF851981:CAH851981 BQJ851981:BQL851981 BGN851981:BGP851981 AWR851981:AWT851981 AMV851981:AMX851981 ACZ851981:ADB851981 TD851981:TF851981 JH851981:JJ851981 B851981:D851981 WVT786445:WVV786445 WLX786445:WLZ786445 WCB786445:WCD786445 VSF786445:VSH786445 VIJ786445:VIL786445 UYN786445:UYP786445 UOR786445:UOT786445 UEV786445:UEX786445 TUZ786445:TVB786445 TLD786445:TLF786445 TBH786445:TBJ786445 SRL786445:SRN786445 SHP786445:SHR786445 RXT786445:RXV786445 RNX786445:RNZ786445 REB786445:RED786445 QUF786445:QUH786445 QKJ786445:QKL786445 QAN786445:QAP786445 PQR786445:PQT786445 PGV786445:PGX786445 OWZ786445:OXB786445 OND786445:ONF786445 ODH786445:ODJ786445 NTL786445:NTN786445 NJP786445:NJR786445 MZT786445:MZV786445 MPX786445:MPZ786445 MGB786445:MGD786445 LWF786445:LWH786445 LMJ786445:LML786445 LCN786445:LCP786445 KSR786445:KST786445 KIV786445:KIX786445 JYZ786445:JZB786445 JPD786445:JPF786445 JFH786445:JFJ786445 IVL786445:IVN786445 ILP786445:ILR786445 IBT786445:IBV786445 HRX786445:HRZ786445 HIB786445:HID786445 GYF786445:GYH786445 GOJ786445:GOL786445 GEN786445:GEP786445 FUR786445:FUT786445 FKV786445:FKX786445 FAZ786445:FBB786445 ERD786445:ERF786445 EHH786445:EHJ786445 DXL786445:DXN786445 DNP786445:DNR786445 DDT786445:DDV786445 CTX786445:CTZ786445 CKB786445:CKD786445 CAF786445:CAH786445 BQJ786445:BQL786445 BGN786445:BGP786445 AWR786445:AWT786445 AMV786445:AMX786445 ACZ786445:ADB786445 TD786445:TF786445 JH786445:JJ786445 B786445:D786445 WVT720909:WVV720909 WLX720909:WLZ720909 WCB720909:WCD720909 VSF720909:VSH720909 VIJ720909:VIL720909 UYN720909:UYP720909 UOR720909:UOT720909 UEV720909:UEX720909 TUZ720909:TVB720909 TLD720909:TLF720909 TBH720909:TBJ720909 SRL720909:SRN720909 SHP720909:SHR720909 RXT720909:RXV720909 RNX720909:RNZ720909 REB720909:RED720909 QUF720909:QUH720909 QKJ720909:QKL720909 QAN720909:QAP720909 PQR720909:PQT720909 PGV720909:PGX720909 OWZ720909:OXB720909 OND720909:ONF720909 ODH720909:ODJ720909 NTL720909:NTN720909 NJP720909:NJR720909 MZT720909:MZV720909 MPX720909:MPZ720909 MGB720909:MGD720909 LWF720909:LWH720909 LMJ720909:LML720909 LCN720909:LCP720909 KSR720909:KST720909 KIV720909:KIX720909 JYZ720909:JZB720909 JPD720909:JPF720909 JFH720909:JFJ720909 IVL720909:IVN720909 ILP720909:ILR720909 IBT720909:IBV720909 HRX720909:HRZ720909 HIB720909:HID720909 GYF720909:GYH720909 GOJ720909:GOL720909 GEN720909:GEP720909 FUR720909:FUT720909 FKV720909:FKX720909 FAZ720909:FBB720909 ERD720909:ERF720909 EHH720909:EHJ720909 DXL720909:DXN720909 DNP720909:DNR720909 DDT720909:DDV720909 CTX720909:CTZ720909 CKB720909:CKD720909 CAF720909:CAH720909 BQJ720909:BQL720909 BGN720909:BGP720909 AWR720909:AWT720909 AMV720909:AMX720909 ACZ720909:ADB720909 TD720909:TF720909 JH720909:JJ720909 B720909:D720909 WVT655373:WVV655373 WLX655373:WLZ655373 WCB655373:WCD655373 VSF655373:VSH655373 VIJ655373:VIL655373 UYN655373:UYP655373 UOR655373:UOT655373 UEV655373:UEX655373 TUZ655373:TVB655373 TLD655373:TLF655373 TBH655373:TBJ655373 SRL655373:SRN655373 SHP655373:SHR655373 RXT655373:RXV655373 RNX655373:RNZ655373 REB655373:RED655373 QUF655373:QUH655373 QKJ655373:QKL655373 QAN655373:QAP655373 PQR655373:PQT655373 PGV655373:PGX655373 OWZ655373:OXB655373 OND655373:ONF655373 ODH655373:ODJ655373 NTL655373:NTN655373 NJP655373:NJR655373 MZT655373:MZV655373 MPX655373:MPZ655373 MGB655373:MGD655373 LWF655373:LWH655373 LMJ655373:LML655373 LCN655373:LCP655373 KSR655373:KST655373 KIV655373:KIX655373 JYZ655373:JZB655373 JPD655373:JPF655373 JFH655373:JFJ655373 IVL655373:IVN655373 ILP655373:ILR655373 IBT655373:IBV655373 HRX655373:HRZ655373 HIB655373:HID655373 GYF655373:GYH655373 GOJ655373:GOL655373 GEN655373:GEP655373 FUR655373:FUT655373 FKV655373:FKX655373 FAZ655373:FBB655373 ERD655373:ERF655373 EHH655373:EHJ655373 DXL655373:DXN655373 DNP655373:DNR655373 DDT655373:DDV655373 CTX655373:CTZ655373 CKB655373:CKD655373 CAF655373:CAH655373 BQJ655373:BQL655373 BGN655373:BGP655373 AWR655373:AWT655373 AMV655373:AMX655373 ACZ655373:ADB655373 TD655373:TF655373 JH655373:JJ655373 B655373:D655373 WVT589837:WVV589837 WLX589837:WLZ589837 WCB589837:WCD589837 VSF589837:VSH589837 VIJ589837:VIL589837 UYN589837:UYP589837 UOR589837:UOT589837 UEV589837:UEX589837 TUZ589837:TVB589837 TLD589837:TLF589837 TBH589837:TBJ589837 SRL589837:SRN589837 SHP589837:SHR589837 RXT589837:RXV589837 RNX589837:RNZ589837 REB589837:RED589837 QUF589837:QUH589837 QKJ589837:QKL589837 QAN589837:QAP589837 PQR589837:PQT589837 PGV589837:PGX589837 OWZ589837:OXB589837 OND589837:ONF589837 ODH589837:ODJ589837 NTL589837:NTN589837 NJP589837:NJR589837 MZT589837:MZV589837 MPX589837:MPZ589837 MGB589837:MGD589837 LWF589837:LWH589837 LMJ589837:LML589837 LCN589837:LCP589837 KSR589837:KST589837 KIV589837:KIX589837 JYZ589837:JZB589837 JPD589837:JPF589837 JFH589837:JFJ589837 IVL589837:IVN589837 ILP589837:ILR589837 IBT589837:IBV589837 HRX589837:HRZ589837 HIB589837:HID589837 GYF589837:GYH589837 GOJ589837:GOL589837 GEN589837:GEP589837 FUR589837:FUT589837 FKV589837:FKX589837 FAZ589837:FBB589837 ERD589837:ERF589837 EHH589837:EHJ589837 DXL589837:DXN589837 DNP589837:DNR589837 DDT589837:DDV589837 CTX589837:CTZ589837 CKB589837:CKD589837 CAF589837:CAH589837 BQJ589837:BQL589837 BGN589837:BGP589837 AWR589837:AWT589837 AMV589837:AMX589837 ACZ589837:ADB589837 TD589837:TF589837 JH589837:JJ589837 B589837:D589837 WVT524301:WVV524301 WLX524301:WLZ524301 WCB524301:WCD524301 VSF524301:VSH524301 VIJ524301:VIL524301 UYN524301:UYP524301 UOR524301:UOT524301 UEV524301:UEX524301 TUZ524301:TVB524301 TLD524301:TLF524301 TBH524301:TBJ524301 SRL524301:SRN524301 SHP524301:SHR524301 RXT524301:RXV524301 RNX524301:RNZ524301 REB524301:RED524301 QUF524301:QUH524301 QKJ524301:QKL524301 QAN524301:QAP524301 PQR524301:PQT524301 PGV524301:PGX524301 OWZ524301:OXB524301 OND524301:ONF524301 ODH524301:ODJ524301 NTL524301:NTN524301 NJP524301:NJR524301 MZT524301:MZV524301 MPX524301:MPZ524301 MGB524301:MGD524301 LWF524301:LWH524301 LMJ524301:LML524301 LCN524301:LCP524301 KSR524301:KST524301 KIV524301:KIX524301 JYZ524301:JZB524301 JPD524301:JPF524301 JFH524301:JFJ524301 IVL524301:IVN524301 ILP524301:ILR524301 IBT524301:IBV524301 HRX524301:HRZ524301 HIB524301:HID524301 GYF524301:GYH524301 GOJ524301:GOL524301 GEN524301:GEP524301 FUR524301:FUT524301 FKV524301:FKX524301 FAZ524301:FBB524301 ERD524301:ERF524301 EHH524301:EHJ524301 DXL524301:DXN524301 DNP524301:DNR524301 DDT524301:DDV524301 CTX524301:CTZ524301 CKB524301:CKD524301 CAF524301:CAH524301 BQJ524301:BQL524301 BGN524301:BGP524301 AWR524301:AWT524301 AMV524301:AMX524301 ACZ524301:ADB524301 TD524301:TF524301 JH524301:JJ524301 B524301:D524301 WVT458765:WVV458765 WLX458765:WLZ458765 WCB458765:WCD458765 VSF458765:VSH458765 VIJ458765:VIL458765 UYN458765:UYP458765 UOR458765:UOT458765 UEV458765:UEX458765 TUZ458765:TVB458765 TLD458765:TLF458765 TBH458765:TBJ458765 SRL458765:SRN458765 SHP458765:SHR458765 RXT458765:RXV458765 RNX458765:RNZ458765 REB458765:RED458765 QUF458765:QUH458765 QKJ458765:QKL458765 QAN458765:QAP458765 PQR458765:PQT458765 PGV458765:PGX458765 OWZ458765:OXB458765 OND458765:ONF458765 ODH458765:ODJ458765 NTL458765:NTN458765 NJP458765:NJR458765 MZT458765:MZV458765 MPX458765:MPZ458765 MGB458765:MGD458765 LWF458765:LWH458765 LMJ458765:LML458765 LCN458765:LCP458765 KSR458765:KST458765 KIV458765:KIX458765 JYZ458765:JZB458765 JPD458765:JPF458765 JFH458765:JFJ458765 IVL458765:IVN458765 ILP458765:ILR458765 IBT458765:IBV458765 HRX458765:HRZ458765 HIB458765:HID458765 GYF458765:GYH458765 GOJ458765:GOL458765 GEN458765:GEP458765 FUR458765:FUT458765 FKV458765:FKX458765 FAZ458765:FBB458765 ERD458765:ERF458765 EHH458765:EHJ458765 DXL458765:DXN458765 DNP458765:DNR458765 DDT458765:DDV458765 CTX458765:CTZ458765 CKB458765:CKD458765 CAF458765:CAH458765 BQJ458765:BQL458765 BGN458765:BGP458765 AWR458765:AWT458765 AMV458765:AMX458765 ACZ458765:ADB458765 TD458765:TF458765 JH458765:JJ458765 B458765:D458765 WVT393229:WVV393229 WLX393229:WLZ393229 WCB393229:WCD393229 VSF393229:VSH393229 VIJ393229:VIL393229 UYN393229:UYP393229 UOR393229:UOT393229 UEV393229:UEX393229 TUZ393229:TVB393229 TLD393229:TLF393229 TBH393229:TBJ393229 SRL393229:SRN393229 SHP393229:SHR393229 RXT393229:RXV393229 RNX393229:RNZ393229 REB393229:RED393229 QUF393229:QUH393229 QKJ393229:QKL393229 QAN393229:QAP393229 PQR393229:PQT393229 PGV393229:PGX393229 OWZ393229:OXB393229 OND393229:ONF393229 ODH393229:ODJ393229 NTL393229:NTN393229 NJP393229:NJR393229 MZT393229:MZV393229 MPX393229:MPZ393229 MGB393229:MGD393229 LWF393229:LWH393229 LMJ393229:LML393229 LCN393229:LCP393229 KSR393229:KST393229 KIV393229:KIX393229 JYZ393229:JZB393229 JPD393229:JPF393229 JFH393229:JFJ393229 IVL393229:IVN393229 ILP393229:ILR393229 IBT393229:IBV393229 HRX393229:HRZ393229 HIB393229:HID393229 GYF393229:GYH393229 GOJ393229:GOL393229 GEN393229:GEP393229 FUR393229:FUT393229 FKV393229:FKX393229 FAZ393229:FBB393229 ERD393229:ERF393229 EHH393229:EHJ393229 DXL393229:DXN393229 DNP393229:DNR393229 DDT393229:DDV393229 CTX393229:CTZ393229 CKB393229:CKD393229 CAF393229:CAH393229 BQJ393229:BQL393229 BGN393229:BGP393229 AWR393229:AWT393229 AMV393229:AMX393229 ACZ393229:ADB393229 TD393229:TF393229 JH393229:JJ393229 B393229:D393229 WVT327693:WVV327693 WLX327693:WLZ327693 WCB327693:WCD327693 VSF327693:VSH327693 VIJ327693:VIL327693 UYN327693:UYP327693 UOR327693:UOT327693 UEV327693:UEX327693 TUZ327693:TVB327693 TLD327693:TLF327693 TBH327693:TBJ327693 SRL327693:SRN327693 SHP327693:SHR327693 RXT327693:RXV327693 RNX327693:RNZ327693 REB327693:RED327693 QUF327693:QUH327693 QKJ327693:QKL327693 QAN327693:QAP327693 PQR327693:PQT327693 PGV327693:PGX327693 OWZ327693:OXB327693 OND327693:ONF327693 ODH327693:ODJ327693 NTL327693:NTN327693 NJP327693:NJR327693 MZT327693:MZV327693 MPX327693:MPZ327693 MGB327693:MGD327693 LWF327693:LWH327693 LMJ327693:LML327693 LCN327693:LCP327693 KSR327693:KST327693 KIV327693:KIX327693 JYZ327693:JZB327693 JPD327693:JPF327693 JFH327693:JFJ327693 IVL327693:IVN327693 ILP327693:ILR327693 IBT327693:IBV327693 HRX327693:HRZ327693 HIB327693:HID327693 GYF327693:GYH327693 GOJ327693:GOL327693 GEN327693:GEP327693 FUR327693:FUT327693 FKV327693:FKX327693 FAZ327693:FBB327693 ERD327693:ERF327693 EHH327693:EHJ327693 DXL327693:DXN327693 DNP327693:DNR327693 DDT327693:DDV327693 CTX327693:CTZ327693 CKB327693:CKD327693 CAF327693:CAH327693 BQJ327693:BQL327693 BGN327693:BGP327693 AWR327693:AWT327693 AMV327693:AMX327693 ACZ327693:ADB327693 TD327693:TF327693 JH327693:JJ327693 B327693:D327693 WVT262157:WVV262157 WLX262157:WLZ262157 WCB262157:WCD262157 VSF262157:VSH262157 VIJ262157:VIL262157 UYN262157:UYP262157 UOR262157:UOT262157 UEV262157:UEX262157 TUZ262157:TVB262157 TLD262157:TLF262157 TBH262157:TBJ262157 SRL262157:SRN262157 SHP262157:SHR262157 RXT262157:RXV262157 RNX262157:RNZ262157 REB262157:RED262157 QUF262157:QUH262157 QKJ262157:QKL262157 QAN262157:QAP262157 PQR262157:PQT262157 PGV262157:PGX262157 OWZ262157:OXB262157 OND262157:ONF262157 ODH262157:ODJ262157 NTL262157:NTN262157 NJP262157:NJR262157 MZT262157:MZV262157 MPX262157:MPZ262157 MGB262157:MGD262157 LWF262157:LWH262157 LMJ262157:LML262157 LCN262157:LCP262157 KSR262157:KST262157 KIV262157:KIX262157 JYZ262157:JZB262157 JPD262157:JPF262157 JFH262157:JFJ262157 IVL262157:IVN262157 ILP262157:ILR262157 IBT262157:IBV262157 HRX262157:HRZ262157 HIB262157:HID262157 GYF262157:GYH262157 GOJ262157:GOL262157 GEN262157:GEP262157 FUR262157:FUT262157 FKV262157:FKX262157 FAZ262157:FBB262157 ERD262157:ERF262157 EHH262157:EHJ262157 DXL262157:DXN262157 DNP262157:DNR262157 DDT262157:DDV262157 CTX262157:CTZ262157 CKB262157:CKD262157 CAF262157:CAH262157 BQJ262157:BQL262157 BGN262157:BGP262157 AWR262157:AWT262157 AMV262157:AMX262157 ACZ262157:ADB262157 TD262157:TF262157 JH262157:JJ262157 B262157:D262157 WVT196621:WVV196621 WLX196621:WLZ196621 WCB196621:WCD196621 VSF196621:VSH196621 VIJ196621:VIL196621 UYN196621:UYP196621 UOR196621:UOT196621 UEV196621:UEX196621 TUZ196621:TVB196621 TLD196621:TLF196621 TBH196621:TBJ196621 SRL196621:SRN196621 SHP196621:SHR196621 RXT196621:RXV196621 RNX196621:RNZ196621 REB196621:RED196621 QUF196621:QUH196621 QKJ196621:QKL196621 QAN196621:QAP196621 PQR196621:PQT196621 PGV196621:PGX196621 OWZ196621:OXB196621 OND196621:ONF196621 ODH196621:ODJ196621 NTL196621:NTN196621 NJP196621:NJR196621 MZT196621:MZV196621 MPX196621:MPZ196621 MGB196621:MGD196621 LWF196621:LWH196621 LMJ196621:LML196621 LCN196621:LCP196621 KSR196621:KST196621 KIV196621:KIX196621 JYZ196621:JZB196621 JPD196621:JPF196621 JFH196621:JFJ196621 IVL196621:IVN196621 ILP196621:ILR196621 IBT196621:IBV196621 HRX196621:HRZ196621 HIB196621:HID196621 GYF196621:GYH196621 GOJ196621:GOL196621 GEN196621:GEP196621 FUR196621:FUT196621 FKV196621:FKX196621 FAZ196621:FBB196621 ERD196621:ERF196621 EHH196621:EHJ196621 DXL196621:DXN196621 DNP196621:DNR196621 DDT196621:DDV196621 CTX196621:CTZ196621 CKB196621:CKD196621 CAF196621:CAH196621 BQJ196621:BQL196621 BGN196621:BGP196621 AWR196621:AWT196621 AMV196621:AMX196621 ACZ196621:ADB196621 TD196621:TF196621 JH196621:JJ196621 B196621:D196621 WVT131085:WVV131085 WLX131085:WLZ131085 WCB131085:WCD131085 VSF131085:VSH131085 VIJ131085:VIL131085 UYN131085:UYP131085 UOR131085:UOT131085 UEV131085:UEX131085 TUZ131085:TVB131085 TLD131085:TLF131085 TBH131085:TBJ131085 SRL131085:SRN131085 SHP131085:SHR131085 RXT131085:RXV131085 RNX131085:RNZ131085 REB131085:RED131085 QUF131085:QUH131085 QKJ131085:QKL131085 QAN131085:QAP131085 PQR131085:PQT131085 PGV131085:PGX131085 OWZ131085:OXB131085 OND131085:ONF131085 ODH131085:ODJ131085 NTL131085:NTN131085 NJP131085:NJR131085 MZT131085:MZV131085 MPX131085:MPZ131085 MGB131085:MGD131085 LWF131085:LWH131085 LMJ131085:LML131085 LCN131085:LCP131085 KSR131085:KST131085 KIV131085:KIX131085 JYZ131085:JZB131085 JPD131085:JPF131085 JFH131085:JFJ131085 IVL131085:IVN131085 ILP131085:ILR131085 IBT131085:IBV131085 HRX131085:HRZ131085 HIB131085:HID131085 GYF131085:GYH131085 GOJ131085:GOL131085 GEN131085:GEP131085 FUR131085:FUT131085 FKV131085:FKX131085 FAZ131085:FBB131085 ERD131085:ERF131085 EHH131085:EHJ131085 DXL131085:DXN131085 DNP131085:DNR131085 DDT131085:DDV131085 CTX131085:CTZ131085 CKB131085:CKD131085 CAF131085:CAH131085 BQJ131085:BQL131085 BGN131085:BGP131085 AWR131085:AWT131085 AMV131085:AMX131085 ACZ131085:ADB131085 TD131085:TF131085 JH131085:JJ131085 B131085:D131085 WVT65549:WVV65549 WLX65549:WLZ65549 WCB65549:WCD65549 VSF65549:VSH65549 VIJ65549:VIL65549 UYN65549:UYP65549 UOR65549:UOT65549 UEV65549:UEX65549 TUZ65549:TVB65549 TLD65549:TLF65549 TBH65549:TBJ65549 SRL65549:SRN65549 SHP65549:SHR65549 RXT65549:RXV65549 RNX65549:RNZ65549 REB65549:RED65549 QUF65549:QUH65549 QKJ65549:QKL65549 QAN65549:QAP65549 PQR65549:PQT65549 PGV65549:PGX65549 OWZ65549:OXB65549 OND65549:ONF65549 ODH65549:ODJ65549 NTL65549:NTN65549 NJP65549:NJR65549 MZT65549:MZV65549 MPX65549:MPZ65549 MGB65549:MGD65549 LWF65549:LWH65549 LMJ65549:LML65549 LCN65549:LCP65549 KSR65549:KST65549 KIV65549:KIX65549 JYZ65549:JZB65549 JPD65549:JPF65549 JFH65549:JFJ65549 IVL65549:IVN65549 ILP65549:ILR65549 IBT65549:IBV65549 HRX65549:HRZ65549 HIB65549:HID65549 GYF65549:GYH65549 GOJ65549:GOL65549 GEN65549:GEP65549 FUR65549:FUT65549 FKV65549:FKX65549 FAZ65549:FBB65549 ERD65549:ERF65549 EHH65549:EHJ65549 DXL65549:DXN65549 DNP65549:DNR65549 DDT65549:DDV65549 CTX65549:CTZ65549 CKB65549:CKD65549 CAF65549:CAH65549 BQJ65549:BQL65549 BGN65549:BGP65549 AWR65549:AWT65549 AMV65549:AMX65549 ACZ65549:ADB65549 TD65549:TF65549 JH65549:JJ65549 WVT10:WVV10 WLX10:WLZ10 WCB10:WCD10 VSF10:VSH10 VIJ10:VIL10 UYN10:UYP10 UOR10:UOT10 UEV10:UEX10 TUZ10:TVB10 TLD10:TLF10 TBH10:TBJ10 SRL10:SRN10 SHP10:SHR10 RXT10:RXV10 RNX10:RNZ10 REB10:RED10 QUF10:QUH10 QKJ10:QKL10 QAN10:QAP10 PQR10:PQT10 PGV10:PGX10 OWZ10:OXB10 OND10:ONF10 ODH10:ODJ10 NTL10:NTN10 NJP10:NJR10 MZT10:MZV10 MPX10:MPZ10 MGB10:MGD10 LWF10:LWH10 LMJ10:LML10 LCN10:LCP10 KSR10:KST10 KIV10:KIX10 JYZ10:JZB10 JPD10:JPF10 JFH10:JFJ10 IVL10:IVN10 ILP10:ILR10 IBT10:IBV10 HRX10:HRZ10 HIB10:HID10 GYF10:GYH10 GOJ10:GOL10 GEN10:GEP10 FUR10:FUT10 FKV10:FKX10 FAZ10:FBB10 ERD10:ERF10 EHH10:EHJ10 DXL10:DXN10 DNP10:DNR10 DDT10:DDV10 CTX10:CTZ10 CKB10:CKD10 CAF10:CAH10 BQJ10:BQL10 BGN10:BGP10 AWR10:AWT10 AMV10:AMX10 ACZ10:ADB10 TD10:TF10 B10:D10 JH10:JJ10">
      <formula1>$BU$9:$BU$58</formula1>
    </dataValidation>
    <dataValidation type="list" allowBlank="1" showInputMessage="1" showErrorMessage="1" sqref="F50:G50">
      <formula1>$BU$9:$BU$85</formula1>
    </dataValidation>
    <dataValidation type="list" allowBlank="1" showInputMessage="1" showErrorMessage="1" promptTitle="PLACES ASSISES" prompt="PLACES ASSISES" sqref="WWB983062 JP21 WMF983062 WCJ983062 VSN983062 VIR983062 UYV983062 UOZ983062 UFD983062 TVH983062 TLL983062 TBP983062 SRT983062 SHX983062 RYB983062 ROF983062 REJ983062 QUN983062 QKR983062 QAV983062 PQZ983062 PHD983062 OXH983062 ONL983062 ODP983062 NTT983062 NJX983062 NAB983062 MQF983062 MGJ983062 LWN983062 LMR983062 LCV983062 KSZ983062 KJD983062 JZH983062 JPL983062 JFP983062 IVT983062 ILX983062 ICB983062 HSF983062 HIJ983062 GYN983062 GOR983062 GEV983062 FUZ983062 FLD983062 FBH983062 ERL983062 EHP983062 DXT983062 DNX983062 DEB983062 CUF983062 CKJ983062 CAN983062 BQR983062 BGV983062 AWZ983062 AND983062 ADH983062 TL983062 JP983062 J983062 WWB917526 WMF917526 WCJ917526 VSN917526 VIR917526 UYV917526 UOZ917526 UFD917526 TVH917526 TLL917526 TBP917526 SRT917526 SHX917526 RYB917526 ROF917526 REJ917526 QUN917526 QKR917526 QAV917526 PQZ917526 PHD917526 OXH917526 ONL917526 ODP917526 NTT917526 NJX917526 NAB917526 MQF917526 MGJ917526 LWN917526 LMR917526 LCV917526 KSZ917526 KJD917526 JZH917526 JPL917526 JFP917526 IVT917526 ILX917526 ICB917526 HSF917526 HIJ917526 GYN917526 GOR917526 GEV917526 FUZ917526 FLD917526 FBH917526 ERL917526 EHP917526 DXT917526 DNX917526 DEB917526 CUF917526 CKJ917526 CAN917526 BQR917526 BGV917526 AWZ917526 AND917526 ADH917526 TL917526 JP917526 J917526 WWB851990 WMF851990 WCJ851990 VSN851990 VIR851990 UYV851990 UOZ851990 UFD851990 TVH851990 TLL851990 TBP851990 SRT851990 SHX851990 RYB851990 ROF851990 REJ851990 QUN851990 QKR851990 QAV851990 PQZ851990 PHD851990 OXH851990 ONL851990 ODP851990 NTT851990 NJX851990 NAB851990 MQF851990 MGJ851990 LWN851990 LMR851990 LCV851990 KSZ851990 KJD851990 JZH851990 JPL851990 JFP851990 IVT851990 ILX851990 ICB851990 HSF851990 HIJ851990 GYN851990 GOR851990 GEV851990 FUZ851990 FLD851990 FBH851990 ERL851990 EHP851990 DXT851990 DNX851990 DEB851990 CUF851990 CKJ851990 CAN851990 BQR851990 BGV851990 AWZ851990 AND851990 ADH851990 TL851990 JP851990 J851990 WWB786454 WMF786454 WCJ786454 VSN786454 VIR786454 UYV786454 UOZ786454 UFD786454 TVH786454 TLL786454 TBP786454 SRT786454 SHX786454 RYB786454 ROF786454 REJ786454 QUN786454 QKR786454 QAV786454 PQZ786454 PHD786454 OXH786454 ONL786454 ODP786454 NTT786454 NJX786454 NAB786454 MQF786454 MGJ786454 LWN786454 LMR786454 LCV786454 KSZ786454 KJD786454 JZH786454 JPL786454 JFP786454 IVT786454 ILX786454 ICB786454 HSF786454 HIJ786454 GYN786454 GOR786454 GEV786454 FUZ786454 FLD786454 FBH786454 ERL786454 EHP786454 DXT786454 DNX786454 DEB786454 CUF786454 CKJ786454 CAN786454 BQR786454 BGV786454 AWZ786454 AND786454 ADH786454 TL786454 JP786454 J786454 WWB720918 WMF720918 WCJ720918 VSN720918 VIR720918 UYV720918 UOZ720918 UFD720918 TVH720918 TLL720918 TBP720918 SRT720918 SHX720918 RYB720918 ROF720918 REJ720918 QUN720918 QKR720918 QAV720918 PQZ720918 PHD720918 OXH720918 ONL720918 ODP720918 NTT720918 NJX720918 NAB720918 MQF720918 MGJ720918 LWN720918 LMR720918 LCV720918 KSZ720918 KJD720918 JZH720918 JPL720918 JFP720918 IVT720918 ILX720918 ICB720918 HSF720918 HIJ720918 GYN720918 GOR720918 GEV720918 FUZ720918 FLD720918 FBH720918 ERL720918 EHP720918 DXT720918 DNX720918 DEB720918 CUF720918 CKJ720918 CAN720918 BQR720918 BGV720918 AWZ720918 AND720918 ADH720918 TL720918 JP720918 J720918 WWB655382 WMF655382 WCJ655382 VSN655382 VIR655382 UYV655382 UOZ655382 UFD655382 TVH655382 TLL655382 TBP655382 SRT655382 SHX655382 RYB655382 ROF655382 REJ655382 QUN655382 QKR655382 QAV655382 PQZ655382 PHD655382 OXH655382 ONL655382 ODP655382 NTT655382 NJX655382 NAB655382 MQF655382 MGJ655382 LWN655382 LMR655382 LCV655382 KSZ655382 KJD655382 JZH655382 JPL655382 JFP655382 IVT655382 ILX655382 ICB655382 HSF655382 HIJ655382 GYN655382 GOR655382 GEV655382 FUZ655382 FLD655382 FBH655382 ERL655382 EHP655382 DXT655382 DNX655382 DEB655382 CUF655382 CKJ655382 CAN655382 BQR655382 BGV655382 AWZ655382 AND655382 ADH655382 TL655382 JP655382 J655382 WWB589846 WMF589846 WCJ589846 VSN589846 VIR589846 UYV589846 UOZ589846 UFD589846 TVH589846 TLL589846 TBP589846 SRT589846 SHX589846 RYB589846 ROF589846 REJ589846 QUN589846 QKR589846 QAV589846 PQZ589846 PHD589846 OXH589846 ONL589846 ODP589846 NTT589846 NJX589846 NAB589846 MQF589846 MGJ589846 LWN589846 LMR589846 LCV589846 KSZ589846 KJD589846 JZH589846 JPL589846 JFP589846 IVT589846 ILX589846 ICB589846 HSF589846 HIJ589846 GYN589846 GOR589846 GEV589846 FUZ589846 FLD589846 FBH589846 ERL589846 EHP589846 DXT589846 DNX589846 DEB589846 CUF589846 CKJ589846 CAN589846 BQR589846 BGV589846 AWZ589846 AND589846 ADH589846 TL589846 JP589846 J589846 WWB524310 WMF524310 WCJ524310 VSN524310 VIR524310 UYV524310 UOZ524310 UFD524310 TVH524310 TLL524310 TBP524310 SRT524310 SHX524310 RYB524310 ROF524310 REJ524310 QUN524310 QKR524310 QAV524310 PQZ524310 PHD524310 OXH524310 ONL524310 ODP524310 NTT524310 NJX524310 NAB524310 MQF524310 MGJ524310 LWN524310 LMR524310 LCV524310 KSZ524310 KJD524310 JZH524310 JPL524310 JFP524310 IVT524310 ILX524310 ICB524310 HSF524310 HIJ524310 GYN524310 GOR524310 GEV524310 FUZ524310 FLD524310 FBH524310 ERL524310 EHP524310 DXT524310 DNX524310 DEB524310 CUF524310 CKJ524310 CAN524310 BQR524310 BGV524310 AWZ524310 AND524310 ADH524310 TL524310 JP524310 J524310 WWB458774 WMF458774 WCJ458774 VSN458774 VIR458774 UYV458774 UOZ458774 UFD458774 TVH458774 TLL458774 TBP458774 SRT458774 SHX458774 RYB458774 ROF458774 REJ458774 QUN458774 QKR458774 QAV458774 PQZ458774 PHD458774 OXH458774 ONL458774 ODP458774 NTT458774 NJX458774 NAB458774 MQF458774 MGJ458774 LWN458774 LMR458774 LCV458774 KSZ458774 KJD458774 JZH458774 JPL458774 JFP458774 IVT458774 ILX458774 ICB458774 HSF458774 HIJ458774 GYN458774 GOR458774 GEV458774 FUZ458774 FLD458774 FBH458774 ERL458774 EHP458774 DXT458774 DNX458774 DEB458774 CUF458774 CKJ458774 CAN458774 BQR458774 BGV458774 AWZ458774 AND458774 ADH458774 TL458774 JP458774 J458774 WWB393238 WMF393238 WCJ393238 VSN393238 VIR393238 UYV393238 UOZ393238 UFD393238 TVH393238 TLL393238 TBP393238 SRT393238 SHX393238 RYB393238 ROF393238 REJ393238 QUN393238 QKR393238 QAV393238 PQZ393238 PHD393238 OXH393238 ONL393238 ODP393238 NTT393238 NJX393238 NAB393238 MQF393238 MGJ393238 LWN393238 LMR393238 LCV393238 KSZ393238 KJD393238 JZH393238 JPL393238 JFP393238 IVT393238 ILX393238 ICB393238 HSF393238 HIJ393238 GYN393238 GOR393238 GEV393238 FUZ393238 FLD393238 FBH393238 ERL393238 EHP393238 DXT393238 DNX393238 DEB393238 CUF393238 CKJ393238 CAN393238 BQR393238 BGV393238 AWZ393238 AND393238 ADH393238 TL393238 JP393238 J393238 WWB327702 WMF327702 WCJ327702 VSN327702 VIR327702 UYV327702 UOZ327702 UFD327702 TVH327702 TLL327702 TBP327702 SRT327702 SHX327702 RYB327702 ROF327702 REJ327702 QUN327702 QKR327702 QAV327702 PQZ327702 PHD327702 OXH327702 ONL327702 ODP327702 NTT327702 NJX327702 NAB327702 MQF327702 MGJ327702 LWN327702 LMR327702 LCV327702 KSZ327702 KJD327702 JZH327702 JPL327702 JFP327702 IVT327702 ILX327702 ICB327702 HSF327702 HIJ327702 GYN327702 GOR327702 GEV327702 FUZ327702 FLD327702 FBH327702 ERL327702 EHP327702 DXT327702 DNX327702 DEB327702 CUF327702 CKJ327702 CAN327702 BQR327702 BGV327702 AWZ327702 AND327702 ADH327702 TL327702 JP327702 J327702 WWB262166 WMF262166 WCJ262166 VSN262166 VIR262166 UYV262166 UOZ262166 UFD262166 TVH262166 TLL262166 TBP262166 SRT262166 SHX262166 RYB262166 ROF262166 REJ262166 QUN262166 QKR262166 QAV262166 PQZ262166 PHD262166 OXH262166 ONL262166 ODP262166 NTT262166 NJX262166 NAB262166 MQF262166 MGJ262166 LWN262166 LMR262166 LCV262166 KSZ262166 KJD262166 JZH262166 JPL262166 JFP262166 IVT262166 ILX262166 ICB262166 HSF262166 HIJ262166 GYN262166 GOR262166 GEV262166 FUZ262166 FLD262166 FBH262166 ERL262166 EHP262166 DXT262166 DNX262166 DEB262166 CUF262166 CKJ262166 CAN262166 BQR262166 BGV262166 AWZ262166 AND262166 ADH262166 TL262166 JP262166 J262166 WWB196630 WMF196630 WCJ196630 VSN196630 VIR196630 UYV196630 UOZ196630 UFD196630 TVH196630 TLL196630 TBP196630 SRT196630 SHX196630 RYB196630 ROF196630 REJ196630 QUN196630 QKR196630 QAV196630 PQZ196630 PHD196630 OXH196630 ONL196630 ODP196630 NTT196630 NJX196630 NAB196630 MQF196630 MGJ196630 LWN196630 LMR196630 LCV196630 KSZ196630 KJD196630 JZH196630 JPL196630 JFP196630 IVT196630 ILX196630 ICB196630 HSF196630 HIJ196630 GYN196630 GOR196630 GEV196630 FUZ196630 FLD196630 FBH196630 ERL196630 EHP196630 DXT196630 DNX196630 DEB196630 CUF196630 CKJ196630 CAN196630 BQR196630 BGV196630 AWZ196630 AND196630 ADH196630 TL196630 JP196630 J196630 WWB131094 WMF131094 WCJ131094 VSN131094 VIR131094 UYV131094 UOZ131094 UFD131094 TVH131094 TLL131094 TBP131094 SRT131094 SHX131094 RYB131094 ROF131094 REJ131094 QUN131094 QKR131094 QAV131094 PQZ131094 PHD131094 OXH131094 ONL131094 ODP131094 NTT131094 NJX131094 NAB131094 MQF131094 MGJ131094 LWN131094 LMR131094 LCV131094 KSZ131094 KJD131094 JZH131094 JPL131094 JFP131094 IVT131094 ILX131094 ICB131094 HSF131094 HIJ131094 GYN131094 GOR131094 GEV131094 FUZ131094 FLD131094 FBH131094 ERL131094 EHP131094 DXT131094 DNX131094 DEB131094 CUF131094 CKJ131094 CAN131094 BQR131094 BGV131094 AWZ131094 AND131094 ADH131094 TL131094 JP131094 J131094 WWB65558 WMF65558 WCJ65558 VSN65558 VIR65558 UYV65558 UOZ65558 UFD65558 TVH65558 TLL65558 TBP65558 SRT65558 SHX65558 RYB65558 ROF65558 REJ65558 QUN65558 QKR65558 QAV65558 PQZ65558 PHD65558 OXH65558 ONL65558 ODP65558 NTT65558 NJX65558 NAB65558 MQF65558 MGJ65558 LWN65558 LMR65558 LCV65558 KSZ65558 KJD65558 JZH65558 JPL65558 JFP65558 IVT65558 ILX65558 ICB65558 HSF65558 HIJ65558 GYN65558 GOR65558 GEV65558 FUZ65558 FLD65558 FBH65558 ERL65558 EHP65558 DXT65558 DNX65558 DEB65558 CUF65558 CKJ65558 CAN65558 BQR65558 BGV65558 AWZ65558 AND65558 ADH65558 TL65558 JP65558 J65558 WWB21 WMF21 WCJ21 VSN21 VIR21 UYV21 UOZ21 UFD21 TVH21 TLL21 TBP21 SRT21 SHX21 RYB21 ROF21 REJ21 QUN21 QKR21 QAV21 PQZ21 PHD21 OXH21 ONL21 ODP21 NTT21 NJX21 NAB21 MQF21 MGJ21 LWN21 LMR21 LCV21 KSZ21 KJD21 JZH21 JPL21 JFP21 IVT21 ILX21 ICB21 HSF21 HIJ21 GYN21 GOR21 GEV21 FUZ21 FLD21 FBH21 ERL21 EHP21 DXT21 DNX21 DEB21 CUF21 CKJ21 CAN21 BQR21 BGV21 AWZ21 AND21 ADH21 TL21">
      <formula1>$BZ$9:$BZ$110</formula1>
    </dataValidation>
    <dataValidation type="list" allowBlank="1" showInputMessage="1" showErrorMessage="1" promptTitle="REDUCTION" prompt="REDUCTION" sqref="H27:I36">
      <formula1>$BZ$8:$BZ$109</formula1>
    </dataValidation>
    <dataValidation type="list" allowBlank="1" showInputMessage="1" showErrorMessage="1" promptTitle="PLACES ASSISES" prompt="PLACES ASSISES" sqref="J21">
      <formula1>$BZ$8:$BZ$111</formula1>
    </dataValidation>
    <dataValidation type="list" allowBlank="1" showInputMessage="1" showErrorMessage="1" promptTitle="SOURCE D'ENERGIE" prompt="SOURCE D'ENERGIE" sqref="D20">
      <formula1>$BZ$8:$BZ$111</formula1>
    </dataValidation>
    <dataValidation type="list" allowBlank="1" showInputMessage="1" showErrorMessage="1" promptTitle="NOM DE L'AVENANT" prompt="NOM DE L'AVENANT" sqref="WVZ983050:WWB983050 JN7:JP7 WMD983050:WMF983050 WCH983050:WCJ983050 VSL983050:VSN983050 VIP983050:VIR983050 UYT983050:UYV983050 UOX983050:UOZ983050 UFB983050:UFD983050 TVF983050:TVH983050 TLJ983050:TLL983050 TBN983050:TBP983050 SRR983050:SRT983050 SHV983050:SHX983050 RXZ983050:RYB983050 ROD983050:ROF983050 REH983050:REJ983050 QUL983050:QUN983050 QKP983050:QKR983050 QAT983050:QAV983050 PQX983050:PQZ983050 PHB983050:PHD983050 OXF983050:OXH983050 ONJ983050:ONL983050 ODN983050:ODP983050 NTR983050:NTT983050 NJV983050:NJX983050 MZZ983050:NAB983050 MQD983050:MQF983050 MGH983050:MGJ983050 LWL983050:LWN983050 LMP983050:LMR983050 LCT983050:LCV983050 KSX983050:KSZ983050 KJB983050:KJD983050 JZF983050:JZH983050 JPJ983050:JPL983050 JFN983050:JFP983050 IVR983050:IVT983050 ILV983050:ILX983050 IBZ983050:ICB983050 HSD983050:HSF983050 HIH983050:HIJ983050 GYL983050:GYN983050 GOP983050:GOR983050 GET983050:GEV983050 FUX983050:FUZ983050 FLB983050:FLD983050 FBF983050:FBH983050 ERJ983050:ERL983050 EHN983050:EHP983050 DXR983050:DXT983050 DNV983050:DNX983050 DDZ983050:DEB983050 CUD983050:CUF983050 CKH983050:CKJ983050 CAL983050:CAN983050 BQP983050:BQR983050 BGT983050:BGV983050 AWX983050:AWZ983050 ANB983050:AND983050 ADF983050:ADH983050 TJ983050:TL983050 JN983050:JP983050 H983050:J983050 WVZ917514:WWB917514 WMD917514:WMF917514 WCH917514:WCJ917514 VSL917514:VSN917514 VIP917514:VIR917514 UYT917514:UYV917514 UOX917514:UOZ917514 UFB917514:UFD917514 TVF917514:TVH917514 TLJ917514:TLL917514 TBN917514:TBP917514 SRR917514:SRT917514 SHV917514:SHX917514 RXZ917514:RYB917514 ROD917514:ROF917514 REH917514:REJ917514 QUL917514:QUN917514 QKP917514:QKR917514 QAT917514:QAV917514 PQX917514:PQZ917514 PHB917514:PHD917514 OXF917514:OXH917514 ONJ917514:ONL917514 ODN917514:ODP917514 NTR917514:NTT917514 NJV917514:NJX917514 MZZ917514:NAB917514 MQD917514:MQF917514 MGH917514:MGJ917514 LWL917514:LWN917514 LMP917514:LMR917514 LCT917514:LCV917514 KSX917514:KSZ917514 KJB917514:KJD917514 JZF917514:JZH917514 JPJ917514:JPL917514 JFN917514:JFP917514 IVR917514:IVT917514 ILV917514:ILX917514 IBZ917514:ICB917514 HSD917514:HSF917514 HIH917514:HIJ917514 GYL917514:GYN917514 GOP917514:GOR917514 GET917514:GEV917514 FUX917514:FUZ917514 FLB917514:FLD917514 FBF917514:FBH917514 ERJ917514:ERL917514 EHN917514:EHP917514 DXR917514:DXT917514 DNV917514:DNX917514 DDZ917514:DEB917514 CUD917514:CUF917514 CKH917514:CKJ917514 CAL917514:CAN917514 BQP917514:BQR917514 BGT917514:BGV917514 AWX917514:AWZ917514 ANB917514:AND917514 ADF917514:ADH917514 TJ917514:TL917514 JN917514:JP917514 H917514:J917514 WVZ851978:WWB851978 WMD851978:WMF851978 WCH851978:WCJ851978 VSL851978:VSN851978 VIP851978:VIR851978 UYT851978:UYV851978 UOX851978:UOZ851978 UFB851978:UFD851978 TVF851978:TVH851978 TLJ851978:TLL851978 TBN851978:TBP851978 SRR851978:SRT851978 SHV851978:SHX851978 RXZ851978:RYB851978 ROD851978:ROF851978 REH851978:REJ851978 QUL851978:QUN851978 QKP851978:QKR851978 QAT851978:QAV851978 PQX851978:PQZ851978 PHB851978:PHD851978 OXF851978:OXH851978 ONJ851978:ONL851978 ODN851978:ODP851978 NTR851978:NTT851978 NJV851978:NJX851978 MZZ851978:NAB851978 MQD851978:MQF851978 MGH851978:MGJ851978 LWL851978:LWN851978 LMP851978:LMR851978 LCT851978:LCV851978 KSX851978:KSZ851978 KJB851978:KJD851978 JZF851978:JZH851978 JPJ851978:JPL851978 JFN851978:JFP851978 IVR851978:IVT851978 ILV851978:ILX851978 IBZ851978:ICB851978 HSD851978:HSF851978 HIH851978:HIJ851978 GYL851978:GYN851978 GOP851978:GOR851978 GET851978:GEV851978 FUX851978:FUZ851978 FLB851978:FLD851978 FBF851978:FBH851978 ERJ851978:ERL851978 EHN851978:EHP851978 DXR851978:DXT851978 DNV851978:DNX851978 DDZ851978:DEB851978 CUD851978:CUF851978 CKH851978:CKJ851978 CAL851978:CAN851978 BQP851978:BQR851978 BGT851978:BGV851978 AWX851978:AWZ851978 ANB851978:AND851978 ADF851978:ADH851978 TJ851978:TL851978 JN851978:JP851978 H851978:J851978 WVZ786442:WWB786442 WMD786442:WMF786442 WCH786442:WCJ786442 VSL786442:VSN786442 VIP786442:VIR786442 UYT786442:UYV786442 UOX786442:UOZ786442 UFB786442:UFD786442 TVF786442:TVH786442 TLJ786442:TLL786442 TBN786442:TBP786442 SRR786442:SRT786442 SHV786442:SHX786442 RXZ786442:RYB786442 ROD786442:ROF786442 REH786442:REJ786442 QUL786442:QUN786442 QKP786442:QKR786442 QAT786442:QAV786442 PQX786442:PQZ786442 PHB786442:PHD786442 OXF786442:OXH786442 ONJ786442:ONL786442 ODN786442:ODP786442 NTR786442:NTT786442 NJV786442:NJX786442 MZZ786442:NAB786442 MQD786442:MQF786442 MGH786442:MGJ786442 LWL786442:LWN786442 LMP786442:LMR786442 LCT786442:LCV786442 KSX786442:KSZ786442 KJB786442:KJD786442 JZF786442:JZH786442 JPJ786442:JPL786442 JFN786442:JFP786442 IVR786442:IVT786442 ILV786442:ILX786442 IBZ786442:ICB786442 HSD786442:HSF786442 HIH786442:HIJ786442 GYL786442:GYN786442 GOP786442:GOR786442 GET786442:GEV786442 FUX786442:FUZ786442 FLB786442:FLD786442 FBF786442:FBH786442 ERJ786442:ERL786442 EHN786442:EHP786442 DXR786442:DXT786442 DNV786442:DNX786442 DDZ786442:DEB786442 CUD786442:CUF786442 CKH786442:CKJ786442 CAL786442:CAN786442 BQP786442:BQR786442 BGT786442:BGV786442 AWX786442:AWZ786442 ANB786442:AND786442 ADF786442:ADH786442 TJ786442:TL786442 JN786442:JP786442 H786442:J786442 WVZ720906:WWB720906 WMD720906:WMF720906 WCH720906:WCJ720906 VSL720906:VSN720906 VIP720906:VIR720906 UYT720906:UYV720906 UOX720906:UOZ720906 UFB720906:UFD720906 TVF720906:TVH720906 TLJ720906:TLL720906 TBN720906:TBP720906 SRR720906:SRT720906 SHV720906:SHX720906 RXZ720906:RYB720906 ROD720906:ROF720906 REH720906:REJ720906 QUL720906:QUN720906 QKP720906:QKR720906 QAT720906:QAV720906 PQX720906:PQZ720906 PHB720906:PHD720906 OXF720906:OXH720906 ONJ720906:ONL720906 ODN720906:ODP720906 NTR720906:NTT720906 NJV720906:NJX720906 MZZ720906:NAB720906 MQD720906:MQF720906 MGH720906:MGJ720906 LWL720906:LWN720906 LMP720906:LMR720906 LCT720906:LCV720906 KSX720906:KSZ720906 KJB720906:KJD720906 JZF720906:JZH720906 JPJ720906:JPL720906 JFN720906:JFP720906 IVR720906:IVT720906 ILV720906:ILX720906 IBZ720906:ICB720906 HSD720906:HSF720906 HIH720906:HIJ720906 GYL720906:GYN720906 GOP720906:GOR720906 GET720906:GEV720906 FUX720906:FUZ720906 FLB720906:FLD720906 FBF720906:FBH720906 ERJ720906:ERL720906 EHN720906:EHP720906 DXR720906:DXT720906 DNV720906:DNX720906 DDZ720906:DEB720906 CUD720906:CUF720906 CKH720906:CKJ720906 CAL720906:CAN720906 BQP720906:BQR720906 BGT720906:BGV720906 AWX720906:AWZ720906 ANB720906:AND720906 ADF720906:ADH720906 TJ720906:TL720906 JN720906:JP720906 H720906:J720906 WVZ655370:WWB655370 WMD655370:WMF655370 WCH655370:WCJ655370 VSL655370:VSN655370 VIP655370:VIR655370 UYT655370:UYV655370 UOX655370:UOZ655370 UFB655370:UFD655370 TVF655370:TVH655370 TLJ655370:TLL655370 TBN655370:TBP655370 SRR655370:SRT655370 SHV655370:SHX655370 RXZ655370:RYB655370 ROD655370:ROF655370 REH655370:REJ655370 QUL655370:QUN655370 QKP655370:QKR655370 QAT655370:QAV655370 PQX655370:PQZ655370 PHB655370:PHD655370 OXF655370:OXH655370 ONJ655370:ONL655370 ODN655370:ODP655370 NTR655370:NTT655370 NJV655370:NJX655370 MZZ655370:NAB655370 MQD655370:MQF655370 MGH655370:MGJ655370 LWL655370:LWN655370 LMP655370:LMR655370 LCT655370:LCV655370 KSX655370:KSZ655370 KJB655370:KJD655370 JZF655370:JZH655370 JPJ655370:JPL655370 JFN655370:JFP655370 IVR655370:IVT655370 ILV655370:ILX655370 IBZ655370:ICB655370 HSD655370:HSF655370 HIH655370:HIJ655370 GYL655370:GYN655370 GOP655370:GOR655370 GET655370:GEV655370 FUX655370:FUZ655370 FLB655370:FLD655370 FBF655370:FBH655370 ERJ655370:ERL655370 EHN655370:EHP655370 DXR655370:DXT655370 DNV655370:DNX655370 DDZ655370:DEB655370 CUD655370:CUF655370 CKH655370:CKJ655370 CAL655370:CAN655370 BQP655370:BQR655370 BGT655370:BGV655370 AWX655370:AWZ655370 ANB655370:AND655370 ADF655370:ADH655370 TJ655370:TL655370 JN655370:JP655370 H655370:J655370 WVZ589834:WWB589834 WMD589834:WMF589834 WCH589834:WCJ589834 VSL589834:VSN589834 VIP589834:VIR589834 UYT589834:UYV589834 UOX589834:UOZ589834 UFB589834:UFD589834 TVF589834:TVH589834 TLJ589834:TLL589834 TBN589834:TBP589834 SRR589834:SRT589834 SHV589834:SHX589834 RXZ589834:RYB589834 ROD589834:ROF589834 REH589834:REJ589834 QUL589834:QUN589834 QKP589834:QKR589834 QAT589834:QAV589834 PQX589834:PQZ589834 PHB589834:PHD589834 OXF589834:OXH589834 ONJ589834:ONL589834 ODN589834:ODP589834 NTR589834:NTT589834 NJV589834:NJX589834 MZZ589834:NAB589834 MQD589834:MQF589834 MGH589834:MGJ589834 LWL589834:LWN589834 LMP589834:LMR589834 LCT589834:LCV589834 KSX589834:KSZ589834 KJB589834:KJD589834 JZF589834:JZH589834 JPJ589834:JPL589834 JFN589834:JFP589834 IVR589834:IVT589834 ILV589834:ILX589834 IBZ589834:ICB589834 HSD589834:HSF589834 HIH589834:HIJ589834 GYL589834:GYN589834 GOP589834:GOR589834 GET589834:GEV589834 FUX589834:FUZ589834 FLB589834:FLD589834 FBF589834:FBH589834 ERJ589834:ERL589834 EHN589834:EHP589834 DXR589834:DXT589834 DNV589834:DNX589834 DDZ589834:DEB589834 CUD589834:CUF589834 CKH589834:CKJ589834 CAL589834:CAN589834 BQP589834:BQR589834 BGT589834:BGV589834 AWX589834:AWZ589834 ANB589834:AND589834 ADF589834:ADH589834 TJ589834:TL589834 JN589834:JP589834 H589834:J589834 WVZ524298:WWB524298 WMD524298:WMF524298 WCH524298:WCJ524298 VSL524298:VSN524298 VIP524298:VIR524298 UYT524298:UYV524298 UOX524298:UOZ524298 UFB524298:UFD524298 TVF524298:TVH524298 TLJ524298:TLL524298 TBN524298:TBP524298 SRR524298:SRT524298 SHV524298:SHX524298 RXZ524298:RYB524298 ROD524298:ROF524298 REH524298:REJ524298 QUL524298:QUN524298 QKP524298:QKR524298 QAT524298:QAV524298 PQX524298:PQZ524298 PHB524298:PHD524298 OXF524298:OXH524298 ONJ524298:ONL524298 ODN524298:ODP524298 NTR524298:NTT524298 NJV524298:NJX524298 MZZ524298:NAB524298 MQD524298:MQF524298 MGH524298:MGJ524298 LWL524298:LWN524298 LMP524298:LMR524298 LCT524298:LCV524298 KSX524298:KSZ524298 KJB524298:KJD524298 JZF524298:JZH524298 JPJ524298:JPL524298 JFN524298:JFP524298 IVR524298:IVT524298 ILV524298:ILX524298 IBZ524298:ICB524298 HSD524298:HSF524298 HIH524298:HIJ524298 GYL524298:GYN524298 GOP524298:GOR524298 GET524298:GEV524298 FUX524298:FUZ524298 FLB524298:FLD524298 FBF524298:FBH524298 ERJ524298:ERL524298 EHN524298:EHP524298 DXR524298:DXT524298 DNV524298:DNX524298 DDZ524298:DEB524298 CUD524298:CUF524298 CKH524298:CKJ524298 CAL524298:CAN524298 BQP524298:BQR524298 BGT524298:BGV524298 AWX524298:AWZ524298 ANB524298:AND524298 ADF524298:ADH524298 TJ524298:TL524298 JN524298:JP524298 H524298:J524298 WVZ458762:WWB458762 WMD458762:WMF458762 WCH458762:WCJ458762 VSL458762:VSN458762 VIP458762:VIR458762 UYT458762:UYV458762 UOX458762:UOZ458762 UFB458762:UFD458762 TVF458762:TVH458762 TLJ458762:TLL458762 TBN458762:TBP458762 SRR458762:SRT458762 SHV458762:SHX458762 RXZ458762:RYB458762 ROD458762:ROF458762 REH458762:REJ458762 QUL458762:QUN458762 QKP458762:QKR458762 QAT458762:QAV458762 PQX458762:PQZ458762 PHB458762:PHD458762 OXF458762:OXH458762 ONJ458762:ONL458762 ODN458762:ODP458762 NTR458762:NTT458762 NJV458762:NJX458762 MZZ458762:NAB458762 MQD458762:MQF458762 MGH458762:MGJ458762 LWL458762:LWN458762 LMP458762:LMR458762 LCT458762:LCV458762 KSX458762:KSZ458762 KJB458762:KJD458762 JZF458762:JZH458762 JPJ458762:JPL458762 JFN458762:JFP458762 IVR458762:IVT458762 ILV458762:ILX458762 IBZ458762:ICB458762 HSD458762:HSF458762 HIH458762:HIJ458762 GYL458762:GYN458762 GOP458762:GOR458762 GET458762:GEV458762 FUX458762:FUZ458762 FLB458762:FLD458762 FBF458762:FBH458762 ERJ458762:ERL458762 EHN458762:EHP458762 DXR458762:DXT458762 DNV458762:DNX458762 DDZ458762:DEB458762 CUD458762:CUF458762 CKH458762:CKJ458762 CAL458762:CAN458762 BQP458762:BQR458762 BGT458762:BGV458762 AWX458762:AWZ458762 ANB458762:AND458762 ADF458762:ADH458762 TJ458762:TL458762 JN458762:JP458762 H458762:J458762 WVZ393226:WWB393226 WMD393226:WMF393226 WCH393226:WCJ393226 VSL393226:VSN393226 VIP393226:VIR393226 UYT393226:UYV393226 UOX393226:UOZ393226 UFB393226:UFD393226 TVF393226:TVH393226 TLJ393226:TLL393226 TBN393226:TBP393226 SRR393226:SRT393226 SHV393226:SHX393226 RXZ393226:RYB393226 ROD393226:ROF393226 REH393226:REJ393226 QUL393226:QUN393226 QKP393226:QKR393226 QAT393226:QAV393226 PQX393226:PQZ393226 PHB393226:PHD393226 OXF393226:OXH393226 ONJ393226:ONL393226 ODN393226:ODP393226 NTR393226:NTT393226 NJV393226:NJX393226 MZZ393226:NAB393226 MQD393226:MQF393226 MGH393226:MGJ393226 LWL393226:LWN393226 LMP393226:LMR393226 LCT393226:LCV393226 KSX393226:KSZ393226 KJB393226:KJD393226 JZF393226:JZH393226 JPJ393226:JPL393226 JFN393226:JFP393226 IVR393226:IVT393226 ILV393226:ILX393226 IBZ393226:ICB393226 HSD393226:HSF393226 HIH393226:HIJ393226 GYL393226:GYN393226 GOP393226:GOR393226 GET393226:GEV393226 FUX393226:FUZ393226 FLB393226:FLD393226 FBF393226:FBH393226 ERJ393226:ERL393226 EHN393226:EHP393226 DXR393226:DXT393226 DNV393226:DNX393226 DDZ393226:DEB393226 CUD393226:CUF393226 CKH393226:CKJ393226 CAL393226:CAN393226 BQP393226:BQR393226 BGT393226:BGV393226 AWX393226:AWZ393226 ANB393226:AND393226 ADF393226:ADH393226 TJ393226:TL393226 JN393226:JP393226 H393226:J393226 WVZ327690:WWB327690 WMD327690:WMF327690 WCH327690:WCJ327690 VSL327690:VSN327690 VIP327690:VIR327690 UYT327690:UYV327690 UOX327690:UOZ327690 UFB327690:UFD327690 TVF327690:TVH327690 TLJ327690:TLL327690 TBN327690:TBP327690 SRR327690:SRT327690 SHV327690:SHX327690 RXZ327690:RYB327690 ROD327690:ROF327690 REH327690:REJ327690 QUL327690:QUN327690 QKP327690:QKR327690 QAT327690:QAV327690 PQX327690:PQZ327690 PHB327690:PHD327690 OXF327690:OXH327690 ONJ327690:ONL327690 ODN327690:ODP327690 NTR327690:NTT327690 NJV327690:NJX327690 MZZ327690:NAB327690 MQD327690:MQF327690 MGH327690:MGJ327690 LWL327690:LWN327690 LMP327690:LMR327690 LCT327690:LCV327690 KSX327690:KSZ327690 KJB327690:KJD327690 JZF327690:JZH327690 JPJ327690:JPL327690 JFN327690:JFP327690 IVR327690:IVT327690 ILV327690:ILX327690 IBZ327690:ICB327690 HSD327690:HSF327690 HIH327690:HIJ327690 GYL327690:GYN327690 GOP327690:GOR327690 GET327690:GEV327690 FUX327690:FUZ327690 FLB327690:FLD327690 FBF327690:FBH327690 ERJ327690:ERL327690 EHN327690:EHP327690 DXR327690:DXT327690 DNV327690:DNX327690 DDZ327690:DEB327690 CUD327690:CUF327690 CKH327690:CKJ327690 CAL327690:CAN327690 BQP327690:BQR327690 BGT327690:BGV327690 AWX327690:AWZ327690 ANB327690:AND327690 ADF327690:ADH327690 TJ327690:TL327690 JN327690:JP327690 H327690:J327690 WVZ262154:WWB262154 WMD262154:WMF262154 WCH262154:WCJ262154 VSL262154:VSN262154 VIP262154:VIR262154 UYT262154:UYV262154 UOX262154:UOZ262154 UFB262154:UFD262154 TVF262154:TVH262154 TLJ262154:TLL262154 TBN262154:TBP262154 SRR262154:SRT262154 SHV262154:SHX262154 RXZ262154:RYB262154 ROD262154:ROF262154 REH262154:REJ262154 QUL262154:QUN262154 QKP262154:QKR262154 QAT262154:QAV262154 PQX262154:PQZ262154 PHB262154:PHD262154 OXF262154:OXH262154 ONJ262154:ONL262154 ODN262154:ODP262154 NTR262154:NTT262154 NJV262154:NJX262154 MZZ262154:NAB262154 MQD262154:MQF262154 MGH262154:MGJ262154 LWL262154:LWN262154 LMP262154:LMR262154 LCT262154:LCV262154 KSX262154:KSZ262154 KJB262154:KJD262154 JZF262154:JZH262154 JPJ262154:JPL262154 JFN262154:JFP262154 IVR262154:IVT262154 ILV262154:ILX262154 IBZ262154:ICB262154 HSD262154:HSF262154 HIH262154:HIJ262154 GYL262154:GYN262154 GOP262154:GOR262154 GET262154:GEV262154 FUX262154:FUZ262154 FLB262154:FLD262154 FBF262154:FBH262154 ERJ262154:ERL262154 EHN262154:EHP262154 DXR262154:DXT262154 DNV262154:DNX262154 DDZ262154:DEB262154 CUD262154:CUF262154 CKH262154:CKJ262154 CAL262154:CAN262154 BQP262154:BQR262154 BGT262154:BGV262154 AWX262154:AWZ262154 ANB262154:AND262154 ADF262154:ADH262154 TJ262154:TL262154 JN262154:JP262154 H262154:J262154 WVZ196618:WWB196618 WMD196618:WMF196618 WCH196618:WCJ196618 VSL196618:VSN196618 VIP196618:VIR196618 UYT196618:UYV196618 UOX196618:UOZ196618 UFB196618:UFD196618 TVF196618:TVH196618 TLJ196618:TLL196618 TBN196618:TBP196618 SRR196618:SRT196618 SHV196618:SHX196618 RXZ196618:RYB196618 ROD196618:ROF196618 REH196618:REJ196618 QUL196618:QUN196618 QKP196618:QKR196618 QAT196618:QAV196618 PQX196618:PQZ196618 PHB196618:PHD196618 OXF196618:OXH196618 ONJ196618:ONL196618 ODN196618:ODP196618 NTR196618:NTT196618 NJV196618:NJX196618 MZZ196618:NAB196618 MQD196618:MQF196618 MGH196618:MGJ196618 LWL196618:LWN196618 LMP196618:LMR196618 LCT196618:LCV196618 KSX196618:KSZ196618 KJB196618:KJD196618 JZF196618:JZH196618 JPJ196618:JPL196618 JFN196618:JFP196618 IVR196618:IVT196618 ILV196618:ILX196618 IBZ196618:ICB196618 HSD196618:HSF196618 HIH196618:HIJ196618 GYL196618:GYN196618 GOP196618:GOR196618 GET196618:GEV196618 FUX196618:FUZ196618 FLB196618:FLD196618 FBF196618:FBH196618 ERJ196618:ERL196618 EHN196618:EHP196618 DXR196618:DXT196618 DNV196618:DNX196618 DDZ196618:DEB196618 CUD196618:CUF196618 CKH196618:CKJ196618 CAL196618:CAN196618 BQP196618:BQR196618 BGT196618:BGV196618 AWX196618:AWZ196618 ANB196618:AND196618 ADF196618:ADH196618 TJ196618:TL196618 JN196618:JP196618 H196618:J196618 WVZ131082:WWB131082 WMD131082:WMF131082 WCH131082:WCJ131082 VSL131082:VSN131082 VIP131082:VIR131082 UYT131082:UYV131082 UOX131082:UOZ131082 UFB131082:UFD131082 TVF131082:TVH131082 TLJ131082:TLL131082 TBN131082:TBP131082 SRR131082:SRT131082 SHV131082:SHX131082 RXZ131082:RYB131082 ROD131082:ROF131082 REH131082:REJ131082 QUL131082:QUN131082 QKP131082:QKR131082 QAT131082:QAV131082 PQX131082:PQZ131082 PHB131082:PHD131082 OXF131082:OXH131082 ONJ131082:ONL131082 ODN131082:ODP131082 NTR131082:NTT131082 NJV131082:NJX131082 MZZ131082:NAB131082 MQD131082:MQF131082 MGH131082:MGJ131082 LWL131082:LWN131082 LMP131082:LMR131082 LCT131082:LCV131082 KSX131082:KSZ131082 KJB131082:KJD131082 JZF131082:JZH131082 JPJ131082:JPL131082 JFN131082:JFP131082 IVR131082:IVT131082 ILV131082:ILX131082 IBZ131082:ICB131082 HSD131082:HSF131082 HIH131082:HIJ131082 GYL131082:GYN131082 GOP131082:GOR131082 GET131082:GEV131082 FUX131082:FUZ131082 FLB131082:FLD131082 FBF131082:FBH131082 ERJ131082:ERL131082 EHN131082:EHP131082 DXR131082:DXT131082 DNV131082:DNX131082 DDZ131082:DEB131082 CUD131082:CUF131082 CKH131082:CKJ131082 CAL131082:CAN131082 BQP131082:BQR131082 BGT131082:BGV131082 AWX131082:AWZ131082 ANB131082:AND131082 ADF131082:ADH131082 TJ131082:TL131082 JN131082:JP131082 H131082:J131082 WVZ65546:WWB65546 WMD65546:WMF65546 WCH65546:WCJ65546 VSL65546:VSN65546 VIP65546:VIR65546 UYT65546:UYV65546 UOX65546:UOZ65546 UFB65546:UFD65546 TVF65546:TVH65546 TLJ65546:TLL65546 TBN65546:TBP65546 SRR65546:SRT65546 SHV65546:SHX65546 RXZ65546:RYB65546 ROD65546:ROF65546 REH65546:REJ65546 QUL65546:QUN65546 QKP65546:QKR65546 QAT65546:QAV65546 PQX65546:PQZ65546 PHB65546:PHD65546 OXF65546:OXH65546 ONJ65546:ONL65546 ODN65546:ODP65546 NTR65546:NTT65546 NJV65546:NJX65546 MZZ65546:NAB65546 MQD65546:MQF65546 MGH65546:MGJ65546 LWL65546:LWN65546 LMP65546:LMR65546 LCT65546:LCV65546 KSX65546:KSZ65546 KJB65546:KJD65546 JZF65546:JZH65546 JPJ65546:JPL65546 JFN65546:JFP65546 IVR65546:IVT65546 ILV65546:ILX65546 IBZ65546:ICB65546 HSD65546:HSF65546 HIH65546:HIJ65546 GYL65546:GYN65546 GOP65546:GOR65546 GET65546:GEV65546 FUX65546:FUZ65546 FLB65546:FLD65546 FBF65546:FBH65546 ERJ65546:ERL65546 EHN65546:EHP65546 DXR65546:DXT65546 DNV65546:DNX65546 DDZ65546:DEB65546 CUD65546:CUF65546 CKH65546:CKJ65546 CAL65546:CAN65546 BQP65546:BQR65546 BGT65546:BGV65546 AWX65546:AWZ65546 ANB65546:AND65546 ADF65546:ADH65546 TJ65546:TL65546 JN65546:JP65546 H65546:J65546 WVZ7:WWB7 WMD7:WMF7 WCH7:WCJ7 VSL7:VSN7 VIP7:VIR7 UYT7:UYV7 UOX7:UOZ7 UFB7:UFD7 TVF7:TVH7 TLJ7:TLL7 TBN7:TBP7 SRR7:SRT7 SHV7:SHX7 RXZ7:RYB7 ROD7:ROF7 REH7:REJ7 QUL7:QUN7 QKP7:QKR7 QAT7:QAV7 PQX7:PQZ7 PHB7:PHD7 OXF7:OXH7 ONJ7:ONL7 ODN7:ODP7 NTR7:NTT7 NJV7:NJX7 MZZ7:NAB7 MQD7:MQF7 MGH7:MGJ7 LWL7:LWN7 LMP7:LMR7 LCT7:LCV7 KSX7:KSZ7 KJB7:KJD7 JZF7:JZH7 JPJ7:JPL7 JFN7:JFP7 IVR7:IVT7 ILV7:ILX7 IBZ7:ICB7 HSD7:HSF7 HIH7:HIJ7 GYL7:GYN7 GOP7:GOR7 GET7:GEV7 FUX7:FUZ7 FLB7:FLD7 FBF7:FBH7 ERJ7:ERL7 EHN7:EHP7 DXR7:DXT7 DNV7:DNX7 DDZ7:DEB7 CUD7:CUF7 CKH7:CKJ7 CAL7:CAN7 BQP7:BQR7 BGT7:BGV7 AWX7:AWZ7 ANB7:AND7 ADF7:ADH7 TJ7:TL7">
      <formula1>$CH$9:$CH$20</formula1>
    </dataValidation>
    <dataValidation type="list" allowBlank="1" showInputMessage="1" showErrorMessage="1" promptTitle="NOM DE L'AVENANT" prompt="NOM DE L'AVENANT" sqref="H7:J7">
      <formula1>$CH$9:$CH$35</formula1>
    </dataValidation>
    <dataValidation type="list" allowBlank="1" showInputMessage="1" showErrorMessage="1" sqref="E65555 WVW983059 WMA983059 WCE983059 VSI983059 VIM983059 UYQ983059 UOU983059 UEY983059 TVC983059 TLG983059 TBK983059 SRO983059 SHS983059 RXW983059 ROA983059 REE983059 QUI983059 QKM983059 QAQ983059 PQU983059 PGY983059 OXC983059 ONG983059 ODK983059 NTO983059 NJS983059 MZW983059 MQA983059 MGE983059 LWI983059 LMM983059 LCQ983059 KSU983059 KIY983059 JZC983059 JPG983059 JFK983059 IVO983059 ILS983059 IBW983059 HSA983059 HIE983059 GYI983059 GOM983059 GEQ983059 FUU983059 FKY983059 FBC983059 ERG983059 EHK983059 DXO983059 DNS983059 DDW983059 CUA983059 CKE983059 CAI983059 BQM983059 BGQ983059 AWU983059 AMY983059 ADC983059 TG983059 JK983059 E983059 WVW917523 WMA917523 WCE917523 VSI917523 VIM917523 UYQ917523 UOU917523 UEY917523 TVC917523 TLG917523 TBK917523 SRO917523 SHS917523 RXW917523 ROA917523 REE917523 QUI917523 QKM917523 QAQ917523 PQU917523 PGY917523 OXC917523 ONG917523 ODK917523 NTO917523 NJS917523 MZW917523 MQA917523 MGE917523 LWI917523 LMM917523 LCQ917523 KSU917523 KIY917523 JZC917523 JPG917523 JFK917523 IVO917523 ILS917523 IBW917523 HSA917523 HIE917523 GYI917523 GOM917523 GEQ917523 FUU917523 FKY917523 FBC917523 ERG917523 EHK917523 DXO917523 DNS917523 DDW917523 CUA917523 CKE917523 CAI917523 BQM917523 BGQ917523 AWU917523 AMY917523 ADC917523 TG917523 JK917523 E917523 WVW851987 WMA851987 WCE851987 VSI851987 VIM851987 UYQ851987 UOU851987 UEY851987 TVC851987 TLG851987 TBK851987 SRO851987 SHS851987 RXW851987 ROA851987 REE851987 QUI851987 QKM851987 QAQ851987 PQU851987 PGY851987 OXC851987 ONG851987 ODK851987 NTO851987 NJS851987 MZW851987 MQA851987 MGE851987 LWI851987 LMM851987 LCQ851987 KSU851987 KIY851987 JZC851987 JPG851987 JFK851987 IVO851987 ILS851987 IBW851987 HSA851987 HIE851987 GYI851987 GOM851987 GEQ851987 FUU851987 FKY851987 FBC851987 ERG851987 EHK851987 DXO851987 DNS851987 DDW851987 CUA851987 CKE851987 CAI851987 BQM851987 BGQ851987 AWU851987 AMY851987 ADC851987 TG851987 JK851987 E851987 WVW786451 WMA786451 WCE786451 VSI786451 VIM786451 UYQ786451 UOU786451 UEY786451 TVC786451 TLG786451 TBK786451 SRO786451 SHS786451 RXW786451 ROA786451 REE786451 QUI786451 QKM786451 QAQ786451 PQU786451 PGY786451 OXC786451 ONG786451 ODK786451 NTO786451 NJS786451 MZW786451 MQA786451 MGE786451 LWI786451 LMM786451 LCQ786451 KSU786451 KIY786451 JZC786451 JPG786451 JFK786451 IVO786451 ILS786451 IBW786451 HSA786451 HIE786451 GYI786451 GOM786451 GEQ786451 FUU786451 FKY786451 FBC786451 ERG786451 EHK786451 DXO786451 DNS786451 DDW786451 CUA786451 CKE786451 CAI786451 BQM786451 BGQ786451 AWU786451 AMY786451 ADC786451 TG786451 JK786451 E786451 WVW720915 WMA720915 WCE720915 VSI720915 VIM720915 UYQ720915 UOU720915 UEY720915 TVC720915 TLG720915 TBK720915 SRO720915 SHS720915 RXW720915 ROA720915 REE720915 QUI720915 QKM720915 QAQ720915 PQU720915 PGY720915 OXC720915 ONG720915 ODK720915 NTO720915 NJS720915 MZW720915 MQA720915 MGE720915 LWI720915 LMM720915 LCQ720915 KSU720915 KIY720915 JZC720915 JPG720915 JFK720915 IVO720915 ILS720915 IBW720915 HSA720915 HIE720915 GYI720915 GOM720915 GEQ720915 FUU720915 FKY720915 FBC720915 ERG720915 EHK720915 DXO720915 DNS720915 DDW720915 CUA720915 CKE720915 CAI720915 BQM720915 BGQ720915 AWU720915 AMY720915 ADC720915 TG720915 JK720915 E720915 WVW655379 WMA655379 WCE655379 VSI655379 VIM655379 UYQ655379 UOU655379 UEY655379 TVC655379 TLG655379 TBK655379 SRO655379 SHS655379 RXW655379 ROA655379 REE655379 QUI655379 QKM655379 QAQ655379 PQU655379 PGY655379 OXC655379 ONG655379 ODK655379 NTO655379 NJS655379 MZW655379 MQA655379 MGE655379 LWI655379 LMM655379 LCQ655379 KSU655379 KIY655379 JZC655379 JPG655379 JFK655379 IVO655379 ILS655379 IBW655379 HSA655379 HIE655379 GYI655379 GOM655379 GEQ655379 FUU655379 FKY655379 FBC655379 ERG655379 EHK655379 DXO655379 DNS655379 DDW655379 CUA655379 CKE655379 CAI655379 BQM655379 BGQ655379 AWU655379 AMY655379 ADC655379 TG655379 JK655379 E655379 WVW589843 WMA589843 WCE589843 VSI589843 VIM589843 UYQ589843 UOU589843 UEY589843 TVC589843 TLG589843 TBK589843 SRO589843 SHS589843 RXW589843 ROA589843 REE589843 QUI589843 QKM589843 QAQ589843 PQU589843 PGY589843 OXC589843 ONG589843 ODK589843 NTO589843 NJS589843 MZW589843 MQA589843 MGE589843 LWI589843 LMM589843 LCQ589843 KSU589843 KIY589843 JZC589843 JPG589843 JFK589843 IVO589843 ILS589843 IBW589843 HSA589843 HIE589843 GYI589843 GOM589843 GEQ589843 FUU589843 FKY589843 FBC589843 ERG589843 EHK589843 DXO589843 DNS589843 DDW589843 CUA589843 CKE589843 CAI589843 BQM589843 BGQ589843 AWU589843 AMY589843 ADC589843 TG589843 JK589843 E589843 WVW524307 WMA524307 WCE524307 VSI524307 VIM524307 UYQ524307 UOU524307 UEY524307 TVC524307 TLG524307 TBK524307 SRO524307 SHS524307 RXW524307 ROA524307 REE524307 QUI524307 QKM524307 QAQ524307 PQU524307 PGY524307 OXC524307 ONG524307 ODK524307 NTO524307 NJS524307 MZW524307 MQA524307 MGE524307 LWI524307 LMM524307 LCQ524307 KSU524307 KIY524307 JZC524307 JPG524307 JFK524307 IVO524307 ILS524307 IBW524307 HSA524307 HIE524307 GYI524307 GOM524307 GEQ524307 FUU524307 FKY524307 FBC524307 ERG524307 EHK524307 DXO524307 DNS524307 DDW524307 CUA524307 CKE524307 CAI524307 BQM524307 BGQ524307 AWU524307 AMY524307 ADC524307 TG524307 JK524307 E524307 WVW458771 WMA458771 WCE458771 VSI458771 VIM458771 UYQ458771 UOU458771 UEY458771 TVC458771 TLG458771 TBK458771 SRO458771 SHS458771 RXW458771 ROA458771 REE458771 QUI458771 QKM458771 QAQ458771 PQU458771 PGY458771 OXC458771 ONG458771 ODK458771 NTO458771 NJS458771 MZW458771 MQA458771 MGE458771 LWI458771 LMM458771 LCQ458771 KSU458771 KIY458771 JZC458771 JPG458771 JFK458771 IVO458771 ILS458771 IBW458771 HSA458771 HIE458771 GYI458771 GOM458771 GEQ458771 FUU458771 FKY458771 FBC458771 ERG458771 EHK458771 DXO458771 DNS458771 DDW458771 CUA458771 CKE458771 CAI458771 BQM458771 BGQ458771 AWU458771 AMY458771 ADC458771 TG458771 JK458771 E458771 WVW393235 WMA393235 WCE393235 VSI393235 VIM393235 UYQ393235 UOU393235 UEY393235 TVC393235 TLG393235 TBK393235 SRO393235 SHS393235 RXW393235 ROA393235 REE393235 QUI393235 QKM393235 QAQ393235 PQU393235 PGY393235 OXC393235 ONG393235 ODK393235 NTO393235 NJS393235 MZW393235 MQA393235 MGE393235 LWI393235 LMM393235 LCQ393235 KSU393235 KIY393235 JZC393235 JPG393235 JFK393235 IVO393235 ILS393235 IBW393235 HSA393235 HIE393235 GYI393235 GOM393235 GEQ393235 FUU393235 FKY393235 FBC393235 ERG393235 EHK393235 DXO393235 DNS393235 DDW393235 CUA393235 CKE393235 CAI393235 BQM393235 BGQ393235 AWU393235 AMY393235 ADC393235 TG393235 JK393235 E393235 WVW327699 WMA327699 WCE327699 VSI327699 VIM327699 UYQ327699 UOU327699 UEY327699 TVC327699 TLG327699 TBK327699 SRO327699 SHS327699 RXW327699 ROA327699 REE327699 QUI327699 QKM327699 QAQ327699 PQU327699 PGY327699 OXC327699 ONG327699 ODK327699 NTO327699 NJS327699 MZW327699 MQA327699 MGE327699 LWI327699 LMM327699 LCQ327699 KSU327699 KIY327699 JZC327699 JPG327699 JFK327699 IVO327699 ILS327699 IBW327699 HSA327699 HIE327699 GYI327699 GOM327699 GEQ327699 FUU327699 FKY327699 FBC327699 ERG327699 EHK327699 DXO327699 DNS327699 DDW327699 CUA327699 CKE327699 CAI327699 BQM327699 BGQ327699 AWU327699 AMY327699 ADC327699 TG327699 JK327699 E327699 WVW262163 WMA262163 WCE262163 VSI262163 VIM262163 UYQ262163 UOU262163 UEY262163 TVC262163 TLG262163 TBK262163 SRO262163 SHS262163 RXW262163 ROA262163 REE262163 QUI262163 QKM262163 QAQ262163 PQU262163 PGY262163 OXC262163 ONG262163 ODK262163 NTO262163 NJS262163 MZW262163 MQA262163 MGE262163 LWI262163 LMM262163 LCQ262163 KSU262163 KIY262163 JZC262163 JPG262163 JFK262163 IVO262163 ILS262163 IBW262163 HSA262163 HIE262163 GYI262163 GOM262163 GEQ262163 FUU262163 FKY262163 FBC262163 ERG262163 EHK262163 DXO262163 DNS262163 DDW262163 CUA262163 CKE262163 CAI262163 BQM262163 BGQ262163 AWU262163 AMY262163 ADC262163 TG262163 JK262163 E262163 WVW196627 WMA196627 WCE196627 VSI196627 VIM196627 UYQ196627 UOU196627 UEY196627 TVC196627 TLG196627 TBK196627 SRO196627 SHS196627 RXW196627 ROA196627 REE196627 QUI196627 QKM196627 QAQ196627 PQU196627 PGY196627 OXC196627 ONG196627 ODK196627 NTO196627 NJS196627 MZW196627 MQA196627 MGE196627 LWI196627 LMM196627 LCQ196627 KSU196627 KIY196627 JZC196627 JPG196627 JFK196627 IVO196627 ILS196627 IBW196627 HSA196627 HIE196627 GYI196627 GOM196627 GEQ196627 FUU196627 FKY196627 FBC196627 ERG196627 EHK196627 DXO196627 DNS196627 DDW196627 CUA196627 CKE196627 CAI196627 BQM196627 BGQ196627 AWU196627 AMY196627 ADC196627 TG196627 JK196627 E196627 WVW131091 WMA131091 WCE131091 VSI131091 VIM131091 UYQ131091 UOU131091 UEY131091 TVC131091 TLG131091 TBK131091 SRO131091 SHS131091 RXW131091 ROA131091 REE131091 QUI131091 QKM131091 QAQ131091 PQU131091 PGY131091 OXC131091 ONG131091 ODK131091 NTO131091 NJS131091 MZW131091 MQA131091 MGE131091 LWI131091 LMM131091 LCQ131091 KSU131091 KIY131091 JZC131091 JPG131091 JFK131091 IVO131091 ILS131091 IBW131091 HSA131091 HIE131091 GYI131091 GOM131091 GEQ131091 FUU131091 FKY131091 FBC131091 ERG131091 EHK131091 DXO131091 DNS131091 DDW131091 CUA131091 CKE131091 CAI131091 BQM131091 BGQ131091 AWU131091 AMY131091 ADC131091 TG131091 JK131091 E131091 WVW65555 WMA65555 WCE65555 VSI65555 VIM65555 UYQ65555 UOU65555 UEY65555 TVC65555 TLG65555 TBK65555 SRO65555 SHS65555 RXW65555 ROA65555 REE65555 QUI65555 QKM65555 QAQ65555 PQU65555 PGY65555 OXC65555 ONG65555 ODK65555 NTO65555 NJS65555 MZW65555 MQA65555 MGE65555 LWI65555 LMM65555 LCQ65555 KSU65555 KIY65555 JZC65555 JPG65555 JFK65555 IVO65555 ILS65555 IBW65555 HSA65555 HIE65555 GYI65555 GOM65555 GEQ65555 FUU65555 FKY65555 FBC65555 ERG65555 EHK65555 DXO65555 DNS65555 DDW65555 CUA65555 CKE65555 CAI65555 BQM65555 BGQ65555 AWU65555 AMY65555 ADC65555 TG65555 JK65555 WVW17 WMA17 WCE17 VSI17 VIM17 UYQ17 UOU17 UEY17 TVC17 TLG17 TBK17 SRO17 SHS17 RXW17 ROA17 REE17 QUI17 QKM17 QAQ17 PQU17 PGY17 OXC17 ONG17 ODK17 NTO17 NJS17 MZW17 MQA17 MGE17 LWI17 LMM17 LCQ17 KSU17 KIY17 JZC17 JPG17 JFK17 IVO17 ILS17 IBW17 HSA17 HIE17 GYI17 GOM17 GEQ17 FUU17 FKY17 FBC17 ERG17 EHK17 DXO17 DNS17 DDW17 CUA17 CKE17 CAI17 BQM17 BGQ17 AWU17 AMY17 ADC17 TG17 E17 JK17">
      <formula1>$DT$5:$DT$109</formula1>
    </dataValidation>
    <dataValidation type="list" allowBlank="1" showInputMessage="1" showErrorMessage="1" sqref="K3">
      <formula1>$DY$11:$DY$23</formula1>
    </dataValidation>
    <dataValidation type="list" allowBlank="1" showInputMessage="1" showErrorMessage="1" sqref="WWC983044 WMG983044 WCK983044 VSO983044 VIS983044 UYW983044 UPA983044 UFE983044 TVI983044 TLM983044 TBQ983044 SRU983044 SHY983044 RYC983044 ROG983044 REK983044 QUO983044 QKS983044 QAW983044 PRA983044 PHE983044 OXI983044 ONM983044 ODQ983044 NTU983044 NJY983044 NAC983044 MQG983044 MGK983044 LWO983044 LMS983044 LCW983044 KTA983044 KJE983044 JZI983044 JPM983044 JFQ983044 IVU983044 ILY983044 ICC983044 HSG983044 HIK983044 GYO983044 GOS983044 GEW983044 FVA983044 FLE983044 FBI983044 ERM983044 EHQ983044 DXU983044 DNY983044 DEC983044 CUG983044 CKK983044 CAO983044 BQS983044 BGW983044 AXA983044 ANE983044 ADI983044 TM983044 JQ983044 K983044 WWC917508 WMG917508 WCK917508 VSO917508 VIS917508 UYW917508 UPA917508 UFE917508 TVI917508 TLM917508 TBQ917508 SRU917508 SHY917508 RYC917508 ROG917508 REK917508 QUO917508 QKS917508 QAW917508 PRA917508 PHE917508 OXI917508 ONM917508 ODQ917508 NTU917508 NJY917508 NAC917508 MQG917508 MGK917508 LWO917508 LMS917508 LCW917508 KTA917508 KJE917508 JZI917508 JPM917508 JFQ917508 IVU917508 ILY917508 ICC917508 HSG917508 HIK917508 GYO917508 GOS917508 GEW917508 FVA917508 FLE917508 FBI917508 ERM917508 EHQ917508 DXU917508 DNY917508 DEC917508 CUG917508 CKK917508 CAO917508 BQS917508 BGW917508 AXA917508 ANE917508 ADI917508 TM917508 JQ917508 K917508 WWC851972 WMG851972 WCK851972 VSO851972 VIS851972 UYW851972 UPA851972 UFE851972 TVI851972 TLM851972 TBQ851972 SRU851972 SHY851972 RYC851972 ROG851972 REK851972 QUO851972 QKS851972 QAW851972 PRA851972 PHE851972 OXI851972 ONM851972 ODQ851972 NTU851972 NJY851972 NAC851972 MQG851972 MGK851972 LWO851972 LMS851972 LCW851972 KTA851972 KJE851972 JZI851972 JPM851972 JFQ851972 IVU851972 ILY851972 ICC851972 HSG851972 HIK851972 GYO851972 GOS851972 GEW851972 FVA851972 FLE851972 FBI851972 ERM851972 EHQ851972 DXU851972 DNY851972 DEC851972 CUG851972 CKK851972 CAO851972 BQS851972 BGW851972 AXA851972 ANE851972 ADI851972 TM851972 JQ851972 K851972 WWC786436 WMG786436 WCK786436 VSO786436 VIS786436 UYW786436 UPA786436 UFE786436 TVI786436 TLM786436 TBQ786436 SRU786436 SHY786436 RYC786436 ROG786436 REK786436 QUO786436 QKS786436 QAW786436 PRA786436 PHE786436 OXI786436 ONM786436 ODQ786436 NTU786436 NJY786436 NAC786436 MQG786436 MGK786436 LWO786436 LMS786436 LCW786436 KTA786436 KJE786436 JZI786436 JPM786436 JFQ786436 IVU786436 ILY786436 ICC786436 HSG786436 HIK786436 GYO786436 GOS786436 GEW786436 FVA786436 FLE786436 FBI786436 ERM786436 EHQ786436 DXU786436 DNY786436 DEC786436 CUG786436 CKK786436 CAO786436 BQS786436 BGW786436 AXA786436 ANE786436 ADI786436 TM786436 JQ786436 K786436 WWC720900 WMG720900 WCK720900 VSO720900 VIS720900 UYW720900 UPA720900 UFE720900 TVI720900 TLM720900 TBQ720900 SRU720900 SHY720900 RYC720900 ROG720900 REK720900 QUO720900 QKS720900 QAW720900 PRA720900 PHE720900 OXI720900 ONM720900 ODQ720900 NTU720900 NJY720900 NAC720900 MQG720900 MGK720900 LWO720900 LMS720900 LCW720900 KTA720900 KJE720900 JZI720900 JPM720900 JFQ720900 IVU720900 ILY720900 ICC720900 HSG720900 HIK720900 GYO720900 GOS720900 GEW720900 FVA720900 FLE720900 FBI720900 ERM720900 EHQ720900 DXU720900 DNY720900 DEC720900 CUG720900 CKK720900 CAO720900 BQS720900 BGW720900 AXA720900 ANE720900 ADI720900 TM720900 JQ720900 K720900 WWC655364 WMG655364 WCK655364 VSO655364 VIS655364 UYW655364 UPA655364 UFE655364 TVI655364 TLM655364 TBQ655364 SRU655364 SHY655364 RYC655364 ROG655364 REK655364 QUO655364 QKS655364 QAW655364 PRA655364 PHE655364 OXI655364 ONM655364 ODQ655364 NTU655364 NJY655364 NAC655364 MQG655364 MGK655364 LWO655364 LMS655364 LCW655364 KTA655364 KJE655364 JZI655364 JPM655364 JFQ655364 IVU655364 ILY655364 ICC655364 HSG655364 HIK655364 GYO655364 GOS655364 GEW655364 FVA655364 FLE655364 FBI655364 ERM655364 EHQ655364 DXU655364 DNY655364 DEC655364 CUG655364 CKK655364 CAO655364 BQS655364 BGW655364 AXA655364 ANE655364 ADI655364 TM655364 JQ655364 K655364 WWC589828 WMG589828 WCK589828 VSO589828 VIS589828 UYW589828 UPA589828 UFE589828 TVI589828 TLM589828 TBQ589828 SRU589828 SHY589828 RYC589828 ROG589828 REK589828 QUO589828 QKS589828 QAW589828 PRA589828 PHE589828 OXI589828 ONM589828 ODQ589828 NTU589828 NJY589828 NAC589828 MQG589828 MGK589828 LWO589828 LMS589828 LCW589828 KTA589828 KJE589828 JZI589828 JPM589828 JFQ589828 IVU589828 ILY589828 ICC589828 HSG589828 HIK589828 GYO589828 GOS589828 GEW589828 FVA589828 FLE589828 FBI589828 ERM589828 EHQ589828 DXU589828 DNY589828 DEC589828 CUG589828 CKK589828 CAO589828 BQS589828 BGW589828 AXA589828 ANE589828 ADI589828 TM589828 JQ589828 K589828 WWC524292 WMG524292 WCK524292 VSO524292 VIS524292 UYW524292 UPA524292 UFE524292 TVI524292 TLM524292 TBQ524292 SRU524292 SHY524292 RYC524292 ROG524292 REK524292 QUO524292 QKS524292 QAW524292 PRA524292 PHE524292 OXI524292 ONM524292 ODQ524292 NTU524292 NJY524292 NAC524292 MQG524292 MGK524292 LWO524292 LMS524292 LCW524292 KTA524292 KJE524292 JZI524292 JPM524292 JFQ524292 IVU524292 ILY524292 ICC524292 HSG524292 HIK524292 GYO524292 GOS524292 GEW524292 FVA524292 FLE524292 FBI524292 ERM524292 EHQ524292 DXU524292 DNY524292 DEC524292 CUG524292 CKK524292 CAO524292 BQS524292 BGW524292 AXA524292 ANE524292 ADI524292 TM524292 JQ524292 K524292 WWC458756 WMG458756 WCK458756 VSO458756 VIS458756 UYW458756 UPA458756 UFE458756 TVI458756 TLM458756 TBQ458756 SRU458756 SHY458756 RYC458756 ROG458756 REK458756 QUO458756 QKS458756 QAW458756 PRA458756 PHE458756 OXI458756 ONM458756 ODQ458756 NTU458756 NJY458756 NAC458756 MQG458756 MGK458756 LWO458756 LMS458756 LCW458756 KTA458756 KJE458756 JZI458756 JPM458756 JFQ458756 IVU458756 ILY458756 ICC458756 HSG458756 HIK458756 GYO458756 GOS458756 GEW458756 FVA458756 FLE458756 FBI458756 ERM458756 EHQ458756 DXU458756 DNY458756 DEC458756 CUG458756 CKK458756 CAO458756 BQS458756 BGW458756 AXA458756 ANE458756 ADI458756 TM458756 JQ458756 K458756 WWC393220 WMG393220 WCK393220 VSO393220 VIS393220 UYW393220 UPA393220 UFE393220 TVI393220 TLM393220 TBQ393220 SRU393220 SHY393220 RYC393220 ROG393220 REK393220 QUO393220 QKS393220 QAW393220 PRA393220 PHE393220 OXI393220 ONM393220 ODQ393220 NTU393220 NJY393220 NAC393220 MQG393220 MGK393220 LWO393220 LMS393220 LCW393220 KTA393220 KJE393220 JZI393220 JPM393220 JFQ393220 IVU393220 ILY393220 ICC393220 HSG393220 HIK393220 GYO393220 GOS393220 GEW393220 FVA393220 FLE393220 FBI393220 ERM393220 EHQ393220 DXU393220 DNY393220 DEC393220 CUG393220 CKK393220 CAO393220 BQS393220 BGW393220 AXA393220 ANE393220 ADI393220 TM393220 JQ393220 K393220 WWC327684 WMG327684 WCK327684 VSO327684 VIS327684 UYW327684 UPA327684 UFE327684 TVI327684 TLM327684 TBQ327684 SRU327684 SHY327684 RYC327684 ROG327684 REK327684 QUO327684 QKS327684 QAW327684 PRA327684 PHE327684 OXI327684 ONM327684 ODQ327684 NTU327684 NJY327684 NAC327684 MQG327684 MGK327684 LWO327684 LMS327684 LCW327684 KTA327684 KJE327684 JZI327684 JPM327684 JFQ327684 IVU327684 ILY327684 ICC327684 HSG327684 HIK327684 GYO327684 GOS327684 GEW327684 FVA327684 FLE327684 FBI327684 ERM327684 EHQ327684 DXU327684 DNY327684 DEC327684 CUG327684 CKK327684 CAO327684 BQS327684 BGW327684 AXA327684 ANE327684 ADI327684 TM327684 JQ327684 K327684 WWC262148 WMG262148 WCK262148 VSO262148 VIS262148 UYW262148 UPA262148 UFE262148 TVI262148 TLM262148 TBQ262148 SRU262148 SHY262148 RYC262148 ROG262148 REK262148 QUO262148 QKS262148 QAW262148 PRA262148 PHE262148 OXI262148 ONM262148 ODQ262148 NTU262148 NJY262148 NAC262148 MQG262148 MGK262148 LWO262148 LMS262148 LCW262148 KTA262148 KJE262148 JZI262148 JPM262148 JFQ262148 IVU262148 ILY262148 ICC262148 HSG262148 HIK262148 GYO262148 GOS262148 GEW262148 FVA262148 FLE262148 FBI262148 ERM262148 EHQ262148 DXU262148 DNY262148 DEC262148 CUG262148 CKK262148 CAO262148 BQS262148 BGW262148 AXA262148 ANE262148 ADI262148 TM262148 JQ262148 K262148 WWC196612 WMG196612 WCK196612 VSO196612 VIS196612 UYW196612 UPA196612 UFE196612 TVI196612 TLM196612 TBQ196612 SRU196612 SHY196612 RYC196612 ROG196612 REK196612 QUO196612 QKS196612 QAW196612 PRA196612 PHE196612 OXI196612 ONM196612 ODQ196612 NTU196612 NJY196612 NAC196612 MQG196612 MGK196612 LWO196612 LMS196612 LCW196612 KTA196612 KJE196612 JZI196612 JPM196612 JFQ196612 IVU196612 ILY196612 ICC196612 HSG196612 HIK196612 GYO196612 GOS196612 GEW196612 FVA196612 FLE196612 FBI196612 ERM196612 EHQ196612 DXU196612 DNY196612 DEC196612 CUG196612 CKK196612 CAO196612 BQS196612 BGW196612 AXA196612 ANE196612 ADI196612 TM196612 JQ196612 K196612 WWC131076 WMG131076 WCK131076 VSO131076 VIS131076 UYW131076 UPA131076 UFE131076 TVI131076 TLM131076 TBQ131076 SRU131076 SHY131076 RYC131076 ROG131076 REK131076 QUO131076 QKS131076 QAW131076 PRA131076 PHE131076 OXI131076 ONM131076 ODQ131076 NTU131076 NJY131076 NAC131076 MQG131076 MGK131076 LWO131076 LMS131076 LCW131076 KTA131076 KJE131076 JZI131076 JPM131076 JFQ131076 IVU131076 ILY131076 ICC131076 HSG131076 HIK131076 GYO131076 GOS131076 GEW131076 FVA131076 FLE131076 FBI131076 ERM131076 EHQ131076 DXU131076 DNY131076 DEC131076 CUG131076 CKK131076 CAO131076 BQS131076 BGW131076 AXA131076 ANE131076 ADI131076 TM131076 JQ131076 K131076 WWC65540 WMG65540 WCK65540 VSO65540 VIS65540 UYW65540 UPA65540 UFE65540 TVI65540 TLM65540 TBQ65540 SRU65540 SHY65540 RYC65540 ROG65540 REK65540 QUO65540 QKS65540 QAW65540 PRA65540 PHE65540 OXI65540 ONM65540 ODQ65540 NTU65540 NJY65540 NAC65540 MQG65540 MGK65540 LWO65540 LMS65540 LCW65540 KTA65540 KJE65540 JZI65540 JPM65540 JFQ65540 IVU65540 ILY65540 ICC65540 HSG65540 HIK65540 GYO65540 GOS65540 GEW65540 FVA65540 FLE65540 FBI65540 ERM65540 EHQ65540 DXU65540 DNY65540 DEC65540 CUG65540 CKK65540 CAO65540 BQS65540 BGW65540 AXA65540 ANE65540 ADI65540 TM65540 JQ65540 K65540 WWC1 WMG1 WCK1 VSO1 VIS1 UYW1 UPA1 UFE1 TVI1 TLM1 TBQ1 SRU1 SHY1 RYC1 ROG1 REK1 QUO1 QKS1 QAW1 PRA1 PHE1 OXI1 ONM1 ODQ1 NTU1 NJY1 NAC1 MQG1 MGK1 LWO1 LMS1 LCW1 KTA1 KJE1 JZI1 JPM1 JFQ1 IVU1 ILY1 ICC1 HSG1 HIK1 GYO1 GOS1 GEW1 FVA1 FLE1 FBI1 ERM1 EHQ1 DXU1 DNY1 DEC1 CUG1 CKK1 CAO1 BQS1 BGW1 AXA1 ANE1 ADI1 TM1 JQ1">
      <formula1>$DY$11:$DY$20</formula1>
    </dataValidation>
    <dataValidation type="list" allowBlank="1" showInputMessage="1" showErrorMessage="1" sqref="F20:G20">
      <formula1>$EO$6:$EO$16</formula1>
    </dataValidation>
  </dataValidations>
  <pageMargins left="0.59055118110236227" right="0.59055118110236227" top="0.11811023622047245" bottom="0.11811023622047245" header="0.51181102362204722" footer="0.51181102362204722"/>
  <pageSetup paperSize="9" scale="85" orientation="portrait" r:id="rId1"/>
  <headerFooter alignWithMargins="0">
    <oddFooter>&amp;L&amp;D à &amp;T</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00B050"/>
  </sheetPr>
  <dimension ref="A5:CK51"/>
  <sheetViews>
    <sheetView topLeftCell="A11" workbookViewId="0">
      <selection activeCell="A49" sqref="A49:H49"/>
    </sheetView>
  </sheetViews>
  <sheetFormatPr defaultColWidth="11.42578125" defaultRowHeight="12.75"/>
  <cols>
    <col min="1" max="1" width="13.85546875" style="37" customWidth="1"/>
    <col min="2" max="2" width="10.85546875" style="37" customWidth="1"/>
    <col min="3" max="3" width="9.28515625" style="37" customWidth="1"/>
    <col min="4" max="4" width="6.5703125" style="37" bestFit="1" customWidth="1"/>
    <col min="5" max="5" width="10.28515625" style="37" bestFit="1" customWidth="1"/>
    <col min="6" max="6" width="11.28515625" style="37" bestFit="1" customWidth="1"/>
    <col min="7" max="7" width="11.85546875" style="37" bestFit="1" customWidth="1"/>
    <col min="8" max="8" width="13.42578125" style="37" bestFit="1" customWidth="1"/>
    <col min="9" max="9" width="12.85546875" style="21" hidden="1" customWidth="1"/>
    <col min="10" max="10" width="8" style="21" bestFit="1" customWidth="1"/>
    <col min="11" max="12" width="0" style="21" hidden="1" customWidth="1"/>
    <col min="13" max="80" width="11.42578125" style="21"/>
    <col min="81" max="89" width="0" style="21" hidden="1" customWidth="1"/>
    <col min="90" max="257" width="11.42578125" style="21"/>
    <col min="258" max="258" width="17.85546875" style="21" customWidth="1"/>
    <col min="259" max="259" width="11.28515625" style="21" customWidth="1"/>
    <col min="260" max="260" width="8.85546875" style="21" customWidth="1"/>
    <col min="261" max="261" width="9.7109375" style="21" customWidth="1"/>
    <col min="262" max="262" width="10.85546875" style="21" customWidth="1"/>
    <col min="263" max="263" width="12.5703125" style="21" customWidth="1"/>
    <col min="264" max="264" width="17.42578125" style="21" customWidth="1"/>
    <col min="265" max="265" width="12.85546875" style="21" customWidth="1"/>
    <col min="266" max="513" width="11.42578125" style="21"/>
    <col min="514" max="514" width="17.85546875" style="21" customWidth="1"/>
    <col min="515" max="515" width="11.28515625" style="21" customWidth="1"/>
    <col min="516" max="516" width="8.85546875" style="21" customWidth="1"/>
    <col min="517" max="517" width="9.7109375" style="21" customWidth="1"/>
    <col min="518" max="518" width="10.85546875" style="21" customWidth="1"/>
    <col min="519" max="519" width="12.5703125" style="21" customWidth="1"/>
    <col min="520" max="520" width="17.42578125" style="21" customWidth="1"/>
    <col min="521" max="521" width="12.85546875" style="21" customWidth="1"/>
    <col min="522" max="769" width="11.42578125" style="21"/>
    <col min="770" max="770" width="17.85546875" style="21" customWidth="1"/>
    <col min="771" max="771" width="11.28515625" style="21" customWidth="1"/>
    <col min="772" max="772" width="8.85546875" style="21" customWidth="1"/>
    <col min="773" max="773" width="9.7109375" style="21" customWidth="1"/>
    <col min="774" max="774" width="10.85546875" style="21" customWidth="1"/>
    <col min="775" max="775" width="12.5703125" style="21" customWidth="1"/>
    <col min="776" max="776" width="17.42578125" style="21" customWidth="1"/>
    <col min="777" max="777" width="12.85546875" style="21" customWidth="1"/>
    <col min="778" max="1025" width="11.42578125" style="21"/>
    <col min="1026" max="1026" width="17.85546875" style="21" customWidth="1"/>
    <col min="1027" max="1027" width="11.28515625" style="21" customWidth="1"/>
    <col min="1028" max="1028" width="8.85546875" style="21" customWidth="1"/>
    <col min="1029" max="1029" width="9.7109375" style="21" customWidth="1"/>
    <col min="1030" max="1030" width="10.85546875" style="21" customWidth="1"/>
    <col min="1031" max="1031" width="12.5703125" style="21" customWidth="1"/>
    <col min="1032" max="1032" width="17.42578125" style="21" customWidth="1"/>
    <col min="1033" max="1033" width="12.85546875" style="21" customWidth="1"/>
    <col min="1034" max="1281" width="11.42578125" style="21"/>
    <col min="1282" max="1282" width="17.85546875" style="21" customWidth="1"/>
    <col min="1283" max="1283" width="11.28515625" style="21" customWidth="1"/>
    <col min="1284" max="1284" width="8.85546875" style="21" customWidth="1"/>
    <col min="1285" max="1285" width="9.7109375" style="21" customWidth="1"/>
    <col min="1286" max="1286" width="10.85546875" style="21" customWidth="1"/>
    <col min="1287" max="1287" width="12.5703125" style="21" customWidth="1"/>
    <col min="1288" max="1288" width="17.42578125" style="21" customWidth="1"/>
    <col min="1289" max="1289" width="12.85546875" style="21" customWidth="1"/>
    <col min="1290" max="1537" width="11.42578125" style="21"/>
    <col min="1538" max="1538" width="17.85546875" style="21" customWidth="1"/>
    <col min="1539" max="1539" width="11.28515625" style="21" customWidth="1"/>
    <col min="1540" max="1540" width="8.85546875" style="21" customWidth="1"/>
    <col min="1541" max="1541" width="9.7109375" style="21" customWidth="1"/>
    <col min="1542" max="1542" width="10.85546875" style="21" customWidth="1"/>
    <col min="1543" max="1543" width="12.5703125" style="21" customWidth="1"/>
    <col min="1544" max="1544" width="17.42578125" style="21" customWidth="1"/>
    <col min="1545" max="1545" width="12.85546875" style="21" customWidth="1"/>
    <col min="1546" max="1793" width="11.42578125" style="21"/>
    <col min="1794" max="1794" width="17.85546875" style="21" customWidth="1"/>
    <col min="1795" max="1795" width="11.28515625" style="21" customWidth="1"/>
    <col min="1796" max="1796" width="8.85546875" style="21" customWidth="1"/>
    <col min="1797" max="1797" width="9.7109375" style="21" customWidth="1"/>
    <col min="1798" max="1798" width="10.85546875" style="21" customWidth="1"/>
    <col min="1799" max="1799" width="12.5703125" style="21" customWidth="1"/>
    <col min="1800" max="1800" width="17.42578125" style="21" customWidth="1"/>
    <col min="1801" max="1801" width="12.85546875" style="21" customWidth="1"/>
    <col min="1802" max="2049" width="11.42578125" style="21"/>
    <col min="2050" max="2050" width="17.85546875" style="21" customWidth="1"/>
    <col min="2051" max="2051" width="11.28515625" style="21" customWidth="1"/>
    <col min="2052" max="2052" width="8.85546875" style="21" customWidth="1"/>
    <col min="2053" max="2053" width="9.7109375" style="21" customWidth="1"/>
    <col min="2054" max="2054" width="10.85546875" style="21" customWidth="1"/>
    <col min="2055" max="2055" width="12.5703125" style="21" customWidth="1"/>
    <col min="2056" max="2056" width="17.42578125" style="21" customWidth="1"/>
    <col min="2057" max="2057" width="12.85546875" style="21" customWidth="1"/>
    <col min="2058" max="2305" width="11.42578125" style="21"/>
    <col min="2306" max="2306" width="17.85546875" style="21" customWidth="1"/>
    <col min="2307" max="2307" width="11.28515625" style="21" customWidth="1"/>
    <col min="2308" max="2308" width="8.85546875" style="21" customWidth="1"/>
    <col min="2309" max="2309" width="9.7109375" style="21" customWidth="1"/>
    <col min="2310" max="2310" width="10.85546875" style="21" customWidth="1"/>
    <col min="2311" max="2311" width="12.5703125" style="21" customWidth="1"/>
    <col min="2312" max="2312" width="17.42578125" style="21" customWidth="1"/>
    <col min="2313" max="2313" width="12.85546875" style="21" customWidth="1"/>
    <col min="2314" max="2561" width="11.42578125" style="21"/>
    <col min="2562" max="2562" width="17.85546875" style="21" customWidth="1"/>
    <col min="2563" max="2563" width="11.28515625" style="21" customWidth="1"/>
    <col min="2564" max="2564" width="8.85546875" style="21" customWidth="1"/>
    <col min="2565" max="2565" width="9.7109375" style="21" customWidth="1"/>
    <col min="2566" max="2566" width="10.85546875" style="21" customWidth="1"/>
    <col min="2567" max="2567" width="12.5703125" style="21" customWidth="1"/>
    <col min="2568" max="2568" width="17.42578125" style="21" customWidth="1"/>
    <col min="2569" max="2569" width="12.85546875" style="21" customWidth="1"/>
    <col min="2570" max="2817" width="11.42578125" style="21"/>
    <col min="2818" max="2818" width="17.85546875" style="21" customWidth="1"/>
    <col min="2819" max="2819" width="11.28515625" style="21" customWidth="1"/>
    <col min="2820" max="2820" width="8.85546875" style="21" customWidth="1"/>
    <col min="2821" max="2821" width="9.7109375" style="21" customWidth="1"/>
    <col min="2822" max="2822" width="10.85546875" style="21" customWidth="1"/>
    <col min="2823" max="2823" width="12.5703125" style="21" customWidth="1"/>
    <col min="2824" max="2824" width="17.42578125" style="21" customWidth="1"/>
    <col min="2825" max="2825" width="12.85546875" style="21" customWidth="1"/>
    <col min="2826" max="3073" width="11.42578125" style="21"/>
    <col min="3074" max="3074" width="17.85546875" style="21" customWidth="1"/>
    <col min="3075" max="3075" width="11.28515625" style="21" customWidth="1"/>
    <col min="3076" max="3076" width="8.85546875" style="21" customWidth="1"/>
    <col min="3077" max="3077" width="9.7109375" style="21" customWidth="1"/>
    <col min="3078" max="3078" width="10.85546875" style="21" customWidth="1"/>
    <col min="3079" max="3079" width="12.5703125" style="21" customWidth="1"/>
    <col min="3080" max="3080" width="17.42578125" style="21" customWidth="1"/>
    <col min="3081" max="3081" width="12.85546875" style="21" customWidth="1"/>
    <col min="3082" max="3329" width="11.42578125" style="21"/>
    <col min="3330" max="3330" width="17.85546875" style="21" customWidth="1"/>
    <col min="3331" max="3331" width="11.28515625" style="21" customWidth="1"/>
    <col min="3332" max="3332" width="8.85546875" style="21" customWidth="1"/>
    <col min="3333" max="3333" width="9.7109375" style="21" customWidth="1"/>
    <col min="3334" max="3334" width="10.85546875" style="21" customWidth="1"/>
    <col min="3335" max="3335" width="12.5703125" style="21" customWidth="1"/>
    <col min="3336" max="3336" width="17.42578125" style="21" customWidth="1"/>
    <col min="3337" max="3337" width="12.85546875" style="21" customWidth="1"/>
    <col min="3338" max="3585" width="11.42578125" style="21"/>
    <col min="3586" max="3586" width="17.85546875" style="21" customWidth="1"/>
    <col min="3587" max="3587" width="11.28515625" style="21" customWidth="1"/>
    <col min="3588" max="3588" width="8.85546875" style="21" customWidth="1"/>
    <col min="3589" max="3589" width="9.7109375" style="21" customWidth="1"/>
    <col min="3590" max="3590" width="10.85546875" style="21" customWidth="1"/>
    <col min="3591" max="3591" width="12.5703125" style="21" customWidth="1"/>
    <col min="3592" max="3592" width="17.42578125" style="21" customWidth="1"/>
    <col min="3593" max="3593" width="12.85546875" style="21" customWidth="1"/>
    <col min="3594" max="3841" width="11.42578125" style="21"/>
    <col min="3842" max="3842" width="17.85546875" style="21" customWidth="1"/>
    <col min="3843" max="3843" width="11.28515625" style="21" customWidth="1"/>
    <col min="3844" max="3844" width="8.85546875" style="21" customWidth="1"/>
    <col min="3845" max="3845" width="9.7109375" style="21" customWidth="1"/>
    <col min="3846" max="3846" width="10.85546875" style="21" customWidth="1"/>
    <col min="3847" max="3847" width="12.5703125" style="21" customWidth="1"/>
    <col min="3848" max="3848" width="17.42578125" style="21" customWidth="1"/>
    <col min="3849" max="3849" width="12.85546875" style="21" customWidth="1"/>
    <col min="3850" max="4097" width="11.42578125" style="21"/>
    <col min="4098" max="4098" width="17.85546875" style="21" customWidth="1"/>
    <col min="4099" max="4099" width="11.28515625" style="21" customWidth="1"/>
    <col min="4100" max="4100" width="8.85546875" style="21" customWidth="1"/>
    <col min="4101" max="4101" width="9.7109375" style="21" customWidth="1"/>
    <col min="4102" max="4102" width="10.85546875" style="21" customWidth="1"/>
    <col min="4103" max="4103" width="12.5703125" style="21" customWidth="1"/>
    <col min="4104" max="4104" width="17.42578125" style="21" customWidth="1"/>
    <col min="4105" max="4105" width="12.85546875" style="21" customWidth="1"/>
    <col min="4106" max="4353" width="11.42578125" style="21"/>
    <col min="4354" max="4354" width="17.85546875" style="21" customWidth="1"/>
    <col min="4355" max="4355" width="11.28515625" style="21" customWidth="1"/>
    <col min="4356" max="4356" width="8.85546875" style="21" customWidth="1"/>
    <col min="4357" max="4357" width="9.7109375" style="21" customWidth="1"/>
    <col min="4358" max="4358" width="10.85546875" style="21" customWidth="1"/>
    <col min="4359" max="4359" width="12.5703125" style="21" customWidth="1"/>
    <col min="4360" max="4360" width="17.42578125" style="21" customWidth="1"/>
    <col min="4361" max="4361" width="12.85546875" style="21" customWidth="1"/>
    <col min="4362" max="4609" width="11.42578125" style="21"/>
    <col min="4610" max="4610" width="17.85546875" style="21" customWidth="1"/>
    <col min="4611" max="4611" width="11.28515625" style="21" customWidth="1"/>
    <col min="4612" max="4612" width="8.85546875" style="21" customWidth="1"/>
    <col min="4613" max="4613" width="9.7109375" style="21" customWidth="1"/>
    <col min="4614" max="4614" width="10.85546875" style="21" customWidth="1"/>
    <col min="4615" max="4615" width="12.5703125" style="21" customWidth="1"/>
    <col min="4616" max="4616" width="17.42578125" style="21" customWidth="1"/>
    <col min="4617" max="4617" width="12.85546875" style="21" customWidth="1"/>
    <col min="4618" max="4865" width="11.42578125" style="21"/>
    <col min="4866" max="4866" width="17.85546875" style="21" customWidth="1"/>
    <col min="4867" max="4867" width="11.28515625" style="21" customWidth="1"/>
    <col min="4868" max="4868" width="8.85546875" style="21" customWidth="1"/>
    <col min="4869" max="4869" width="9.7109375" style="21" customWidth="1"/>
    <col min="4870" max="4870" width="10.85546875" style="21" customWidth="1"/>
    <col min="4871" max="4871" width="12.5703125" style="21" customWidth="1"/>
    <col min="4872" max="4872" width="17.42578125" style="21" customWidth="1"/>
    <col min="4873" max="4873" width="12.85546875" style="21" customWidth="1"/>
    <col min="4874" max="5121" width="11.42578125" style="21"/>
    <col min="5122" max="5122" width="17.85546875" style="21" customWidth="1"/>
    <col min="5123" max="5123" width="11.28515625" style="21" customWidth="1"/>
    <col min="5124" max="5124" width="8.85546875" style="21" customWidth="1"/>
    <col min="5125" max="5125" width="9.7109375" style="21" customWidth="1"/>
    <col min="5126" max="5126" width="10.85546875" style="21" customWidth="1"/>
    <col min="5127" max="5127" width="12.5703125" style="21" customWidth="1"/>
    <col min="5128" max="5128" width="17.42578125" style="21" customWidth="1"/>
    <col min="5129" max="5129" width="12.85546875" style="21" customWidth="1"/>
    <col min="5130" max="5377" width="11.42578125" style="21"/>
    <col min="5378" max="5378" width="17.85546875" style="21" customWidth="1"/>
    <col min="5379" max="5379" width="11.28515625" style="21" customWidth="1"/>
    <col min="5380" max="5380" width="8.85546875" style="21" customWidth="1"/>
    <col min="5381" max="5381" width="9.7109375" style="21" customWidth="1"/>
    <col min="5382" max="5382" width="10.85546875" style="21" customWidth="1"/>
    <col min="5383" max="5383" width="12.5703125" style="21" customWidth="1"/>
    <col min="5384" max="5384" width="17.42578125" style="21" customWidth="1"/>
    <col min="5385" max="5385" width="12.85546875" style="21" customWidth="1"/>
    <col min="5386" max="5633" width="11.42578125" style="21"/>
    <col min="5634" max="5634" width="17.85546875" style="21" customWidth="1"/>
    <col min="5635" max="5635" width="11.28515625" style="21" customWidth="1"/>
    <col min="5636" max="5636" width="8.85546875" style="21" customWidth="1"/>
    <col min="5637" max="5637" width="9.7109375" style="21" customWidth="1"/>
    <col min="5638" max="5638" width="10.85546875" style="21" customWidth="1"/>
    <col min="5639" max="5639" width="12.5703125" style="21" customWidth="1"/>
    <col min="5640" max="5640" width="17.42578125" style="21" customWidth="1"/>
    <col min="5641" max="5641" width="12.85546875" style="21" customWidth="1"/>
    <col min="5642" max="5889" width="11.42578125" style="21"/>
    <col min="5890" max="5890" width="17.85546875" style="21" customWidth="1"/>
    <col min="5891" max="5891" width="11.28515625" style="21" customWidth="1"/>
    <col min="5892" max="5892" width="8.85546875" style="21" customWidth="1"/>
    <col min="5893" max="5893" width="9.7109375" style="21" customWidth="1"/>
    <col min="5894" max="5894" width="10.85546875" style="21" customWidth="1"/>
    <col min="5895" max="5895" width="12.5703125" style="21" customWidth="1"/>
    <col min="5896" max="5896" width="17.42578125" style="21" customWidth="1"/>
    <col min="5897" max="5897" width="12.85546875" style="21" customWidth="1"/>
    <col min="5898" max="6145" width="11.42578125" style="21"/>
    <col min="6146" max="6146" width="17.85546875" style="21" customWidth="1"/>
    <col min="6147" max="6147" width="11.28515625" style="21" customWidth="1"/>
    <col min="6148" max="6148" width="8.85546875" style="21" customWidth="1"/>
    <col min="6149" max="6149" width="9.7109375" style="21" customWidth="1"/>
    <col min="6150" max="6150" width="10.85546875" style="21" customWidth="1"/>
    <col min="6151" max="6151" width="12.5703125" style="21" customWidth="1"/>
    <col min="6152" max="6152" width="17.42578125" style="21" customWidth="1"/>
    <col min="6153" max="6153" width="12.85546875" style="21" customWidth="1"/>
    <col min="6154" max="6401" width="11.42578125" style="21"/>
    <col min="6402" max="6402" width="17.85546875" style="21" customWidth="1"/>
    <col min="6403" max="6403" width="11.28515625" style="21" customWidth="1"/>
    <col min="6404" max="6404" width="8.85546875" style="21" customWidth="1"/>
    <col min="6405" max="6405" width="9.7109375" style="21" customWidth="1"/>
    <col min="6406" max="6406" width="10.85546875" style="21" customWidth="1"/>
    <col min="6407" max="6407" width="12.5703125" style="21" customWidth="1"/>
    <col min="6408" max="6408" width="17.42578125" style="21" customWidth="1"/>
    <col min="6409" max="6409" width="12.85546875" style="21" customWidth="1"/>
    <col min="6410" max="6657" width="11.42578125" style="21"/>
    <col min="6658" max="6658" width="17.85546875" style="21" customWidth="1"/>
    <col min="6659" max="6659" width="11.28515625" style="21" customWidth="1"/>
    <col min="6660" max="6660" width="8.85546875" style="21" customWidth="1"/>
    <col min="6661" max="6661" width="9.7109375" style="21" customWidth="1"/>
    <col min="6662" max="6662" width="10.85546875" style="21" customWidth="1"/>
    <col min="6663" max="6663" width="12.5703125" style="21" customWidth="1"/>
    <col min="6664" max="6664" width="17.42578125" style="21" customWidth="1"/>
    <col min="6665" max="6665" width="12.85546875" style="21" customWidth="1"/>
    <col min="6666" max="6913" width="11.42578125" style="21"/>
    <col min="6914" max="6914" width="17.85546875" style="21" customWidth="1"/>
    <col min="6915" max="6915" width="11.28515625" style="21" customWidth="1"/>
    <col min="6916" max="6916" width="8.85546875" style="21" customWidth="1"/>
    <col min="6917" max="6917" width="9.7109375" style="21" customWidth="1"/>
    <col min="6918" max="6918" width="10.85546875" style="21" customWidth="1"/>
    <col min="6919" max="6919" width="12.5703125" style="21" customWidth="1"/>
    <col min="6920" max="6920" width="17.42578125" style="21" customWidth="1"/>
    <col min="6921" max="6921" width="12.85546875" style="21" customWidth="1"/>
    <col min="6922" max="7169" width="11.42578125" style="21"/>
    <col min="7170" max="7170" width="17.85546875" style="21" customWidth="1"/>
    <col min="7171" max="7171" width="11.28515625" style="21" customWidth="1"/>
    <col min="7172" max="7172" width="8.85546875" style="21" customWidth="1"/>
    <col min="7173" max="7173" width="9.7109375" style="21" customWidth="1"/>
    <col min="7174" max="7174" width="10.85546875" style="21" customWidth="1"/>
    <col min="7175" max="7175" width="12.5703125" style="21" customWidth="1"/>
    <col min="7176" max="7176" width="17.42578125" style="21" customWidth="1"/>
    <col min="7177" max="7177" width="12.85546875" style="21" customWidth="1"/>
    <col min="7178" max="7425" width="11.42578125" style="21"/>
    <col min="7426" max="7426" width="17.85546875" style="21" customWidth="1"/>
    <col min="7427" max="7427" width="11.28515625" style="21" customWidth="1"/>
    <col min="7428" max="7428" width="8.85546875" style="21" customWidth="1"/>
    <col min="7429" max="7429" width="9.7109375" style="21" customWidth="1"/>
    <col min="7430" max="7430" width="10.85546875" style="21" customWidth="1"/>
    <col min="7431" max="7431" width="12.5703125" style="21" customWidth="1"/>
    <col min="7432" max="7432" width="17.42578125" style="21" customWidth="1"/>
    <col min="7433" max="7433" width="12.85546875" style="21" customWidth="1"/>
    <col min="7434" max="7681" width="11.42578125" style="21"/>
    <col min="7682" max="7682" width="17.85546875" style="21" customWidth="1"/>
    <col min="7683" max="7683" width="11.28515625" style="21" customWidth="1"/>
    <col min="7684" max="7684" width="8.85546875" style="21" customWidth="1"/>
    <col min="7685" max="7685" width="9.7109375" style="21" customWidth="1"/>
    <col min="7686" max="7686" width="10.85546875" style="21" customWidth="1"/>
    <col min="7687" max="7687" width="12.5703125" style="21" customWidth="1"/>
    <col min="7688" max="7688" width="17.42578125" style="21" customWidth="1"/>
    <col min="7689" max="7689" width="12.85546875" style="21" customWidth="1"/>
    <col min="7690" max="7937" width="11.42578125" style="21"/>
    <col min="7938" max="7938" width="17.85546875" style="21" customWidth="1"/>
    <col min="7939" max="7939" width="11.28515625" style="21" customWidth="1"/>
    <col min="7940" max="7940" width="8.85546875" style="21" customWidth="1"/>
    <col min="7941" max="7941" width="9.7109375" style="21" customWidth="1"/>
    <col min="7942" max="7942" width="10.85546875" style="21" customWidth="1"/>
    <col min="7943" max="7943" width="12.5703125" style="21" customWidth="1"/>
    <col min="7944" max="7944" width="17.42578125" style="21" customWidth="1"/>
    <col min="7945" max="7945" width="12.85546875" style="21" customWidth="1"/>
    <col min="7946" max="8193" width="11.42578125" style="21"/>
    <col min="8194" max="8194" width="17.85546875" style="21" customWidth="1"/>
    <col min="8195" max="8195" width="11.28515625" style="21" customWidth="1"/>
    <col min="8196" max="8196" width="8.85546875" style="21" customWidth="1"/>
    <col min="8197" max="8197" width="9.7109375" style="21" customWidth="1"/>
    <col min="8198" max="8198" width="10.85546875" style="21" customWidth="1"/>
    <col min="8199" max="8199" width="12.5703125" style="21" customWidth="1"/>
    <col min="8200" max="8200" width="17.42578125" style="21" customWidth="1"/>
    <col min="8201" max="8201" width="12.85546875" style="21" customWidth="1"/>
    <col min="8202" max="8449" width="11.42578125" style="21"/>
    <col min="8450" max="8450" width="17.85546875" style="21" customWidth="1"/>
    <col min="8451" max="8451" width="11.28515625" style="21" customWidth="1"/>
    <col min="8452" max="8452" width="8.85546875" style="21" customWidth="1"/>
    <col min="8453" max="8453" width="9.7109375" style="21" customWidth="1"/>
    <col min="8454" max="8454" width="10.85546875" style="21" customWidth="1"/>
    <col min="8455" max="8455" width="12.5703125" style="21" customWidth="1"/>
    <col min="8456" max="8456" width="17.42578125" style="21" customWidth="1"/>
    <col min="8457" max="8457" width="12.85546875" style="21" customWidth="1"/>
    <col min="8458" max="8705" width="11.42578125" style="21"/>
    <col min="8706" max="8706" width="17.85546875" style="21" customWidth="1"/>
    <col min="8707" max="8707" width="11.28515625" style="21" customWidth="1"/>
    <col min="8708" max="8708" width="8.85546875" style="21" customWidth="1"/>
    <col min="8709" max="8709" width="9.7109375" style="21" customWidth="1"/>
    <col min="8710" max="8710" width="10.85546875" style="21" customWidth="1"/>
    <col min="8711" max="8711" width="12.5703125" style="21" customWidth="1"/>
    <col min="8712" max="8712" width="17.42578125" style="21" customWidth="1"/>
    <col min="8713" max="8713" width="12.85546875" style="21" customWidth="1"/>
    <col min="8714" max="8961" width="11.42578125" style="21"/>
    <col min="8962" max="8962" width="17.85546875" style="21" customWidth="1"/>
    <col min="8963" max="8963" width="11.28515625" style="21" customWidth="1"/>
    <col min="8964" max="8964" width="8.85546875" style="21" customWidth="1"/>
    <col min="8965" max="8965" width="9.7109375" style="21" customWidth="1"/>
    <col min="8966" max="8966" width="10.85546875" style="21" customWidth="1"/>
    <col min="8967" max="8967" width="12.5703125" style="21" customWidth="1"/>
    <col min="8968" max="8968" width="17.42578125" style="21" customWidth="1"/>
    <col min="8969" max="8969" width="12.85546875" style="21" customWidth="1"/>
    <col min="8970" max="9217" width="11.42578125" style="21"/>
    <col min="9218" max="9218" width="17.85546875" style="21" customWidth="1"/>
    <col min="9219" max="9219" width="11.28515625" style="21" customWidth="1"/>
    <col min="9220" max="9220" width="8.85546875" style="21" customWidth="1"/>
    <col min="9221" max="9221" width="9.7109375" style="21" customWidth="1"/>
    <col min="9222" max="9222" width="10.85546875" style="21" customWidth="1"/>
    <col min="9223" max="9223" width="12.5703125" style="21" customWidth="1"/>
    <col min="9224" max="9224" width="17.42578125" style="21" customWidth="1"/>
    <col min="9225" max="9225" width="12.85546875" style="21" customWidth="1"/>
    <col min="9226" max="9473" width="11.42578125" style="21"/>
    <col min="9474" max="9474" width="17.85546875" style="21" customWidth="1"/>
    <col min="9475" max="9475" width="11.28515625" style="21" customWidth="1"/>
    <col min="9476" max="9476" width="8.85546875" style="21" customWidth="1"/>
    <col min="9477" max="9477" width="9.7109375" style="21" customWidth="1"/>
    <col min="9478" max="9478" width="10.85546875" style="21" customWidth="1"/>
    <col min="9479" max="9479" width="12.5703125" style="21" customWidth="1"/>
    <col min="9480" max="9480" width="17.42578125" style="21" customWidth="1"/>
    <col min="9481" max="9481" width="12.85546875" style="21" customWidth="1"/>
    <col min="9482" max="9729" width="11.42578125" style="21"/>
    <col min="9730" max="9730" width="17.85546875" style="21" customWidth="1"/>
    <col min="9731" max="9731" width="11.28515625" style="21" customWidth="1"/>
    <col min="9732" max="9732" width="8.85546875" style="21" customWidth="1"/>
    <col min="9733" max="9733" width="9.7109375" style="21" customWidth="1"/>
    <col min="9734" max="9734" width="10.85546875" style="21" customWidth="1"/>
    <col min="9735" max="9735" width="12.5703125" style="21" customWidth="1"/>
    <col min="9736" max="9736" width="17.42578125" style="21" customWidth="1"/>
    <col min="9737" max="9737" width="12.85546875" style="21" customWidth="1"/>
    <col min="9738" max="9985" width="11.42578125" style="21"/>
    <col min="9986" max="9986" width="17.85546875" style="21" customWidth="1"/>
    <col min="9987" max="9987" width="11.28515625" style="21" customWidth="1"/>
    <col min="9988" max="9988" width="8.85546875" style="21" customWidth="1"/>
    <col min="9989" max="9989" width="9.7109375" style="21" customWidth="1"/>
    <col min="9990" max="9990" width="10.85546875" style="21" customWidth="1"/>
    <col min="9991" max="9991" width="12.5703125" style="21" customWidth="1"/>
    <col min="9992" max="9992" width="17.42578125" style="21" customWidth="1"/>
    <col min="9993" max="9993" width="12.85546875" style="21" customWidth="1"/>
    <col min="9994" max="10241" width="11.42578125" style="21"/>
    <col min="10242" max="10242" width="17.85546875" style="21" customWidth="1"/>
    <col min="10243" max="10243" width="11.28515625" style="21" customWidth="1"/>
    <col min="10244" max="10244" width="8.85546875" style="21" customWidth="1"/>
    <col min="10245" max="10245" width="9.7109375" style="21" customWidth="1"/>
    <col min="10246" max="10246" width="10.85546875" style="21" customWidth="1"/>
    <col min="10247" max="10247" width="12.5703125" style="21" customWidth="1"/>
    <col min="10248" max="10248" width="17.42578125" style="21" customWidth="1"/>
    <col min="10249" max="10249" width="12.85546875" style="21" customWidth="1"/>
    <col min="10250" max="10497" width="11.42578125" style="21"/>
    <col min="10498" max="10498" width="17.85546875" style="21" customWidth="1"/>
    <col min="10499" max="10499" width="11.28515625" style="21" customWidth="1"/>
    <col min="10500" max="10500" width="8.85546875" style="21" customWidth="1"/>
    <col min="10501" max="10501" width="9.7109375" style="21" customWidth="1"/>
    <col min="10502" max="10502" width="10.85546875" style="21" customWidth="1"/>
    <col min="10503" max="10503" width="12.5703125" style="21" customWidth="1"/>
    <col min="10504" max="10504" width="17.42578125" style="21" customWidth="1"/>
    <col min="10505" max="10505" width="12.85546875" style="21" customWidth="1"/>
    <col min="10506" max="10753" width="11.42578125" style="21"/>
    <col min="10754" max="10754" width="17.85546875" style="21" customWidth="1"/>
    <col min="10755" max="10755" width="11.28515625" style="21" customWidth="1"/>
    <col min="10756" max="10756" width="8.85546875" style="21" customWidth="1"/>
    <col min="10757" max="10757" width="9.7109375" style="21" customWidth="1"/>
    <col min="10758" max="10758" width="10.85546875" style="21" customWidth="1"/>
    <col min="10759" max="10759" width="12.5703125" style="21" customWidth="1"/>
    <col min="10760" max="10760" width="17.42578125" style="21" customWidth="1"/>
    <col min="10761" max="10761" width="12.85546875" style="21" customWidth="1"/>
    <col min="10762" max="11009" width="11.42578125" style="21"/>
    <col min="11010" max="11010" width="17.85546875" style="21" customWidth="1"/>
    <col min="11011" max="11011" width="11.28515625" style="21" customWidth="1"/>
    <col min="11012" max="11012" width="8.85546875" style="21" customWidth="1"/>
    <col min="11013" max="11013" width="9.7109375" style="21" customWidth="1"/>
    <col min="11014" max="11014" width="10.85546875" style="21" customWidth="1"/>
    <col min="11015" max="11015" width="12.5703125" style="21" customWidth="1"/>
    <col min="11016" max="11016" width="17.42578125" style="21" customWidth="1"/>
    <col min="11017" max="11017" width="12.85546875" style="21" customWidth="1"/>
    <col min="11018" max="11265" width="11.42578125" style="21"/>
    <col min="11266" max="11266" width="17.85546875" style="21" customWidth="1"/>
    <col min="11267" max="11267" width="11.28515625" style="21" customWidth="1"/>
    <col min="11268" max="11268" width="8.85546875" style="21" customWidth="1"/>
    <col min="11269" max="11269" width="9.7109375" style="21" customWidth="1"/>
    <col min="11270" max="11270" width="10.85546875" style="21" customWidth="1"/>
    <col min="11271" max="11271" width="12.5703125" style="21" customWidth="1"/>
    <col min="11272" max="11272" width="17.42578125" style="21" customWidth="1"/>
    <col min="11273" max="11273" width="12.85546875" style="21" customWidth="1"/>
    <col min="11274" max="11521" width="11.42578125" style="21"/>
    <col min="11522" max="11522" width="17.85546875" style="21" customWidth="1"/>
    <col min="11523" max="11523" width="11.28515625" style="21" customWidth="1"/>
    <col min="11524" max="11524" width="8.85546875" style="21" customWidth="1"/>
    <col min="11525" max="11525" width="9.7109375" style="21" customWidth="1"/>
    <col min="11526" max="11526" width="10.85546875" style="21" customWidth="1"/>
    <col min="11527" max="11527" width="12.5703125" style="21" customWidth="1"/>
    <col min="11528" max="11528" width="17.42578125" style="21" customWidth="1"/>
    <col min="11529" max="11529" width="12.85546875" style="21" customWidth="1"/>
    <col min="11530" max="11777" width="11.42578125" style="21"/>
    <col min="11778" max="11778" width="17.85546875" style="21" customWidth="1"/>
    <col min="11779" max="11779" width="11.28515625" style="21" customWidth="1"/>
    <col min="11780" max="11780" width="8.85546875" style="21" customWidth="1"/>
    <col min="11781" max="11781" width="9.7109375" style="21" customWidth="1"/>
    <col min="11782" max="11782" width="10.85546875" style="21" customWidth="1"/>
    <col min="11783" max="11783" width="12.5703125" style="21" customWidth="1"/>
    <col min="11784" max="11784" width="17.42578125" style="21" customWidth="1"/>
    <col min="11785" max="11785" width="12.85546875" style="21" customWidth="1"/>
    <col min="11786" max="12033" width="11.42578125" style="21"/>
    <col min="12034" max="12034" width="17.85546875" style="21" customWidth="1"/>
    <col min="12035" max="12035" width="11.28515625" style="21" customWidth="1"/>
    <col min="12036" max="12036" width="8.85546875" style="21" customWidth="1"/>
    <col min="12037" max="12037" width="9.7109375" style="21" customWidth="1"/>
    <col min="12038" max="12038" width="10.85546875" style="21" customWidth="1"/>
    <col min="12039" max="12039" width="12.5703125" style="21" customWidth="1"/>
    <col min="12040" max="12040" width="17.42578125" style="21" customWidth="1"/>
    <col min="12041" max="12041" width="12.85546875" style="21" customWidth="1"/>
    <col min="12042" max="12289" width="11.42578125" style="21"/>
    <col min="12290" max="12290" width="17.85546875" style="21" customWidth="1"/>
    <col min="12291" max="12291" width="11.28515625" style="21" customWidth="1"/>
    <col min="12292" max="12292" width="8.85546875" style="21" customWidth="1"/>
    <col min="12293" max="12293" width="9.7109375" style="21" customWidth="1"/>
    <col min="12294" max="12294" width="10.85546875" style="21" customWidth="1"/>
    <col min="12295" max="12295" width="12.5703125" style="21" customWidth="1"/>
    <col min="12296" max="12296" width="17.42578125" style="21" customWidth="1"/>
    <col min="12297" max="12297" width="12.85546875" style="21" customWidth="1"/>
    <col min="12298" max="12545" width="11.42578125" style="21"/>
    <col min="12546" max="12546" width="17.85546875" style="21" customWidth="1"/>
    <col min="12547" max="12547" width="11.28515625" style="21" customWidth="1"/>
    <col min="12548" max="12548" width="8.85546875" style="21" customWidth="1"/>
    <col min="12549" max="12549" width="9.7109375" style="21" customWidth="1"/>
    <col min="12550" max="12550" width="10.85546875" style="21" customWidth="1"/>
    <col min="12551" max="12551" width="12.5703125" style="21" customWidth="1"/>
    <col min="12552" max="12552" width="17.42578125" style="21" customWidth="1"/>
    <col min="12553" max="12553" width="12.85546875" style="21" customWidth="1"/>
    <col min="12554" max="12801" width="11.42578125" style="21"/>
    <col min="12802" max="12802" width="17.85546875" style="21" customWidth="1"/>
    <col min="12803" max="12803" width="11.28515625" style="21" customWidth="1"/>
    <col min="12804" max="12804" width="8.85546875" style="21" customWidth="1"/>
    <col min="12805" max="12805" width="9.7109375" style="21" customWidth="1"/>
    <col min="12806" max="12806" width="10.85546875" style="21" customWidth="1"/>
    <col min="12807" max="12807" width="12.5703125" style="21" customWidth="1"/>
    <col min="12808" max="12808" width="17.42578125" style="21" customWidth="1"/>
    <col min="12809" max="12809" width="12.85546875" style="21" customWidth="1"/>
    <col min="12810" max="13057" width="11.42578125" style="21"/>
    <col min="13058" max="13058" width="17.85546875" style="21" customWidth="1"/>
    <col min="13059" max="13059" width="11.28515625" style="21" customWidth="1"/>
    <col min="13060" max="13060" width="8.85546875" style="21" customWidth="1"/>
    <col min="13061" max="13061" width="9.7109375" style="21" customWidth="1"/>
    <col min="13062" max="13062" width="10.85546875" style="21" customWidth="1"/>
    <col min="13063" max="13063" width="12.5703125" style="21" customWidth="1"/>
    <col min="13064" max="13064" width="17.42578125" style="21" customWidth="1"/>
    <col min="13065" max="13065" width="12.85546875" style="21" customWidth="1"/>
    <col min="13066" max="13313" width="11.42578125" style="21"/>
    <col min="13314" max="13314" width="17.85546875" style="21" customWidth="1"/>
    <col min="13315" max="13315" width="11.28515625" style="21" customWidth="1"/>
    <col min="13316" max="13316" width="8.85546875" style="21" customWidth="1"/>
    <col min="13317" max="13317" width="9.7109375" style="21" customWidth="1"/>
    <col min="13318" max="13318" width="10.85546875" style="21" customWidth="1"/>
    <col min="13319" max="13319" width="12.5703125" style="21" customWidth="1"/>
    <col min="13320" max="13320" width="17.42578125" style="21" customWidth="1"/>
    <col min="13321" max="13321" width="12.85546875" style="21" customWidth="1"/>
    <col min="13322" max="13569" width="11.42578125" style="21"/>
    <col min="13570" max="13570" width="17.85546875" style="21" customWidth="1"/>
    <col min="13571" max="13571" width="11.28515625" style="21" customWidth="1"/>
    <col min="13572" max="13572" width="8.85546875" style="21" customWidth="1"/>
    <col min="13573" max="13573" width="9.7109375" style="21" customWidth="1"/>
    <col min="13574" max="13574" width="10.85546875" style="21" customWidth="1"/>
    <col min="13575" max="13575" width="12.5703125" style="21" customWidth="1"/>
    <col min="13576" max="13576" width="17.42578125" style="21" customWidth="1"/>
    <col min="13577" max="13577" width="12.85546875" style="21" customWidth="1"/>
    <col min="13578" max="13825" width="11.42578125" style="21"/>
    <col min="13826" max="13826" width="17.85546875" style="21" customWidth="1"/>
    <col min="13827" max="13827" width="11.28515625" style="21" customWidth="1"/>
    <col min="13828" max="13828" width="8.85546875" style="21" customWidth="1"/>
    <col min="13829" max="13829" width="9.7109375" style="21" customWidth="1"/>
    <col min="13830" max="13830" width="10.85546875" style="21" customWidth="1"/>
    <col min="13831" max="13831" width="12.5703125" style="21" customWidth="1"/>
    <col min="13832" max="13832" width="17.42578125" style="21" customWidth="1"/>
    <col min="13833" max="13833" width="12.85546875" style="21" customWidth="1"/>
    <col min="13834" max="14081" width="11.42578125" style="21"/>
    <col min="14082" max="14082" width="17.85546875" style="21" customWidth="1"/>
    <col min="14083" max="14083" width="11.28515625" style="21" customWidth="1"/>
    <col min="14084" max="14084" width="8.85546875" style="21" customWidth="1"/>
    <col min="14085" max="14085" width="9.7109375" style="21" customWidth="1"/>
    <col min="14086" max="14086" width="10.85546875" style="21" customWidth="1"/>
    <col min="14087" max="14087" width="12.5703125" style="21" customWidth="1"/>
    <col min="14088" max="14088" width="17.42578125" style="21" customWidth="1"/>
    <col min="14089" max="14089" width="12.85546875" style="21" customWidth="1"/>
    <col min="14090" max="14337" width="11.42578125" style="21"/>
    <col min="14338" max="14338" width="17.85546875" style="21" customWidth="1"/>
    <col min="14339" max="14339" width="11.28515625" style="21" customWidth="1"/>
    <col min="14340" max="14340" width="8.85546875" style="21" customWidth="1"/>
    <col min="14341" max="14341" width="9.7109375" style="21" customWidth="1"/>
    <col min="14342" max="14342" width="10.85546875" style="21" customWidth="1"/>
    <col min="14343" max="14343" width="12.5703125" style="21" customWidth="1"/>
    <col min="14344" max="14344" width="17.42578125" style="21" customWidth="1"/>
    <col min="14345" max="14345" width="12.85546875" style="21" customWidth="1"/>
    <col min="14346" max="14593" width="11.42578125" style="21"/>
    <col min="14594" max="14594" width="17.85546875" style="21" customWidth="1"/>
    <col min="14595" max="14595" width="11.28515625" style="21" customWidth="1"/>
    <col min="14596" max="14596" width="8.85546875" style="21" customWidth="1"/>
    <col min="14597" max="14597" width="9.7109375" style="21" customWidth="1"/>
    <col min="14598" max="14598" width="10.85546875" style="21" customWidth="1"/>
    <col min="14599" max="14599" width="12.5703125" style="21" customWidth="1"/>
    <col min="14600" max="14600" width="17.42578125" style="21" customWidth="1"/>
    <col min="14601" max="14601" width="12.85546875" style="21" customWidth="1"/>
    <col min="14602" max="14849" width="11.42578125" style="21"/>
    <col min="14850" max="14850" width="17.85546875" style="21" customWidth="1"/>
    <col min="14851" max="14851" width="11.28515625" style="21" customWidth="1"/>
    <col min="14852" max="14852" width="8.85546875" style="21" customWidth="1"/>
    <col min="14853" max="14853" width="9.7109375" style="21" customWidth="1"/>
    <col min="14854" max="14854" width="10.85546875" style="21" customWidth="1"/>
    <col min="14855" max="14855" width="12.5703125" style="21" customWidth="1"/>
    <col min="14856" max="14856" width="17.42578125" style="21" customWidth="1"/>
    <col min="14857" max="14857" width="12.85546875" style="21" customWidth="1"/>
    <col min="14858" max="15105" width="11.42578125" style="21"/>
    <col min="15106" max="15106" width="17.85546875" style="21" customWidth="1"/>
    <col min="15107" max="15107" width="11.28515625" style="21" customWidth="1"/>
    <col min="15108" max="15108" width="8.85546875" style="21" customWidth="1"/>
    <col min="15109" max="15109" width="9.7109375" style="21" customWidth="1"/>
    <col min="15110" max="15110" width="10.85546875" style="21" customWidth="1"/>
    <col min="15111" max="15111" width="12.5703125" style="21" customWidth="1"/>
    <col min="15112" max="15112" width="17.42578125" style="21" customWidth="1"/>
    <col min="15113" max="15113" width="12.85546875" style="21" customWidth="1"/>
    <col min="15114" max="15361" width="11.42578125" style="21"/>
    <col min="15362" max="15362" width="17.85546875" style="21" customWidth="1"/>
    <col min="15363" max="15363" width="11.28515625" style="21" customWidth="1"/>
    <col min="15364" max="15364" width="8.85546875" style="21" customWidth="1"/>
    <col min="15365" max="15365" width="9.7109375" style="21" customWidth="1"/>
    <col min="15366" max="15366" width="10.85546875" style="21" customWidth="1"/>
    <col min="15367" max="15367" width="12.5703125" style="21" customWidth="1"/>
    <col min="15368" max="15368" width="17.42578125" style="21" customWidth="1"/>
    <col min="15369" max="15369" width="12.85546875" style="21" customWidth="1"/>
    <col min="15370" max="15617" width="11.42578125" style="21"/>
    <col min="15618" max="15618" width="17.85546875" style="21" customWidth="1"/>
    <col min="15619" max="15619" width="11.28515625" style="21" customWidth="1"/>
    <col min="15620" max="15620" width="8.85546875" style="21" customWidth="1"/>
    <col min="15621" max="15621" width="9.7109375" style="21" customWidth="1"/>
    <col min="15622" max="15622" width="10.85546875" style="21" customWidth="1"/>
    <col min="15623" max="15623" width="12.5703125" style="21" customWidth="1"/>
    <col min="15624" max="15624" width="17.42578125" style="21" customWidth="1"/>
    <col min="15625" max="15625" width="12.85546875" style="21" customWidth="1"/>
    <col min="15626" max="15873" width="11.42578125" style="21"/>
    <col min="15874" max="15874" width="17.85546875" style="21" customWidth="1"/>
    <col min="15875" max="15875" width="11.28515625" style="21" customWidth="1"/>
    <col min="15876" max="15876" width="8.85546875" style="21" customWidth="1"/>
    <col min="15877" max="15877" width="9.7109375" style="21" customWidth="1"/>
    <col min="15878" max="15878" width="10.85546875" style="21" customWidth="1"/>
    <col min="15879" max="15879" width="12.5703125" style="21" customWidth="1"/>
    <col min="15880" max="15880" width="17.42578125" style="21" customWidth="1"/>
    <col min="15881" max="15881" width="12.85546875" style="21" customWidth="1"/>
    <col min="15882" max="16129" width="11.42578125" style="21"/>
    <col min="16130" max="16130" width="17.85546875" style="21" customWidth="1"/>
    <col min="16131" max="16131" width="11.28515625" style="21" customWidth="1"/>
    <col min="16132" max="16132" width="8.85546875" style="21" customWidth="1"/>
    <col min="16133" max="16133" width="9.7109375" style="21" customWidth="1"/>
    <col min="16134" max="16134" width="10.85546875" style="21" customWidth="1"/>
    <col min="16135" max="16135" width="12.5703125" style="21" customWidth="1"/>
    <col min="16136" max="16136" width="17.42578125" style="21" customWidth="1"/>
    <col min="16137" max="16137" width="12.85546875" style="21" customWidth="1"/>
    <col min="16138" max="16384" width="11.42578125" style="21"/>
  </cols>
  <sheetData>
    <row r="5" spans="1:89">
      <c r="CH5" s="37" t="s">
        <v>318</v>
      </c>
      <c r="CI5" s="37" t="s">
        <v>261</v>
      </c>
      <c r="CK5" s="37" t="s">
        <v>277</v>
      </c>
    </row>
    <row r="6" spans="1:89">
      <c r="A6" s="518"/>
      <c r="B6" s="489"/>
      <c r="C6" s="489"/>
      <c r="D6" s="489"/>
      <c r="E6" s="489"/>
      <c r="F6" s="489"/>
      <c r="G6" s="489"/>
      <c r="H6" s="489"/>
    </row>
    <row r="7" spans="1:89">
      <c r="A7" s="112"/>
      <c r="B7" s="112"/>
      <c r="C7" s="112"/>
      <c r="D7" s="112"/>
      <c r="E7" s="112"/>
      <c r="F7" s="112"/>
      <c r="G7" s="112"/>
      <c r="H7" s="112"/>
    </row>
    <row r="8" spans="1:89" ht="11.25" customHeight="1"/>
    <row r="9" spans="1:89" ht="14.25" customHeight="1" thickBot="1">
      <c r="A9" s="171" t="s">
        <v>209</v>
      </c>
      <c r="B9" s="497" t="str">
        <f ca="1">B36</f>
        <v>20239230859</v>
      </c>
      <c r="C9" s="497"/>
      <c r="G9" s="172" t="s">
        <v>249</v>
      </c>
      <c r="H9" s="173">
        <f ca="1">CONTRATS!H50</f>
        <v>45192.531511805559</v>
      </c>
      <c r="CI9" s="37" t="str">
        <f>CONCATENATE(CONTRATS!B19,'Reçu Caisse'!CI5,'Reçu Caisse'!CK5,CONTRATS!D19)</f>
        <v>19CV**ESSENCE</v>
      </c>
    </row>
    <row r="10" spans="1:89" ht="13.5" thickBot="1">
      <c r="A10" s="171" t="s">
        <v>224</v>
      </c>
      <c r="B10" s="174" t="s">
        <v>250</v>
      </c>
      <c r="F10" s="175" t="s">
        <v>59</v>
      </c>
      <c r="G10" s="493" t="str">
        <f>CONTRATS!F12</f>
        <v>NSIA ASSURANCES</v>
      </c>
      <c r="H10" s="494"/>
      <c r="M10" s="156"/>
      <c r="CI10" s="21" t="str">
        <f>CONCATENATE(CH5)</f>
        <v xml:space="preserve">00CV </v>
      </c>
    </row>
    <row r="11" spans="1:89" ht="15" customHeight="1" thickBot="1">
      <c r="A11" s="171" t="s">
        <v>251</v>
      </c>
      <c r="B11" s="498" t="str">
        <f>CONTRATS!B8</f>
        <v>ALEMNGE CYPRIAN</v>
      </c>
      <c r="C11" s="499"/>
      <c r="D11" s="500"/>
      <c r="F11" s="37" t="s">
        <v>48</v>
      </c>
      <c r="G11" s="493" t="str">
        <f>CONTRATS!H7</f>
        <v>NOUVELLE AFFAIRE</v>
      </c>
      <c r="H11" s="494"/>
      <c r="M11" s="156">
        <f>CONTRATS!B19</f>
        <v>19</v>
      </c>
    </row>
    <row r="12" spans="1:89" ht="15.75" customHeight="1" thickBot="1">
      <c r="A12" s="171" t="s">
        <v>252</v>
      </c>
      <c r="B12" s="491" t="str">
        <f>CONTRATS!E9</f>
        <v>A2023/1075/CAT1/1110155939</v>
      </c>
      <c r="C12" s="495"/>
      <c r="D12" s="495"/>
      <c r="F12" s="176" t="s">
        <v>63</v>
      </c>
      <c r="G12" s="520">
        <f>CONTRATS!F10</f>
        <v>45192</v>
      </c>
      <c r="H12" s="521"/>
      <c r="M12" s="156" t="s">
        <v>261</v>
      </c>
    </row>
    <row r="13" spans="1:89" ht="15.75" customHeight="1" thickBot="1">
      <c r="A13" s="171" t="s">
        <v>204</v>
      </c>
      <c r="B13" s="522" t="str">
        <f>CONCATENATE(CONTRATS!H17,CONTRATS!J19)</f>
        <v>SW 859 BB</v>
      </c>
      <c r="C13" s="523"/>
      <c r="D13" s="38"/>
      <c r="F13" s="176" t="s">
        <v>270</v>
      </c>
      <c r="G13" s="515">
        <f>CONTRATS!F11</f>
        <v>45251</v>
      </c>
      <c r="H13" s="516"/>
      <c r="M13" s="156" t="s">
        <v>277</v>
      </c>
    </row>
    <row r="14" spans="1:89" ht="15.75" customHeight="1" thickBot="1">
      <c r="A14" s="171" t="s">
        <v>253</v>
      </c>
      <c r="B14" s="493" t="str">
        <f>CONCATENATE(CONTRATS!F19,CONTRATS!J20)</f>
        <v>JN8AR05Y7WW275240</v>
      </c>
      <c r="C14" s="494"/>
      <c r="D14" s="38"/>
      <c r="F14" s="38" t="s">
        <v>254</v>
      </c>
      <c r="G14" s="493" t="str">
        <f>M15</f>
        <v>19CV**ESSENCE</v>
      </c>
      <c r="H14" s="494"/>
      <c r="M14" s="156" t="str">
        <f>CONTRATS!D19</f>
        <v>ESSENCE</v>
      </c>
    </row>
    <row r="15" spans="1:89" ht="15.75" customHeight="1" thickBot="1">
      <c r="A15" s="37" t="s">
        <v>202</v>
      </c>
      <c r="B15" s="493" t="str">
        <f>CONTRATS!B17</f>
        <v xml:space="preserve">NISSAN </v>
      </c>
      <c r="C15" s="494"/>
      <c r="D15" s="38"/>
      <c r="F15" s="38" t="s">
        <v>278</v>
      </c>
      <c r="G15" s="486" t="str">
        <f>'carte rose'!B15</f>
        <v>CAT1**VT</v>
      </c>
      <c r="H15" s="487"/>
      <c r="M15" s="156" t="str">
        <f>CONCATENATE(M11,M12,M13,M14)</f>
        <v>19CV**ESSENCE</v>
      </c>
    </row>
    <row r="16" spans="1:89" ht="13.5" thickBot="1">
      <c r="A16" s="171" t="s">
        <v>212</v>
      </c>
      <c r="B16" s="512" t="str">
        <f>CONTRATS!C66</f>
        <v>Espèces</v>
      </c>
      <c r="C16" s="512"/>
      <c r="D16" s="491" t="s">
        <v>384</v>
      </c>
      <c r="E16" s="492"/>
      <c r="F16" s="37" t="s">
        <v>369</v>
      </c>
      <c r="G16" s="486" t="str">
        <f>CONTRATS!E9</f>
        <v>A2023/1075/CAT1/1110155939</v>
      </c>
      <c r="H16" s="487"/>
    </row>
    <row r="17" spans="1:10" ht="15.75" customHeight="1" thickBot="1">
      <c r="A17" s="171" t="s">
        <v>214</v>
      </c>
      <c r="B17" s="519" t="str">
        <f>CONTRATS!C67</f>
        <v>Solde</v>
      </c>
      <c r="C17" s="519"/>
      <c r="D17" s="502" t="str">
        <f>+CONTRATS!F13</f>
        <v>111*A*0155939-17243709</v>
      </c>
      <c r="E17" s="503"/>
      <c r="G17" s="174" t="s">
        <v>216</v>
      </c>
      <c r="H17" s="177">
        <f>CONTRATS!E67</f>
        <v>0</v>
      </c>
    </row>
    <row r="18" spans="1:10" ht="25.5" customHeight="1" thickBot="1">
      <c r="A18" s="178" t="s">
        <v>255</v>
      </c>
      <c r="B18" s="179" t="s">
        <v>256</v>
      </c>
      <c r="C18" s="180" t="s">
        <v>257</v>
      </c>
      <c r="D18" s="181" t="s">
        <v>225</v>
      </c>
      <c r="E18" s="182" t="s">
        <v>258</v>
      </c>
      <c r="F18" s="183" t="s">
        <v>381</v>
      </c>
      <c r="G18" s="184" t="s">
        <v>259</v>
      </c>
      <c r="H18" s="185" t="s">
        <v>260</v>
      </c>
    </row>
    <row r="19" spans="1:10" ht="42.75" customHeight="1" thickBot="1">
      <c r="A19" s="153">
        <f>CONTRATS!H41</f>
        <v>21590.2</v>
      </c>
      <c r="B19" s="153">
        <f>CONTRATS!H42</f>
        <v>2500</v>
      </c>
      <c r="C19" s="153">
        <f>CONTRATS!H43</f>
        <v>1000</v>
      </c>
      <c r="D19" s="153">
        <f>CONTRATS!H45</f>
        <v>4829.8635000000004</v>
      </c>
      <c r="E19" s="153">
        <f>CONTRATS!H47</f>
        <v>1000</v>
      </c>
      <c r="F19" s="153">
        <f>CONTRATS!J48</f>
        <v>0</v>
      </c>
      <c r="G19" s="153" t="str">
        <f>CONTRATS!H46</f>
        <v>DÉJÀ PAYE</v>
      </c>
      <c r="H19" s="186">
        <f>CONTRATS!H49</f>
        <v>30920.0635</v>
      </c>
    </row>
    <row r="20" spans="1:10">
      <c r="A20" s="501" t="str">
        <f>CONTRATS!A41</f>
        <v>COUT DE L'AVENANT****30920,0635FCFA</v>
      </c>
      <c r="B20" s="501"/>
      <c r="C20" s="501"/>
      <c r="D20" s="501"/>
      <c r="E20" s="501"/>
      <c r="F20" s="501"/>
      <c r="G20" s="501"/>
      <c r="H20" s="501"/>
    </row>
    <row r="21" spans="1:10" ht="15" customHeight="1">
      <c r="A21" s="488" t="s">
        <v>226</v>
      </c>
      <c r="B21" s="489"/>
      <c r="G21" s="490" t="s">
        <v>227</v>
      </c>
      <c r="H21" s="489"/>
    </row>
    <row r="22" spans="1:10" ht="36.75" customHeight="1">
      <c r="A22" s="496" t="s">
        <v>448</v>
      </c>
      <c r="B22" s="496"/>
      <c r="C22" s="496"/>
      <c r="D22" s="496"/>
      <c r="E22" s="496"/>
      <c r="F22" s="496"/>
      <c r="G22" s="496"/>
      <c r="H22" s="496"/>
    </row>
    <row r="23" spans="1:10">
      <c r="A23" s="508" t="s">
        <v>228</v>
      </c>
      <c r="B23" s="508"/>
      <c r="C23" s="508"/>
      <c r="D23" s="508"/>
      <c r="E23" s="508"/>
      <c r="F23" s="508"/>
      <c r="G23" s="508"/>
      <c r="H23" s="508"/>
      <c r="I23" s="22"/>
    </row>
    <row r="24" spans="1:10" ht="11.25" customHeight="1">
      <c r="A24" s="508"/>
      <c r="B24" s="508"/>
      <c r="C24" s="508"/>
      <c r="D24" s="508"/>
      <c r="E24" s="508"/>
      <c r="F24" s="508"/>
      <c r="G24" s="508"/>
      <c r="H24" s="508"/>
    </row>
    <row r="25" spans="1:10">
      <c r="A25" s="509" t="s">
        <v>229</v>
      </c>
      <c r="B25" s="509"/>
      <c r="C25" s="509"/>
      <c r="D25" s="509"/>
      <c r="E25" s="509"/>
      <c r="F25" s="509"/>
      <c r="G25" s="509"/>
      <c r="H25" s="509"/>
    </row>
    <row r="26" spans="1:10">
      <c r="A26" s="187"/>
      <c r="B26" s="187"/>
      <c r="C26" s="187"/>
      <c r="D26" s="187"/>
      <c r="E26" s="187"/>
      <c r="F26" s="187"/>
      <c r="G26" s="187"/>
      <c r="H26" s="187"/>
      <c r="I26" s="23"/>
      <c r="J26" s="21">
        <f ca="1">DAY(H36)</f>
        <v>23</v>
      </c>
    </row>
    <row r="27" spans="1:10">
      <c r="J27" s="21">
        <f ca="1">MONTH(H36)</f>
        <v>9</v>
      </c>
    </row>
    <row r="28" spans="1:10">
      <c r="J28" s="21">
        <f ca="1">YEAR(H36)</f>
        <v>2023</v>
      </c>
    </row>
    <row r="29" spans="1:10">
      <c r="J29" s="21" t="str">
        <f ca="1">CONCATENATE(J28,J27,J26)</f>
        <v>2023923</v>
      </c>
    </row>
    <row r="30" spans="1:10" ht="15.75" customHeight="1"/>
    <row r="31" spans="1:10" ht="14.25" customHeight="1"/>
    <row r="33" spans="1:8">
      <c r="A33" s="510"/>
      <c r="B33" s="511"/>
      <c r="C33" s="511"/>
      <c r="D33" s="511"/>
      <c r="E33" s="511"/>
      <c r="F33" s="511"/>
      <c r="G33" s="511"/>
      <c r="H33" s="511"/>
    </row>
    <row r="34" spans="1:8">
      <c r="A34" s="112"/>
      <c r="B34" s="112"/>
      <c r="C34" s="112"/>
      <c r="D34" s="112"/>
      <c r="E34" s="112"/>
      <c r="F34" s="112"/>
      <c r="G34" s="112"/>
      <c r="H34" s="112"/>
    </row>
    <row r="35" spans="1:8" ht="7.5" customHeight="1"/>
    <row r="36" spans="1:8" ht="13.5" customHeight="1" thickBot="1">
      <c r="A36" s="171" t="s">
        <v>209</v>
      </c>
      <c r="B36" s="497" t="str">
        <f ca="1">CONCATENATE(J29,CONTRATS!Q3,CONTRATS!R3,CONTRATS!S3,CONTRATS!T3)</f>
        <v>20239230859</v>
      </c>
      <c r="C36" s="497"/>
      <c r="G36" s="170" t="s">
        <v>249</v>
      </c>
      <c r="H36" s="188">
        <f ca="1">H9</f>
        <v>45192.531511805559</v>
      </c>
    </row>
    <row r="37" spans="1:8" ht="13.5" thickBot="1">
      <c r="A37" s="171" t="s">
        <v>224</v>
      </c>
      <c r="B37" s="174" t="s">
        <v>250</v>
      </c>
      <c r="F37" s="175" t="s">
        <v>59</v>
      </c>
      <c r="G37" s="493" t="str">
        <f t="shared" ref="G37:G43" si="0">G10</f>
        <v>NSIA ASSURANCES</v>
      </c>
      <c r="H37" s="494"/>
    </row>
    <row r="38" spans="1:8" ht="15" customHeight="1" thickBot="1">
      <c r="A38" s="171" t="s">
        <v>251</v>
      </c>
      <c r="B38" s="498" t="str">
        <f t="shared" ref="B38:B44" si="1">B11</f>
        <v>ALEMNGE CYPRIAN</v>
      </c>
      <c r="C38" s="499"/>
      <c r="D38" s="500"/>
      <c r="F38" s="37" t="s">
        <v>48</v>
      </c>
      <c r="G38" s="493" t="str">
        <f t="shared" si="0"/>
        <v>NOUVELLE AFFAIRE</v>
      </c>
      <c r="H38" s="494"/>
    </row>
    <row r="39" spans="1:8" ht="15.75" customHeight="1" thickBot="1">
      <c r="A39" s="171" t="s">
        <v>252</v>
      </c>
      <c r="B39" s="491" t="str">
        <f t="shared" si="1"/>
        <v>A2023/1075/CAT1/1110155939</v>
      </c>
      <c r="C39" s="495"/>
      <c r="D39" s="495"/>
      <c r="F39" s="189" t="s">
        <v>63</v>
      </c>
      <c r="G39" s="513">
        <f t="shared" si="0"/>
        <v>45192</v>
      </c>
      <c r="H39" s="514"/>
    </row>
    <row r="40" spans="1:8" ht="15.75" customHeight="1" thickBot="1">
      <c r="A40" s="171" t="s">
        <v>204</v>
      </c>
      <c r="B40" s="493" t="str">
        <f t="shared" si="1"/>
        <v>SW 859 BB</v>
      </c>
      <c r="C40" s="494"/>
      <c r="D40" s="38"/>
      <c r="F40" s="189" t="s">
        <v>270</v>
      </c>
      <c r="G40" s="515">
        <f t="shared" si="0"/>
        <v>45251</v>
      </c>
      <c r="H40" s="516"/>
    </row>
    <row r="41" spans="1:8" ht="15.75" customHeight="1" thickBot="1">
      <c r="A41" s="171" t="s">
        <v>253</v>
      </c>
      <c r="B41" s="493" t="str">
        <f t="shared" si="1"/>
        <v>JN8AR05Y7WW275240</v>
      </c>
      <c r="C41" s="494"/>
      <c r="D41" s="38"/>
      <c r="F41" s="38" t="s">
        <v>254</v>
      </c>
      <c r="G41" s="493" t="str">
        <f t="shared" si="0"/>
        <v>19CV**ESSENCE</v>
      </c>
      <c r="H41" s="494"/>
    </row>
    <row r="42" spans="1:8" ht="15.75" customHeight="1" thickBot="1">
      <c r="A42" s="37" t="str">
        <f>A15</f>
        <v>Marque</v>
      </c>
      <c r="B42" s="486" t="str">
        <f t="shared" si="1"/>
        <v xml:space="preserve">NISSAN </v>
      </c>
      <c r="C42" s="487"/>
      <c r="D42" s="38"/>
      <c r="F42" s="190" t="str">
        <f>F15</f>
        <v>Catégorie</v>
      </c>
      <c r="G42" s="493" t="str">
        <f t="shared" si="0"/>
        <v>CAT1**VT</v>
      </c>
      <c r="H42" s="494"/>
    </row>
    <row r="43" spans="1:8" ht="13.5" thickBot="1">
      <c r="A43" s="171" t="s">
        <v>212</v>
      </c>
      <c r="B43" s="512" t="str">
        <f t="shared" si="1"/>
        <v>Espèces</v>
      </c>
      <c r="C43" s="512"/>
      <c r="D43" s="491" t="s">
        <v>384</v>
      </c>
      <c r="E43" s="492"/>
      <c r="F43" s="37" t="s">
        <v>369</v>
      </c>
      <c r="G43" s="486" t="str">
        <f t="shared" si="0"/>
        <v>A2023/1075/CAT1/1110155939</v>
      </c>
      <c r="H43" s="487"/>
    </row>
    <row r="44" spans="1:8" ht="15.75" customHeight="1" thickBot="1">
      <c r="A44" s="171" t="s">
        <v>214</v>
      </c>
      <c r="B44" s="512" t="str">
        <f t="shared" si="1"/>
        <v>Solde</v>
      </c>
      <c r="C44" s="512"/>
      <c r="D44" s="502" t="str">
        <f>D17</f>
        <v>111*A*0155939-17243709</v>
      </c>
      <c r="E44" s="503"/>
      <c r="G44" s="174" t="s">
        <v>216</v>
      </c>
      <c r="H44" s="177">
        <f>H17</f>
        <v>0</v>
      </c>
    </row>
    <row r="45" spans="1:8" ht="24.75" customHeight="1" thickBot="1">
      <c r="A45" s="178" t="s">
        <v>255</v>
      </c>
      <c r="B45" s="179" t="s">
        <v>256</v>
      </c>
      <c r="C45" s="180" t="s">
        <v>257</v>
      </c>
      <c r="D45" s="185" t="s">
        <v>225</v>
      </c>
      <c r="E45" s="191" t="s">
        <v>258</v>
      </c>
      <c r="F45" s="182" t="s">
        <v>381</v>
      </c>
      <c r="G45" s="192" t="s">
        <v>259</v>
      </c>
      <c r="H45" s="185" t="s">
        <v>260</v>
      </c>
    </row>
    <row r="46" spans="1:8" ht="42" customHeight="1" thickBot="1">
      <c r="A46" s="153">
        <f t="shared" ref="A46:H46" si="2">A19</f>
        <v>21590.2</v>
      </c>
      <c r="B46" s="153">
        <f t="shared" si="2"/>
        <v>2500</v>
      </c>
      <c r="C46" s="153">
        <f t="shared" si="2"/>
        <v>1000</v>
      </c>
      <c r="D46" s="153">
        <f t="shared" si="2"/>
        <v>4829.8635000000004</v>
      </c>
      <c r="E46" s="153">
        <f t="shared" si="2"/>
        <v>1000</v>
      </c>
      <c r="F46" s="153">
        <f>F19</f>
        <v>0</v>
      </c>
      <c r="G46" s="153" t="str">
        <f t="shared" si="2"/>
        <v>DÉJÀ PAYE</v>
      </c>
      <c r="H46" s="186">
        <f t="shared" si="2"/>
        <v>30920.0635</v>
      </c>
    </row>
    <row r="47" spans="1:8">
      <c r="A47" s="501" t="str">
        <f>A20</f>
        <v>COUT DE L'AVENANT****30920,0635FCFA</v>
      </c>
      <c r="B47" s="501"/>
      <c r="C47" s="501"/>
      <c r="D47" s="501"/>
      <c r="E47" s="501"/>
      <c r="F47" s="501"/>
      <c r="G47" s="501"/>
      <c r="H47" s="501"/>
    </row>
    <row r="48" spans="1:8">
      <c r="A48" s="488" t="s">
        <v>226</v>
      </c>
      <c r="B48" s="489"/>
      <c r="G48" s="490" t="s">
        <v>227</v>
      </c>
      <c r="H48" s="489"/>
    </row>
    <row r="49" spans="1:8" ht="24.75" customHeight="1">
      <c r="A49" s="517" t="str">
        <f>A22</f>
        <v>ADVANCE 150,000 FCFA BALANCE 26,299 FCFA</v>
      </c>
      <c r="B49" s="517"/>
      <c r="C49" s="517"/>
      <c r="D49" s="517"/>
      <c r="E49" s="517"/>
      <c r="F49" s="517"/>
      <c r="G49" s="517"/>
      <c r="H49" s="517"/>
    </row>
    <row r="50" spans="1:8" ht="25.5" customHeight="1">
      <c r="A50" s="504" t="s">
        <v>228</v>
      </c>
      <c r="B50" s="505"/>
      <c r="C50" s="505"/>
      <c r="D50" s="505"/>
      <c r="E50" s="505"/>
      <c r="F50" s="505"/>
      <c r="G50" s="505"/>
      <c r="H50" s="505"/>
    </row>
    <row r="51" spans="1:8">
      <c r="A51" s="506" t="s">
        <v>229</v>
      </c>
      <c r="B51" s="507"/>
      <c r="C51" s="507"/>
      <c r="D51" s="507"/>
      <c r="E51" s="507"/>
      <c r="F51" s="507"/>
      <c r="G51" s="507"/>
      <c r="H51" s="507"/>
    </row>
  </sheetData>
  <mergeCells count="48">
    <mergeCell ref="A6:H6"/>
    <mergeCell ref="B16:C16"/>
    <mergeCell ref="B17:C17"/>
    <mergeCell ref="A21:B21"/>
    <mergeCell ref="G21:H21"/>
    <mergeCell ref="G12:H12"/>
    <mergeCell ref="G13:H13"/>
    <mergeCell ref="G14:H14"/>
    <mergeCell ref="G15:H15"/>
    <mergeCell ref="G11:H11"/>
    <mergeCell ref="B13:C13"/>
    <mergeCell ref="B14:C14"/>
    <mergeCell ref="B15:C15"/>
    <mergeCell ref="B11:D11"/>
    <mergeCell ref="B9:C9"/>
    <mergeCell ref="G10:H10"/>
    <mergeCell ref="A50:H50"/>
    <mergeCell ref="A51:H51"/>
    <mergeCell ref="A23:H24"/>
    <mergeCell ref="A25:H25"/>
    <mergeCell ref="A33:H33"/>
    <mergeCell ref="B43:C43"/>
    <mergeCell ref="B44:C44"/>
    <mergeCell ref="G39:H39"/>
    <mergeCell ref="G40:H40"/>
    <mergeCell ref="G41:H41"/>
    <mergeCell ref="G38:H38"/>
    <mergeCell ref="B40:C40"/>
    <mergeCell ref="G42:H42"/>
    <mergeCell ref="A47:H47"/>
    <mergeCell ref="A49:H49"/>
    <mergeCell ref="D44:E44"/>
    <mergeCell ref="B12:D12"/>
    <mergeCell ref="B39:D39"/>
    <mergeCell ref="A22:H22"/>
    <mergeCell ref="B36:C36"/>
    <mergeCell ref="B38:D38"/>
    <mergeCell ref="A20:H20"/>
    <mergeCell ref="G16:H16"/>
    <mergeCell ref="G37:H37"/>
    <mergeCell ref="D16:E16"/>
    <mergeCell ref="D17:E17"/>
    <mergeCell ref="G43:H43"/>
    <mergeCell ref="A48:B48"/>
    <mergeCell ref="G48:H48"/>
    <mergeCell ref="D43:E43"/>
    <mergeCell ref="B41:C41"/>
    <mergeCell ref="B42:C42"/>
  </mergeCells>
  <pageMargins left="0.98425196850393704" right="0.11811023622047245" top="0.31496062992125984" bottom="0.11811023622047245" header="0.15748031496062992" footer="0.19685039370078741"/>
  <pageSetup paperSize="9" scale="9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FFFF00"/>
  </sheetPr>
  <dimension ref="A1:M45"/>
  <sheetViews>
    <sheetView workbookViewId="0">
      <selection sqref="A1:K16"/>
    </sheetView>
  </sheetViews>
  <sheetFormatPr defaultColWidth="11.42578125" defaultRowHeight="12"/>
  <cols>
    <col min="1" max="1" width="10.28515625" style="157" customWidth="1"/>
    <col min="2" max="2" width="11" style="157" customWidth="1"/>
    <col min="3" max="3" width="8" style="157" customWidth="1"/>
    <col min="4" max="4" width="14.85546875" style="157" customWidth="1"/>
    <col min="5" max="5" width="13.140625" style="157" customWidth="1"/>
    <col min="6" max="6" width="6.85546875" style="157" customWidth="1"/>
    <col min="7" max="7" width="19.28515625" style="157" customWidth="1"/>
    <col min="8" max="8" width="16.7109375" style="157" customWidth="1"/>
    <col min="9" max="9" width="15.140625" style="157" customWidth="1"/>
    <col min="10" max="10" width="14.7109375" style="157" bestFit="1" customWidth="1"/>
    <col min="11" max="256" width="11.42578125" style="157"/>
    <col min="257" max="257" width="10.28515625" style="157" customWidth="1"/>
    <col min="258" max="258" width="11" style="157" customWidth="1"/>
    <col min="259" max="259" width="5.85546875" style="157" customWidth="1"/>
    <col min="260" max="260" width="14.85546875" style="157" customWidth="1"/>
    <col min="261" max="261" width="13.140625" style="157" customWidth="1"/>
    <col min="262" max="262" width="6.85546875" style="157" customWidth="1"/>
    <col min="263" max="263" width="19.28515625" style="157" customWidth="1"/>
    <col min="264" max="264" width="12.85546875" style="157" customWidth="1"/>
    <col min="265" max="265" width="15.140625" style="157" customWidth="1"/>
    <col min="266" max="266" width="14.7109375" style="157" bestFit="1" customWidth="1"/>
    <col min="267" max="512" width="11.42578125" style="157"/>
    <col min="513" max="513" width="10.28515625" style="157" customWidth="1"/>
    <col min="514" max="514" width="11" style="157" customWidth="1"/>
    <col min="515" max="515" width="5.85546875" style="157" customWidth="1"/>
    <col min="516" max="516" width="14.85546875" style="157" customWidth="1"/>
    <col min="517" max="517" width="13.140625" style="157" customWidth="1"/>
    <col min="518" max="518" width="6.85546875" style="157" customWidth="1"/>
    <col min="519" max="519" width="19.28515625" style="157" customWidth="1"/>
    <col min="520" max="520" width="12.85546875" style="157" customWidth="1"/>
    <col min="521" max="521" width="15.140625" style="157" customWidth="1"/>
    <col min="522" max="522" width="14.7109375" style="157" bestFit="1" customWidth="1"/>
    <col min="523" max="768" width="11.42578125" style="157"/>
    <col min="769" max="769" width="10.28515625" style="157" customWidth="1"/>
    <col min="770" max="770" width="11" style="157" customWidth="1"/>
    <col min="771" max="771" width="5.85546875" style="157" customWidth="1"/>
    <col min="772" max="772" width="14.85546875" style="157" customWidth="1"/>
    <col min="773" max="773" width="13.140625" style="157" customWidth="1"/>
    <col min="774" max="774" width="6.85546875" style="157" customWidth="1"/>
    <col min="775" max="775" width="19.28515625" style="157" customWidth="1"/>
    <col min="776" max="776" width="12.85546875" style="157" customWidth="1"/>
    <col min="777" max="777" width="15.140625" style="157" customWidth="1"/>
    <col min="778" max="778" width="14.7109375" style="157" bestFit="1" customWidth="1"/>
    <col min="779" max="1024" width="11.42578125" style="157"/>
    <col min="1025" max="1025" width="10.28515625" style="157" customWidth="1"/>
    <col min="1026" max="1026" width="11" style="157" customWidth="1"/>
    <col min="1027" max="1027" width="5.85546875" style="157" customWidth="1"/>
    <col min="1028" max="1028" width="14.85546875" style="157" customWidth="1"/>
    <col min="1029" max="1029" width="13.140625" style="157" customWidth="1"/>
    <col min="1030" max="1030" width="6.85546875" style="157" customWidth="1"/>
    <col min="1031" max="1031" width="19.28515625" style="157" customWidth="1"/>
    <col min="1032" max="1032" width="12.85546875" style="157" customWidth="1"/>
    <col min="1033" max="1033" width="15.140625" style="157" customWidth="1"/>
    <col min="1034" max="1034" width="14.7109375" style="157" bestFit="1" customWidth="1"/>
    <col min="1035" max="1280" width="11.42578125" style="157"/>
    <col min="1281" max="1281" width="10.28515625" style="157" customWidth="1"/>
    <col min="1282" max="1282" width="11" style="157" customWidth="1"/>
    <col min="1283" max="1283" width="5.85546875" style="157" customWidth="1"/>
    <col min="1284" max="1284" width="14.85546875" style="157" customWidth="1"/>
    <col min="1285" max="1285" width="13.140625" style="157" customWidth="1"/>
    <col min="1286" max="1286" width="6.85546875" style="157" customWidth="1"/>
    <col min="1287" max="1287" width="19.28515625" style="157" customWidth="1"/>
    <col min="1288" max="1288" width="12.85546875" style="157" customWidth="1"/>
    <col min="1289" max="1289" width="15.140625" style="157" customWidth="1"/>
    <col min="1290" max="1290" width="14.7109375" style="157" bestFit="1" customWidth="1"/>
    <col min="1291" max="1536" width="11.42578125" style="157"/>
    <col min="1537" max="1537" width="10.28515625" style="157" customWidth="1"/>
    <col min="1538" max="1538" width="11" style="157" customWidth="1"/>
    <col min="1539" max="1539" width="5.85546875" style="157" customWidth="1"/>
    <col min="1540" max="1540" width="14.85546875" style="157" customWidth="1"/>
    <col min="1541" max="1541" width="13.140625" style="157" customWidth="1"/>
    <col min="1542" max="1542" width="6.85546875" style="157" customWidth="1"/>
    <col min="1543" max="1543" width="19.28515625" style="157" customWidth="1"/>
    <col min="1544" max="1544" width="12.85546875" style="157" customWidth="1"/>
    <col min="1545" max="1545" width="15.140625" style="157" customWidth="1"/>
    <col min="1546" max="1546" width="14.7109375" style="157" bestFit="1" customWidth="1"/>
    <col min="1547" max="1792" width="11.42578125" style="157"/>
    <col min="1793" max="1793" width="10.28515625" style="157" customWidth="1"/>
    <col min="1794" max="1794" width="11" style="157" customWidth="1"/>
    <col min="1795" max="1795" width="5.85546875" style="157" customWidth="1"/>
    <col min="1796" max="1796" width="14.85546875" style="157" customWidth="1"/>
    <col min="1797" max="1797" width="13.140625" style="157" customWidth="1"/>
    <col min="1798" max="1798" width="6.85546875" style="157" customWidth="1"/>
    <col min="1799" max="1799" width="19.28515625" style="157" customWidth="1"/>
    <col min="1800" max="1800" width="12.85546875" style="157" customWidth="1"/>
    <col min="1801" max="1801" width="15.140625" style="157" customWidth="1"/>
    <col min="1802" max="1802" width="14.7109375" style="157" bestFit="1" customWidth="1"/>
    <col min="1803" max="2048" width="11.42578125" style="157"/>
    <col min="2049" max="2049" width="10.28515625" style="157" customWidth="1"/>
    <col min="2050" max="2050" width="11" style="157" customWidth="1"/>
    <col min="2051" max="2051" width="5.85546875" style="157" customWidth="1"/>
    <col min="2052" max="2052" width="14.85546875" style="157" customWidth="1"/>
    <col min="2053" max="2053" width="13.140625" style="157" customWidth="1"/>
    <col min="2054" max="2054" width="6.85546875" style="157" customWidth="1"/>
    <col min="2055" max="2055" width="19.28515625" style="157" customWidth="1"/>
    <col min="2056" max="2056" width="12.85546875" style="157" customWidth="1"/>
    <col min="2057" max="2057" width="15.140625" style="157" customWidth="1"/>
    <col min="2058" max="2058" width="14.7109375" style="157" bestFit="1" customWidth="1"/>
    <col min="2059" max="2304" width="11.42578125" style="157"/>
    <col min="2305" max="2305" width="10.28515625" style="157" customWidth="1"/>
    <col min="2306" max="2306" width="11" style="157" customWidth="1"/>
    <col min="2307" max="2307" width="5.85546875" style="157" customWidth="1"/>
    <col min="2308" max="2308" width="14.85546875" style="157" customWidth="1"/>
    <col min="2309" max="2309" width="13.140625" style="157" customWidth="1"/>
    <col min="2310" max="2310" width="6.85546875" style="157" customWidth="1"/>
    <col min="2311" max="2311" width="19.28515625" style="157" customWidth="1"/>
    <col min="2312" max="2312" width="12.85546875" style="157" customWidth="1"/>
    <col min="2313" max="2313" width="15.140625" style="157" customWidth="1"/>
    <col min="2314" max="2314" width="14.7109375" style="157" bestFit="1" customWidth="1"/>
    <col min="2315" max="2560" width="11.42578125" style="157"/>
    <col min="2561" max="2561" width="10.28515625" style="157" customWidth="1"/>
    <col min="2562" max="2562" width="11" style="157" customWidth="1"/>
    <col min="2563" max="2563" width="5.85546875" style="157" customWidth="1"/>
    <col min="2564" max="2564" width="14.85546875" style="157" customWidth="1"/>
    <col min="2565" max="2565" width="13.140625" style="157" customWidth="1"/>
    <col min="2566" max="2566" width="6.85546875" style="157" customWidth="1"/>
    <col min="2567" max="2567" width="19.28515625" style="157" customWidth="1"/>
    <col min="2568" max="2568" width="12.85546875" style="157" customWidth="1"/>
    <col min="2569" max="2569" width="15.140625" style="157" customWidth="1"/>
    <col min="2570" max="2570" width="14.7109375" style="157" bestFit="1" customWidth="1"/>
    <col min="2571" max="2816" width="11.42578125" style="157"/>
    <col min="2817" max="2817" width="10.28515625" style="157" customWidth="1"/>
    <col min="2818" max="2818" width="11" style="157" customWidth="1"/>
    <col min="2819" max="2819" width="5.85546875" style="157" customWidth="1"/>
    <col min="2820" max="2820" width="14.85546875" style="157" customWidth="1"/>
    <col min="2821" max="2821" width="13.140625" style="157" customWidth="1"/>
    <col min="2822" max="2822" width="6.85546875" style="157" customWidth="1"/>
    <col min="2823" max="2823" width="19.28515625" style="157" customWidth="1"/>
    <col min="2824" max="2824" width="12.85546875" style="157" customWidth="1"/>
    <col min="2825" max="2825" width="15.140625" style="157" customWidth="1"/>
    <col min="2826" max="2826" width="14.7109375" style="157" bestFit="1" customWidth="1"/>
    <col min="2827" max="3072" width="11.42578125" style="157"/>
    <col min="3073" max="3073" width="10.28515625" style="157" customWidth="1"/>
    <col min="3074" max="3074" width="11" style="157" customWidth="1"/>
    <col min="3075" max="3075" width="5.85546875" style="157" customWidth="1"/>
    <col min="3076" max="3076" width="14.85546875" style="157" customWidth="1"/>
    <col min="3077" max="3077" width="13.140625" style="157" customWidth="1"/>
    <col min="3078" max="3078" width="6.85546875" style="157" customWidth="1"/>
    <col min="3079" max="3079" width="19.28515625" style="157" customWidth="1"/>
    <col min="3080" max="3080" width="12.85546875" style="157" customWidth="1"/>
    <col min="3081" max="3081" width="15.140625" style="157" customWidth="1"/>
    <col min="3082" max="3082" width="14.7109375" style="157" bestFit="1" customWidth="1"/>
    <col min="3083" max="3328" width="11.42578125" style="157"/>
    <col min="3329" max="3329" width="10.28515625" style="157" customWidth="1"/>
    <col min="3330" max="3330" width="11" style="157" customWidth="1"/>
    <col min="3331" max="3331" width="5.85546875" style="157" customWidth="1"/>
    <col min="3332" max="3332" width="14.85546875" style="157" customWidth="1"/>
    <col min="3333" max="3333" width="13.140625" style="157" customWidth="1"/>
    <col min="3334" max="3334" width="6.85546875" style="157" customWidth="1"/>
    <col min="3335" max="3335" width="19.28515625" style="157" customWidth="1"/>
    <col min="3336" max="3336" width="12.85546875" style="157" customWidth="1"/>
    <col min="3337" max="3337" width="15.140625" style="157" customWidth="1"/>
    <col min="3338" max="3338" width="14.7109375" style="157" bestFit="1" customWidth="1"/>
    <col min="3339" max="3584" width="11.42578125" style="157"/>
    <col min="3585" max="3585" width="10.28515625" style="157" customWidth="1"/>
    <col min="3586" max="3586" width="11" style="157" customWidth="1"/>
    <col min="3587" max="3587" width="5.85546875" style="157" customWidth="1"/>
    <col min="3588" max="3588" width="14.85546875" style="157" customWidth="1"/>
    <col min="3589" max="3589" width="13.140625" style="157" customWidth="1"/>
    <col min="3590" max="3590" width="6.85546875" style="157" customWidth="1"/>
    <col min="3591" max="3591" width="19.28515625" style="157" customWidth="1"/>
    <col min="3592" max="3592" width="12.85546875" style="157" customWidth="1"/>
    <col min="3593" max="3593" width="15.140625" style="157" customWidth="1"/>
    <col min="3594" max="3594" width="14.7109375" style="157" bestFit="1" customWidth="1"/>
    <col min="3595" max="3840" width="11.42578125" style="157"/>
    <col min="3841" max="3841" width="10.28515625" style="157" customWidth="1"/>
    <col min="3842" max="3842" width="11" style="157" customWidth="1"/>
    <col min="3843" max="3843" width="5.85546875" style="157" customWidth="1"/>
    <col min="3844" max="3844" width="14.85546875" style="157" customWidth="1"/>
    <col min="3845" max="3845" width="13.140625" style="157" customWidth="1"/>
    <col min="3846" max="3846" width="6.85546875" style="157" customWidth="1"/>
    <col min="3847" max="3847" width="19.28515625" style="157" customWidth="1"/>
    <col min="3848" max="3848" width="12.85546875" style="157" customWidth="1"/>
    <col min="3849" max="3849" width="15.140625" style="157" customWidth="1"/>
    <col min="3850" max="3850" width="14.7109375" style="157" bestFit="1" customWidth="1"/>
    <col min="3851" max="4096" width="11.42578125" style="157"/>
    <col min="4097" max="4097" width="10.28515625" style="157" customWidth="1"/>
    <col min="4098" max="4098" width="11" style="157" customWidth="1"/>
    <col min="4099" max="4099" width="5.85546875" style="157" customWidth="1"/>
    <col min="4100" max="4100" width="14.85546875" style="157" customWidth="1"/>
    <col min="4101" max="4101" width="13.140625" style="157" customWidth="1"/>
    <col min="4102" max="4102" width="6.85546875" style="157" customWidth="1"/>
    <col min="4103" max="4103" width="19.28515625" style="157" customWidth="1"/>
    <col min="4104" max="4104" width="12.85546875" style="157" customWidth="1"/>
    <col min="4105" max="4105" width="15.140625" style="157" customWidth="1"/>
    <col min="4106" max="4106" width="14.7109375" style="157" bestFit="1" customWidth="1"/>
    <col min="4107" max="4352" width="11.42578125" style="157"/>
    <col min="4353" max="4353" width="10.28515625" style="157" customWidth="1"/>
    <col min="4354" max="4354" width="11" style="157" customWidth="1"/>
    <col min="4355" max="4355" width="5.85546875" style="157" customWidth="1"/>
    <col min="4356" max="4356" width="14.85546875" style="157" customWidth="1"/>
    <col min="4357" max="4357" width="13.140625" style="157" customWidth="1"/>
    <col min="4358" max="4358" width="6.85546875" style="157" customWidth="1"/>
    <col min="4359" max="4359" width="19.28515625" style="157" customWidth="1"/>
    <col min="4360" max="4360" width="12.85546875" style="157" customWidth="1"/>
    <col min="4361" max="4361" width="15.140625" style="157" customWidth="1"/>
    <col min="4362" max="4362" width="14.7109375" style="157" bestFit="1" customWidth="1"/>
    <col min="4363" max="4608" width="11.42578125" style="157"/>
    <col min="4609" max="4609" width="10.28515625" style="157" customWidth="1"/>
    <col min="4610" max="4610" width="11" style="157" customWidth="1"/>
    <col min="4611" max="4611" width="5.85546875" style="157" customWidth="1"/>
    <col min="4612" max="4612" width="14.85546875" style="157" customWidth="1"/>
    <col min="4613" max="4613" width="13.140625" style="157" customWidth="1"/>
    <col min="4614" max="4614" width="6.85546875" style="157" customWidth="1"/>
    <col min="4615" max="4615" width="19.28515625" style="157" customWidth="1"/>
    <col min="4616" max="4616" width="12.85546875" style="157" customWidth="1"/>
    <col min="4617" max="4617" width="15.140625" style="157" customWidth="1"/>
    <col min="4618" max="4618" width="14.7109375" style="157" bestFit="1" customWidth="1"/>
    <col min="4619" max="4864" width="11.42578125" style="157"/>
    <col min="4865" max="4865" width="10.28515625" style="157" customWidth="1"/>
    <col min="4866" max="4866" width="11" style="157" customWidth="1"/>
    <col min="4867" max="4867" width="5.85546875" style="157" customWidth="1"/>
    <col min="4868" max="4868" width="14.85546875" style="157" customWidth="1"/>
    <col min="4869" max="4869" width="13.140625" style="157" customWidth="1"/>
    <col min="4870" max="4870" width="6.85546875" style="157" customWidth="1"/>
    <col min="4871" max="4871" width="19.28515625" style="157" customWidth="1"/>
    <col min="4872" max="4872" width="12.85546875" style="157" customWidth="1"/>
    <col min="4873" max="4873" width="15.140625" style="157" customWidth="1"/>
    <col min="4874" max="4874" width="14.7109375" style="157" bestFit="1" customWidth="1"/>
    <col min="4875" max="5120" width="11.42578125" style="157"/>
    <col min="5121" max="5121" width="10.28515625" style="157" customWidth="1"/>
    <col min="5122" max="5122" width="11" style="157" customWidth="1"/>
    <col min="5123" max="5123" width="5.85546875" style="157" customWidth="1"/>
    <col min="5124" max="5124" width="14.85546875" style="157" customWidth="1"/>
    <col min="5125" max="5125" width="13.140625" style="157" customWidth="1"/>
    <col min="5126" max="5126" width="6.85546875" style="157" customWidth="1"/>
    <col min="5127" max="5127" width="19.28515625" style="157" customWidth="1"/>
    <col min="5128" max="5128" width="12.85546875" style="157" customWidth="1"/>
    <col min="5129" max="5129" width="15.140625" style="157" customWidth="1"/>
    <col min="5130" max="5130" width="14.7109375" style="157" bestFit="1" customWidth="1"/>
    <col min="5131" max="5376" width="11.42578125" style="157"/>
    <col min="5377" max="5377" width="10.28515625" style="157" customWidth="1"/>
    <col min="5378" max="5378" width="11" style="157" customWidth="1"/>
    <col min="5379" max="5379" width="5.85546875" style="157" customWidth="1"/>
    <col min="5380" max="5380" width="14.85546875" style="157" customWidth="1"/>
    <col min="5381" max="5381" width="13.140625" style="157" customWidth="1"/>
    <col min="5382" max="5382" width="6.85546875" style="157" customWidth="1"/>
    <col min="5383" max="5383" width="19.28515625" style="157" customWidth="1"/>
    <col min="5384" max="5384" width="12.85546875" style="157" customWidth="1"/>
    <col min="5385" max="5385" width="15.140625" style="157" customWidth="1"/>
    <col min="5386" max="5386" width="14.7109375" style="157" bestFit="1" customWidth="1"/>
    <col min="5387" max="5632" width="11.42578125" style="157"/>
    <col min="5633" max="5633" width="10.28515625" style="157" customWidth="1"/>
    <col min="5634" max="5634" width="11" style="157" customWidth="1"/>
    <col min="5635" max="5635" width="5.85546875" style="157" customWidth="1"/>
    <col min="5636" max="5636" width="14.85546875" style="157" customWidth="1"/>
    <col min="5637" max="5637" width="13.140625" style="157" customWidth="1"/>
    <col min="5638" max="5638" width="6.85546875" style="157" customWidth="1"/>
    <col min="5639" max="5639" width="19.28515625" style="157" customWidth="1"/>
    <col min="5640" max="5640" width="12.85546875" style="157" customWidth="1"/>
    <col min="5641" max="5641" width="15.140625" style="157" customWidth="1"/>
    <col min="5642" max="5642" width="14.7109375" style="157" bestFit="1" customWidth="1"/>
    <col min="5643" max="5888" width="11.42578125" style="157"/>
    <col min="5889" max="5889" width="10.28515625" style="157" customWidth="1"/>
    <col min="5890" max="5890" width="11" style="157" customWidth="1"/>
    <col min="5891" max="5891" width="5.85546875" style="157" customWidth="1"/>
    <col min="5892" max="5892" width="14.85546875" style="157" customWidth="1"/>
    <col min="5893" max="5893" width="13.140625" style="157" customWidth="1"/>
    <col min="5894" max="5894" width="6.85546875" style="157" customWidth="1"/>
    <col min="5895" max="5895" width="19.28515625" style="157" customWidth="1"/>
    <col min="5896" max="5896" width="12.85546875" style="157" customWidth="1"/>
    <col min="5897" max="5897" width="15.140625" style="157" customWidth="1"/>
    <col min="5898" max="5898" width="14.7109375" style="157" bestFit="1" customWidth="1"/>
    <col min="5899" max="6144" width="11.42578125" style="157"/>
    <col min="6145" max="6145" width="10.28515625" style="157" customWidth="1"/>
    <col min="6146" max="6146" width="11" style="157" customWidth="1"/>
    <col min="6147" max="6147" width="5.85546875" style="157" customWidth="1"/>
    <col min="6148" max="6148" width="14.85546875" style="157" customWidth="1"/>
    <col min="6149" max="6149" width="13.140625" style="157" customWidth="1"/>
    <col min="6150" max="6150" width="6.85546875" style="157" customWidth="1"/>
    <col min="6151" max="6151" width="19.28515625" style="157" customWidth="1"/>
    <col min="6152" max="6152" width="12.85546875" style="157" customWidth="1"/>
    <col min="6153" max="6153" width="15.140625" style="157" customWidth="1"/>
    <col min="6154" max="6154" width="14.7109375" style="157" bestFit="1" customWidth="1"/>
    <col min="6155" max="6400" width="11.42578125" style="157"/>
    <col min="6401" max="6401" width="10.28515625" style="157" customWidth="1"/>
    <col min="6402" max="6402" width="11" style="157" customWidth="1"/>
    <col min="6403" max="6403" width="5.85546875" style="157" customWidth="1"/>
    <col min="6404" max="6404" width="14.85546875" style="157" customWidth="1"/>
    <col min="6405" max="6405" width="13.140625" style="157" customWidth="1"/>
    <col min="6406" max="6406" width="6.85546875" style="157" customWidth="1"/>
    <col min="6407" max="6407" width="19.28515625" style="157" customWidth="1"/>
    <col min="6408" max="6408" width="12.85546875" style="157" customWidth="1"/>
    <col min="6409" max="6409" width="15.140625" style="157" customWidth="1"/>
    <col min="6410" max="6410" width="14.7109375" style="157" bestFit="1" customWidth="1"/>
    <col min="6411" max="6656" width="11.42578125" style="157"/>
    <col min="6657" max="6657" width="10.28515625" style="157" customWidth="1"/>
    <col min="6658" max="6658" width="11" style="157" customWidth="1"/>
    <col min="6659" max="6659" width="5.85546875" style="157" customWidth="1"/>
    <col min="6660" max="6660" width="14.85546875" style="157" customWidth="1"/>
    <col min="6661" max="6661" width="13.140625" style="157" customWidth="1"/>
    <col min="6662" max="6662" width="6.85546875" style="157" customWidth="1"/>
    <col min="6663" max="6663" width="19.28515625" style="157" customWidth="1"/>
    <col min="6664" max="6664" width="12.85546875" style="157" customWidth="1"/>
    <col min="6665" max="6665" width="15.140625" style="157" customWidth="1"/>
    <col min="6666" max="6666" width="14.7109375" style="157" bestFit="1" customWidth="1"/>
    <col min="6667" max="6912" width="11.42578125" style="157"/>
    <col min="6913" max="6913" width="10.28515625" style="157" customWidth="1"/>
    <col min="6914" max="6914" width="11" style="157" customWidth="1"/>
    <col min="6915" max="6915" width="5.85546875" style="157" customWidth="1"/>
    <col min="6916" max="6916" width="14.85546875" style="157" customWidth="1"/>
    <col min="6917" max="6917" width="13.140625" style="157" customWidth="1"/>
    <col min="6918" max="6918" width="6.85546875" style="157" customWidth="1"/>
    <col min="6919" max="6919" width="19.28515625" style="157" customWidth="1"/>
    <col min="6920" max="6920" width="12.85546875" style="157" customWidth="1"/>
    <col min="6921" max="6921" width="15.140625" style="157" customWidth="1"/>
    <col min="6922" max="6922" width="14.7109375" style="157" bestFit="1" customWidth="1"/>
    <col min="6923" max="7168" width="11.42578125" style="157"/>
    <col min="7169" max="7169" width="10.28515625" style="157" customWidth="1"/>
    <col min="7170" max="7170" width="11" style="157" customWidth="1"/>
    <col min="7171" max="7171" width="5.85546875" style="157" customWidth="1"/>
    <col min="7172" max="7172" width="14.85546875" style="157" customWidth="1"/>
    <col min="7173" max="7173" width="13.140625" style="157" customWidth="1"/>
    <col min="7174" max="7174" width="6.85546875" style="157" customWidth="1"/>
    <col min="7175" max="7175" width="19.28515625" style="157" customWidth="1"/>
    <col min="7176" max="7176" width="12.85546875" style="157" customWidth="1"/>
    <col min="7177" max="7177" width="15.140625" style="157" customWidth="1"/>
    <col min="7178" max="7178" width="14.7109375" style="157" bestFit="1" customWidth="1"/>
    <col min="7179" max="7424" width="11.42578125" style="157"/>
    <col min="7425" max="7425" width="10.28515625" style="157" customWidth="1"/>
    <col min="7426" max="7426" width="11" style="157" customWidth="1"/>
    <col min="7427" max="7427" width="5.85546875" style="157" customWidth="1"/>
    <col min="7428" max="7428" width="14.85546875" style="157" customWidth="1"/>
    <col min="7429" max="7429" width="13.140625" style="157" customWidth="1"/>
    <col min="7430" max="7430" width="6.85546875" style="157" customWidth="1"/>
    <col min="7431" max="7431" width="19.28515625" style="157" customWidth="1"/>
    <col min="7432" max="7432" width="12.85546875" style="157" customWidth="1"/>
    <col min="7433" max="7433" width="15.140625" style="157" customWidth="1"/>
    <col min="7434" max="7434" width="14.7109375" style="157" bestFit="1" customWidth="1"/>
    <col min="7435" max="7680" width="11.42578125" style="157"/>
    <col min="7681" max="7681" width="10.28515625" style="157" customWidth="1"/>
    <col min="7682" max="7682" width="11" style="157" customWidth="1"/>
    <col min="7683" max="7683" width="5.85546875" style="157" customWidth="1"/>
    <col min="7684" max="7684" width="14.85546875" style="157" customWidth="1"/>
    <col min="7685" max="7685" width="13.140625" style="157" customWidth="1"/>
    <col min="7686" max="7686" width="6.85546875" style="157" customWidth="1"/>
    <col min="7687" max="7687" width="19.28515625" style="157" customWidth="1"/>
    <col min="7688" max="7688" width="12.85546875" style="157" customWidth="1"/>
    <col min="7689" max="7689" width="15.140625" style="157" customWidth="1"/>
    <col min="7690" max="7690" width="14.7109375" style="157" bestFit="1" customWidth="1"/>
    <col min="7691" max="7936" width="11.42578125" style="157"/>
    <col min="7937" max="7937" width="10.28515625" style="157" customWidth="1"/>
    <col min="7938" max="7938" width="11" style="157" customWidth="1"/>
    <col min="7939" max="7939" width="5.85546875" style="157" customWidth="1"/>
    <col min="7940" max="7940" width="14.85546875" style="157" customWidth="1"/>
    <col min="7941" max="7941" width="13.140625" style="157" customWidth="1"/>
    <col min="7942" max="7942" width="6.85546875" style="157" customWidth="1"/>
    <col min="7943" max="7943" width="19.28515625" style="157" customWidth="1"/>
    <col min="7944" max="7944" width="12.85546875" style="157" customWidth="1"/>
    <col min="7945" max="7945" width="15.140625" style="157" customWidth="1"/>
    <col min="7946" max="7946" width="14.7109375" style="157" bestFit="1" customWidth="1"/>
    <col min="7947" max="8192" width="11.42578125" style="157"/>
    <col min="8193" max="8193" width="10.28515625" style="157" customWidth="1"/>
    <col min="8194" max="8194" width="11" style="157" customWidth="1"/>
    <col min="8195" max="8195" width="5.85546875" style="157" customWidth="1"/>
    <col min="8196" max="8196" width="14.85546875" style="157" customWidth="1"/>
    <col min="8197" max="8197" width="13.140625" style="157" customWidth="1"/>
    <col min="8198" max="8198" width="6.85546875" style="157" customWidth="1"/>
    <col min="8199" max="8199" width="19.28515625" style="157" customWidth="1"/>
    <col min="8200" max="8200" width="12.85546875" style="157" customWidth="1"/>
    <col min="8201" max="8201" width="15.140625" style="157" customWidth="1"/>
    <col min="8202" max="8202" width="14.7109375" style="157" bestFit="1" customWidth="1"/>
    <col min="8203" max="8448" width="11.42578125" style="157"/>
    <col min="8449" max="8449" width="10.28515625" style="157" customWidth="1"/>
    <col min="8450" max="8450" width="11" style="157" customWidth="1"/>
    <col min="8451" max="8451" width="5.85546875" style="157" customWidth="1"/>
    <col min="8452" max="8452" width="14.85546875" style="157" customWidth="1"/>
    <col min="8453" max="8453" width="13.140625" style="157" customWidth="1"/>
    <col min="8454" max="8454" width="6.85546875" style="157" customWidth="1"/>
    <col min="8455" max="8455" width="19.28515625" style="157" customWidth="1"/>
    <col min="8456" max="8456" width="12.85546875" style="157" customWidth="1"/>
    <col min="8457" max="8457" width="15.140625" style="157" customWidth="1"/>
    <col min="8458" max="8458" width="14.7109375" style="157" bestFit="1" customWidth="1"/>
    <col min="8459" max="8704" width="11.42578125" style="157"/>
    <col min="8705" max="8705" width="10.28515625" style="157" customWidth="1"/>
    <col min="8706" max="8706" width="11" style="157" customWidth="1"/>
    <col min="8707" max="8707" width="5.85546875" style="157" customWidth="1"/>
    <col min="8708" max="8708" width="14.85546875" style="157" customWidth="1"/>
    <col min="8709" max="8709" width="13.140625" style="157" customWidth="1"/>
    <col min="8710" max="8710" width="6.85546875" style="157" customWidth="1"/>
    <col min="8711" max="8711" width="19.28515625" style="157" customWidth="1"/>
    <col min="8712" max="8712" width="12.85546875" style="157" customWidth="1"/>
    <col min="8713" max="8713" width="15.140625" style="157" customWidth="1"/>
    <col min="8714" max="8714" width="14.7109375" style="157" bestFit="1" customWidth="1"/>
    <col min="8715" max="8960" width="11.42578125" style="157"/>
    <col min="8961" max="8961" width="10.28515625" style="157" customWidth="1"/>
    <col min="8962" max="8962" width="11" style="157" customWidth="1"/>
    <col min="8963" max="8963" width="5.85546875" style="157" customWidth="1"/>
    <col min="8964" max="8964" width="14.85546875" style="157" customWidth="1"/>
    <col min="8965" max="8965" width="13.140625" style="157" customWidth="1"/>
    <col min="8966" max="8966" width="6.85546875" style="157" customWidth="1"/>
    <col min="8967" max="8967" width="19.28515625" style="157" customWidth="1"/>
    <col min="8968" max="8968" width="12.85546875" style="157" customWidth="1"/>
    <col min="8969" max="8969" width="15.140625" style="157" customWidth="1"/>
    <col min="8970" max="8970" width="14.7109375" style="157" bestFit="1" customWidth="1"/>
    <col min="8971" max="9216" width="11.42578125" style="157"/>
    <col min="9217" max="9217" width="10.28515625" style="157" customWidth="1"/>
    <col min="9218" max="9218" width="11" style="157" customWidth="1"/>
    <col min="9219" max="9219" width="5.85546875" style="157" customWidth="1"/>
    <col min="9220" max="9220" width="14.85546875" style="157" customWidth="1"/>
    <col min="9221" max="9221" width="13.140625" style="157" customWidth="1"/>
    <col min="9222" max="9222" width="6.85546875" style="157" customWidth="1"/>
    <col min="9223" max="9223" width="19.28515625" style="157" customWidth="1"/>
    <col min="9224" max="9224" width="12.85546875" style="157" customWidth="1"/>
    <col min="9225" max="9225" width="15.140625" style="157" customWidth="1"/>
    <col min="9226" max="9226" width="14.7109375" style="157" bestFit="1" customWidth="1"/>
    <col min="9227" max="9472" width="11.42578125" style="157"/>
    <col min="9473" max="9473" width="10.28515625" style="157" customWidth="1"/>
    <col min="9474" max="9474" width="11" style="157" customWidth="1"/>
    <col min="9475" max="9475" width="5.85546875" style="157" customWidth="1"/>
    <col min="9476" max="9476" width="14.85546875" style="157" customWidth="1"/>
    <col min="9477" max="9477" width="13.140625" style="157" customWidth="1"/>
    <col min="9478" max="9478" width="6.85546875" style="157" customWidth="1"/>
    <col min="9479" max="9479" width="19.28515625" style="157" customWidth="1"/>
    <col min="9480" max="9480" width="12.85546875" style="157" customWidth="1"/>
    <col min="9481" max="9481" width="15.140625" style="157" customWidth="1"/>
    <col min="9482" max="9482" width="14.7109375" style="157" bestFit="1" customWidth="1"/>
    <col min="9483" max="9728" width="11.42578125" style="157"/>
    <col min="9729" max="9729" width="10.28515625" style="157" customWidth="1"/>
    <col min="9730" max="9730" width="11" style="157" customWidth="1"/>
    <col min="9731" max="9731" width="5.85546875" style="157" customWidth="1"/>
    <col min="9732" max="9732" width="14.85546875" style="157" customWidth="1"/>
    <col min="9733" max="9733" width="13.140625" style="157" customWidth="1"/>
    <col min="9734" max="9734" width="6.85546875" style="157" customWidth="1"/>
    <col min="9735" max="9735" width="19.28515625" style="157" customWidth="1"/>
    <col min="9736" max="9736" width="12.85546875" style="157" customWidth="1"/>
    <col min="9737" max="9737" width="15.140625" style="157" customWidth="1"/>
    <col min="9738" max="9738" width="14.7109375" style="157" bestFit="1" customWidth="1"/>
    <col min="9739" max="9984" width="11.42578125" style="157"/>
    <col min="9985" max="9985" width="10.28515625" style="157" customWidth="1"/>
    <col min="9986" max="9986" width="11" style="157" customWidth="1"/>
    <col min="9987" max="9987" width="5.85546875" style="157" customWidth="1"/>
    <col min="9988" max="9988" width="14.85546875" style="157" customWidth="1"/>
    <col min="9989" max="9989" width="13.140625" style="157" customWidth="1"/>
    <col min="9990" max="9990" width="6.85546875" style="157" customWidth="1"/>
    <col min="9991" max="9991" width="19.28515625" style="157" customWidth="1"/>
    <col min="9992" max="9992" width="12.85546875" style="157" customWidth="1"/>
    <col min="9993" max="9993" width="15.140625" style="157" customWidth="1"/>
    <col min="9994" max="9994" width="14.7109375" style="157" bestFit="1" customWidth="1"/>
    <col min="9995" max="10240" width="11.42578125" style="157"/>
    <col min="10241" max="10241" width="10.28515625" style="157" customWidth="1"/>
    <col min="10242" max="10242" width="11" style="157" customWidth="1"/>
    <col min="10243" max="10243" width="5.85546875" style="157" customWidth="1"/>
    <col min="10244" max="10244" width="14.85546875" style="157" customWidth="1"/>
    <col min="10245" max="10245" width="13.140625" style="157" customWidth="1"/>
    <col min="10246" max="10246" width="6.85546875" style="157" customWidth="1"/>
    <col min="10247" max="10247" width="19.28515625" style="157" customWidth="1"/>
    <col min="10248" max="10248" width="12.85546875" style="157" customWidth="1"/>
    <col min="10249" max="10249" width="15.140625" style="157" customWidth="1"/>
    <col min="10250" max="10250" width="14.7109375" style="157" bestFit="1" customWidth="1"/>
    <col min="10251" max="10496" width="11.42578125" style="157"/>
    <col min="10497" max="10497" width="10.28515625" style="157" customWidth="1"/>
    <col min="10498" max="10498" width="11" style="157" customWidth="1"/>
    <col min="10499" max="10499" width="5.85546875" style="157" customWidth="1"/>
    <col min="10500" max="10500" width="14.85546875" style="157" customWidth="1"/>
    <col min="10501" max="10501" width="13.140625" style="157" customWidth="1"/>
    <col min="10502" max="10502" width="6.85546875" style="157" customWidth="1"/>
    <col min="10503" max="10503" width="19.28515625" style="157" customWidth="1"/>
    <col min="10504" max="10504" width="12.85546875" style="157" customWidth="1"/>
    <col min="10505" max="10505" width="15.140625" style="157" customWidth="1"/>
    <col min="10506" max="10506" width="14.7109375" style="157" bestFit="1" customWidth="1"/>
    <col min="10507" max="10752" width="11.42578125" style="157"/>
    <col min="10753" max="10753" width="10.28515625" style="157" customWidth="1"/>
    <col min="10754" max="10754" width="11" style="157" customWidth="1"/>
    <col min="10755" max="10755" width="5.85546875" style="157" customWidth="1"/>
    <col min="10756" max="10756" width="14.85546875" style="157" customWidth="1"/>
    <col min="10757" max="10757" width="13.140625" style="157" customWidth="1"/>
    <col min="10758" max="10758" width="6.85546875" style="157" customWidth="1"/>
    <col min="10759" max="10759" width="19.28515625" style="157" customWidth="1"/>
    <col min="10760" max="10760" width="12.85546875" style="157" customWidth="1"/>
    <col min="10761" max="10761" width="15.140625" style="157" customWidth="1"/>
    <col min="10762" max="10762" width="14.7109375" style="157" bestFit="1" customWidth="1"/>
    <col min="10763" max="11008" width="11.42578125" style="157"/>
    <col min="11009" max="11009" width="10.28515625" style="157" customWidth="1"/>
    <col min="11010" max="11010" width="11" style="157" customWidth="1"/>
    <col min="11011" max="11011" width="5.85546875" style="157" customWidth="1"/>
    <col min="11012" max="11012" width="14.85546875" style="157" customWidth="1"/>
    <col min="11013" max="11013" width="13.140625" style="157" customWidth="1"/>
    <col min="11014" max="11014" width="6.85546875" style="157" customWidth="1"/>
    <col min="11015" max="11015" width="19.28515625" style="157" customWidth="1"/>
    <col min="11016" max="11016" width="12.85546875" style="157" customWidth="1"/>
    <col min="11017" max="11017" width="15.140625" style="157" customWidth="1"/>
    <col min="11018" max="11018" width="14.7109375" style="157" bestFit="1" customWidth="1"/>
    <col min="11019" max="11264" width="11.42578125" style="157"/>
    <col min="11265" max="11265" width="10.28515625" style="157" customWidth="1"/>
    <col min="11266" max="11266" width="11" style="157" customWidth="1"/>
    <col min="11267" max="11267" width="5.85546875" style="157" customWidth="1"/>
    <col min="11268" max="11268" width="14.85546875" style="157" customWidth="1"/>
    <col min="11269" max="11269" width="13.140625" style="157" customWidth="1"/>
    <col min="11270" max="11270" width="6.85546875" style="157" customWidth="1"/>
    <col min="11271" max="11271" width="19.28515625" style="157" customWidth="1"/>
    <col min="11272" max="11272" width="12.85546875" style="157" customWidth="1"/>
    <col min="11273" max="11273" width="15.140625" style="157" customWidth="1"/>
    <col min="11274" max="11274" width="14.7109375" style="157" bestFit="1" customWidth="1"/>
    <col min="11275" max="11520" width="11.42578125" style="157"/>
    <col min="11521" max="11521" width="10.28515625" style="157" customWidth="1"/>
    <col min="11522" max="11522" width="11" style="157" customWidth="1"/>
    <col min="11523" max="11523" width="5.85546875" style="157" customWidth="1"/>
    <col min="11524" max="11524" width="14.85546875" style="157" customWidth="1"/>
    <col min="11525" max="11525" width="13.140625" style="157" customWidth="1"/>
    <col min="11526" max="11526" width="6.85546875" style="157" customWidth="1"/>
    <col min="11527" max="11527" width="19.28515625" style="157" customWidth="1"/>
    <col min="11528" max="11528" width="12.85546875" style="157" customWidth="1"/>
    <col min="11529" max="11529" width="15.140625" style="157" customWidth="1"/>
    <col min="11530" max="11530" width="14.7109375" style="157" bestFit="1" customWidth="1"/>
    <col min="11531" max="11776" width="11.42578125" style="157"/>
    <col min="11777" max="11777" width="10.28515625" style="157" customWidth="1"/>
    <col min="11778" max="11778" width="11" style="157" customWidth="1"/>
    <col min="11779" max="11779" width="5.85546875" style="157" customWidth="1"/>
    <col min="11780" max="11780" width="14.85546875" style="157" customWidth="1"/>
    <col min="11781" max="11781" width="13.140625" style="157" customWidth="1"/>
    <col min="11782" max="11782" width="6.85546875" style="157" customWidth="1"/>
    <col min="11783" max="11783" width="19.28515625" style="157" customWidth="1"/>
    <col min="11784" max="11784" width="12.85546875" style="157" customWidth="1"/>
    <col min="11785" max="11785" width="15.140625" style="157" customWidth="1"/>
    <col min="11786" max="11786" width="14.7109375" style="157" bestFit="1" customWidth="1"/>
    <col min="11787" max="12032" width="11.42578125" style="157"/>
    <col min="12033" max="12033" width="10.28515625" style="157" customWidth="1"/>
    <col min="12034" max="12034" width="11" style="157" customWidth="1"/>
    <col min="12035" max="12035" width="5.85546875" style="157" customWidth="1"/>
    <col min="12036" max="12036" width="14.85546875" style="157" customWidth="1"/>
    <col min="12037" max="12037" width="13.140625" style="157" customWidth="1"/>
    <col min="12038" max="12038" width="6.85546875" style="157" customWidth="1"/>
    <col min="12039" max="12039" width="19.28515625" style="157" customWidth="1"/>
    <col min="12040" max="12040" width="12.85546875" style="157" customWidth="1"/>
    <col min="12041" max="12041" width="15.140625" style="157" customWidth="1"/>
    <col min="12042" max="12042" width="14.7109375" style="157" bestFit="1" customWidth="1"/>
    <col min="12043" max="12288" width="11.42578125" style="157"/>
    <col min="12289" max="12289" width="10.28515625" style="157" customWidth="1"/>
    <col min="12290" max="12290" width="11" style="157" customWidth="1"/>
    <col min="12291" max="12291" width="5.85546875" style="157" customWidth="1"/>
    <col min="12292" max="12292" width="14.85546875" style="157" customWidth="1"/>
    <col min="12293" max="12293" width="13.140625" style="157" customWidth="1"/>
    <col min="12294" max="12294" width="6.85546875" style="157" customWidth="1"/>
    <col min="12295" max="12295" width="19.28515625" style="157" customWidth="1"/>
    <col min="12296" max="12296" width="12.85546875" style="157" customWidth="1"/>
    <col min="12297" max="12297" width="15.140625" style="157" customWidth="1"/>
    <col min="12298" max="12298" width="14.7109375" style="157" bestFit="1" customWidth="1"/>
    <col min="12299" max="12544" width="11.42578125" style="157"/>
    <col min="12545" max="12545" width="10.28515625" style="157" customWidth="1"/>
    <col min="12546" max="12546" width="11" style="157" customWidth="1"/>
    <col min="12547" max="12547" width="5.85546875" style="157" customWidth="1"/>
    <col min="12548" max="12548" width="14.85546875" style="157" customWidth="1"/>
    <col min="12549" max="12549" width="13.140625" style="157" customWidth="1"/>
    <col min="12550" max="12550" width="6.85546875" style="157" customWidth="1"/>
    <col min="12551" max="12551" width="19.28515625" style="157" customWidth="1"/>
    <col min="12552" max="12552" width="12.85546875" style="157" customWidth="1"/>
    <col min="12553" max="12553" width="15.140625" style="157" customWidth="1"/>
    <col min="12554" max="12554" width="14.7109375" style="157" bestFit="1" customWidth="1"/>
    <col min="12555" max="12800" width="11.42578125" style="157"/>
    <col min="12801" max="12801" width="10.28515625" style="157" customWidth="1"/>
    <col min="12802" max="12802" width="11" style="157" customWidth="1"/>
    <col min="12803" max="12803" width="5.85546875" style="157" customWidth="1"/>
    <col min="12804" max="12804" width="14.85546875" style="157" customWidth="1"/>
    <col min="12805" max="12805" width="13.140625" style="157" customWidth="1"/>
    <col min="12806" max="12806" width="6.85546875" style="157" customWidth="1"/>
    <col min="12807" max="12807" width="19.28515625" style="157" customWidth="1"/>
    <col min="12808" max="12808" width="12.85546875" style="157" customWidth="1"/>
    <col min="12809" max="12809" width="15.140625" style="157" customWidth="1"/>
    <col min="12810" max="12810" width="14.7109375" style="157" bestFit="1" customWidth="1"/>
    <col min="12811" max="13056" width="11.42578125" style="157"/>
    <col min="13057" max="13057" width="10.28515625" style="157" customWidth="1"/>
    <col min="13058" max="13058" width="11" style="157" customWidth="1"/>
    <col min="13059" max="13059" width="5.85546875" style="157" customWidth="1"/>
    <col min="13060" max="13060" width="14.85546875" style="157" customWidth="1"/>
    <col min="13061" max="13061" width="13.140625" style="157" customWidth="1"/>
    <col min="13062" max="13062" width="6.85546875" style="157" customWidth="1"/>
    <col min="13063" max="13063" width="19.28515625" style="157" customWidth="1"/>
    <col min="13064" max="13064" width="12.85546875" style="157" customWidth="1"/>
    <col min="13065" max="13065" width="15.140625" style="157" customWidth="1"/>
    <col min="13066" max="13066" width="14.7109375" style="157" bestFit="1" customWidth="1"/>
    <col min="13067" max="13312" width="11.42578125" style="157"/>
    <col min="13313" max="13313" width="10.28515625" style="157" customWidth="1"/>
    <col min="13314" max="13314" width="11" style="157" customWidth="1"/>
    <col min="13315" max="13315" width="5.85546875" style="157" customWidth="1"/>
    <col min="13316" max="13316" width="14.85546875" style="157" customWidth="1"/>
    <col min="13317" max="13317" width="13.140625" style="157" customWidth="1"/>
    <col min="13318" max="13318" width="6.85546875" style="157" customWidth="1"/>
    <col min="13319" max="13319" width="19.28515625" style="157" customWidth="1"/>
    <col min="13320" max="13320" width="12.85546875" style="157" customWidth="1"/>
    <col min="13321" max="13321" width="15.140625" style="157" customWidth="1"/>
    <col min="13322" max="13322" width="14.7109375" style="157" bestFit="1" customWidth="1"/>
    <col min="13323" max="13568" width="11.42578125" style="157"/>
    <col min="13569" max="13569" width="10.28515625" style="157" customWidth="1"/>
    <col min="13570" max="13570" width="11" style="157" customWidth="1"/>
    <col min="13571" max="13571" width="5.85546875" style="157" customWidth="1"/>
    <col min="13572" max="13572" width="14.85546875" style="157" customWidth="1"/>
    <col min="13573" max="13573" width="13.140625" style="157" customWidth="1"/>
    <col min="13574" max="13574" width="6.85546875" style="157" customWidth="1"/>
    <col min="13575" max="13575" width="19.28515625" style="157" customWidth="1"/>
    <col min="13576" max="13576" width="12.85546875" style="157" customWidth="1"/>
    <col min="13577" max="13577" width="15.140625" style="157" customWidth="1"/>
    <col min="13578" max="13578" width="14.7109375" style="157" bestFit="1" customWidth="1"/>
    <col min="13579" max="13824" width="11.42578125" style="157"/>
    <col min="13825" max="13825" width="10.28515625" style="157" customWidth="1"/>
    <col min="13826" max="13826" width="11" style="157" customWidth="1"/>
    <col min="13827" max="13827" width="5.85546875" style="157" customWidth="1"/>
    <col min="13828" max="13828" width="14.85546875" style="157" customWidth="1"/>
    <col min="13829" max="13829" width="13.140625" style="157" customWidth="1"/>
    <col min="13830" max="13830" width="6.85546875" style="157" customWidth="1"/>
    <col min="13831" max="13831" width="19.28515625" style="157" customWidth="1"/>
    <col min="13832" max="13832" width="12.85546875" style="157" customWidth="1"/>
    <col min="13833" max="13833" width="15.140625" style="157" customWidth="1"/>
    <col min="13834" max="13834" width="14.7109375" style="157" bestFit="1" customWidth="1"/>
    <col min="13835" max="14080" width="11.42578125" style="157"/>
    <col min="14081" max="14081" width="10.28515625" style="157" customWidth="1"/>
    <col min="14082" max="14082" width="11" style="157" customWidth="1"/>
    <col min="14083" max="14083" width="5.85546875" style="157" customWidth="1"/>
    <col min="14084" max="14084" width="14.85546875" style="157" customWidth="1"/>
    <col min="14085" max="14085" width="13.140625" style="157" customWidth="1"/>
    <col min="14086" max="14086" width="6.85546875" style="157" customWidth="1"/>
    <col min="14087" max="14087" width="19.28515625" style="157" customWidth="1"/>
    <col min="14088" max="14088" width="12.85546875" style="157" customWidth="1"/>
    <col min="14089" max="14089" width="15.140625" style="157" customWidth="1"/>
    <col min="14090" max="14090" width="14.7109375" style="157" bestFit="1" customWidth="1"/>
    <col min="14091" max="14336" width="11.42578125" style="157"/>
    <col min="14337" max="14337" width="10.28515625" style="157" customWidth="1"/>
    <col min="14338" max="14338" width="11" style="157" customWidth="1"/>
    <col min="14339" max="14339" width="5.85546875" style="157" customWidth="1"/>
    <col min="14340" max="14340" width="14.85546875" style="157" customWidth="1"/>
    <col min="14341" max="14341" width="13.140625" style="157" customWidth="1"/>
    <col min="14342" max="14342" width="6.85546875" style="157" customWidth="1"/>
    <col min="14343" max="14343" width="19.28515625" style="157" customWidth="1"/>
    <col min="14344" max="14344" width="12.85546875" style="157" customWidth="1"/>
    <col min="14345" max="14345" width="15.140625" style="157" customWidth="1"/>
    <col min="14346" max="14346" width="14.7109375" style="157" bestFit="1" customWidth="1"/>
    <col min="14347" max="14592" width="11.42578125" style="157"/>
    <col min="14593" max="14593" width="10.28515625" style="157" customWidth="1"/>
    <col min="14594" max="14594" width="11" style="157" customWidth="1"/>
    <col min="14595" max="14595" width="5.85546875" style="157" customWidth="1"/>
    <col min="14596" max="14596" width="14.85546875" style="157" customWidth="1"/>
    <col min="14597" max="14597" width="13.140625" style="157" customWidth="1"/>
    <col min="14598" max="14598" width="6.85546875" style="157" customWidth="1"/>
    <col min="14599" max="14599" width="19.28515625" style="157" customWidth="1"/>
    <col min="14600" max="14600" width="12.85546875" style="157" customWidth="1"/>
    <col min="14601" max="14601" width="15.140625" style="157" customWidth="1"/>
    <col min="14602" max="14602" width="14.7109375" style="157" bestFit="1" customWidth="1"/>
    <col min="14603" max="14848" width="11.42578125" style="157"/>
    <col min="14849" max="14849" width="10.28515625" style="157" customWidth="1"/>
    <col min="14850" max="14850" width="11" style="157" customWidth="1"/>
    <col min="14851" max="14851" width="5.85546875" style="157" customWidth="1"/>
    <col min="14852" max="14852" width="14.85546875" style="157" customWidth="1"/>
    <col min="14853" max="14853" width="13.140625" style="157" customWidth="1"/>
    <col min="14854" max="14854" width="6.85546875" style="157" customWidth="1"/>
    <col min="14855" max="14855" width="19.28515625" style="157" customWidth="1"/>
    <col min="14856" max="14856" width="12.85546875" style="157" customWidth="1"/>
    <col min="14857" max="14857" width="15.140625" style="157" customWidth="1"/>
    <col min="14858" max="14858" width="14.7109375" style="157" bestFit="1" customWidth="1"/>
    <col min="14859" max="15104" width="11.42578125" style="157"/>
    <col min="15105" max="15105" width="10.28515625" style="157" customWidth="1"/>
    <col min="15106" max="15106" width="11" style="157" customWidth="1"/>
    <col min="15107" max="15107" width="5.85546875" style="157" customWidth="1"/>
    <col min="15108" max="15108" width="14.85546875" style="157" customWidth="1"/>
    <col min="15109" max="15109" width="13.140625" style="157" customWidth="1"/>
    <col min="15110" max="15110" width="6.85546875" style="157" customWidth="1"/>
    <col min="15111" max="15111" width="19.28515625" style="157" customWidth="1"/>
    <col min="15112" max="15112" width="12.85546875" style="157" customWidth="1"/>
    <col min="15113" max="15113" width="15.140625" style="157" customWidth="1"/>
    <col min="15114" max="15114" width="14.7109375" style="157" bestFit="1" customWidth="1"/>
    <col min="15115" max="15360" width="11.42578125" style="157"/>
    <col min="15361" max="15361" width="10.28515625" style="157" customWidth="1"/>
    <col min="15362" max="15362" width="11" style="157" customWidth="1"/>
    <col min="15363" max="15363" width="5.85546875" style="157" customWidth="1"/>
    <col min="15364" max="15364" width="14.85546875" style="157" customWidth="1"/>
    <col min="15365" max="15365" width="13.140625" style="157" customWidth="1"/>
    <col min="15366" max="15366" width="6.85546875" style="157" customWidth="1"/>
    <col min="15367" max="15367" width="19.28515625" style="157" customWidth="1"/>
    <col min="15368" max="15368" width="12.85546875" style="157" customWidth="1"/>
    <col min="15369" max="15369" width="15.140625" style="157" customWidth="1"/>
    <col min="15370" max="15370" width="14.7109375" style="157" bestFit="1" customWidth="1"/>
    <col min="15371" max="15616" width="11.42578125" style="157"/>
    <col min="15617" max="15617" width="10.28515625" style="157" customWidth="1"/>
    <col min="15618" max="15618" width="11" style="157" customWidth="1"/>
    <col min="15619" max="15619" width="5.85546875" style="157" customWidth="1"/>
    <col min="15620" max="15620" width="14.85546875" style="157" customWidth="1"/>
    <col min="15621" max="15621" width="13.140625" style="157" customWidth="1"/>
    <col min="15622" max="15622" width="6.85546875" style="157" customWidth="1"/>
    <col min="15623" max="15623" width="19.28515625" style="157" customWidth="1"/>
    <col min="15624" max="15624" width="12.85546875" style="157" customWidth="1"/>
    <col min="15625" max="15625" width="15.140625" style="157" customWidth="1"/>
    <col min="15626" max="15626" width="14.7109375" style="157" bestFit="1" customWidth="1"/>
    <col min="15627" max="15872" width="11.42578125" style="157"/>
    <col min="15873" max="15873" width="10.28515625" style="157" customWidth="1"/>
    <col min="15874" max="15874" width="11" style="157" customWidth="1"/>
    <col min="15875" max="15875" width="5.85546875" style="157" customWidth="1"/>
    <col min="15876" max="15876" width="14.85546875" style="157" customWidth="1"/>
    <col min="15877" max="15877" width="13.140625" style="157" customWidth="1"/>
    <col min="15878" max="15878" width="6.85546875" style="157" customWidth="1"/>
    <col min="15879" max="15879" width="19.28515625" style="157" customWidth="1"/>
    <col min="15880" max="15880" width="12.85546875" style="157" customWidth="1"/>
    <col min="15881" max="15881" width="15.140625" style="157" customWidth="1"/>
    <col min="15882" max="15882" width="14.7109375" style="157" bestFit="1" customWidth="1"/>
    <col min="15883" max="16128" width="11.42578125" style="157"/>
    <col min="16129" max="16129" width="10.28515625" style="157" customWidth="1"/>
    <col min="16130" max="16130" width="11" style="157" customWidth="1"/>
    <col min="16131" max="16131" width="5.85546875" style="157" customWidth="1"/>
    <col min="16132" max="16132" width="14.85546875" style="157" customWidth="1"/>
    <col min="16133" max="16133" width="13.140625" style="157" customWidth="1"/>
    <col min="16134" max="16134" width="6.85546875" style="157" customWidth="1"/>
    <col min="16135" max="16135" width="19.28515625" style="157" customWidth="1"/>
    <col min="16136" max="16136" width="12.85546875" style="157" customWidth="1"/>
    <col min="16137" max="16137" width="15.140625" style="157" customWidth="1"/>
    <col min="16138" max="16138" width="14.7109375" style="157" bestFit="1" customWidth="1"/>
    <col min="16139" max="16384" width="11.42578125" style="157"/>
  </cols>
  <sheetData>
    <row r="1" spans="1:10" ht="13.5" customHeight="1"/>
    <row r="2" spans="1:10">
      <c r="G2" s="526" t="str">
        <f>A3</f>
        <v>ALEMNGE CYPRIAN</v>
      </c>
      <c r="H2" s="526"/>
      <c r="I2" s="526"/>
    </row>
    <row r="3" spans="1:10" ht="12.75" customHeight="1">
      <c r="A3" s="530" t="str">
        <f>CONTRATS!B8</f>
        <v>ALEMNGE CYPRIAN</v>
      </c>
      <c r="B3" s="530"/>
      <c r="C3" s="530"/>
      <c r="G3" s="524">
        <f>CONTRATS!B10</f>
        <v>0</v>
      </c>
      <c r="H3" s="524"/>
    </row>
    <row r="4" spans="1:10" ht="10.5" customHeight="1">
      <c r="A4" s="524">
        <f>G3</f>
        <v>0</v>
      </c>
      <c r="B4" s="524"/>
      <c r="G4" s="526">
        <f>CONTRATS!B11</f>
        <v>0</v>
      </c>
      <c r="H4" s="526"/>
    </row>
    <row r="5" spans="1:10" ht="11.25" customHeight="1">
      <c r="E5" s="221"/>
      <c r="G5" s="526" t="str">
        <f>A6</f>
        <v>A2023/1075/CAT1/1110155939</v>
      </c>
      <c r="H5" s="526"/>
    </row>
    <row r="6" spans="1:10" ht="9.75" customHeight="1">
      <c r="A6" s="526" t="str">
        <f>CONTRATS!E9</f>
        <v>A2023/1075/CAT1/1110155939</v>
      </c>
      <c r="B6" s="526"/>
      <c r="D6" s="525" t="str">
        <f>A6</f>
        <v>A2023/1075/CAT1/1110155939</v>
      </c>
      <c r="E6" s="525"/>
    </row>
    <row r="7" spans="1:10" ht="18.75" customHeight="1">
      <c r="A7" s="222">
        <f>CONTRATS!F10</f>
        <v>45192</v>
      </c>
      <c r="B7" s="223">
        <f>CONTRATS!F11</f>
        <v>45251</v>
      </c>
      <c r="C7" s="223"/>
      <c r="D7" s="224">
        <f>A7</f>
        <v>45192</v>
      </c>
      <c r="E7" s="224">
        <f>B7</f>
        <v>45251</v>
      </c>
      <c r="G7" s="224">
        <f>A7</f>
        <v>45192</v>
      </c>
      <c r="H7" s="224">
        <f>B7</f>
        <v>45251</v>
      </c>
      <c r="I7" s="526" t="s">
        <v>364</v>
      </c>
      <c r="J7" s="526"/>
    </row>
    <row r="8" spans="1:10" ht="12" customHeight="1">
      <c r="B8" s="221" t="str">
        <f>CONTRATS!B17</f>
        <v xml:space="preserve">NISSAN </v>
      </c>
      <c r="E8" s="221" t="str">
        <f>B8</f>
        <v xml:space="preserve">NISSAN </v>
      </c>
      <c r="G8" s="525" t="str">
        <f>B8</f>
        <v xml:space="preserve">NISSAN </v>
      </c>
      <c r="H8" s="525"/>
    </row>
    <row r="9" spans="1:10" ht="13.5" customHeight="1">
      <c r="A9" s="157" t="s">
        <v>222</v>
      </c>
    </row>
    <row r="10" spans="1:10" ht="15.75" customHeight="1">
      <c r="B10" s="225" t="str">
        <f>CONTRATS!H17</f>
        <v>SW 859 BB</v>
      </c>
      <c r="E10" s="225" t="str">
        <f>B10</f>
        <v>SW 859 BB</v>
      </c>
      <c r="G10" s="221"/>
      <c r="H10" s="225" t="str">
        <f>B10</f>
        <v>SW 859 BB</v>
      </c>
    </row>
    <row r="11" spans="1:10" ht="14.25" customHeight="1">
      <c r="A11" s="526" t="str">
        <f>CONTRATS!E17</f>
        <v>VT</v>
      </c>
      <c r="B11" s="526"/>
      <c r="D11" s="526" t="str">
        <f>A11</f>
        <v>VT</v>
      </c>
      <c r="E11" s="526"/>
      <c r="G11" s="526" t="str">
        <f>A11</f>
        <v>VT</v>
      </c>
      <c r="H11" s="526"/>
    </row>
    <row r="12" spans="1:10" ht="14.25" customHeight="1"/>
    <row r="13" spans="1:10" ht="10.5" customHeight="1">
      <c r="A13" s="525" t="str">
        <f>E26</f>
        <v>CAT 01*VT</v>
      </c>
      <c r="B13" s="525"/>
      <c r="D13" s="526" t="str">
        <f>E26</f>
        <v>CAT 01*VT</v>
      </c>
      <c r="E13" s="526"/>
      <c r="F13" s="526"/>
      <c r="G13" s="526" t="str">
        <f>E26</f>
        <v>CAT 01*VT</v>
      </c>
      <c r="H13" s="526"/>
    </row>
    <row r="14" spans="1:10" ht="18">
      <c r="A14" s="527" t="str">
        <f>CONCATENATE(A24,C26,B24,E24)</f>
        <v>DTA*DÉJÀ PAYE*Frs</v>
      </c>
      <c r="B14" s="527"/>
      <c r="C14" s="226"/>
      <c r="D14" s="529" t="str">
        <f>A14</f>
        <v>DTA*DÉJÀ PAYE*Frs</v>
      </c>
      <c r="E14" s="529"/>
      <c r="F14" s="529"/>
      <c r="G14" s="528" t="str">
        <f>D14</f>
        <v>DTA*DÉJÀ PAYE*Frs</v>
      </c>
      <c r="H14" s="528"/>
    </row>
    <row r="15" spans="1:10" ht="4.5" customHeight="1">
      <c r="E15" s="202"/>
      <c r="G15" s="217">
        <f>CONTRATS!C57</f>
        <v>0</v>
      </c>
      <c r="H15" s="203">
        <f>CONTRATS!C58</f>
        <v>0</v>
      </c>
    </row>
    <row r="16" spans="1:10" ht="12.75" customHeight="1">
      <c r="G16" s="524">
        <f>CONTRATS!D58</f>
        <v>0</v>
      </c>
      <c r="H16" s="524"/>
      <c r="I16" s="221" t="str">
        <f>CONTRATS!F50</f>
        <v>LIMBE</v>
      </c>
      <c r="J16" s="227">
        <f ca="1">CONTRATS!H50</f>
        <v>45192.531511805559</v>
      </c>
    </row>
    <row r="17" spans="1:13">
      <c r="M17" s="158"/>
    </row>
    <row r="19" spans="1:13">
      <c r="A19" s="159"/>
      <c r="B19" s="159"/>
      <c r="C19" s="159"/>
      <c r="D19" s="159"/>
      <c r="E19" s="159"/>
      <c r="F19" s="159"/>
      <c r="G19" s="159"/>
      <c r="H19" s="159"/>
      <c r="I19" s="159"/>
      <c r="J19" s="159"/>
    </row>
    <row r="20" spans="1:13" ht="23.25" hidden="1" customHeight="1">
      <c r="D20" s="160"/>
    </row>
    <row r="21" spans="1:13" ht="7.5" hidden="1" customHeight="1">
      <c r="E21" s="161"/>
      <c r="I21" s="161"/>
    </row>
    <row r="22" spans="1:13" ht="14.25" hidden="1" customHeight="1"/>
    <row r="23" spans="1:13" ht="19.5" hidden="1" customHeight="1"/>
    <row r="24" spans="1:13" hidden="1">
      <c r="A24" s="157" t="s">
        <v>64</v>
      </c>
      <c r="B24" s="162" t="str">
        <f>CONTRATS!H46</f>
        <v>DÉJÀ PAYE</v>
      </c>
      <c r="C24" s="157" t="s">
        <v>341</v>
      </c>
      <c r="D24" s="157" t="str">
        <f>CONCATENATE(A24,C26,B24,C24)</f>
        <v>DTA*DÉJÀ PAYEFCFA</v>
      </c>
      <c r="E24" s="157" t="s">
        <v>383</v>
      </c>
    </row>
    <row r="25" spans="1:13" hidden="1"/>
    <row r="26" spans="1:13" hidden="1">
      <c r="A26" s="157" t="str">
        <f>CONTRATS!E17</f>
        <v>VT</v>
      </c>
      <c r="B26" s="157" t="s">
        <v>365</v>
      </c>
      <c r="C26" s="157" t="s">
        <v>382</v>
      </c>
      <c r="D26" s="162">
        <f>CONTRATS!E18</f>
        <v>1</v>
      </c>
      <c r="E26" s="157" t="str">
        <f>CONCATENATE(B26,D26,C26,A26)</f>
        <v>CAT 01*VT</v>
      </c>
    </row>
    <row r="27" spans="1:13" hidden="1"/>
    <row r="28" spans="1:13" hidden="1"/>
    <row r="29" spans="1:13" hidden="1"/>
    <row r="45" spans="2:2">
      <c r="B45" s="157" t="s">
        <v>92</v>
      </c>
    </row>
  </sheetData>
  <sheetProtection algorithmName="SHA-512" hashValue="IRzgZ4E8h5NHblozcep3OBltVkuuw/rX+CKiHJtNVm4St5i/S6ggr3/qtSFQ8xnJktCjH13HQv1XdncMo8uONg==" saltValue="tbB05BEkJEmBxWA3YdTWWg==" spinCount="100000" sheet="1" selectLockedCells="1" selectUnlockedCells="1"/>
  <mergeCells count="20">
    <mergeCell ref="G2:I2"/>
    <mergeCell ref="A6:B6"/>
    <mergeCell ref="D6:E6"/>
    <mergeCell ref="G8:H8"/>
    <mergeCell ref="A11:B11"/>
    <mergeCell ref="D11:E11"/>
    <mergeCell ref="G11:H11"/>
    <mergeCell ref="G5:H5"/>
    <mergeCell ref="G3:H3"/>
    <mergeCell ref="A4:B4"/>
    <mergeCell ref="G4:H4"/>
    <mergeCell ref="A3:C3"/>
    <mergeCell ref="I7:J7"/>
    <mergeCell ref="G16:H16"/>
    <mergeCell ref="A13:B13"/>
    <mergeCell ref="G13:H13"/>
    <mergeCell ref="A14:B14"/>
    <mergeCell ref="G14:H14"/>
    <mergeCell ref="D13:F13"/>
    <mergeCell ref="D14:F14"/>
  </mergeCells>
  <pageMargins left="0.59055118110236215" right="0.78740157480314965" top="2.7559055118110236" bottom="2.7559055118110236" header="0.51181102362204722" footer="0.51181102362204722"/>
  <pageSetup paperSize="9" fitToHeight="0"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FFFF00"/>
  </sheetPr>
  <dimension ref="A1:J50"/>
  <sheetViews>
    <sheetView workbookViewId="0">
      <selection sqref="A1:J18"/>
    </sheetView>
  </sheetViews>
  <sheetFormatPr defaultColWidth="11.42578125" defaultRowHeight="12"/>
  <cols>
    <col min="1" max="1" width="10.28515625" style="18" customWidth="1"/>
    <col min="2" max="2" width="11" style="18" customWidth="1"/>
    <col min="3" max="3" width="5.85546875" style="18" customWidth="1"/>
    <col min="4" max="4" width="14.85546875" style="18" customWidth="1"/>
    <col min="5" max="5" width="13.140625" style="18" customWidth="1"/>
    <col min="6" max="6" width="6.85546875" style="18" customWidth="1"/>
    <col min="7" max="7" width="19.28515625" style="18" customWidth="1"/>
    <col min="8" max="8" width="12.85546875" style="18" customWidth="1"/>
    <col min="9" max="9" width="15.140625" style="18" customWidth="1"/>
    <col min="10" max="10" width="14.7109375" style="18" bestFit="1" customWidth="1"/>
    <col min="11" max="256" width="11.42578125" style="18"/>
    <col min="257" max="257" width="10.28515625" style="18" customWidth="1"/>
    <col min="258" max="258" width="11" style="18" customWidth="1"/>
    <col min="259" max="259" width="5.85546875" style="18" customWidth="1"/>
    <col min="260" max="260" width="14.85546875" style="18" customWidth="1"/>
    <col min="261" max="261" width="13.140625" style="18" customWidth="1"/>
    <col min="262" max="262" width="6.85546875" style="18" customWidth="1"/>
    <col min="263" max="263" width="19.28515625" style="18" customWidth="1"/>
    <col min="264" max="264" width="12.85546875" style="18" customWidth="1"/>
    <col min="265" max="265" width="15.140625" style="18" customWidth="1"/>
    <col min="266" max="266" width="14.7109375" style="18" bestFit="1" customWidth="1"/>
    <col min="267" max="512" width="11.42578125" style="18"/>
    <col min="513" max="513" width="10.28515625" style="18" customWidth="1"/>
    <col min="514" max="514" width="11" style="18" customWidth="1"/>
    <col min="515" max="515" width="5.85546875" style="18" customWidth="1"/>
    <col min="516" max="516" width="14.85546875" style="18" customWidth="1"/>
    <col min="517" max="517" width="13.140625" style="18" customWidth="1"/>
    <col min="518" max="518" width="6.85546875" style="18" customWidth="1"/>
    <col min="519" max="519" width="19.28515625" style="18" customWidth="1"/>
    <col min="520" max="520" width="12.85546875" style="18" customWidth="1"/>
    <col min="521" max="521" width="15.140625" style="18" customWidth="1"/>
    <col min="522" max="522" width="14.7109375" style="18" bestFit="1" customWidth="1"/>
    <col min="523" max="768" width="11.42578125" style="18"/>
    <col min="769" max="769" width="10.28515625" style="18" customWidth="1"/>
    <col min="770" max="770" width="11" style="18" customWidth="1"/>
    <col min="771" max="771" width="5.85546875" style="18" customWidth="1"/>
    <col min="772" max="772" width="14.85546875" style="18" customWidth="1"/>
    <col min="773" max="773" width="13.140625" style="18" customWidth="1"/>
    <col min="774" max="774" width="6.85546875" style="18" customWidth="1"/>
    <col min="775" max="775" width="19.28515625" style="18" customWidth="1"/>
    <col min="776" max="776" width="12.85546875" style="18" customWidth="1"/>
    <col min="777" max="777" width="15.140625" style="18" customWidth="1"/>
    <col min="778" max="778" width="14.7109375" style="18" bestFit="1" customWidth="1"/>
    <col min="779" max="1024" width="11.42578125" style="18"/>
    <col min="1025" max="1025" width="10.28515625" style="18" customWidth="1"/>
    <col min="1026" max="1026" width="11" style="18" customWidth="1"/>
    <col min="1027" max="1027" width="5.85546875" style="18" customWidth="1"/>
    <col min="1028" max="1028" width="14.85546875" style="18" customWidth="1"/>
    <col min="1029" max="1029" width="13.140625" style="18" customWidth="1"/>
    <col min="1030" max="1030" width="6.85546875" style="18" customWidth="1"/>
    <col min="1031" max="1031" width="19.28515625" style="18" customWidth="1"/>
    <col min="1032" max="1032" width="12.85546875" style="18" customWidth="1"/>
    <col min="1033" max="1033" width="15.140625" style="18" customWidth="1"/>
    <col min="1034" max="1034" width="14.7109375" style="18" bestFit="1" customWidth="1"/>
    <col min="1035" max="1280" width="11.42578125" style="18"/>
    <col min="1281" max="1281" width="10.28515625" style="18" customWidth="1"/>
    <col min="1282" max="1282" width="11" style="18" customWidth="1"/>
    <col min="1283" max="1283" width="5.85546875" style="18" customWidth="1"/>
    <col min="1284" max="1284" width="14.85546875" style="18" customWidth="1"/>
    <col min="1285" max="1285" width="13.140625" style="18" customWidth="1"/>
    <col min="1286" max="1286" width="6.85546875" style="18" customWidth="1"/>
    <col min="1287" max="1287" width="19.28515625" style="18" customWidth="1"/>
    <col min="1288" max="1288" width="12.85546875" style="18" customWidth="1"/>
    <col min="1289" max="1289" width="15.140625" style="18" customWidth="1"/>
    <col min="1290" max="1290" width="14.7109375" style="18" bestFit="1" customWidth="1"/>
    <col min="1291" max="1536" width="11.42578125" style="18"/>
    <col min="1537" max="1537" width="10.28515625" style="18" customWidth="1"/>
    <col min="1538" max="1538" width="11" style="18" customWidth="1"/>
    <col min="1539" max="1539" width="5.85546875" style="18" customWidth="1"/>
    <col min="1540" max="1540" width="14.85546875" style="18" customWidth="1"/>
    <col min="1541" max="1541" width="13.140625" style="18" customWidth="1"/>
    <col min="1542" max="1542" width="6.85546875" style="18" customWidth="1"/>
    <col min="1543" max="1543" width="19.28515625" style="18" customWidth="1"/>
    <col min="1544" max="1544" width="12.85546875" style="18" customWidth="1"/>
    <col min="1545" max="1545" width="15.140625" style="18" customWidth="1"/>
    <col min="1546" max="1546" width="14.7109375" style="18" bestFit="1" customWidth="1"/>
    <col min="1547" max="1792" width="11.42578125" style="18"/>
    <col min="1793" max="1793" width="10.28515625" style="18" customWidth="1"/>
    <col min="1794" max="1794" width="11" style="18" customWidth="1"/>
    <col min="1795" max="1795" width="5.85546875" style="18" customWidth="1"/>
    <col min="1796" max="1796" width="14.85546875" style="18" customWidth="1"/>
    <col min="1797" max="1797" width="13.140625" style="18" customWidth="1"/>
    <col min="1798" max="1798" width="6.85546875" style="18" customWidth="1"/>
    <col min="1799" max="1799" width="19.28515625" style="18" customWidth="1"/>
    <col min="1800" max="1800" width="12.85546875" style="18" customWidth="1"/>
    <col min="1801" max="1801" width="15.140625" style="18" customWidth="1"/>
    <col min="1802" max="1802" width="14.7109375" style="18" bestFit="1" customWidth="1"/>
    <col min="1803" max="2048" width="11.42578125" style="18"/>
    <col min="2049" max="2049" width="10.28515625" style="18" customWidth="1"/>
    <col min="2050" max="2050" width="11" style="18" customWidth="1"/>
    <col min="2051" max="2051" width="5.85546875" style="18" customWidth="1"/>
    <col min="2052" max="2052" width="14.85546875" style="18" customWidth="1"/>
    <col min="2053" max="2053" width="13.140625" style="18" customWidth="1"/>
    <col min="2054" max="2054" width="6.85546875" style="18" customWidth="1"/>
    <col min="2055" max="2055" width="19.28515625" style="18" customWidth="1"/>
    <col min="2056" max="2056" width="12.85546875" style="18" customWidth="1"/>
    <col min="2057" max="2057" width="15.140625" style="18" customWidth="1"/>
    <col min="2058" max="2058" width="14.7109375" style="18" bestFit="1" customWidth="1"/>
    <col min="2059" max="2304" width="11.42578125" style="18"/>
    <col min="2305" max="2305" width="10.28515625" style="18" customWidth="1"/>
    <col min="2306" max="2306" width="11" style="18" customWidth="1"/>
    <col min="2307" max="2307" width="5.85546875" style="18" customWidth="1"/>
    <col min="2308" max="2308" width="14.85546875" style="18" customWidth="1"/>
    <col min="2309" max="2309" width="13.140625" style="18" customWidth="1"/>
    <col min="2310" max="2310" width="6.85546875" style="18" customWidth="1"/>
    <col min="2311" max="2311" width="19.28515625" style="18" customWidth="1"/>
    <col min="2312" max="2312" width="12.85546875" style="18" customWidth="1"/>
    <col min="2313" max="2313" width="15.140625" style="18" customWidth="1"/>
    <col min="2314" max="2314" width="14.7109375" style="18" bestFit="1" customWidth="1"/>
    <col min="2315" max="2560" width="11.42578125" style="18"/>
    <col min="2561" max="2561" width="10.28515625" style="18" customWidth="1"/>
    <col min="2562" max="2562" width="11" style="18" customWidth="1"/>
    <col min="2563" max="2563" width="5.85546875" style="18" customWidth="1"/>
    <col min="2564" max="2564" width="14.85546875" style="18" customWidth="1"/>
    <col min="2565" max="2565" width="13.140625" style="18" customWidth="1"/>
    <col min="2566" max="2566" width="6.85546875" style="18" customWidth="1"/>
    <col min="2567" max="2567" width="19.28515625" style="18" customWidth="1"/>
    <col min="2568" max="2568" width="12.85546875" style="18" customWidth="1"/>
    <col min="2569" max="2569" width="15.140625" style="18" customWidth="1"/>
    <col min="2570" max="2570" width="14.7109375" style="18" bestFit="1" customWidth="1"/>
    <col min="2571" max="2816" width="11.42578125" style="18"/>
    <col min="2817" max="2817" width="10.28515625" style="18" customWidth="1"/>
    <col min="2818" max="2818" width="11" style="18" customWidth="1"/>
    <col min="2819" max="2819" width="5.85546875" style="18" customWidth="1"/>
    <col min="2820" max="2820" width="14.85546875" style="18" customWidth="1"/>
    <col min="2821" max="2821" width="13.140625" style="18" customWidth="1"/>
    <col min="2822" max="2822" width="6.85546875" style="18" customWidth="1"/>
    <col min="2823" max="2823" width="19.28515625" style="18" customWidth="1"/>
    <col min="2824" max="2824" width="12.85546875" style="18" customWidth="1"/>
    <col min="2825" max="2825" width="15.140625" style="18" customWidth="1"/>
    <col min="2826" max="2826" width="14.7109375" style="18" bestFit="1" customWidth="1"/>
    <col min="2827" max="3072" width="11.42578125" style="18"/>
    <col min="3073" max="3073" width="10.28515625" style="18" customWidth="1"/>
    <col min="3074" max="3074" width="11" style="18" customWidth="1"/>
    <col min="3075" max="3075" width="5.85546875" style="18" customWidth="1"/>
    <col min="3076" max="3076" width="14.85546875" style="18" customWidth="1"/>
    <col min="3077" max="3077" width="13.140625" style="18" customWidth="1"/>
    <col min="3078" max="3078" width="6.85546875" style="18" customWidth="1"/>
    <col min="3079" max="3079" width="19.28515625" style="18" customWidth="1"/>
    <col min="3080" max="3080" width="12.85546875" style="18" customWidth="1"/>
    <col min="3081" max="3081" width="15.140625" style="18" customWidth="1"/>
    <col min="3082" max="3082" width="14.7109375" style="18" bestFit="1" customWidth="1"/>
    <col min="3083" max="3328" width="11.42578125" style="18"/>
    <col min="3329" max="3329" width="10.28515625" style="18" customWidth="1"/>
    <col min="3330" max="3330" width="11" style="18" customWidth="1"/>
    <col min="3331" max="3331" width="5.85546875" style="18" customWidth="1"/>
    <col min="3332" max="3332" width="14.85546875" style="18" customWidth="1"/>
    <col min="3333" max="3333" width="13.140625" style="18" customWidth="1"/>
    <col min="3334" max="3334" width="6.85546875" style="18" customWidth="1"/>
    <col min="3335" max="3335" width="19.28515625" style="18" customWidth="1"/>
    <col min="3336" max="3336" width="12.85546875" style="18" customWidth="1"/>
    <col min="3337" max="3337" width="15.140625" style="18" customWidth="1"/>
    <col min="3338" max="3338" width="14.7109375" style="18" bestFit="1" customWidth="1"/>
    <col min="3339" max="3584" width="11.42578125" style="18"/>
    <col min="3585" max="3585" width="10.28515625" style="18" customWidth="1"/>
    <col min="3586" max="3586" width="11" style="18" customWidth="1"/>
    <col min="3587" max="3587" width="5.85546875" style="18" customWidth="1"/>
    <col min="3588" max="3588" width="14.85546875" style="18" customWidth="1"/>
    <col min="3589" max="3589" width="13.140625" style="18" customWidth="1"/>
    <col min="3590" max="3590" width="6.85546875" style="18" customWidth="1"/>
    <col min="3591" max="3591" width="19.28515625" style="18" customWidth="1"/>
    <col min="3592" max="3592" width="12.85546875" style="18" customWidth="1"/>
    <col min="3593" max="3593" width="15.140625" style="18" customWidth="1"/>
    <col min="3594" max="3594" width="14.7109375" style="18" bestFit="1" customWidth="1"/>
    <col min="3595" max="3840" width="11.42578125" style="18"/>
    <col min="3841" max="3841" width="10.28515625" style="18" customWidth="1"/>
    <col min="3842" max="3842" width="11" style="18" customWidth="1"/>
    <col min="3843" max="3843" width="5.85546875" style="18" customWidth="1"/>
    <col min="3844" max="3844" width="14.85546875" style="18" customWidth="1"/>
    <col min="3845" max="3845" width="13.140625" style="18" customWidth="1"/>
    <col min="3846" max="3846" width="6.85546875" style="18" customWidth="1"/>
    <col min="3847" max="3847" width="19.28515625" style="18" customWidth="1"/>
    <col min="3848" max="3848" width="12.85546875" style="18" customWidth="1"/>
    <col min="3849" max="3849" width="15.140625" style="18" customWidth="1"/>
    <col min="3850" max="3850" width="14.7109375" style="18" bestFit="1" customWidth="1"/>
    <col min="3851" max="4096" width="11.42578125" style="18"/>
    <col min="4097" max="4097" width="10.28515625" style="18" customWidth="1"/>
    <col min="4098" max="4098" width="11" style="18" customWidth="1"/>
    <col min="4099" max="4099" width="5.85546875" style="18" customWidth="1"/>
    <col min="4100" max="4100" width="14.85546875" style="18" customWidth="1"/>
    <col min="4101" max="4101" width="13.140625" style="18" customWidth="1"/>
    <col min="4102" max="4102" width="6.85546875" style="18" customWidth="1"/>
    <col min="4103" max="4103" width="19.28515625" style="18" customWidth="1"/>
    <col min="4104" max="4104" width="12.85546875" style="18" customWidth="1"/>
    <col min="4105" max="4105" width="15.140625" style="18" customWidth="1"/>
    <col min="4106" max="4106" width="14.7109375" style="18" bestFit="1" customWidth="1"/>
    <col min="4107" max="4352" width="11.42578125" style="18"/>
    <col min="4353" max="4353" width="10.28515625" style="18" customWidth="1"/>
    <col min="4354" max="4354" width="11" style="18" customWidth="1"/>
    <col min="4355" max="4355" width="5.85546875" style="18" customWidth="1"/>
    <col min="4356" max="4356" width="14.85546875" style="18" customWidth="1"/>
    <col min="4357" max="4357" width="13.140625" style="18" customWidth="1"/>
    <col min="4358" max="4358" width="6.85546875" style="18" customWidth="1"/>
    <col min="4359" max="4359" width="19.28515625" style="18" customWidth="1"/>
    <col min="4360" max="4360" width="12.85546875" style="18" customWidth="1"/>
    <col min="4361" max="4361" width="15.140625" style="18" customWidth="1"/>
    <col min="4362" max="4362" width="14.7109375" style="18" bestFit="1" customWidth="1"/>
    <col min="4363" max="4608" width="11.42578125" style="18"/>
    <col min="4609" max="4609" width="10.28515625" style="18" customWidth="1"/>
    <col min="4610" max="4610" width="11" style="18" customWidth="1"/>
    <col min="4611" max="4611" width="5.85546875" style="18" customWidth="1"/>
    <col min="4612" max="4612" width="14.85546875" style="18" customWidth="1"/>
    <col min="4613" max="4613" width="13.140625" style="18" customWidth="1"/>
    <col min="4614" max="4614" width="6.85546875" style="18" customWidth="1"/>
    <col min="4615" max="4615" width="19.28515625" style="18" customWidth="1"/>
    <col min="4616" max="4616" width="12.85546875" style="18" customWidth="1"/>
    <col min="4617" max="4617" width="15.140625" style="18" customWidth="1"/>
    <col min="4618" max="4618" width="14.7109375" style="18" bestFit="1" customWidth="1"/>
    <col min="4619" max="4864" width="11.42578125" style="18"/>
    <col min="4865" max="4865" width="10.28515625" style="18" customWidth="1"/>
    <col min="4866" max="4866" width="11" style="18" customWidth="1"/>
    <col min="4867" max="4867" width="5.85546875" style="18" customWidth="1"/>
    <col min="4868" max="4868" width="14.85546875" style="18" customWidth="1"/>
    <col min="4869" max="4869" width="13.140625" style="18" customWidth="1"/>
    <col min="4870" max="4870" width="6.85546875" style="18" customWidth="1"/>
    <col min="4871" max="4871" width="19.28515625" style="18" customWidth="1"/>
    <col min="4872" max="4872" width="12.85546875" style="18" customWidth="1"/>
    <col min="4873" max="4873" width="15.140625" style="18" customWidth="1"/>
    <col min="4874" max="4874" width="14.7109375" style="18" bestFit="1" customWidth="1"/>
    <col min="4875" max="5120" width="11.42578125" style="18"/>
    <col min="5121" max="5121" width="10.28515625" style="18" customWidth="1"/>
    <col min="5122" max="5122" width="11" style="18" customWidth="1"/>
    <col min="5123" max="5123" width="5.85546875" style="18" customWidth="1"/>
    <col min="5124" max="5124" width="14.85546875" style="18" customWidth="1"/>
    <col min="5125" max="5125" width="13.140625" style="18" customWidth="1"/>
    <col min="5126" max="5126" width="6.85546875" style="18" customWidth="1"/>
    <col min="5127" max="5127" width="19.28515625" style="18" customWidth="1"/>
    <col min="5128" max="5128" width="12.85546875" style="18" customWidth="1"/>
    <col min="5129" max="5129" width="15.140625" style="18" customWidth="1"/>
    <col min="5130" max="5130" width="14.7109375" style="18" bestFit="1" customWidth="1"/>
    <col min="5131" max="5376" width="11.42578125" style="18"/>
    <col min="5377" max="5377" width="10.28515625" style="18" customWidth="1"/>
    <col min="5378" max="5378" width="11" style="18" customWidth="1"/>
    <col min="5379" max="5379" width="5.85546875" style="18" customWidth="1"/>
    <col min="5380" max="5380" width="14.85546875" style="18" customWidth="1"/>
    <col min="5381" max="5381" width="13.140625" style="18" customWidth="1"/>
    <col min="5382" max="5382" width="6.85546875" style="18" customWidth="1"/>
    <col min="5383" max="5383" width="19.28515625" style="18" customWidth="1"/>
    <col min="5384" max="5384" width="12.85546875" style="18" customWidth="1"/>
    <col min="5385" max="5385" width="15.140625" style="18" customWidth="1"/>
    <col min="5386" max="5386" width="14.7109375" style="18" bestFit="1" customWidth="1"/>
    <col min="5387" max="5632" width="11.42578125" style="18"/>
    <col min="5633" max="5633" width="10.28515625" style="18" customWidth="1"/>
    <col min="5634" max="5634" width="11" style="18" customWidth="1"/>
    <col min="5635" max="5635" width="5.85546875" style="18" customWidth="1"/>
    <col min="5636" max="5636" width="14.85546875" style="18" customWidth="1"/>
    <col min="5637" max="5637" width="13.140625" style="18" customWidth="1"/>
    <col min="5638" max="5638" width="6.85546875" style="18" customWidth="1"/>
    <col min="5639" max="5639" width="19.28515625" style="18" customWidth="1"/>
    <col min="5640" max="5640" width="12.85546875" style="18" customWidth="1"/>
    <col min="5641" max="5641" width="15.140625" style="18" customWidth="1"/>
    <col min="5642" max="5642" width="14.7109375" style="18" bestFit="1" customWidth="1"/>
    <col min="5643" max="5888" width="11.42578125" style="18"/>
    <col min="5889" max="5889" width="10.28515625" style="18" customWidth="1"/>
    <col min="5890" max="5890" width="11" style="18" customWidth="1"/>
    <col min="5891" max="5891" width="5.85546875" style="18" customWidth="1"/>
    <col min="5892" max="5892" width="14.85546875" style="18" customWidth="1"/>
    <col min="5893" max="5893" width="13.140625" style="18" customWidth="1"/>
    <col min="5894" max="5894" width="6.85546875" style="18" customWidth="1"/>
    <col min="5895" max="5895" width="19.28515625" style="18" customWidth="1"/>
    <col min="5896" max="5896" width="12.85546875" style="18" customWidth="1"/>
    <col min="5897" max="5897" width="15.140625" style="18" customWidth="1"/>
    <col min="5898" max="5898" width="14.7109375" style="18" bestFit="1" customWidth="1"/>
    <col min="5899" max="6144" width="11.42578125" style="18"/>
    <col min="6145" max="6145" width="10.28515625" style="18" customWidth="1"/>
    <col min="6146" max="6146" width="11" style="18" customWidth="1"/>
    <col min="6147" max="6147" width="5.85546875" style="18" customWidth="1"/>
    <col min="6148" max="6148" width="14.85546875" style="18" customWidth="1"/>
    <col min="6149" max="6149" width="13.140625" style="18" customWidth="1"/>
    <col min="6150" max="6150" width="6.85546875" style="18" customWidth="1"/>
    <col min="6151" max="6151" width="19.28515625" style="18" customWidth="1"/>
    <col min="6152" max="6152" width="12.85546875" style="18" customWidth="1"/>
    <col min="6153" max="6153" width="15.140625" style="18" customWidth="1"/>
    <col min="6154" max="6154" width="14.7109375" style="18" bestFit="1" customWidth="1"/>
    <col min="6155" max="6400" width="11.42578125" style="18"/>
    <col min="6401" max="6401" width="10.28515625" style="18" customWidth="1"/>
    <col min="6402" max="6402" width="11" style="18" customWidth="1"/>
    <col min="6403" max="6403" width="5.85546875" style="18" customWidth="1"/>
    <col min="6404" max="6404" width="14.85546875" style="18" customWidth="1"/>
    <col min="6405" max="6405" width="13.140625" style="18" customWidth="1"/>
    <col min="6406" max="6406" width="6.85546875" style="18" customWidth="1"/>
    <col min="6407" max="6407" width="19.28515625" style="18" customWidth="1"/>
    <col min="6408" max="6408" width="12.85546875" style="18" customWidth="1"/>
    <col min="6409" max="6409" width="15.140625" style="18" customWidth="1"/>
    <col min="6410" max="6410" width="14.7109375" style="18" bestFit="1" customWidth="1"/>
    <col min="6411" max="6656" width="11.42578125" style="18"/>
    <col min="6657" max="6657" width="10.28515625" style="18" customWidth="1"/>
    <col min="6658" max="6658" width="11" style="18" customWidth="1"/>
    <col min="6659" max="6659" width="5.85546875" style="18" customWidth="1"/>
    <col min="6660" max="6660" width="14.85546875" style="18" customWidth="1"/>
    <col min="6661" max="6661" width="13.140625" style="18" customWidth="1"/>
    <col min="6662" max="6662" width="6.85546875" style="18" customWidth="1"/>
    <col min="6663" max="6663" width="19.28515625" style="18" customWidth="1"/>
    <col min="6664" max="6664" width="12.85546875" style="18" customWidth="1"/>
    <col min="6665" max="6665" width="15.140625" style="18" customWidth="1"/>
    <col min="6666" max="6666" width="14.7109375" style="18" bestFit="1" customWidth="1"/>
    <col min="6667" max="6912" width="11.42578125" style="18"/>
    <col min="6913" max="6913" width="10.28515625" style="18" customWidth="1"/>
    <col min="6914" max="6914" width="11" style="18" customWidth="1"/>
    <col min="6915" max="6915" width="5.85546875" style="18" customWidth="1"/>
    <col min="6916" max="6916" width="14.85546875" style="18" customWidth="1"/>
    <col min="6917" max="6917" width="13.140625" style="18" customWidth="1"/>
    <col min="6918" max="6918" width="6.85546875" style="18" customWidth="1"/>
    <col min="6919" max="6919" width="19.28515625" style="18" customWidth="1"/>
    <col min="6920" max="6920" width="12.85546875" style="18" customWidth="1"/>
    <col min="6921" max="6921" width="15.140625" style="18" customWidth="1"/>
    <col min="6922" max="6922" width="14.7109375" style="18" bestFit="1" customWidth="1"/>
    <col min="6923" max="7168" width="11.42578125" style="18"/>
    <col min="7169" max="7169" width="10.28515625" style="18" customWidth="1"/>
    <col min="7170" max="7170" width="11" style="18" customWidth="1"/>
    <col min="7171" max="7171" width="5.85546875" style="18" customWidth="1"/>
    <col min="7172" max="7172" width="14.85546875" style="18" customWidth="1"/>
    <col min="7173" max="7173" width="13.140625" style="18" customWidth="1"/>
    <col min="7174" max="7174" width="6.85546875" style="18" customWidth="1"/>
    <col min="7175" max="7175" width="19.28515625" style="18" customWidth="1"/>
    <col min="7176" max="7176" width="12.85546875" style="18" customWidth="1"/>
    <col min="7177" max="7177" width="15.140625" style="18" customWidth="1"/>
    <col min="7178" max="7178" width="14.7109375" style="18" bestFit="1" customWidth="1"/>
    <col min="7179" max="7424" width="11.42578125" style="18"/>
    <col min="7425" max="7425" width="10.28515625" style="18" customWidth="1"/>
    <col min="7426" max="7426" width="11" style="18" customWidth="1"/>
    <col min="7427" max="7427" width="5.85546875" style="18" customWidth="1"/>
    <col min="7428" max="7428" width="14.85546875" style="18" customWidth="1"/>
    <col min="7429" max="7429" width="13.140625" style="18" customWidth="1"/>
    <col min="7430" max="7430" width="6.85546875" style="18" customWidth="1"/>
    <col min="7431" max="7431" width="19.28515625" style="18" customWidth="1"/>
    <col min="7432" max="7432" width="12.85546875" style="18" customWidth="1"/>
    <col min="7433" max="7433" width="15.140625" style="18" customWidth="1"/>
    <col min="7434" max="7434" width="14.7109375" style="18" bestFit="1" customWidth="1"/>
    <col min="7435" max="7680" width="11.42578125" style="18"/>
    <col min="7681" max="7681" width="10.28515625" style="18" customWidth="1"/>
    <col min="7682" max="7682" width="11" style="18" customWidth="1"/>
    <col min="7683" max="7683" width="5.85546875" style="18" customWidth="1"/>
    <col min="7684" max="7684" width="14.85546875" style="18" customWidth="1"/>
    <col min="7685" max="7685" width="13.140625" style="18" customWidth="1"/>
    <col min="7686" max="7686" width="6.85546875" style="18" customWidth="1"/>
    <col min="7687" max="7687" width="19.28515625" style="18" customWidth="1"/>
    <col min="7688" max="7688" width="12.85546875" style="18" customWidth="1"/>
    <col min="7689" max="7689" width="15.140625" style="18" customWidth="1"/>
    <col min="7690" max="7690" width="14.7109375" style="18" bestFit="1" customWidth="1"/>
    <col min="7691" max="7936" width="11.42578125" style="18"/>
    <col min="7937" max="7937" width="10.28515625" style="18" customWidth="1"/>
    <col min="7938" max="7938" width="11" style="18" customWidth="1"/>
    <col min="7939" max="7939" width="5.85546875" style="18" customWidth="1"/>
    <col min="7940" max="7940" width="14.85546875" style="18" customWidth="1"/>
    <col min="7941" max="7941" width="13.140625" style="18" customWidth="1"/>
    <col min="7942" max="7942" width="6.85546875" style="18" customWidth="1"/>
    <col min="7943" max="7943" width="19.28515625" style="18" customWidth="1"/>
    <col min="7944" max="7944" width="12.85546875" style="18" customWidth="1"/>
    <col min="7945" max="7945" width="15.140625" style="18" customWidth="1"/>
    <col min="7946" max="7946" width="14.7109375" style="18" bestFit="1" customWidth="1"/>
    <col min="7947" max="8192" width="11.42578125" style="18"/>
    <col min="8193" max="8193" width="10.28515625" style="18" customWidth="1"/>
    <col min="8194" max="8194" width="11" style="18" customWidth="1"/>
    <col min="8195" max="8195" width="5.85546875" style="18" customWidth="1"/>
    <col min="8196" max="8196" width="14.85546875" style="18" customWidth="1"/>
    <col min="8197" max="8197" width="13.140625" style="18" customWidth="1"/>
    <col min="8198" max="8198" width="6.85546875" style="18" customWidth="1"/>
    <col min="8199" max="8199" width="19.28515625" style="18" customWidth="1"/>
    <col min="8200" max="8200" width="12.85546875" style="18" customWidth="1"/>
    <col min="8201" max="8201" width="15.140625" style="18" customWidth="1"/>
    <col min="8202" max="8202" width="14.7109375" style="18" bestFit="1" customWidth="1"/>
    <col min="8203" max="8448" width="11.42578125" style="18"/>
    <col min="8449" max="8449" width="10.28515625" style="18" customWidth="1"/>
    <col min="8450" max="8450" width="11" style="18" customWidth="1"/>
    <col min="8451" max="8451" width="5.85546875" style="18" customWidth="1"/>
    <col min="8452" max="8452" width="14.85546875" style="18" customWidth="1"/>
    <col min="8453" max="8453" width="13.140625" style="18" customWidth="1"/>
    <col min="8454" max="8454" width="6.85546875" style="18" customWidth="1"/>
    <col min="8455" max="8455" width="19.28515625" style="18" customWidth="1"/>
    <col min="8456" max="8456" width="12.85546875" style="18" customWidth="1"/>
    <col min="8457" max="8457" width="15.140625" style="18" customWidth="1"/>
    <col min="8458" max="8458" width="14.7109375" style="18" bestFit="1" customWidth="1"/>
    <col min="8459" max="8704" width="11.42578125" style="18"/>
    <col min="8705" max="8705" width="10.28515625" style="18" customWidth="1"/>
    <col min="8706" max="8706" width="11" style="18" customWidth="1"/>
    <col min="8707" max="8707" width="5.85546875" style="18" customWidth="1"/>
    <col min="8708" max="8708" width="14.85546875" style="18" customWidth="1"/>
    <col min="8709" max="8709" width="13.140625" style="18" customWidth="1"/>
    <col min="8710" max="8710" width="6.85546875" style="18" customWidth="1"/>
    <col min="8711" max="8711" width="19.28515625" style="18" customWidth="1"/>
    <col min="8712" max="8712" width="12.85546875" style="18" customWidth="1"/>
    <col min="8713" max="8713" width="15.140625" style="18" customWidth="1"/>
    <col min="8714" max="8714" width="14.7109375" style="18" bestFit="1" customWidth="1"/>
    <col min="8715" max="8960" width="11.42578125" style="18"/>
    <col min="8961" max="8961" width="10.28515625" style="18" customWidth="1"/>
    <col min="8962" max="8962" width="11" style="18" customWidth="1"/>
    <col min="8963" max="8963" width="5.85546875" style="18" customWidth="1"/>
    <col min="8964" max="8964" width="14.85546875" style="18" customWidth="1"/>
    <col min="8965" max="8965" width="13.140625" style="18" customWidth="1"/>
    <col min="8966" max="8966" width="6.85546875" style="18" customWidth="1"/>
    <col min="8967" max="8967" width="19.28515625" style="18" customWidth="1"/>
    <col min="8968" max="8968" width="12.85546875" style="18" customWidth="1"/>
    <col min="8969" max="8969" width="15.140625" style="18" customWidth="1"/>
    <col min="8970" max="8970" width="14.7109375" style="18" bestFit="1" customWidth="1"/>
    <col min="8971" max="9216" width="11.42578125" style="18"/>
    <col min="9217" max="9217" width="10.28515625" style="18" customWidth="1"/>
    <col min="9218" max="9218" width="11" style="18" customWidth="1"/>
    <col min="9219" max="9219" width="5.85546875" style="18" customWidth="1"/>
    <col min="9220" max="9220" width="14.85546875" style="18" customWidth="1"/>
    <col min="9221" max="9221" width="13.140625" style="18" customWidth="1"/>
    <col min="9222" max="9222" width="6.85546875" style="18" customWidth="1"/>
    <col min="9223" max="9223" width="19.28515625" style="18" customWidth="1"/>
    <col min="9224" max="9224" width="12.85546875" style="18" customWidth="1"/>
    <col min="9225" max="9225" width="15.140625" style="18" customWidth="1"/>
    <col min="9226" max="9226" width="14.7109375" style="18" bestFit="1" customWidth="1"/>
    <col min="9227" max="9472" width="11.42578125" style="18"/>
    <col min="9473" max="9473" width="10.28515625" style="18" customWidth="1"/>
    <col min="9474" max="9474" width="11" style="18" customWidth="1"/>
    <col min="9475" max="9475" width="5.85546875" style="18" customWidth="1"/>
    <col min="9476" max="9476" width="14.85546875" style="18" customWidth="1"/>
    <col min="9477" max="9477" width="13.140625" style="18" customWidth="1"/>
    <col min="9478" max="9478" width="6.85546875" style="18" customWidth="1"/>
    <col min="9479" max="9479" width="19.28515625" style="18" customWidth="1"/>
    <col min="9480" max="9480" width="12.85546875" style="18" customWidth="1"/>
    <col min="9481" max="9481" width="15.140625" style="18" customWidth="1"/>
    <col min="9482" max="9482" width="14.7109375" style="18" bestFit="1" customWidth="1"/>
    <col min="9483" max="9728" width="11.42578125" style="18"/>
    <col min="9729" max="9729" width="10.28515625" style="18" customWidth="1"/>
    <col min="9730" max="9730" width="11" style="18" customWidth="1"/>
    <col min="9731" max="9731" width="5.85546875" style="18" customWidth="1"/>
    <col min="9732" max="9732" width="14.85546875" style="18" customWidth="1"/>
    <col min="9733" max="9733" width="13.140625" style="18" customWidth="1"/>
    <col min="9734" max="9734" width="6.85546875" style="18" customWidth="1"/>
    <col min="9735" max="9735" width="19.28515625" style="18" customWidth="1"/>
    <col min="9736" max="9736" width="12.85546875" style="18" customWidth="1"/>
    <col min="9737" max="9737" width="15.140625" style="18" customWidth="1"/>
    <col min="9738" max="9738" width="14.7109375" style="18" bestFit="1" customWidth="1"/>
    <col min="9739" max="9984" width="11.42578125" style="18"/>
    <col min="9985" max="9985" width="10.28515625" style="18" customWidth="1"/>
    <col min="9986" max="9986" width="11" style="18" customWidth="1"/>
    <col min="9987" max="9987" width="5.85546875" style="18" customWidth="1"/>
    <col min="9988" max="9988" width="14.85546875" style="18" customWidth="1"/>
    <col min="9989" max="9989" width="13.140625" style="18" customWidth="1"/>
    <col min="9990" max="9990" width="6.85546875" style="18" customWidth="1"/>
    <col min="9991" max="9991" width="19.28515625" style="18" customWidth="1"/>
    <col min="9992" max="9992" width="12.85546875" style="18" customWidth="1"/>
    <col min="9993" max="9993" width="15.140625" style="18" customWidth="1"/>
    <col min="9994" max="9994" width="14.7109375" style="18" bestFit="1" customWidth="1"/>
    <col min="9995" max="10240" width="11.42578125" style="18"/>
    <col min="10241" max="10241" width="10.28515625" style="18" customWidth="1"/>
    <col min="10242" max="10242" width="11" style="18" customWidth="1"/>
    <col min="10243" max="10243" width="5.85546875" style="18" customWidth="1"/>
    <col min="10244" max="10244" width="14.85546875" style="18" customWidth="1"/>
    <col min="10245" max="10245" width="13.140625" style="18" customWidth="1"/>
    <col min="10246" max="10246" width="6.85546875" style="18" customWidth="1"/>
    <col min="10247" max="10247" width="19.28515625" style="18" customWidth="1"/>
    <col min="10248" max="10248" width="12.85546875" style="18" customWidth="1"/>
    <col min="10249" max="10249" width="15.140625" style="18" customWidth="1"/>
    <col min="10250" max="10250" width="14.7109375" style="18" bestFit="1" customWidth="1"/>
    <col min="10251" max="10496" width="11.42578125" style="18"/>
    <col min="10497" max="10497" width="10.28515625" style="18" customWidth="1"/>
    <col min="10498" max="10498" width="11" style="18" customWidth="1"/>
    <col min="10499" max="10499" width="5.85546875" style="18" customWidth="1"/>
    <col min="10500" max="10500" width="14.85546875" style="18" customWidth="1"/>
    <col min="10501" max="10501" width="13.140625" style="18" customWidth="1"/>
    <col min="10502" max="10502" width="6.85546875" style="18" customWidth="1"/>
    <col min="10503" max="10503" width="19.28515625" style="18" customWidth="1"/>
    <col min="10504" max="10504" width="12.85546875" style="18" customWidth="1"/>
    <col min="10505" max="10505" width="15.140625" style="18" customWidth="1"/>
    <col min="10506" max="10506" width="14.7109375" style="18" bestFit="1" customWidth="1"/>
    <col min="10507" max="10752" width="11.42578125" style="18"/>
    <col min="10753" max="10753" width="10.28515625" style="18" customWidth="1"/>
    <col min="10754" max="10754" width="11" style="18" customWidth="1"/>
    <col min="10755" max="10755" width="5.85546875" style="18" customWidth="1"/>
    <col min="10756" max="10756" width="14.85546875" style="18" customWidth="1"/>
    <col min="10757" max="10757" width="13.140625" style="18" customWidth="1"/>
    <col min="10758" max="10758" width="6.85546875" style="18" customWidth="1"/>
    <col min="10759" max="10759" width="19.28515625" style="18" customWidth="1"/>
    <col min="10760" max="10760" width="12.85546875" style="18" customWidth="1"/>
    <col min="10761" max="10761" width="15.140625" style="18" customWidth="1"/>
    <col min="10762" max="10762" width="14.7109375" style="18" bestFit="1" customWidth="1"/>
    <col min="10763" max="11008" width="11.42578125" style="18"/>
    <col min="11009" max="11009" width="10.28515625" style="18" customWidth="1"/>
    <col min="11010" max="11010" width="11" style="18" customWidth="1"/>
    <col min="11011" max="11011" width="5.85546875" style="18" customWidth="1"/>
    <col min="11012" max="11012" width="14.85546875" style="18" customWidth="1"/>
    <col min="11013" max="11013" width="13.140625" style="18" customWidth="1"/>
    <col min="11014" max="11014" width="6.85546875" style="18" customWidth="1"/>
    <col min="11015" max="11015" width="19.28515625" style="18" customWidth="1"/>
    <col min="11016" max="11016" width="12.85546875" style="18" customWidth="1"/>
    <col min="11017" max="11017" width="15.140625" style="18" customWidth="1"/>
    <col min="11018" max="11018" width="14.7109375" style="18" bestFit="1" customWidth="1"/>
    <col min="11019" max="11264" width="11.42578125" style="18"/>
    <col min="11265" max="11265" width="10.28515625" style="18" customWidth="1"/>
    <col min="11266" max="11266" width="11" style="18" customWidth="1"/>
    <col min="11267" max="11267" width="5.85546875" style="18" customWidth="1"/>
    <col min="11268" max="11268" width="14.85546875" style="18" customWidth="1"/>
    <col min="11269" max="11269" width="13.140625" style="18" customWidth="1"/>
    <col min="11270" max="11270" width="6.85546875" style="18" customWidth="1"/>
    <col min="11271" max="11271" width="19.28515625" style="18" customWidth="1"/>
    <col min="11272" max="11272" width="12.85546875" style="18" customWidth="1"/>
    <col min="11273" max="11273" width="15.140625" style="18" customWidth="1"/>
    <col min="11274" max="11274" width="14.7109375" style="18" bestFit="1" customWidth="1"/>
    <col min="11275" max="11520" width="11.42578125" style="18"/>
    <col min="11521" max="11521" width="10.28515625" style="18" customWidth="1"/>
    <col min="11522" max="11522" width="11" style="18" customWidth="1"/>
    <col min="11523" max="11523" width="5.85546875" style="18" customWidth="1"/>
    <col min="11524" max="11524" width="14.85546875" style="18" customWidth="1"/>
    <col min="11525" max="11525" width="13.140625" style="18" customWidth="1"/>
    <col min="11526" max="11526" width="6.85546875" style="18" customWidth="1"/>
    <col min="11527" max="11527" width="19.28515625" style="18" customWidth="1"/>
    <col min="11528" max="11528" width="12.85546875" style="18" customWidth="1"/>
    <col min="11529" max="11529" width="15.140625" style="18" customWidth="1"/>
    <col min="11530" max="11530" width="14.7109375" style="18" bestFit="1" customWidth="1"/>
    <col min="11531" max="11776" width="11.42578125" style="18"/>
    <col min="11777" max="11777" width="10.28515625" style="18" customWidth="1"/>
    <col min="11778" max="11778" width="11" style="18" customWidth="1"/>
    <col min="11779" max="11779" width="5.85546875" style="18" customWidth="1"/>
    <col min="11780" max="11780" width="14.85546875" style="18" customWidth="1"/>
    <col min="11781" max="11781" width="13.140625" style="18" customWidth="1"/>
    <col min="11782" max="11782" width="6.85546875" style="18" customWidth="1"/>
    <col min="11783" max="11783" width="19.28515625" style="18" customWidth="1"/>
    <col min="11784" max="11784" width="12.85546875" style="18" customWidth="1"/>
    <col min="11785" max="11785" width="15.140625" style="18" customWidth="1"/>
    <col min="11786" max="11786" width="14.7109375" style="18" bestFit="1" customWidth="1"/>
    <col min="11787" max="12032" width="11.42578125" style="18"/>
    <col min="12033" max="12033" width="10.28515625" style="18" customWidth="1"/>
    <col min="12034" max="12034" width="11" style="18" customWidth="1"/>
    <col min="12035" max="12035" width="5.85546875" style="18" customWidth="1"/>
    <col min="12036" max="12036" width="14.85546875" style="18" customWidth="1"/>
    <col min="12037" max="12037" width="13.140625" style="18" customWidth="1"/>
    <col min="12038" max="12038" width="6.85546875" style="18" customWidth="1"/>
    <col min="12039" max="12039" width="19.28515625" style="18" customWidth="1"/>
    <col min="12040" max="12040" width="12.85546875" style="18" customWidth="1"/>
    <col min="12041" max="12041" width="15.140625" style="18" customWidth="1"/>
    <col min="12042" max="12042" width="14.7109375" style="18" bestFit="1" customWidth="1"/>
    <col min="12043" max="12288" width="11.42578125" style="18"/>
    <col min="12289" max="12289" width="10.28515625" style="18" customWidth="1"/>
    <col min="12290" max="12290" width="11" style="18" customWidth="1"/>
    <col min="12291" max="12291" width="5.85546875" style="18" customWidth="1"/>
    <col min="12292" max="12292" width="14.85546875" style="18" customWidth="1"/>
    <col min="12293" max="12293" width="13.140625" style="18" customWidth="1"/>
    <col min="12294" max="12294" width="6.85546875" style="18" customWidth="1"/>
    <col min="12295" max="12295" width="19.28515625" style="18" customWidth="1"/>
    <col min="12296" max="12296" width="12.85546875" style="18" customWidth="1"/>
    <col min="12297" max="12297" width="15.140625" style="18" customWidth="1"/>
    <col min="12298" max="12298" width="14.7109375" style="18" bestFit="1" customWidth="1"/>
    <col min="12299" max="12544" width="11.42578125" style="18"/>
    <col min="12545" max="12545" width="10.28515625" style="18" customWidth="1"/>
    <col min="12546" max="12546" width="11" style="18" customWidth="1"/>
    <col min="12547" max="12547" width="5.85546875" style="18" customWidth="1"/>
    <col min="12548" max="12548" width="14.85546875" style="18" customWidth="1"/>
    <col min="12549" max="12549" width="13.140625" style="18" customWidth="1"/>
    <col min="12550" max="12550" width="6.85546875" style="18" customWidth="1"/>
    <col min="12551" max="12551" width="19.28515625" style="18" customWidth="1"/>
    <col min="12552" max="12552" width="12.85546875" style="18" customWidth="1"/>
    <col min="12553" max="12553" width="15.140625" style="18" customWidth="1"/>
    <col min="12554" max="12554" width="14.7109375" style="18" bestFit="1" customWidth="1"/>
    <col min="12555" max="12800" width="11.42578125" style="18"/>
    <col min="12801" max="12801" width="10.28515625" style="18" customWidth="1"/>
    <col min="12802" max="12802" width="11" style="18" customWidth="1"/>
    <col min="12803" max="12803" width="5.85546875" style="18" customWidth="1"/>
    <col min="12804" max="12804" width="14.85546875" style="18" customWidth="1"/>
    <col min="12805" max="12805" width="13.140625" style="18" customWidth="1"/>
    <col min="12806" max="12806" width="6.85546875" style="18" customWidth="1"/>
    <col min="12807" max="12807" width="19.28515625" style="18" customWidth="1"/>
    <col min="12808" max="12808" width="12.85546875" style="18" customWidth="1"/>
    <col min="12809" max="12809" width="15.140625" style="18" customWidth="1"/>
    <col min="12810" max="12810" width="14.7109375" style="18" bestFit="1" customWidth="1"/>
    <col min="12811" max="13056" width="11.42578125" style="18"/>
    <col min="13057" max="13057" width="10.28515625" style="18" customWidth="1"/>
    <col min="13058" max="13058" width="11" style="18" customWidth="1"/>
    <col min="13059" max="13059" width="5.85546875" style="18" customWidth="1"/>
    <col min="13060" max="13060" width="14.85546875" style="18" customWidth="1"/>
    <col min="13061" max="13061" width="13.140625" style="18" customWidth="1"/>
    <col min="13062" max="13062" width="6.85546875" style="18" customWidth="1"/>
    <col min="13063" max="13063" width="19.28515625" style="18" customWidth="1"/>
    <col min="13064" max="13064" width="12.85546875" style="18" customWidth="1"/>
    <col min="13065" max="13065" width="15.140625" style="18" customWidth="1"/>
    <col min="13066" max="13066" width="14.7109375" style="18" bestFit="1" customWidth="1"/>
    <col min="13067" max="13312" width="11.42578125" style="18"/>
    <col min="13313" max="13313" width="10.28515625" style="18" customWidth="1"/>
    <col min="13314" max="13314" width="11" style="18" customWidth="1"/>
    <col min="13315" max="13315" width="5.85546875" style="18" customWidth="1"/>
    <col min="13316" max="13316" width="14.85546875" style="18" customWidth="1"/>
    <col min="13317" max="13317" width="13.140625" style="18" customWidth="1"/>
    <col min="13318" max="13318" width="6.85546875" style="18" customWidth="1"/>
    <col min="13319" max="13319" width="19.28515625" style="18" customWidth="1"/>
    <col min="13320" max="13320" width="12.85546875" style="18" customWidth="1"/>
    <col min="13321" max="13321" width="15.140625" style="18" customWidth="1"/>
    <col min="13322" max="13322" width="14.7109375" style="18" bestFit="1" customWidth="1"/>
    <col min="13323" max="13568" width="11.42578125" style="18"/>
    <col min="13569" max="13569" width="10.28515625" style="18" customWidth="1"/>
    <col min="13570" max="13570" width="11" style="18" customWidth="1"/>
    <col min="13571" max="13571" width="5.85546875" style="18" customWidth="1"/>
    <col min="13572" max="13572" width="14.85546875" style="18" customWidth="1"/>
    <col min="13573" max="13573" width="13.140625" style="18" customWidth="1"/>
    <col min="13574" max="13574" width="6.85546875" style="18" customWidth="1"/>
    <col min="13575" max="13575" width="19.28515625" style="18" customWidth="1"/>
    <col min="13576" max="13576" width="12.85546875" style="18" customWidth="1"/>
    <col min="13577" max="13577" width="15.140625" style="18" customWidth="1"/>
    <col min="13578" max="13578" width="14.7109375" style="18" bestFit="1" customWidth="1"/>
    <col min="13579" max="13824" width="11.42578125" style="18"/>
    <col min="13825" max="13825" width="10.28515625" style="18" customWidth="1"/>
    <col min="13826" max="13826" width="11" style="18" customWidth="1"/>
    <col min="13827" max="13827" width="5.85546875" style="18" customWidth="1"/>
    <col min="13828" max="13828" width="14.85546875" style="18" customWidth="1"/>
    <col min="13829" max="13829" width="13.140625" style="18" customWidth="1"/>
    <col min="13830" max="13830" width="6.85546875" style="18" customWidth="1"/>
    <col min="13831" max="13831" width="19.28515625" style="18" customWidth="1"/>
    <col min="13832" max="13832" width="12.85546875" style="18" customWidth="1"/>
    <col min="13833" max="13833" width="15.140625" style="18" customWidth="1"/>
    <col min="13834" max="13834" width="14.7109375" style="18" bestFit="1" customWidth="1"/>
    <col min="13835" max="14080" width="11.42578125" style="18"/>
    <col min="14081" max="14081" width="10.28515625" style="18" customWidth="1"/>
    <col min="14082" max="14082" width="11" style="18" customWidth="1"/>
    <col min="14083" max="14083" width="5.85546875" style="18" customWidth="1"/>
    <col min="14084" max="14084" width="14.85546875" style="18" customWidth="1"/>
    <col min="14085" max="14085" width="13.140625" style="18" customWidth="1"/>
    <col min="14086" max="14086" width="6.85546875" style="18" customWidth="1"/>
    <col min="14087" max="14087" width="19.28515625" style="18" customWidth="1"/>
    <col min="14088" max="14088" width="12.85546875" style="18" customWidth="1"/>
    <col min="14089" max="14089" width="15.140625" style="18" customWidth="1"/>
    <col min="14090" max="14090" width="14.7109375" style="18" bestFit="1" customWidth="1"/>
    <col min="14091" max="14336" width="11.42578125" style="18"/>
    <col min="14337" max="14337" width="10.28515625" style="18" customWidth="1"/>
    <col min="14338" max="14338" width="11" style="18" customWidth="1"/>
    <col min="14339" max="14339" width="5.85546875" style="18" customWidth="1"/>
    <col min="14340" max="14340" width="14.85546875" style="18" customWidth="1"/>
    <col min="14341" max="14341" width="13.140625" style="18" customWidth="1"/>
    <col min="14342" max="14342" width="6.85546875" style="18" customWidth="1"/>
    <col min="14343" max="14343" width="19.28515625" style="18" customWidth="1"/>
    <col min="14344" max="14344" width="12.85546875" style="18" customWidth="1"/>
    <col min="14345" max="14345" width="15.140625" style="18" customWidth="1"/>
    <col min="14346" max="14346" width="14.7109375" style="18" bestFit="1" customWidth="1"/>
    <col min="14347" max="14592" width="11.42578125" style="18"/>
    <col min="14593" max="14593" width="10.28515625" style="18" customWidth="1"/>
    <col min="14594" max="14594" width="11" style="18" customWidth="1"/>
    <col min="14595" max="14595" width="5.85546875" style="18" customWidth="1"/>
    <col min="14596" max="14596" width="14.85546875" style="18" customWidth="1"/>
    <col min="14597" max="14597" width="13.140625" style="18" customWidth="1"/>
    <col min="14598" max="14598" width="6.85546875" style="18" customWidth="1"/>
    <col min="14599" max="14599" width="19.28515625" style="18" customWidth="1"/>
    <col min="14600" max="14600" width="12.85546875" style="18" customWidth="1"/>
    <col min="14601" max="14601" width="15.140625" style="18" customWidth="1"/>
    <col min="14602" max="14602" width="14.7109375" style="18" bestFit="1" customWidth="1"/>
    <col min="14603" max="14848" width="11.42578125" style="18"/>
    <col min="14849" max="14849" width="10.28515625" style="18" customWidth="1"/>
    <col min="14850" max="14850" width="11" style="18" customWidth="1"/>
    <col min="14851" max="14851" width="5.85546875" style="18" customWidth="1"/>
    <col min="14852" max="14852" width="14.85546875" style="18" customWidth="1"/>
    <col min="14853" max="14853" width="13.140625" style="18" customWidth="1"/>
    <col min="14854" max="14854" width="6.85546875" style="18" customWidth="1"/>
    <col min="14855" max="14855" width="19.28515625" style="18" customWidth="1"/>
    <col min="14856" max="14856" width="12.85546875" style="18" customWidth="1"/>
    <col min="14857" max="14857" width="15.140625" style="18" customWidth="1"/>
    <col min="14858" max="14858" width="14.7109375" style="18" bestFit="1" customWidth="1"/>
    <col min="14859" max="15104" width="11.42578125" style="18"/>
    <col min="15105" max="15105" width="10.28515625" style="18" customWidth="1"/>
    <col min="15106" max="15106" width="11" style="18" customWidth="1"/>
    <col min="15107" max="15107" width="5.85546875" style="18" customWidth="1"/>
    <col min="15108" max="15108" width="14.85546875" style="18" customWidth="1"/>
    <col min="15109" max="15109" width="13.140625" style="18" customWidth="1"/>
    <col min="15110" max="15110" width="6.85546875" style="18" customWidth="1"/>
    <col min="15111" max="15111" width="19.28515625" style="18" customWidth="1"/>
    <col min="15112" max="15112" width="12.85546875" style="18" customWidth="1"/>
    <col min="15113" max="15113" width="15.140625" style="18" customWidth="1"/>
    <col min="15114" max="15114" width="14.7109375" style="18" bestFit="1" customWidth="1"/>
    <col min="15115" max="15360" width="11.42578125" style="18"/>
    <col min="15361" max="15361" width="10.28515625" style="18" customWidth="1"/>
    <col min="15362" max="15362" width="11" style="18" customWidth="1"/>
    <col min="15363" max="15363" width="5.85546875" style="18" customWidth="1"/>
    <col min="15364" max="15364" width="14.85546875" style="18" customWidth="1"/>
    <col min="15365" max="15365" width="13.140625" style="18" customWidth="1"/>
    <col min="15366" max="15366" width="6.85546875" style="18" customWidth="1"/>
    <col min="15367" max="15367" width="19.28515625" style="18" customWidth="1"/>
    <col min="15368" max="15368" width="12.85546875" style="18" customWidth="1"/>
    <col min="15369" max="15369" width="15.140625" style="18" customWidth="1"/>
    <col min="15370" max="15370" width="14.7109375" style="18" bestFit="1" customWidth="1"/>
    <col min="15371" max="15616" width="11.42578125" style="18"/>
    <col min="15617" max="15617" width="10.28515625" style="18" customWidth="1"/>
    <col min="15618" max="15618" width="11" style="18" customWidth="1"/>
    <col min="15619" max="15619" width="5.85546875" style="18" customWidth="1"/>
    <col min="15620" max="15620" width="14.85546875" style="18" customWidth="1"/>
    <col min="15621" max="15621" width="13.140625" style="18" customWidth="1"/>
    <col min="15622" max="15622" width="6.85546875" style="18" customWidth="1"/>
    <col min="15623" max="15623" width="19.28515625" style="18" customWidth="1"/>
    <col min="15624" max="15624" width="12.85546875" style="18" customWidth="1"/>
    <col min="15625" max="15625" width="15.140625" style="18" customWidth="1"/>
    <col min="15626" max="15626" width="14.7109375" style="18" bestFit="1" customWidth="1"/>
    <col min="15627" max="15872" width="11.42578125" style="18"/>
    <col min="15873" max="15873" width="10.28515625" style="18" customWidth="1"/>
    <col min="15874" max="15874" width="11" style="18" customWidth="1"/>
    <col min="15875" max="15875" width="5.85546875" style="18" customWidth="1"/>
    <col min="15876" max="15876" width="14.85546875" style="18" customWidth="1"/>
    <col min="15877" max="15877" width="13.140625" style="18" customWidth="1"/>
    <col min="15878" max="15878" width="6.85546875" style="18" customWidth="1"/>
    <col min="15879" max="15879" width="19.28515625" style="18" customWidth="1"/>
    <col min="15880" max="15880" width="12.85546875" style="18" customWidth="1"/>
    <col min="15881" max="15881" width="15.140625" style="18" customWidth="1"/>
    <col min="15882" max="15882" width="14.7109375" style="18" bestFit="1" customWidth="1"/>
    <col min="15883" max="16128" width="11.42578125" style="18"/>
    <col min="16129" max="16129" width="10.28515625" style="18" customWidth="1"/>
    <col min="16130" max="16130" width="11" style="18" customWidth="1"/>
    <col min="16131" max="16131" width="5.85546875" style="18" customWidth="1"/>
    <col min="16132" max="16132" width="14.85546875" style="18" customWidth="1"/>
    <col min="16133" max="16133" width="13.140625" style="18" customWidth="1"/>
    <col min="16134" max="16134" width="6.85546875" style="18" customWidth="1"/>
    <col min="16135" max="16135" width="19.28515625" style="18" customWidth="1"/>
    <col min="16136" max="16136" width="12.85546875" style="18" customWidth="1"/>
    <col min="16137" max="16137" width="15.140625" style="18" customWidth="1"/>
    <col min="16138" max="16138" width="14.7109375" style="18" bestFit="1" customWidth="1"/>
    <col min="16139" max="16384" width="11.42578125" style="18"/>
  </cols>
  <sheetData>
    <row r="1" spans="1:10">
      <c r="A1" s="17"/>
      <c r="B1" s="17"/>
      <c r="C1" s="17"/>
      <c r="D1" s="17"/>
      <c r="E1" s="17"/>
      <c r="F1" s="17"/>
      <c r="G1" s="17"/>
      <c r="H1" s="17"/>
      <c r="I1" s="17"/>
    </row>
    <row r="2" spans="1:10">
      <c r="A2" s="17"/>
      <c r="B2" s="17"/>
      <c r="C2" s="17"/>
      <c r="D2" s="17"/>
      <c r="E2" s="17"/>
      <c r="F2" s="17"/>
      <c r="G2" s="533" t="str">
        <f>'carte rose'!B2</f>
        <v>ALEMNGE CYPRIAN</v>
      </c>
      <c r="H2" s="533"/>
      <c r="I2" s="533"/>
    </row>
    <row r="3" spans="1:10" ht="12.75" customHeight="1">
      <c r="A3" s="535" t="str">
        <f>'carte rose'!B2</f>
        <v>ALEMNGE CYPRIAN</v>
      </c>
      <c r="B3" s="535"/>
      <c r="C3" s="535"/>
      <c r="D3" s="17"/>
      <c r="E3" s="17"/>
      <c r="F3" s="17"/>
      <c r="G3" s="532">
        <f>'carte rose'!B3</f>
        <v>0</v>
      </c>
      <c r="H3" s="532"/>
      <c r="I3" s="17"/>
    </row>
    <row r="4" spans="1:10" ht="11.25" customHeight="1">
      <c r="A4" s="532">
        <f>'carte rose'!B3</f>
        <v>0</v>
      </c>
      <c r="B4" s="532"/>
      <c r="C4" s="17"/>
      <c r="D4" s="17"/>
      <c r="E4" s="17"/>
      <c r="F4" s="17"/>
      <c r="G4" s="531" t="str">
        <f>'carte rose'!B4</f>
        <v>ALEMNGE CYPRIAN</v>
      </c>
      <c r="H4" s="531"/>
      <c r="I4" s="531"/>
    </row>
    <row r="5" spans="1:10" ht="12.75" customHeight="1">
      <c r="A5" s="17"/>
      <c r="B5" s="17"/>
      <c r="C5" s="17"/>
      <c r="D5" s="17"/>
      <c r="E5" s="113"/>
      <c r="F5" s="17"/>
      <c r="G5" s="533" t="str">
        <f>'carte rose'!B11</f>
        <v>A2023/1075/CAT1/1110155939</v>
      </c>
      <c r="H5" s="533"/>
      <c r="I5" s="17"/>
    </row>
    <row r="6" spans="1:10" ht="9.9499999999999993" customHeight="1">
      <c r="A6" s="531" t="str">
        <f>'carte rose'!B11</f>
        <v>A2023/1075/CAT1/1110155939</v>
      </c>
      <c r="B6" s="531"/>
      <c r="C6" s="17"/>
      <c r="D6" s="533" t="str">
        <f>'carte rose'!B11</f>
        <v>A2023/1075/CAT1/1110155939</v>
      </c>
      <c r="E6" s="533"/>
      <c r="F6" s="17"/>
      <c r="G6" s="17"/>
      <c r="H6" s="17"/>
      <c r="I6" s="17"/>
    </row>
    <row r="7" spans="1:10" ht="15" customHeight="1">
      <c r="A7" s="123">
        <f>CONTRATS!F10</f>
        <v>45192</v>
      </c>
      <c r="B7" s="114">
        <f>CONTRATS!F11</f>
        <v>45251</v>
      </c>
      <c r="C7" s="115"/>
      <c r="D7" s="116">
        <f>A7</f>
        <v>45192</v>
      </c>
      <c r="E7" s="116">
        <f>B7</f>
        <v>45251</v>
      </c>
      <c r="F7" s="17"/>
      <c r="G7" s="124">
        <f>A7</f>
        <v>45192</v>
      </c>
      <c r="H7" s="534">
        <f>B7</f>
        <v>45251</v>
      </c>
      <c r="I7" s="534"/>
    </row>
    <row r="8" spans="1:10" ht="13.5" customHeight="1">
      <c r="A8" s="17"/>
      <c r="B8" s="113" t="str">
        <f>'carte rose'!B17</f>
        <v xml:space="preserve">NISSAN </v>
      </c>
      <c r="C8" s="17"/>
      <c r="D8" s="17"/>
      <c r="E8" s="125" t="str">
        <f>'carte rose'!B17</f>
        <v xml:space="preserve">NISSAN </v>
      </c>
      <c r="F8" s="17"/>
      <c r="G8" s="533" t="str">
        <f>'carte rose'!B17</f>
        <v xml:space="preserve">NISSAN </v>
      </c>
      <c r="H8" s="533"/>
      <c r="I8" s="17"/>
    </row>
    <row r="9" spans="1:10" ht="9.75" customHeight="1">
      <c r="A9" s="17" t="s">
        <v>222</v>
      </c>
      <c r="B9" s="17"/>
      <c r="C9" s="17"/>
      <c r="D9" s="17"/>
      <c r="E9" s="17"/>
      <c r="F9" s="17"/>
      <c r="G9" s="17"/>
      <c r="H9" s="17"/>
      <c r="I9" s="17"/>
    </row>
    <row r="10" spans="1:10" ht="15.75" customHeight="1">
      <c r="A10" s="17"/>
      <c r="B10" s="113" t="str">
        <f>'carte rose'!B5</f>
        <v>SW 859 BB</v>
      </c>
      <c r="C10" s="17"/>
      <c r="D10" s="17"/>
      <c r="E10" s="113" t="str">
        <f>'carte rose'!D4</f>
        <v>SW 859 BB</v>
      </c>
      <c r="F10" s="17"/>
      <c r="G10" s="113"/>
      <c r="H10" s="113" t="str">
        <f>'carte rose'!B5</f>
        <v>SW 859 BB</v>
      </c>
      <c r="I10" s="17"/>
    </row>
    <row r="11" spans="1:10" ht="5.25" customHeight="1">
      <c r="A11" s="17"/>
      <c r="B11" s="113"/>
      <c r="C11" s="17"/>
      <c r="D11" s="17"/>
      <c r="E11" s="113"/>
      <c r="F11" s="17"/>
      <c r="G11" s="113"/>
      <c r="H11" s="113"/>
      <c r="I11" s="17"/>
    </row>
    <row r="12" spans="1:10" ht="12.75" customHeight="1">
      <c r="A12" s="531" t="str">
        <f>'carte rose'!B18</f>
        <v xml:space="preserve">NISSAN </v>
      </c>
      <c r="B12" s="531"/>
      <c r="C12" s="17"/>
      <c r="D12" s="531" t="str">
        <f>'carte rose'!B18</f>
        <v xml:space="preserve">NISSAN </v>
      </c>
      <c r="E12" s="531"/>
      <c r="F12" s="17"/>
      <c r="G12" s="531" t="str">
        <f>'carte rose'!B18</f>
        <v xml:space="preserve">NISSAN </v>
      </c>
      <c r="H12" s="531"/>
      <c r="I12" s="17"/>
    </row>
    <row r="13" spans="1:10" ht="12.75" customHeight="1">
      <c r="A13" s="17"/>
      <c r="B13" s="17"/>
      <c r="C13" s="17"/>
      <c r="D13" s="17"/>
      <c r="E13" s="17"/>
      <c r="F13" s="17"/>
      <c r="G13" s="17"/>
      <c r="I13" s="17"/>
    </row>
    <row r="14" spans="1:10" ht="10.5" customHeight="1">
      <c r="A14" s="531" t="str">
        <f>'carte rose'!B15</f>
        <v>CAT1**VT</v>
      </c>
      <c r="B14" s="531"/>
      <c r="C14" s="17"/>
      <c r="D14" s="17"/>
      <c r="E14" s="113" t="str">
        <f>'carte rose'!B15</f>
        <v>CAT1**VT</v>
      </c>
      <c r="F14" s="17"/>
      <c r="G14" s="113" t="str">
        <f>'carte rose'!B15</f>
        <v>CAT1**VT</v>
      </c>
      <c r="I14" s="17"/>
    </row>
    <row r="15" spans="1:10">
      <c r="A15" s="17"/>
      <c r="B15" s="17"/>
      <c r="C15" s="17"/>
      <c r="D15" s="17"/>
      <c r="E15" s="17"/>
      <c r="F15" s="17"/>
      <c r="G15" s="122"/>
      <c r="H15" s="126"/>
      <c r="I15" s="17"/>
    </row>
    <row r="16" spans="1:10" ht="15.75" customHeight="1">
      <c r="A16" s="17"/>
      <c r="B16" s="17"/>
      <c r="C16" s="17"/>
      <c r="D16" s="17"/>
      <c r="E16" s="117"/>
      <c r="F16" s="17"/>
      <c r="G16" s="532"/>
      <c r="H16" s="532"/>
      <c r="I16" s="113" t="str">
        <f>CONTRATS!F50</f>
        <v>LIMBE</v>
      </c>
      <c r="J16" s="127">
        <f ca="1">CONTRATS!H50</f>
        <v>45192.531511805559</v>
      </c>
    </row>
    <row r="17" spans="1:10" hidden="1">
      <c r="A17" s="17"/>
      <c r="B17" s="17"/>
      <c r="C17" s="17"/>
      <c r="D17" s="17"/>
      <c r="E17" s="17"/>
      <c r="F17" s="17"/>
      <c r="I17" s="113"/>
      <c r="J17" s="55"/>
    </row>
    <row r="21" spans="1:10" ht="26.25">
      <c r="D21" s="19"/>
    </row>
    <row r="22" spans="1:10">
      <c r="E22" s="20"/>
      <c r="I22" s="20"/>
    </row>
    <row r="46" spans="2:2">
      <c r="B46" s="18" t="s">
        <v>92</v>
      </c>
    </row>
    <row r="50" spans="1:1">
      <c r="A50" s="18" t="s">
        <v>223</v>
      </c>
    </row>
  </sheetData>
  <sheetProtection password="D6FA" sheet="1" objects="1" scenarios="1" selectLockedCells="1" selectUnlockedCells="1"/>
  <mergeCells count="15">
    <mergeCell ref="G5:H5"/>
    <mergeCell ref="G3:H3"/>
    <mergeCell ref="A4:B4"/>
    <mergeCell ref="G2:I2"/>
    <mergeCell ref="G4:I4"/>
    <mergeCell ref="A3:C3"/>
    <mergeCell ref="A14:B14"/>
    <mergeCell ref="G16:H16"/>
    <mergeCell ref="A6:B6"/>
    <mergeCell ref="D6:E6"/>
    <mergeCell ref="G8:H8"/>
    <mergeCell ref="A12:B12"/>
    <mergeCell ref="D12:E12"/>
    <mergeCell ref="G12:H12"/>
    <mergeCell ref="H7:I7"/>
  </mergeCells>
  <pageMargins left="0.59055118110236227" right="0.78740157480314965" top="2.7559055118110236" bottom="2.7559055118110236" header="0.51181102362204722" footer="0.51181102362204722"/>
  <pageSetup paperSize="9"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D6B6E"/>
  </sheetPr>
  <dimension ref="A1:M71"/>
  <sheetViews>
    <sheetView topLeftCell="C1" workbookViewId="0">
      <selection activeCell="A40" sqref="A40"/>
    </sheetView>
  </sheetViews>
  <sheetFormatPr defaultColWidth="11.42578125" defaultRowHeight="12.75"/>
  <cols>
    <col min="1" max="1" width="25.140625" style="12" hidden="1" customWidth="1"/>
    <col min="2" max="2" width="27.85546875" style="12" hidden="1" customWidth="1"/>
    <col min="3" max="3" width="0.28515625" style="12" customWidth="1"/>
    <col min="4" max="4" width="15.7109375" style="12" customWidth="1"/>
    <col min="5" max="5" width="10.140625" style="12" customWidth="1"/>
    <col min="6" max="6" width="5.85546875" style="12" customWidth="1"/>
    <col min="7" max="7" width="15.7109375" style="12" customWidth="1"/>
    <col min="8" max="8" width="10.7109375" style="12" customWidth="1"/>
    <col min="9" max="9" width="4.85546875" style="12" customWidth="1"/>
    <col min="10" max="10" width="28.28515625" style="12" customWidth="1"/>
    <col min="11" max="11" width="3.7109375" style="12" customWidth="1"/>
    <col min="12" max="12" width="17" style="12" customWidth="1"/>
    <col min="13" max="13" width="12.42578125" style="12" customWidth="1"/>
    <col min="14" max="256" width="11.42578125" style="12"/>
    <col min="257" max="257" width="25.140625" style="12" customWidth="1"/>
    <col min="258" max="258" width="27.85546875" style="12" customWidth="1"/>
    <col min="259" max="259" width="0.28515625" style="12" customWidth="1"/>
    <col min="260" max="260" width="15.7109375" style="12" customWidth="1"/>
    <col min="261" max="261" width="10.140625" style="12" customWidth="1"/>
    <col min="262" max="262" width="5.85546875" style="12" customWidth="1"/>
    <col min="263" max="263" width="15.7109375" style="12" customWidth="1"/>
    <col min="264" max="264" width="10.7109375" style="12" customWidth="1"/>
    <col min="265" max="265" width="4.85546875" style="12" customWidth="1"/>
    <col min="266" max="266" width="28.28515625" style="12" customWidth="1"/>
    <col min="267" max="267" width="3.7109375" style="12" customWidth="1"/>
    <col min="268" max="268" width="17" style="12" customWidth="1"/>
    <col min="269" max="269" width="12.42578125" style="12" customWidth="1"/>
    <col min="270" max="512" width="11.42578125" style="12"/>
    <col min="513" max="513" width="25.140625" style="12" customWidth="1"/>
    <col min="514" max="514" width="27.85546875" style="12" customWidth="1"/>
    <col min="515" max="515" width="0.28515625" style="12" customWidth="1"/>
    <col min="516" max="516" width="15.7109375" style="12" customWidth="1"/>
    <col min="517" max="517" width="10.140625" style="12" customWidth="1"/>
    <col min="518" max="518" width="5.85546875" style="12" customWidth="1"/>
    <col min="519" max="519" width="15.7109375" style="12" customWidth="1"/>
    <col min="520" max="520" width="10.7109375" style="12" customWidth="1"/>
    <col min="521" max="521" width="4.85546875" style="12" customWidth="1"/>
    <col min="522" max="522" width="28.28515625" style="12" customWidth="1"/>
    <col min="523" max="523" width="3.7109375" style="12" customWidth="1"/>
    <col min="524" max="524" width="17" style="12" customWidth="1"/>
    <col min="525" max="525" width="12.42578125" style="12" customWidth="1"/>
    <col min="526" max="768" width="11.42578125" style="12"/>
    <col min="769" max="769" width="25.140625" style="12" customWidth="1"/>
    <col min="770" max="770" width="27.85546875" style="12" customWidth="1"/>
    <col min="771" max="771" width="0.28515625" style="12" customWidth="1"/>
    <col min="772" max="772" width="15.7109375" style="12" customWidth="1"/>
    <col min="773" max="773" width="10.140625" style="12" customWidth="1"/>
    <col min="774" max="774" width="5.85546875" style="12" customWidth="1"/>
    <col min="775" max="775" width="15.7109375" style="12" customWidth="1"/>
    <col min="776" max="776" width="10.7109375" style="12" customWidth="1"/>
    <col min="777" max="777" width="4.85546875" style="12" customWidth="1"/>
    <col min="778" max="778" width="28.28515625" style="12" customWidth="1"/>
    <col min="779" max="779" width="3.7109375" style="12" customWidth="1"/>
    <col min="780" max="780" width="17" style="12" customWidth="1"/>
    <col min="781" max="781" width="12.42578125" style="12" customWidth="1"/>
    <col min="782" max="1024" width="11.42578125" style="12"/>
    <col min="1025" max="1025" width="25.140625" style="12" customWidth="1"/>
    <col min="1026" max="1026" width="27.85546875" style="12" customWidth="1"/>
    <col min="1027" max="1027" width="0.28515625" style="12" customWidth="1"/>
    <col min="1028" max="1028" width="15.7109375" style="12" customWidth="1"/>
    <col min="1029" max="1029" width="10.140625" style="12" customWidth="1"/>
    <col min="1030" max="1030" width="5.85546875" style="12" customWidth="1"/>
    <col min="1031" max="1031" width="15.7109375" style="12" customWidth="1"/>
    <col min="1032" max="1032" width="10.7109375" style="12" customWidth="1"/>
    <col min="1033" max="1033" width="4.85546875" style="12" customWidth="1"/>
    <col min="1034" max="1034" width="28.28515625" style="12" customWidth="1"/>
    <col min="1035" max="1035" width="3.7109375" style="12" customWidth="1"/>
    <col min="1036" max="1036" width="17" style="12" customWidth="1"/>
    <col min="1037" max="1037" width="12.42578125" style="12" customWidth="1"/>
    <col min="1038" max="1280" width="11.42578125" style="12"/>
    <col min="1281" max="1281" width="25.140625" style="12" customWidth="1"/>
    <col min="1282" max="1282" width="27.85546875" style="12" customWidth="1"/>
    <col min="1283" max="1283" width="0.28515625" style="12" customWidth="1"/>
    <col min="1284" max="1284" width="15.7109375" style="12" customWidth="1"/>
    <col min="1285" max="1285" width="10.140625" style="12" customWidth="1"/>
    <col min="1286" max="1286" width="5.85546875" style="12" customWidth="1"/>
    <col min="1287" max="1287" width="15.7109375" style="12" customWidth="1"/>
    <col min="1288" max="1288" width="10.7109375" style="12" customWidth="1"/>
    <col min="1289" max="1289" width="4.85546875" style="12" customWidth="1"/>
    <col min="1290" max="1290" width="28.28515625" style="12" customWidth="1"/>
    <col min="1291" max="1291" width="3.7109375" style="12" customWidth="1"/>
    <col min="1292" max="1292" width="17" style="12" customWidth="1"/>
    <col min="1293" max="1293" width="12.42578125" style="12" customWidth="1"/>
    <col min="1294" max="1536" width="11.42578125" style="12"/>
    <col min="1537" max="1537" width="25.140625" style="12" customWidth="1"/>
    <col min="1538" max="1538" width="27.85546875" style="12" customWidth="1"/>
    <col min="1539" max="1539" width="0.28515625" style="12" customWidth="1"/>
    <col min="1540" max="1540" width="15.7109375" style="12" customWidth="1"/>
    <col min="1541" max="1541" width="10.140625" style="12" customWidth="1"/>
    <col min="1542" max="1542" width="5.85546875" style="12" customWidth="1"/>
    <col min="1543" max="1543" width="15.7109375" style="12" customWidth="1"/>
    <col min="1544" max="1544" width="10.7109375" style="12" customWidth="1"/>
    <col min="1545" max="1545" width="4.85546875" style="12" customWidth="1"/>
    <col min="1546" max="1546" width="28.28515625" style="12" customWidth="1"/>
    <col min="1547" max="1547" width="3.7109375" style="12" customWidth="1"/>
    <col min="1548" max="1548" width="17" style="12" customWidth="1"/>
    <col min="1549" max="1549" width="12.42578125" style="12" customWidth="1"/>
    <col min="1550" max="1792" width="11.42578125" style="12"/>
    <col min="1793" max="1793" width="25.140625" style="12" customWidth="1"/>
    <col min="1794" max="1794" width="27.85546875" style="12" customWidth="1"/>
    <col min="1795" max="1795" width="0.28515625" style="12" customWidth="1"/>
    <col min="1796" max="1796" width="15.7109375" style="12" customWidth="1"/>
    <col min="1797" max="1797" width="10.140625" style="12" customWidth="1"/>
    <col min="1798" max="1798" width="5.85546875" style="12" customWidth="1"/>
    <col min="1799" max="1799" width="15.7109375" style="12" customWidth="1"/>
    <col min="1800" max="1800" width="10.7109375" style="12" customWidth="1"/>
    <col min="1801" max="1801" width="4.85546875" style="12" customWidth="1"/>
    <col min="1802" max="1802" width="28.28515625" style="12" customWidth="1"/>
    <col min="1803" max="1803" width="3.7109375" style="12" customWidth="1"/>
    <col min="1804" max="1804" width="17" style="12" customWidth="1"/>
    <col min="1805" max="1805" width="12.42578125" style="12" customWidth="1"/>
    <col min="1806" max="2048" width="11.42578125" style="12"/>
    <col min="2049" max="2049" width="25.140625" style="12" customWidth="1"/>
    <col min="2050" max="2050" width="27.85546875" style="12" customWidth="1"/>
    <col min="2051" max="2051" width="0.28515625" style="12" customWidth="1"/>
    <col min="2052" max="2052" width="15.7109375" style="12" customWidth="1"/>
    <col min="2053" max="2053" width="10.140625" style="12" customWidth="1"/>
    <col min="2054" max="2054" width="5.85546875" style="12" customWidth="1"/>
    <col min="2055" max="2055" width="15.7109375" style="12" customWidth="1"/>
    <col min="2056" max="2056" width="10.7109375" style="12" customWidth="1"/>
    <col min="2057" max="2057" width="4.85546875" style="12" customWidth="1"/>
    <col min="2058" max="2058" width="28.28515625" style="12" customWidth="1"/>
    <col min="2059" max="2059" width="3.7109375" style="12" customWidth="1"/>
    <col min="2060" max="2060" width="17" style="12" customWidth="1"/>
    <col min="2061" max="2061" width="12.42578125" style="12" customWidth="1"/>
    <col min="2062" max="2304" width="11.42578125" style="12"/>
    <col min="2305" max="2305" width="25.140625" style="12" customWidth="1"/>
    <col min="2306" max="2306" width="27.85546875" style="12" customWidth="1"/>
    <col min="2307" max="2307" width="0.28515625" style="12" customWidth="1"/>
    <col min="2308" max="2308" width="15.7109375" style="12" customWidth="1"/>
    <col min="2309" max="2309" width="10.140625" style="12" customWidth="1"/>
    <col min="2310" max="2310" width="5.85546875" style="12" customWidth="1"/>
    <col min="2311" max="2311" width="15.7109375" style="12" customWidth="1"/>
    <col min="2312" max="2312" width="10.7109375" style="12" customWidth="1"/>
    <col min="2313" max="2313" width="4.85546875" style="12" customWidth="1"/>
    <col min="2314" max="2314" width="28.28515625" style="12" customWidth="1"/>
    <col min="2315" max="2315" width="3.7109375" style="12" customWidth="1"/>
    <col min="2316" max="2316" width="17" style="12" customWidth="1"/>
    <col min="2317" max="2317" width="12.42578125" style="12" customWidth="1"/>
    <col min="2318" max="2560" width="11.42578125" style="12"/>
    <col min="2561" max="2561" width="25.140625" style="12" customWidth="1"/>
    <col min="2562" max="2562" width="27.85546875" style="12" customWidth="1"/>
    <col min="2563" max="2563" width="0.28515625" style="12" customWidth="1"/>
    <col min="2564" max="2564" width="15.7109375" style="12" customWidth="1"/>
    <col min="2565" max="2565" width="10.140625" style="12" customWidth="1"/>
    <col min="2566" max="2566" width="5.85546875" style="12" customWidth="1"/>
    <col min="2567" max="2567" width="15.7109375" style="12" customWidth="1"/>
    <col min="2568" max="2568" width="10.7109375" style="12" customWidth="1"/>
    <col min="2569" max="2569" width="4.85546875" style="12" customWidth="1"/>
    <col min="2570" max="2570" width="28.28515625" style="12" customWidth="1"/>
    <col min="2571" max="2571" width="3.7109375" style="12" customWidth="1"/>
    <col min="2572" max="2572" width="17" style="12" customWidth="1"/>
    <col min="2573" max="2573" width="12.42578125" style="12" customWidth="1"/>
    <col min="2574" max="2816" width="11.42578125" style="12"/>
    <col min="2817" max="2817" width="25.140625" style="12" customWidth="1"/>
    <col min="2818" max="2818" width="27.85546875" style="12" customWidth="1"/>
    <col min="2819" max="2819" width="0.28515625" style="12" customWidth="1"/>
    <col min="2820" max="2820" width="15.7109375" style="12" customWidth="1"/>
    <col min="2821" max="2821" width="10.140625" style="12" customWidth="1"/>
    <col min="2822" max="2822" width="5.85546875" style="12" customWidth="1"/>
    <col min="2823" max="2823" width="15.7109375" style="12" customWidth="1"/>
    <col min="2824" max="2824" width="10.7109375" style="12" customWidth="1"/>
    <col min="2825" max="2825" width="4.85546875" style="12" customWidth="1"/>
    <col min="2826" max="2826" width="28.28515625" style="12" customWidth="1"/>
    <col min="2827" max="2827" width="3.7109375" style="12" customWidth="1"/>
    <col min="2828" max="2828" width="17" style="12" customWidth="1"/>
    <col min="2829" max="2829" width="12.42578125" style="12" customWidth="1"/>
    <col min="2830" max="3072" width="11.42578125" style="12"/>
    <col min="3073" max="3073" width="25.140625" style="12" customWidth="1"/>
    <col min="3074" max="3074" width="27.85546875" style="12" customWidth="1"/>
    <col min="3075" max="3075" width="0.28515625" style="12" customWidth="1"/>
    <col min="3076" max="3076" width="15.7109375" style="12" customWidth="1"/>
    <col min="3077" max="3077" width="10.140625" style="12" customWidth="1"/>
    <col min="3078" max="3078" width="5.85546875" style="12" customWidth="1"/>
    <col min="3079" max="3079" width="15.7109375" style="12" customWidth="1"/>
    <col min="3080" max="3080" width="10.7109375" style="12" customWidth="1"/>
    <col min="3081" max="3081" width="4.85546875" style="12" customWidth="1"/>
    <col min="3082" max="3082" width="28.28515625" style="12" customWidth="1"/>
    <col min="3083" max="3083" width="3.7109375" style="12" customWidth="1"/>
    <col min="3084" max="3084" width="17" style="12" customWidth="1"/>
    <col min="3085" max="3085" width="12.42578125" style="12" customWidth="1"/>
    <col min="3086" max="3328" width="11.42578125" style="12"/>
    <col min="3329" max="3329" width="25.140625" style="12" customWidth="1"/>
    <col min="3330" max="3330" width="27.85546875" style="12" customWidth="1"/>
    <col min="3331" max="3331" width="0.28515625" style="12" customWidth="1"/>
    <col min="3332" max="3332" width="15.7109375" style="12" customWidth="1"/>
    <col min="3333" max="3333" width="10.140625" style="12" customWidth="1"/>
    <col min="3334" max="3334" width="5.85546875" style="12" customWidth="1"/>
    <col min="3335" max="3335" width="15.7109375" style="12" customWidth="1"/>
    <col min="3336" max="3336" width="10.7109375" style="12" customWidth="1"/>
    <col min="3337" max="3337" width="4.85546875" style="12" customWidth="1"/>
    <col min="3338" max="3338" width="28.28515625" style="12" customWidth="1"/>
    <col min="3339" max="3339" width="3.7109375" style="12" customWidth="1"/>
    <col min="3340" max="3340" width="17" style="12" customWidth="1"/>
    <col min="3341" max="3341" width="12.42578125" style="12" customWidth="1"/>
    <col min="3342" max="3584" width="11.42578125" style="12"/>
    <col min="3585" max="3585" width="25.140625" style="12" customWidth="1"/>
    <col min="3586" max="3586" width="27.85546875" style="12" customWidth="1"/>
    <col min="3587" max="3587" width="0.28515625" style="12" customWidth="1"/>
    <col min="3588" max="3588" width="15.7109375" style="12" customWidth="1"/>
    <col min="3589" max="3589" width="10.140625" style="12" customWidth="1"/>
    <col min="3590" max="3590" width="5.85546875" style="12" customWidth="1"/>
    <col min="3591" max="3591" width="15.7109375" style="12" customWidth="1"/>
    <col min="3592" max="3592" width="10.7109375" style="12" customWidth="1"/>
    <col min="3593" max="3593" width="4.85546875" style="12" customWidth="1"/>
    <col min="3594" max="3594" width="28.28515625" style="12" customWidth="1"/>
    <col min="3595" max="3595" width="3.7109375" style="12" customWidth="1"/>
    <col min="3596" max="3596" width="17" style="12" customWidth="1"/>
    <col min="3597" max="3597" width="12.42578125" style="12" customWidth="1"/>
    <col min="3598" max="3840" width="11.42578125" style="12"/>
    <col min="3841" max="3841" width="25.140625" style="12" customWidth="1"/>
    <col min="3842" max="3842" width="27.85546875" style="12" customWidth="1"/>
    <col min="3843" max="3843" width="0.28515625" style="12" customWidth="1"/>
    <col min="3844" max="3844" width="15.7109375" style="12" customWidth="1"/>
    <col min="3845" max="3845" width="10.140625" style="12" customWidth="1"/>
    <col min="3846" max="3846" width="5.85546875" style="12" customWidth="1"/>
    <col min="3847" max="3847" width="15.7109375" style="12" customWidth="1"/>
    <col min="3848" max="3848" width="10.7109375" style="12" customWidth="1"/>
    <col min="3849" max="3849" width="4.85546875" style="12" customWidth="1"/>
    <col min="3850" max="3850" width="28.28515625" style="12" customWidth="1"/>
    <col min="3851" max="3851" width="3.7109375" style="12" customWidth="1"/>
    <col min="3852" max="3852" width="17" style="12" customWidth="1"/>
    <col min="3853" max="3853" width="12.42578125" style="12" customWidth="1"/>
    <col min="3854" max="4096" width="11.42578125" style="12"/>
    <col min="4097" max="4097" width="25.140625" style="12" customWidth="1"/>
    <col min="4098" max="4098" width="27.85546875" style="12" customWidth="1"/>
    <col min="4099" max="4099" width="0.28515625" style="12" customWidth="1"/>
    <col min="4100" max="4100" width="15.7109375" style="12" customWidth="1"/>
    <col min="4101" max="4101" width="10.140625" style="12" customWidth="1"/>
    <col min="4102" max="4102" width="5.85546875" style="12" customWidth="1"/>
    <col min="4103" max="4103" width="15.7109375" style="12" customWidth="1"/>
    <col min="4104" max="4104" width="10.7109375" style="12" customWidth="1"/>
    <col min="4105" max="4105" width="4.85546875" style="12" customWidth="1"/>
    <col min="4106" max="4106" width="28.28515625" style="12" customWidth="1"/>
    <col min="4107" max="4107" width="3.7109375" style="12" customWidth="1"/>
    <col min="4108" max="4108" width="17" style="12" customWidth="1"/>
    <col min="4109" max="4109" width="12.42578125" style="12" customWidth="1"/>
    <col min="4110" max="4352" width="11.42578125" style="12"/>
    <col min="4353" max="4353" width="25.140625" style="12" customWidth="1"/>
    <col min="4354" max="4354" width="27.85546875" style="12" customWidth="1"/>
    <col min="4355" max="4355" width="0.28515625" style="12" customWidth="1"/>
    <col min="4356" max="4356" width="15.7109375" style="12" customWidth="1"/>
    <col min="4357" max="4357" width="10.140625" style="12" customWidth="1"/>
    <col min="4358" max="4358" width="5.85546875" style="12" customWidth="1"/>
    <col min="4359" max="4359" width="15.7109375" style="12" customWidth="1"/>
    <col min="4360" max="4360" width="10.7109375" style="12" customWidth="1"/>
    <col min="4361" max="4361" width="4.85546875" style="12" customWidth="1"/>
    <col min="4362" max="4362" width="28.28515625" style="12" customWidth="1"/>
    <col min="4363" max="4363" width="3.7109375" style="12" customWidth="1"/>
    <col min="4364" max="4364" width="17" style="12" customWidth="1"/>
    <col min="4365" max="4365" width="12.42578125" style="12" customWidth="1"/>
    <col min="4366" max="4608" width="11.42578125" style="12"/>
    <col min="4609" max="4609" width="25.140625" style="12" customWidth="1"/>
    <col min="4610" max="4610" width="27.85546875" style="12" customWidth="1"/>
    <col min="4611" max="4611" width="0.28515625" style="12" customWidth="1"/>
    <col min="4612" max="4612" width="15.7109375" style="12" customWidth="1"/>
    <col min="4613" max="4613" width="10.140625" style="12" customWidth="1"/>
    <col min="4614" max="4614" width="5.85546875" style="12" customWidth="1"/>
    <col min="4615" max="4615" width="15.7109375" style="12" customWidth="1"/>
    <col min="4616" max="4616" width="10.7109375" style="12" customWidth="1"/>
    <col min="4617" max="4617" width="4.85546875" style="12" customWidth="1"/>
    <col min="4618" max="4618" width="28.28515625" style="12" customWidth="1"/>
    <col min="4619" max="4619" width="3.7109375" style="12" customWidth="1"/>
    <col min="4620" max="4620" width="17" style="12" customWidth="1"/>
    <col min="4621" max="4621" width="12.42578125" style="12" customWidth="1"/>
    <col min="4622" max="4864" width="11.42578125" style="12"/>
    <col min="4865" max="4865" width="25.140625" style="12" customWidth="1"/>
    <col min="4866" max="4866" width="27.85546875" style="12" customWidth="1"/>
    <col min="4867" max="4867" width="0.28515625" style="12" customWidth="1"/>
    <col min="4868" max="4868" width="15.7109375" style="12" customWidth="1"/>
    <col min="4869" max="4869" width="10.140625" style="12" customWidth="1"/>
    <col min="4870" max="4870" width="5.85546875" style="12" customWidth="1"/>
    <col min="4871" max="4871" width="15.7109375" style="12" customWidth="1"/>
    <col min="4872" max="4872" width="10.7109375" style="12" customWidth="1"/>
    <col min="4873" max="4873" width="4.85546875" style="12" customWidth="1"/>
    <col min="4874" max="4874" width="28.28515625" style="12" customWidth="1"/>
    <col min="4875" max="4875" width="3.7109375" style="12" customWidth="1"/>
    <col min="4876" max="4876" width="17" style="12" customWidth="1"/>
    <col min="4877" max="4877" width="12.42578125" style="12" customWidth="1"/>
    <col min="4878" max="5120" width="11.42578125" style="12"/>
    <col min="5121" max="5121" width="25.140625" style="12" customWidth="1"/>
    <col min="5122" max="5122" width="27.85546875" style="12" customWidth="1"/>
    <col min="5123" max="5123" width="0.28515625" style="12" customWidth="1"/>
    <col min="5124" max="5124" width="15.7109375" style="12" customWidth="1"/>
    <col min="5125" max="5125" width="10.140625" style="12" customWidth="1"/>
    <col min="5126" max="5126" width="5.85546875" style="12" customWidth="1"/>
    <col min="5127" max="5127" width="15.7109375" style="12" customWidth="1"/>
    <col min="5128" max="5128" width="10.7109375" style="12" customWidth="1"/>
    <col min="5129" max="5129" width="4.85546875" style="12" customWidth="1"/>
    <col min="5130" max="5130" width="28.28515625" style="12" customWidth="1"/>
    <col min="5131" max="5131" width="3.7109375" style="12" customWidth="1"/>
    <col min="5132" max="5132" width="17" style="12" customWidth="1"/>
    <col min="5133" max="5133" width="12.42578125" style="12" customWidth="1"/>
    <col min="5134" max="5376" width="11.42578125" style="12"/>
    <col min="5377" max="5377" width="25.140625" style="12" customWidth="1"/>
    <col min="5378" max="5378" width="27.85546875" style="12" customWidth="1"/>
    <col min="5379" max="5379" width="0.28515625" style="12" customWidth="1"/>
    <col min="5380" max="5380" width="15.7109375" style="12" customWidth="1"/>
    <col min="5381" max="5381" width="10.140625" style="12" customWidth="1"/>
    <col min="5382" max="5382" width="5.85546875" style="12" customWidth="1"/>
    <col min="5383" max="5383" width="15.7109375" style="12" customWidth="1"/>
    <col min="5384" max="5384" width="10.7109375" style="12" customWidth="1"/>
    <col min="5385" max="5385" width="4.85546875" style="12" customWidth="1"/>
    <col min="5386" max="5386" width="28.28515625" style="12" customWidth="1"/>
    <col min="5387" max="5387" width="3.7109375" style="12" customWidth="1"/>
    <col min="5388" max="5388" width="17" style="12" customWidth="1"/>
    <col min="5389" max="5389" width="12.42578125" style="12" customWidth="1"/>
    <col min="5390" max="5632" width="11.42578125" style="12"/>
    <col min="5633" max="5633" width="25.140625" style="12" customWidth="1"/>
    <col min="5634" max="5634" width="27.85546875" style="12" customWidth="1"/>
    <col min="5635" max="5635" width="0.28515625" style="12" customWidth="1"/>
    <col min="5636" max="5636" width="15.7109375" style="12" customWidth="1"/>
    <col min="5637" max="5637" width="10.140625" style="12" customWidth="1"/>
    <col min="5638" max="5638" width="5.85546875" style="12" customWidth="1"/>
    <col min="5639" max="5639" width="15.7109375" style="12" customWidth="1"/>
    <col min="5640" max="5640" width="10.7109375" style="12" customWidth="1"/>
    <col min="5641" max="5641" width="4.85546875" style="12" customWidth="1"/>
    <col min="5642" max="5642" width="28.28515625" style="12" customWidth="1"/>
    <col min="5643" max="5643" width="3.7109375" style="12" customWidth="1"/>
    <col min="5644" max="5644" width="17" style="12" customWidth="1"/>
    <col min="5645" max="5645" width="12.42578125" style="12" customWidth="1"/>
    <col min="5646" max="5888" width="11.42578125" style="12"/>
    <col min="5889" max="5889" width="25.140625" style="12" customWidth="1"/>
    <col min="5890" max="5890" width="27.85546875" style="12" customWidth="1"/>
    <col min="5891" max="5891" width="0.28515625" style="12" customWidth="1"/>
    <col min="5892" max="5892" width="15.7109375" style="12" customWidth="1"/>
    <col min="5893" max="5893" width="10.140625" style="12" customWidth="1"/>
    <col min="5894" max="5894" width="5.85546875" style="12" customWidth="1"/>
    <col min="5895" max="5895" width="15.7109375" style="12" customWidth="1"/>
    <col min="5896" max="5896" width="10.7109375" style="12" customWidth="1"/>
    <col min="5897" max="5897" width="4.85546875" style="12" customWidth="1"/>
    <col min="5898" max="5898" width="28.28515625" style="12" customWidth="1"/>
    <col min="5899" max="5899" width="3.7109375" style="12" customWidth="1"/>
    <col min="5900" max="5900" width="17" style="12" customWidth="1"/>
    <col min="5901" max="5901" width="12.42578125" style="12" customWidth="1"/>
    <col min="5902" max="6144" width="11.42578125" style="12"/>
    <col min="6145" max="6145" width="25.140625" style="12" customWidth="1"/>
    <col min="6146" max="6146" width="27.85546875" style="12" customWidth="1"/>
    <col min="6147" max="6147" width="0.28515625" style="12" customWidth="1"/>
    <col min="6148" max="6148" width="15.7109375" style="12" customWidth="1"/>
    <col min="6149" max="6149" width="10.140625" style="12" customWidth="1"/>
    <col min="6150" max="6150" width="5.85546875" style="12" customWidth="1"/>
    <col min="6151" max="6151" width="15.7109375" style="12" customWidth="1"/>
    <col min="6152" max="6152" width="10.7109375" style="12" customWidth="1"/>
    <col min="6153" max="6153" width="4.85546875" style="12" customWidth="1"/>
    <col min="6154" max="6154" width="28.28515625" style="12" customWidth="1"/>
    <col min="6155" max="6155" width="3.7109375" style="12" customWidth="1"/>
    <col min="6156" max="6156" width="17" style="12" customWidth="1"/>
    <col min="6157" max="6157" width="12.42578125" style="12" customWidth="1"/>
    <col min="6158" max="6400" width="11.42578125" style="12"/>
    <col min="6401" max="6401" width="25.140625" style="12" customWidth="1"/>
    <col min="6402" max="6402" width="27.85546875" style="12" customWidth="1"/>
    <col min="6403" max="6403" width="0.28515625" style="12" customWidth="1"/>
    <col min="6404" max="6404" width="15.7109375" style="12" customWidth="1"/>
    <col min="6405" max="6405" width="10.140625" style="12" customWidth="1"/>
    <col min="6406" max="6406" width="5.85546875" style="12" customWidth="1"/>
    <col min="6407" max="6407" width="15.7109375" style="12" customWidth="1"/>
    <col min="6408" max="6408" width="10.7109375" style="12" customWidth="1"/>
    <col min="6409" max="6409" width="4.85546875" style="12" customWidth="1"/>
    <col min="6410" max="6410" width="28.28515625" style="12" customWidth="1"/>
    <col min="6411" max="6411" width="3.7109375" style="12" customWidth="1"/>
    <col min="6412" max="6412" width="17" style="12" customWidth="1"/>
    <col min="6413" max="6413" width="12.42578125" style="12" customWidth="1"/>
    <col min="6414" max="6656" width="11.42578125" style="12"/>
    <col min="6657" max="6657" width="25.140625" style="12" customWidth="1"/>
    <col min="6658" max="6658" width="27.85546875" style="12" customWidth="1"/>
    <col min="6659" max="6659" width="0.28515625" style="12" customWidth="1"/>
    <col min="6660" max="6660" width="15.7109375" style="12" customWidth="1"/>
    <col min="6661" max="6661" width="10.140625" style="12" customWidth="1"/>
    <col min="6662" max="6662" width="5.85546875" style="12" customWidth="1"/>
    <col min="6663" max="6663" width="15.7109375" style="12" customWidth="1"/>
    <col min="6664" max="6664" width="10.7109375" style="12" customWidth="1"/>
    <col min="6665" max="6665" width="4.85546875" style="12" customWidth="1"/>
    <col min="6666" max="6666" width="28.28515625" style="12" customWidth="1"/>
    <col min="6667" max="6667" width="3.7109375" style="12" customWidth="1"/>
    <col min="6668" max="6668" width="17" style="12" customWidth="1"/>
    <col min="6669" max="6669" width="12.42578125" style="12" customWidth="1"/>
    <col min="6670" max="6912" width="11.42578125" style="12"/>
    <col min="6913" max="6913" width="25.140625" style="12" customWidth="1"/>
    <col min="6914" max="6914" width="27.85546875" style="12" customWidth="1"/>
    <col min="6915" max="6915" width="0.28515625" style="12" customWidth="1"/>
    <col min="6916" max="6916" width="15.7109375" style="12" customWidth="1"/>
    <col min="6917" max="6917" width="10.140625" style="12" customWidth="1"/>
    <col min="6918" max="6918" width="5.85546875" style="12" customWidth="1"/>
    <col min="6919" max="6919" width="15.7109375" style="12" customWidth="1"/>
    <col min="6920" max="6920" width="10.7109375" style="12" customWidth="1"/>
    <col min="6921" max="6921" width="4.85546875" style="12" customWidth="1"/>
    <col min="6922" max="6922" width="28.28515625" style="12" customWidth="1"/>
    <col min="6923" max="6923" width="3.7109375" style="12" customWidth="1"/>
    <col min="6924" max="6924" width="17" style="12" customWidth="1"/>
    <col min="6925" max="6925" width="12.42578125" style="12" customWidth="1"/>
    <col min="6926" max="7168" width="11.42578125" style="12"/>
    <col min="7169" max="7169" width="25.140625" style="12" customWidth="1"/>
    <col min="7170" max="7170" width="27.85546875" style="12" customWidth="1"/>
    <col min="7171" max="7171" width="0.28515625" style="12" customWidth="1"/>
    <col min="7172" max="7172" width="15.7109375" style="12" customWidth="1"/>
    <col min="7173" max="7173" width="10.140625" style="12" customWidth="1"/>
    <col min="7174" max="7174" width="5.85546875" style="12" customWidth="1"/>
    <col min="7175" max="7175" width="15.7109375" style="12" customWidth="1"/>
    <col min="7176" max="7176" width="10.7109375" style="12" customWidth="1"/>
    <col min="7177" max="7177" width="4.85546875" style="12" customWidth="1"/>
    <col min="7178" max="7178" width="28.28515625" style="12" customWidth="1"/>
    <col min="7179" max="7179" width="3.7109375" style="12" customWidth="1"/>
    <col min="7180" max="7180" width="17" style="12" customWidth="1"/>
    <col min="7181" max="7181" width="12.42578125" style="12" customWidth="1"/>
    <col min="7182" max="7424" width="11.42578125" style="12"/>
    <col min="7425" max="7425" width="25.140625" style="12" customWidth="1"/>
    <col min="7426" max="7426" width="27.85546875" style="12" customWidth="1"/>
    <col min="7427" max="7427" width="0.28515625" style="12" customWidth="1"/>
    <col min="7428" max="7428" width="15.7109375" style="12" customWidth="1"/>
    <col min="7429" max="7429" width="10.140625" style="12" customWidth="1"/>
    <col min="7430" max="7430" width="5.85546875" style="12" customWidth="1"/>
    <col min="7431" max="7431" width="15.7109375" style="12" customWidth="1"/>
    <col min="7432" max="7432" width="10.7109375" style="12" customWidth="1"/>
    <col min="7433" max="7433" width="4.85546875" style="12" customWidth="1"/>
    <col min="7434" max="7434" width="28.28515625" style="12" customWidth="1"/>
    <col min="7435" max="7435" width="3.7109375" style="12" customWidth="1"/>
    <col min="7436" max="7436" width="17" style="12" customWidth="1"/>
    <col min="7437" max="7437" width="12.42578125" style="12" customWidth="1"/>
    <col min="7438" max="7680" width="11.42578125" style="12"/>
    <col min="7681" max="7681" width="25.140625" style="12" customWidth="1"/>
    <col min="7682" max="7682" width="27.85546875" style="12" customWidth="1"/>
    <col min="7683" max="7683" width="0.28515625" style="12" customWidth="1"/>
    <col min="7684" max="7684" width="15.7109375" style="12" customWidth="1"/>
    <col min="7685" max="7685" width="10.140625" style="12" customWidth="1"/>
    <col min="7686" max="7686" width="5.85546875" style="12" customWidth="1"/>
    <col min="7687" max="7687" width="15.7109375" style="12" customWidth="1"/>
    <col min="7688" max="7688" width="10.7109375" style="12" customWidth="1"/>
    <col min="7689" max="7689" width="4.85546875" style="12" customWidth="1"/>
    <col min="7690" max="7690" width="28.28515625" style="12" customWidth="1"/>
    <col min="7691" max="7691" width="3.7109375" style="12" customWidth="1"/>
    <col min="7692" max="7692" width="17" style="12" customWidth="1"/>
    <col min="7693" max="7693" width="12.42578125" style="12" customWidth="1"/>
    <col min="7694" max="7936" width="11.42578125" style="12"/>
    <col min="7937" max="7937" width="25.140625" style="12" customWidth="1"/>
    <col min="7938" max="7938" width="27.85546875" style="12" customWidth="1"/>
    <col min="7939" max="7939" width="0.28515625" style="12" customWidth="1"/>
    <col min="7940" max="7940" width="15.7109375" style="12" customWidth="1"/>
    <col min="7941" max="7941" width="10.140625" style="12" customWidth="1"/>
    <col min="7942" max="7942" width="5.85546875" style="12" customWidth="1"/>
    <col min="7943" max="7943" width="15.7109375" style="12" customWidth="1"/>
    <col min="7944" max="7944" width="10.7109375" style="12" customWidth="1"/>
    <col min="7945" max="7945" width="4.85546875" style="12" customWidth="1"/>
    <col min="7946" max="7946" width="28.28515625" style="12" customWidth="1"/>
    <col min="7947" max="7947" width="3.7109375" style="12" customWidth="1"/>
    <col min="7948" max="7948" width="17" style="12" customWidth="1"/>
    <col min="7949" max="7949" width="12.42578125" style="12" customWidth="1"/>
    <col min="7950" max="8192" width="11.42578125" style="12"/>
    <col min="8193" max="8193" width="25.140625" style="12" customWidth="1"/>
    <col min="8194" max="8194" width="27.85546875" style="12" customWidth="1"/>
    <col min="8195" max="8195" width="0.28515625" style="12" customWidth="1"/>
    <col min="8196" max="8196" width="15.7109375" style="12" customWidth="1"/>
    <col min="8197" max="8197" width="10.140625" style="12" customWidth="1"/>
    <col min="8198" max="8198" width="5.85546875" style="12" customWidth="1"/>
    <col min="8199" max="8199" width="15.7109375" style="12" customWidth="1"/>
    <col min="8200" max="8200" width="10.7109375" style="12" customWidth="1"/>
    <col min="8201" max="8201" width="4.85546875" style="12" customWidth="1"/>
    <col min="8202" max="8202" width="28.28515625" style="12" customWidth="1"/>
    <col min="8203" max="8203" width="3.7109375" style="12" customWidth="1"/>
    <col min="8204" max="8204" width="17" style="12" customWidth="1"/>
    <col min="8205" max="8205" width="12.42578125" style="12" customWidth="1"/>
    <col min="8206" max="8448" width="11.42578125" style="12"/>
    <col min="8449" max="8449" width="25.140625" style="12" customWidth="1"/>
    <col min="8450" max="8450" width="27.85546875" style="12" customWidth="1"/>
    <col min="8451" max="8451" width="0.28515625" style="12" customWidth="1"/>
    <col min="8452" max="8452" width="15.7109375" style="12" customWidth="1"/>
    <col min="8453" max="8453" width="10.140625" style="12" customWidth="1"/>
    <col min="8454" max="8454" width="5.85546875" style="12" customWidth="1"/>
    <col min="8455" max="8455" width="15.7109375" style="12" customWidth="1"/>
    <col min="8456" max="8456" width="10.7109375" style="12" customWidth="1"/>
    <col min="8457" max="8457" width="4.85546875" style="12" customWidth="1"/>
    <col min="8458" max="8458" width="28.28515625" style="12" customWidth="1"/>
    <col min="8459" max="8459" width="3.7109375" style="12" customWidth="1"/>
    <col min="8460" max="8460" width="17" style="12" customWidth="1"/>
    <col min="8461" max="8461" width="12.42578125" style="12" customWidth="1"/>
    <col min="8462" max="8704" width="11.42578125" style="12"/>
    <col min="8705" max="8705" width="25.140625" style="12" customWidth="1"/>
    <col min="8706" max="8706" width="27.85546875" style="12" customWidth="1"/>
    <col min="8707" max="8707" width="0.28515625" style="12" customWidth="1"/>
    <col min="8708" max="8708" width="15.7109375" style="12" customWidth="1"/>
    <col min="8709" max="8709" width="10.140625" style="12" customWidth="1"/>
    <col min="8710" max="8710" width="5.85546875" style="12" customWidth="1"/>
    <col min="8711" max="8711" width="15.7109375" style="12" customWidth="1"/>
    <col min="8712" max="8712" width="10.7109375" style="12" customWidth="1"/>
    <col min="8713" max="8713" width="4.85546875" style="12" customWidth="1"/>
    <col min="8714" max="8714" width="28.28515625" style="12" customWidth="1"/>
    <col min="8715" max="8715" width="3.7109375" style="12" customWidth="1"/>
    <col min="8716" max="8716" width="17" style="12" customWidth="1"/>
    <col min="8717" max="8717" width="12.42578125" style="12" customWidth="1"/>
    <col min="8718" max="8960" width="11.42578125" style="12"/>
    <col min="8961" max="8961" width="25.140625" style="12" customWidth="1"/>
    <col min="8962" max="8962" width="27.85546875" style="12" customWidth="1"/>
    <col min="8963" max="8963" width="0.28515625" style="12" customWidth="1"/>
    <col min="8964" max="8964" width="15.7109375" style="12" customWidth="1"/>
    <col min="8965" max="8965" width="10.140625" style="12" customWidth="1"/>
    <col min="8966" max="8966" width="5.85546875" style="12" customWidth="1"/>
    <col min="8967" max="8967" width="15.7109375" style="12" customWidth="1"/>
    <col min="8968" max="8968" width="10.7109375" style="12" customWidth="1"/>
    <col min="8969" max="8969" width="4.85546875" style="12" customWidth="1"/>
    <col min="8970" max="8970" width="28.28515625" style="12" customWidth="1"/>
    <col min="8971" max="8971" width="3.7109375" style="12" customWidth="1"/>
    <col min="8972" max="8972" width="17" style="12" customWidth="1"/>
    <col min="8973" max="8973" width="12.42578125" style="12" customWidth="1"/>
    <col min="8974" max="9216" width="11.42578125" style="12"/>
    <col min="9217" max="9217" width="25.140625" style="12" customWidth="1"/>
    <col min="9218" max="9218" width="27.85546875" style="12" customWidth="1"/>
    <col min="9219" max="9219" width="0.28515625" style="12" customWidth="1"/>
    <col min="9220" max="9220" width="15.7109375" style="12" customWidth="1"/>
    <col min="9221" max="9221" width="10.140625" style="12" customWidth="1"/>
    <col min="9222" max="9222" width="5.85546875" style="12" customWidth="1"/>
    <col min="9223" max="9223" width="15.7109375" style="12" customWidth="1"/>
    <col min="9224" max="9224" width="10.7109375" style="12" customWidth="1"/>
    <col min="9225" max="9225" width="4.85546875" style="12" customWidth="1"/>
    <col min="9226" max="9226" width="28.28515625" style="12" customWidth="1"/>
    <col min="9227" max="9227" width="3.7109375" style="12" customWidth="1"/>
    <col min="9228" max="9228" width="17" style="12" customWidth="1"/>
    <col min="9229" max="9229" width="12.42578125" style="12" customWidth="1"/>
    <col min="9230" max="9472" width="11.42578125" style="12"/>
    <col min="9473" max="9473" width="25.140625" style="12" customWidth="1"/>
    <col min="9474" max="9474" width="27.85546875" style="12" customWidth="1"/>
    <col min="9475" max="9475" width="0.28515625" style="12" customWidth="1"/>
    <col min="9476" max="9476" width="15.7109375" style="12" customWidth="1"/>
    <col min="9477" max="9477" width="10.140625" style="12" customWidth="1"/>
    <col min="9478" max="9478" width="5.85546875" style="12" customWidth="1"/>
    <col min="9479" max="9479" width="15.7109375" style="12" customWidth="1"/>
    <col min="9480" max="9480" width="10.7109375" style="12" customWidth="1"/>
    <col min="9481" max="9481" width="4.85546875" style="12" customWidth="1"/>
    <col min="9482" max="9482" width="28.28515625" style="12" customWidth="1"/>
    <col min="9483" max="9483" width="3.7109375" style="12" customWidth="1"/>
    <col min="9484" max="9484" width="17" style="12" customWidth="1"/>
    <col min="9485" max="9485" width="12.42578125" style="12" customWidth="1"/>
    <col min="9486" max="9728" width="11.42578125" style="12"/>
    <col min="9729" max="9729" width="25.140625" style="12" customWidth="1"/>
    <col min="9730" max="9730" width="27.85546875" style="12" customWidth="1"/>
    <col min="9731" max="9731" width="0.28515625" style="12" customWidth="1"/>
    <col min="9732" max="9732" width="15.7109375" style="12" customWidth="1"/>
    <col min="9733" max="9733" width="10.140625" style="12" customWidth="1"/>
    <col min="9734" max="9734" width="5.85546875" style="12" customWidth="1"/>
    <col min="9735" max="9735" width="15.7109375" style="12" customWidth="1"/>
    <col min="9736" max="9736" width="10.7109375" style="12" customWidth="1"/>
    <col min="9737" max="9737" width="4.85546875" style="12" customWidth="1"/>
    <col min="9738" max="9738" width="28.28515625" style="12" customWidth="1"/>
    <col min="9739" max="9739" width="3.7109375" style="12" customWidth="1"/>
    <col min="9740" max="9740" width="17" style="12" customWidth="1"/>
    <col min="9741" max="9741" width="12.42578125" style="12" customWidth="1"/>
    <col min="9742" max="9984" width="11.42578125" style="12"/>
    <col min="9985" max="9985" width="25.140625" style="12" customWidth="1"/>
    <col min="9986" max="9986" width="27.85546875" style="12" customWidth="1"/>
    <col min="9987" max="9987" width="0.28515625" style="12" customWidth="1"/>
    <col min="9988" max="9988" width="15.7109375" style="12" customWidth="1"/>
    <col min="9989" max="9989" width="10.140625" style="12" customWidth="1"/>
    <col min="9990" max="9990" width="5.85546875" style="12" customWidth="1"/>
    <col min="9991" max="9991" width="15.7109375" style="12" customWidth="1"/>
    <col min="9992" max="9992" width="10.7109375" style="12" customWidth="1"/>
    <col min="9993" max="9993" width="4.85546875" style="12" customWidth="1"/>
    <col min="9994" max="9994" width="28.28515625" style="12" customWidth="1"/>
    <col min="9995" max="9995" width="3.7109375" style="12" customWidth="1"/>
    <col min="9996" max="9996" width="17" style="12" customWidth="1"/>
    <col min="9997" max="9997" width="12.42578125" style="12" customWidth="1"/>
    <col min="9998" max="10240" width="11.42578125" style="12"/>
    <col min="10241" max="10241" width="25.140625" style="12" customWidth="1"/>
    <col min="10242" max="10242" width="27.85546875" style="12" customWidth="1"/>
    <col min="10243" max="10243" width="0.28515625" style="12" customWidth="1"/>
    <col min="10244" max="10244" width="15.7109375" style="12" customWidth="1"/>
    <col min="10245" max="10245" width="10.140625" style="12" customWidth="1"/>
    <col min="10246" max="10246" width="5.85546875" style="12" customWidth="1"/>
    <col min="10247" max="10247" width="15.7109375" style="12" customWidth="1"/>
    <col min="10248" max="10248" width="10.7109375" style="12" customWidth="1"/>
    <col min="10249" max="10249" width="4.85546875" style="12" customWidth="1"/>
    <col min="10250" max="10250" width="28.28515625" style="12" customWidth="1"/>
    <col min="10251" max="10251" width="3.7109375" style="12" customWidth="1"/>
    <col min="10252" max="10252" width="17" style="12" customWidth="1"/>
    <col min="10253" max="10253" width="12.42578125" style="12" customWidth="1"/>
    <col min="10254" max="10496" width="11.42578125" style="12"/>
    <col min="10497" max="10497" width="25.140625" style="12" customWidth="1"/>
    <col min="10498" max="10498" width="27.85546875" style="12" customWidth="1"/>
    <col min="10499" max="10499" width="0.28515625" style="12" customWidth="1"/>
    <col min="10500" max="10500" width="15.7109375" style="12" customWidth="1"/>
    <col min="10501" max="10501" width="10.140625" style="12" customWidth="1"/>
    <col min="10502" max="10502" width="5.85546875" style="12" customWidth="1"/>
    <col min="10503" max="10503" width="15.7109375" style="12" customWidth="1"/>
    <col min="10504" max="10504" width="10.7109375" style="12" customWidth="1"/>
    <col min="10505" max="10505" width="4.85546875" style="12" customWidth="1"/>
    <col min="10506" max="10506" width="28.28515625" style="12" customWidth="1"/>
    <col min="10507" max="10507" width="3.7109375" style="12" customWidth="1"/>
    <col min="10508" max="10508" width="17" style="12" customWidth="1"/>
    <col min="10509" max="10509" width="12.42578125" style="12" customWidth="1"/>
    <col min="10510" max="10752" width="11.42578125" style="12"/>
    <col min="10753" max="10753" width="25.140625" style="12" customWidth="1"/>
    <col min="10754" max="10754" width="27.85546875" style="12" customWidth="1"/>
    <col min="10755" max="10755" width="0.28515625" style="12" customWidth="1"/>
    <col min="10756" max="10756" width="15.7109375" style="12" customWidth="1"/>
    <col min="10757" max="10757" width="10.140625" style="12" customWidth="1"/>
    <col min="10758" max="10758" width="5.85546875" style="12" customWidth="1"/>
    <col min="10759" max="10759" width="15.7109375" style="12" customWidth="1"/>
    <col min="10760" max="10760" width="10.7109375" style="12" customWidth="1"/>
    <col min="10761" max="10761" width="4.85546875" style="12" customWidth="1"/>
    <col min="10762" max="10762" width="28.28515625" style="12" customWidth="1"/>
    <col min="10763" max="10763" width="3.7109375" style="12" customWidth="1"/>
    <col min="10764" max="10764" width="17" style="12" customWidth="1"/>
    <col min="10765" max="10765" width="12.42578125" style="12" customWidth="1"/>
    <col min="10766" max="11008" width="11.42578125" style="12"/>
    <col min="11009" max="11009" width="25.140625" style="12" customWidth="1"/>
    <col min="11010" max="11010" width="27.85546875" style="12" customWidth="1"/>
    <col min="11011" max="11011" width="0.28515625" style="12" customWidth="1"/>
    <col min="11012" max="11012" width="15.7109375" style="12" customWidth="1"/>
    <col min="11013" max="11013" width="10.140625" style="12" customWidth="1"/>
    <col min="11014" max="11014" width="5.85546875" style="12" customWidth="1"/>
    <col min="11015" max="11015" width="15.7109375" style="12" customWidth="1"/>
    <col min="11016" max="11016" width="10.7109375" style="12" customWidth="1"/>
    <col min="11017" max="11017" width="4.85546875" style="12" customWidth="1"/>
    <col min="11018" max="11018" width="28.28515625" style="12" customWidth="1"/>
    <col min="11019" max="11019" width="3.7109375" style="12" customWidth="1"/>
    <col min="11020" max="11020" width="17" style="12" customWidth="1"/>
    <col min="11021" max="11021" width="12.42578125" style="12" customWidth="1"/>
    <col min="11022" max="11264" width="11.42578125" style="12"/>
    <col min="11265" max="11265" width="25.140625" style="12" customWidth="1"/>
    <col min="11266" max="11266" width="27.85546875" style="12" customWidth="1"/>
    <col min="11267" max="11267" width="0.28515625" style="12" customWidth="1"/>
    <col min="11268" max="11268" width="15.7109375" style="12" customWidth="1"/>
    <col min="11269" max="11269" width="10.140625" style="12" customWidth="1"/>
    <col min="11270" max="11270" width="5.85546875" style="12" customWidth="1"/>
    <col min="11271" max="11271" width="15.7109375" style="12" customWidth="1"/>
    <col min="11272" max="11272" width="10.7109375" style="12" customWidth="1"/>
    <col min="11273" max="11273" width="4.85546875" style="12" customWidth="1"/>
    <col min="11274" max="11274" width="28.28515625" style="12" customWidth="1"/>
    <col min="11275" max="11275" width="3.7109375" style="12" customWidth="1"/>
    <col min="11276" max="11276" width="17" style="12" customWidth="1"/>
    <col min="11277" max="11277" width="12.42578125" style="12" customWidth="1"/>
    <col min="11278" max="11520" width="11.42578125" style="12"/>
    <col min="11521" max="11521" width="25.140625" style="12" customWidth="1"/>
    <col min="11522" max="11522" width="27.85546875" style="12" customWidth="1"/>
    <col min="11523" max="11523" width="0.28515625" style="12" customWidth="1"/>
    <col min="11524" max="11524" width="15.7109375" style="12" customWidth="1"/>
    <col min="11525" max="11525" width="10.140625" style="12" customWidth="1"/>
    <col min="11526" max="11526" width="5.85546875" style="12" customWidth="1"/>
    <col min="11527" max="11527" width="15.7109375" style="12" customWidth="1"/>
    <col min="11528" max="11528" width="10.7109375" style="12" customWidth="1"/>
    <col min="11529" max="11529" width="4.85546875" style="12" customWidth="1"/>
    <col min="11530" max="11530" width="28.28515625" style="12" customWidth="1"/>
    <col min="11531" max="11531" width="3.7109375" style="12" customWidth="1"/>
    <col min="11532" max="11532" width="17" style="12" customWidth="1"/>
    <col min="11533" max="11533" width="12.42578125" style="12" customWidth="1"/>
    <col min="11534" max="11776" width="11.42578125" style="12"/>
    <col min="11777" max="11777" width="25.140625" style="12" customWidth="1"/>
    <col min="11778" max="11778" width="27.85546875" style="12" customWidth="1"/>
    <col min="11779" max="11779" width="0.28515625" style="12" customWidth="1"/>
    <col min="11780" max="11780" width="15.7109375" style="12" customWidth="1"/>
    <col min="11781" max="11781" width="10.140625" style="12" customWidth="1"/>
    <col min="11782" max="11782" width="5.85546875" style="12" customWidth="1"/>
    <col min="11783" max="11783" width="15.7109375" style="12" customWidth="1"/>
    <col min="11784" max="11784" width="10.7109375" style="12" customWidth="1"/>
    <col min="11785" max="11785" width="4.85546875" style="12" customWidth="1"/>
    <col min="11786" max="11786" width="28.28515625" style="12" customWidth="1"/>
    <col min="11787" max="11787" width="3.7109375" style="12" customWidth="1"/>
    <col min="11788" max="11788" width="17" style="12" customWidth="1"/>
    <col min="11789" max="11789" width="12.42578125" style="12" customWidth="1"/>
    <col min="11790" max="12032" width="11.42578125" style="12"/>
    <col min="12033" max="12033" width="25.140625" style="12" customWidth="1"/>
    <col min="12034" max="12034" width="27.85546875" style="12" customWidth="1"/>
    <col min="12035" max="12035" width="0.28515625" style="12" customWidth="1"/>
    <col min="12036" max="12036" width="15.7109375" style="12" customWidth="1"/>
    <col min="12037" max="12037" width="10.140625" style="12" customWidth="1"/>
    <col min="12038" max="12038" width="5.85546875" style="12" customWidth="1"/>
    <col min="12039" max="12039" width="15.7109375" style="12" customWidth="1"/>
    <col min="12040" max="12040" width="10.7109375" style="12" customWidth="1"/>
    <col min="12041" max="12041" width="4.85546875" style="12" customWidth="1"/>
    <col min="12042" max="12042" width="28.28515625" style="12" customWidth="1"/>
    <col min="12043" max="12043" width="3.7109375" style="12" customWidth="1"/>
    <col min="12044" max="12044" width="17" style="12" customWidth="1"/>
    <col min="12045" max="12045" width="12.42578125" style="12" customWidth="1"/>
    <col min="12046" max="12288" width="11.42578125" style="12"/>
    <col min="12289" max="12289" width="25.140625" style="12" customWidth="1"/>
    <col min="12290" max="12290" width="27.85546875" style="12" customWidth="1"/>
    <col min="12291" max="12291" width="0.28515625" style="12" customWidth="1"/>
    <col min="12292" max="12292" width="15.7109375" style="12" customWidth="1"/>
    <col min="12293" max="12293" width="10.140625" style="12" customWidth="1"/>
    <col min="12294" max="12294" width="5.85546875" style="12" customWidth="1"/>
    <col min="12295" max="12295" width="15.7109375" style="12" customWidth="1"/>
    <col min="12296" max="12296" width="10.7109375" style="12" customWidth="1"/>
    <col min="12297" max="12297" width="4.85546875" style="12" customWidth="1"/>
    <col min="12298" max="12298" width="28.28515625" style="12" customWidth="1"/>
    <col min="12299" max="12299" width="3.7109375" style="12" customWidth="1"/>
    <col min="12300" max="12300" width="17" style="12" customWidth="1"/>
    <col min="12301" max="12301" width="12.42578125" style="12" customWidth="1"/>
    <col min="12302" max="12544" width="11.42578125" style="12"/>
    <col min="12545" max="12545" width="25.140625" style="12" customWidth="1"/>
    <col min="12546" max="12546" width="27.85546875" style="12" customWidth="1"/>
    <col min="12547" max="12547" width="0.28515625" style="12" customWidth="1"/>
    <col min="12548" max="12548" width="15.7109375" style="12" customWidth="1"/>
    <col min="12549" max="12549" width="10.140625" style="12" customWidth="1"/>
    <col min="12550" max="12550" width="5.85546875" style="12" customWidth="1"/>
    <col min="12551" max="12551" width="15.7109375" style="12" customWidth="1"/>
    <col min="12552" max="12552" width="10.7109375" style="12" customWidth="1"/>
    <col min="12553" max="12553" width="4.85546875" style="12" customWidth="1"/>
    <col min="12554" max="12554" width="28.28515625" style="12" customWidth="1"/>
    <col min="12555" max="12555" width="3.7109375" style="12" customWidth="1"/>
    <col min="12556" max="12556" width="17" style="12" customWidth="1"/>
    <col min="12557" max="12557" width="12.42578125" style="12" customWidth="1"/>
    <col min="12558" max="12800" width="11.42578125" style="12"/>
    <col min="12801" max="12801" width="25.140625" style="12" customWidth="1"/>
    <col min="12802" max="12802" width="27.85546875" style="12" customWidth="1"/>
    <col min="12803" max="12803" width="0.28515625" style="12" customWidth="1"/>
    <col min="12804" max="12804" width="15.7109375" style="12" customWidth="1"/>
    <col min="12805" max="12805" width="10.140625" style="12" customWidth="1"/>
    <col min="12806" max="12806" width="5.85546875" style="12" customWidth="1"/>
    <col min="12807" max="12807" width="15.7109375" style="12" customWidth="1"/>
    <col min="12808" max="12808" width="10.7109375" style="12" customWidth="1"/>
    <col min="12809" max="12809" width="4.85546875" style="12" customWidth="1"/>
    <col min="12810" max="12810" width="28.28515625" style="12" customWidth="1"/>
    <col min="12811" max="12811" width="3.7109375" style="12" customWidth="1"/>
    <col min="12812" max="12812" width="17" style="12" customWidth="1"/>
    <col min="12813" max="12813" width="12.42578125" style="12" customWidth="1"/>
    <col min="12814" max="13056" width="11.42578125" style="12"/>
    <col min="13057" max="13057" width="25.140625" style="12" customWidth="1"/>
    <col min="13058" max="13058" width="27.85546875" style="12" customWidth="1"/>
    <col min="13059" max="13059" width="0.28515625" style="12" customWidth="1"/>
    <col min="13060" max="13060" width="15.7109375" style="12" customWidth="1"/>
    <col min="13061" max="13061" width="10.140625" style="12" customWidth="1"/>
    <col min="13062" max="13062" width="5.85546875" style="12" customWidth="1"/>
    <col min="13063" max="13063" width="15.7109375" style="12" customWidth="1"/>
    <col min="13064" max="13064" width="10.7109375" style="12" customWidth="1"/>
    <col min="13065" max="13065" width="4.85546875" style="12" customWidth="1"/>
    <col min="13066" max="13066" width="28.28515625" style="12" customWidth="1"/>
    <col min="13067" max="13067" width="3.7109375" style="12" customWidth="1"/>
    <col min="13068" max="13068" width="17" style="12" customWidth="1"/>
    <col min="13069" max="13069" width="12.42578125" style="12" customWidth="1"/>
    <col min="13070" max="13312" width="11.42578125" style="12"/>
    <col min="13313" max="13313" width="25.140625" style="12" customWidth="1"/>
    <col min="13314" max="13314" width="27.85546875" style="12" customWidth="1"/>
    <col min="13315" max="13315" width="0.28515625" style="12" customWidth="1"/>
    <col min="13316" max="13316" width="15.7109375" style="12" customWidth="1"/>
    <col min="13317" max="13317" width="10.140625" style="12" customWidth="1"/>
    <col min="13318" max="13318" width="5.85546875" style="12" customWidth="1"/>
    <col min="13319" max="13319" width="15.7109375" style="12" customWidth="1"/>
    <col min="13320" max="13320" width="10.7109375" style="12" customWidth="1"/>
    <col min="13321" max="13321" width="4.85546875" style="12" customWidth="1"/>
    <col min="13322" max="13322" width="28.28515625" style="12" customWidth="1"/>
    <col min="13323" max="13323" width="3.7109375" style="12" customWidth="1"/>
    <col min="13324" max="13324" width="17" style="12" customWidth="1"/>
    <col min="13325" max="13325" width="12.42578125" style="12" customWidth="1"/>
    <col min="13326" max="13568" width="11.42578125" style="12"/>
    <col min="13569" max="13569" width="25.140625" style="12" customWidth="1"/>
    <col min="13570" max="13570" width="27.85546875" style="12" customWidth="1"/>
    <col min="13571" max="13571" width="0.28515625" style="12" customWidth="1"/>
    <col min="13572" max="13572" width="15.7109375" style="12" customWidth="1"/>
    <col min="13573" max="13573" width="10.140625" style="12" customWidth="1"/>
    <col min="13574" max="13574" width="5.85546875" style="12" customWidth="1"/>
    <col min="13575" max="13575" width="15.7109375" style="12" customWidth="1"/>
    <col min="13576" max="13576" width="10.7109375" style="12" customWidth="1"/>
    <col min="13577" max="13577" width="4.85546875" style="12" customWidth="1"/>
    <col min="13578" max="13578" width="28.28515625" style="12" customWidth="1"/>
    <col min="13579" max="13579" width="3.7109375" style="12" customWidth="1"/>
    <col min="13580" max="13580" width="17" style="12" customWidth="1"/>
    <col min="13581" max="13581" width="12.42578125" style="12" customWidth="1"/>
    <col min="13582" max="13824" width="11.42578125" style="12"/>
    <col min="13825" max="13825" width="25.140625" style="12" customWidth="1"/>
    <col min="13826" max="13826" width="27.85546875" style="12" customWidth="1"/>
    <col min="13827" max="13827" width="0.28515625" style="12" customWidth="1"/>
    <col min="13828" max="13828" width="15.7109375" style="12" customWidth="1"/>
    <col min="13829" max="13829" width="10.140625" style="12" customWidth="1"/>
    <col min="13830" max="13830" width="5.85546875" style="12" customWidth="1"/>
    <col min="13831" max="13831" width="15.7109375" style="12" customWidth="1"/>
    <col min="13832" max="13832" width="10.7109375" style="12" customWidth="1"/>
    <col min="13833" max="13833" width="4.85546875" style="12" customWidth="1"/>
    <col min="13834" max="13834" width="28.28515625" style="12" customWidth="1"/>
    <col min="13835" max="13835" width="3.7109375" style="12" customWidth="1"/>
    <col min="13836" max="13836" width="17" style="12" customWidth="1"/>
    <col min="13837" max="13837" width="12.42578125" style="12" customWidth="1"/>
    <col min="13838" max="14080" width="11.42578125" style="12"/>
    <col min="14081" max="14081" width="25.140625" style="12" customWidth="1"/>
    <col min="14082" max="14082" width="27.85546875" style="12" customWidth="1"/>
    <col min="14083" max="14083" width="0.28515625" style="12" customWidth="1"/>
    <col min="14084" max="14084" width="15.7109375" style="12" customWidth="1"/>
    <col min="14085" max="14085" width="10.140625" style="12" customWidth="1"/>
    <col min="14086" max="14086" width="5.85546875" style="12" customWidth="1"/>
    <col min="14087" max="14087" width="15.7109375" style="12" customWidth="1"/>
    <col min="14088" max="14088" width="10.7109375" style="12" customWidth="1"/>
    <col min="14089" max="14089" width="4.85546875" style="12" customWidth="1"/>
    <col min="14090" max="14090" width="28.28515625" style="12" customWidth="1"/>
    <col min="14091" max="14091" width="3.7109375" style="12" customWidth="1"/>
    <col min="14092" max="14092" width="17" style="12" customWidth="1"/>
    <col min="14093" max="14093" width="12.42578125" style="12" customWidth="1"/>
    <col min="14094" max="14336" width="11.42578125" style="12"/>
    <col min="14337" max="14337" width="25.140625" style="12" customWidth="1"/>
    <col min="14338" max="14338" width="27.85546875" style="12" customWidth="1"/>
    <col min="14339" max="14339" width="0.28515625" style="12" customWidth="1"/>
    <col min="14340" max="14340" width="15.7109375" style="12" customWidth="1"/>
    <col min="14341" max="14341" width="10.140625" style="12" customWidth="1"/>
    <col min="14342" max="14342" width="5.85546875" style="12" customWidth="1"/>
    <col min="14343" max="14343" width="15.7109375" style="12" customWidth="1"/>
    <col min="14344" max="14344" width="10.7109375" style="12" customWidth="1"/>
    <col min="14345" max="14345" width="4.85546875" style="12" customWidth="1"/>
    <col min="14346" max="14346" width="28.28515625" style="12" customWidth="1"/>
    <col min="14347" max="14347" width="3.7109375" style="12" customWidth="1"/>
    <col min="14348" max="14348" width="17" style="12" customWidth="1"/>
    <col min="14349" max="14349" width="12.42578125" style="12" customWidth="1"/>
    <col min="14350" max="14592" width="11.42578125" style="12"/>
    <col min="14593" max="14593" width="25.140625" style="12" customWidth="1"/>
    <col min="14594" max="14594" width="27.85546875" style="12" customWidth="1"/>
    <col min="14595" max="14595" width="0.28515625" style="12" customWidth="1"/>
    <col min="14596" max="14596" width="15.7109375" style="12" customWidth="1"/>
    <col min="14597" max="14597" width="10.140625" style="12" customWidth="1"/>
    <col min="14598" max="14598" width="5.85546875" style="12" customWidth="1"/>
    <col min="14599" max="14599" width="15.7109375" style="12" customWidth="1"/>
    <col min="14600" max="14600" width="10.7109375" style="12" customWidth="1"/>
    <col min="14601" max="14601" width="4.85546875" style="12" customWidth="1"/>
    <col min="14602" max="14602" width="28.28515625" style="12" customWidth="1"/>
    <col min="14603" max="14603" width="3.7109375" style="12" customWidth="1"/>
    <col min="14604" max="14604" width="17" style="12" customWidth="1"/>
    <col min="14605" max="14605" width="12.42578125" style="12" customWidth="1"/>
    <col min="14606" max="14848" width="11.42578125" style="12"/>
    <col min="14849" max="14849" width="25.140625" style="12" customWidth="1"/>
    <col min="14850" max="14850" width="27.85546875" style="12" customWidth="1"/>
    <col min="14851" max="14851" width="0.28515625" style="12" customWidth="1"/>
    <col min="14852" max="14852" width="15.7109375" style="12" customWidth="1"/>
    <col min="14853" max="14853" width="10.140625" style="12" customWidth="1"/>
    <col min="14854" max="14854" width="5.85546875" style="12" customWidth="1"/>
    <col min="14855" max="14855" width="15.7109375" style="12" customWidth="1"/>
    <col min="14856" max="14856" width="10.7109375" style="12" customWidth="1"/>
    <col min="14857" max="14857" width="4.85546875" style="12" customWidth="1"/>
    <col min="14858" max="14858" width="28.28515625" style="12" customWidth="1"/>
    <col min="14859" max="14859" width="3.7109375" style="12" customWidth="1"/>
    <col min="14860" max="14860" width="17" style="12" customWidth="1"/>
    <col min="14861" max="14861" width="12.42578125" style="12" customWidth="1"/>
    <col min="14862" max="15104" width="11.42578125" style="12"/>
    <col min="15105" max="15105" width="25.140625" style="12" customWidth="1"/>
    <col min="15106" max="15106" width="27.85546875" style="12" customWidth="1"/>
    <col min="15107" max="15107" width="0.28515625" style="12" customWidth="1"/>
    <col min="15108" max="15108" width="15.7109375" style="12" customWidth="1"/>
    <col min="15109" max="15109" width="10.140625" style="12" customWidth="1"/>
    <col min="15110" max="15110" width="5.85546875" style="12" customWidth="1"/>
    <col min="15111" max="15111" width="15.7109375" style="12" customWidth="1"/>
    <col min="15112" max="15112" width="10.7109375" style="12" customWidth="1"/>
    <col min="15113" max="15113" width="4.85546875" style="12" customWidth="1"/>
    <col min="15114" max="15114" width="28.28515625" style="12" customWidth="1"/>
    <col min="15115" max="15115" width="3.7109375" style="12" customWidth="1"/>
    <col min="15116" max="15116" width="17" style="12" customWidth="1"/>
    <col min="15117" max="15117" width="12.42578125" style="12" customWidth="1"/>
    <col min="15118" max="15360" width="11.42578125" style="12"/>
    <col min="15361" max="15361" width="25.140625" style="12" customWidth="1"/>
    <col min="15362" max="15362" width="27.85546875" style="12" customWidth="1"/>
    <col min="15363" max="15363" width="0.28515625" style="12" customWidth="1"/>
    <col min="15364" max="15364" width="15.7109375" style="12" customWidth="1"/>
    <col min="15365" max="15365" width="10.140625" style="12" customWidth="1"/>
    <col min="15366" max="15366" width="5.85546875" style="12" customWidth="1"/>
    <col min="15367" max="15367" width="15.7109375" style="12" customWidth="1"/>
    <col min="15368" max="15368" width="10.7109375" style="12" customWidth="1"/>
    <col min="15369" max="15369" width="4.85546875" style="12" customWidth="1"/>
    <col min="15370" max="15370" width="28.28515625" style="12" customWidth="1"/>
    <col min="15371" max="15371" width="3.7109375" style="12" customWidth="1"/>
    <col min="15372" max="15372" width="17" style="12" customWidth="1"/>
    <col min="15373" max="15373" width="12.42578125" style="12" customWidth="1"/>
    <col min="15374" max="15616" width="11.42578125" style="12"/>
    <col min="15617" max="15617" width="25.140625" style="12" customWidth="1"/>
    <col min="15618" max="15618" width="27.85546875" style="12" customWidth="1"/>
    <col min="15619" max="15619" width="0.28515625" style="12" customWidth="1"/>
    <col min="15620" max="15620" width="15.7109375" style="12" customWidth="1"/>
    <col min="15621" max="15621" width="10.140625" style="12" customWidth="1"/>
    <col min="15622" max="15622" width="5.85546875" style="12" customWidth="1"/>
    <col min="15623" max="15623" width="15.7109375" style="12" customWidth="1"/>
    <col min="15624" max="15624" width="10.7109375" style="12" customWidth="1"/>
    <col min="15625" max="15625" width="4.85546875" style="12" customWidth="1"/>
    <col min="15626" max="15626" width="28.28515625" style="12" customWidth="1"/>
    <col min="15627" max="15627" width="3.7109375" style="12" customWidth="1"/>
    <col min="15628" max="15628" width="17" style="12" customWidth="1"/>
    <col min="15629" max="15629" width="12.42578125" style="12" customWidth="1"/>
    <col min="15630" max="15872" width="11.42578125" style="12"/>
    <col min="15873" max="15873" width="25.140625" style="12" customWidth="1"/>
    <col min="15874" max="15874" width="27.85546875" style="12" customWidth="1"/>
    <col min="15875" max="15875" width="0.28515625" style="12" customWidth="1"/>
    <col min="15876" max="15876" width="15.7109375" style="12" customWidth="1"/>
    <col min="15877" max="15877" width="10.140625" style="12" customWidth="1"/>
    <col min="15878" max="15878" width="5.85546875" style="12" customWidth="1"/>
    <col min="15879" max="15879" width="15.7109375" style="12" customWidth="1"/>
    <col min="15880" max="15880" width="10.7109375" style="12" customWidth="1"/>
    <col min="15881" max="15881" width="4.85546875" style="12" customWidth="1"/>
    <col min="15882" max="15882" width="28.28515625" style="12" customWidth="1"/>
    <col min="15883" max="15883" width="3.7109375" style="12" customWidth="1"/>
    <col min="15884" max="15884" width="17" style="12" customWidth="1"/>
    <col min="15885" max="15885" width="12.42578125" style="12" customWidth="1"/>
    <col min="15886" max="16128" width="11.42578125" style="12"/>
    <col min="16129" max="16129" width="25.140625" style="12" customWidth="1"/>
    <col min="16130" max="16130" width="27.85546875" style="12" customWidth="1"/>
    <col min="16131" max="16131" width="0.28515625" style="12" customWidth="1"/>
    <col min="16132" max="16132" width="15.7109375" style="12" customWidth="1"/>
    <col min="16133" max="16133" width="10.140625" style="12" customWidth="1"/>
    <col min="16134" max="16134" width="5.85546875" style="12" customWidth="1"/>
    <col min="16135" max="16135" width="15.7109375" style="12" customWidth="1"/>
    <col min="16136" max="16136" width="10.7109375" style="12" customWidth="1"/>
    <col min="16137" max="16137" width="4.85546875" style="12" customWidth="1"/>
    <col min="16138" max="16138" width="28.28515625" style="12" customWidth="1"/>
    <col min="16139" max="16139" width="3.7109375" style="12" customWidth="1"/>
    <col min="16140" max="16140" width="17" style="12" customWidth="1"/>
    <col min="16141" max="16141" width="12.42578125" style="12" customWidth="1"/>
    <col min="16142" max="16384" width="11.42578125" style="12"/>
  </cols>
  <sheetData>
    <row r="1" spans="1:13" ht="12.75" customHeight="1">
      <c r="D1" s="13"/>
      <c r="E1" s="14"/>
      <c r="F1" s="14"/>
      <c r="G1" s="14"/>
      <c r="H1" s="14"/>
      <c r="I1" s="14"/>
      <c r="J1" s="14"/>
      <c r="K1" s="14"/>
      <c r="L1" s="14"/>
      <c r="M1" s="14"/>
    </row>
    <row r="2" spans="1:13">
      <c r="A2" s="12" t="s">
        <v>230</v>
      </c>
      <c r="B2" s="12" t="str">
        <f>CONTRATS!B8</f>
        <v>ALEMNGE CYPRIAN</v>
      </c>
      <c r="D2" s="128" t="str">
        <f>B2</f>
        <v>ALEMNGE CYPRIAN</v>
      </c>
      <c r="E2" s="129"/>
      <c r="F2" s="129"/>
      <c r="G2" s="128" t="str">
        <f>B2</f>
        <v>ALEMNGE CYPRIAN</v>
      </c>
      <c r="H2" s="15"/>
      <c r="I2" s="15"/>
      <c r="J2" s="15"/>
      <c r="K2" s="15"/>
      <c r="L2" s="130">
        <f>B13</f>
        <v>45192</v>
      </c>
      <c r="M2" s="118">
        <f>B14</f>
        <v>45251</v>
      </c>
    </row>
    <row r="3" spans="1:13" ht="12.75" customHeight="1">
      <c r="A3" s="12" t="s">
        <v>231</v>
      </c>
      <c r="B3" s="12">
        <f>CONTRATS!B10</f>
        <v>0</v>
      </c>
      <c r="D3" s="131">
        <f>B3</f>
        <v>0</v>
      </c>
      <c r="E3" s="131"/>
      <c r="F3" s="131"/>
      <c r="G3" s="131">
        <f>B3</f>
        <v>0</v>
      </c>
      <c r="H3" s="15"/>
      <c r="I3" s="15"/>
      <c r="J3" s="15"/>
      <c r="K3" s="15"/>
      <c r="L3" s="536" t="str">
        <f>B11</f>
        <v>A2023/1075/CAT1/1110155939</v>
      </c>
      <c r="M3" s="536"/>
    </row>
    <row r="4" spans="1:13" ht="18" customHeight="1">
      <c r="A4" s="12" t="s">
        <v>232</v>
      </c>
      <c r="B4" s="12" t="str">
        <f>CONTRATS!B13</f>
        <v>ALEMNGE CYPRIAN</v>
      </c>
      <c r="D4" s="537" t="str">
        <f>B5</f>
        <v>SW 859 BB</v>
      </c>
      <c r="E4" s="537"/>
      <c r="F4" s="15"/>
      <c r="G4" s="537" t="str">
        <f>B5</f>
        <v>SW 859 BB</v>
      </c>
      <c r="H4" s="537"/>
      <c r="I4" s="15"/>
      <c r="J4" s="15" t="str">
        <f>B2</f>
        <v>ALEMNGE CYPRIAN</v>
      </c>
      <c r="K4" s="15"/>
      <c r="L4" s="120">
        <f>L2</f>
        <v>45192</v>
      </c>
      <c r="M4" s="118">
        <f>B14</f>
        <v>45251</v>
      </c>
    </row>
    <row r="5" spans="1:13" ht="13.5" customHeight="1">
      <c r="A5" s="12" t="s">
        <v>204</v>
      </c>
      <c r="B5" s="12" t="str">
        <f>CONTRATS!H17</f>
        <v>SW 859 BB</v>
      </c>
      <c r="D5" s="538" t="str">
        <f>B6</f>
        <v xml:space="preserve">NISSAN </v>
      </c>
      <c r="E5" s="538"/>
      <c r="F5" s="10"/>
      <c r="G5" s="537" t="str">
        <f>B6</f>
        <v xml:space="preserve">NISSAN </v>
      </c>
      <c r="H5" s="537"/>
      <c r="I5" s="537"/>
      <c r="J5" s="132">
        <f>B3</f>
        <v>0</v>
      </c>
      <c r="K5" s="15"/>
      <c r="L5" s="15"/>
      <c r="M5" s="15"/>
    </row>
    <row r="6" spans="1:13">
      <c r="A6" s="12" t="s">
        <v>233</v>
      </c>
      <c r="B6" s="12" t="str">
        <f>CONTRATS!B17</f>
        <v xml:space="preserve">NISSAN </v>
      </c>
      <c r="D6" s="15"/>
      <c r="E6" s="15"/>
      <c r="F6" s="15"/>
      <c r="G6" s="15"/>
      <c r="H6" s="15"/>
      <c r="I6" s="15"/>
      <c r="J6" s="15"/>
      <c r="K6" s="15"/>
      <c r="M6" s="10" t="str">
        <f>B6</f>
        <v xml:space="preserve">NISSAN </v>
      </c>
    </row>
    <row r="7" spans="1:13" ht="11.25" customHeight="1">
      <c r="A7" s="12" t="s">
        <v>234</v>
      </c>
      <c r="B7" s="12" t="str">
        <f>CONTRATS!F12</f>
        <v>NSIA ASSURANCES</v>
      </c>
      <c r="D7" s="128" t="str">
        <f>B7</f>
        <v>NSIA ASSURANCES</v>
      </c>
      <c r="E7" s="15"/>
      <c r="F7" s="15"/>
      <c r="G7" s="128" t="str">
        <f>B7</f>
        <v>NSIA ASSURANCES</v>
      </c>
      <c r="H7" s="15"/>
      <c r="I7" s="15"/>
      <c r="J7" s="10" t="str">
        <f>B5</f>
        <v>SW 859 BB</v>
      </c>
      <c r="K7" s="10"/>
      <c r="L7" s="15"/>
      <c r="M7" s="10" t="str">
        <f>B16</f>
        <v>JN8AR05Y7WW275240</v>
      </c>
    </row>
    <row r="8" spans="1:13" ht="11.25" customHeight="1">
      <c r="A8" s="12" t="s">
        <v>236</v>
      </c>
      <c r="B8" s="12">
        <f>D8</f>
        <v>0</v>
      </c>
      <c r="D8" s="15">
        <f>G8</f>
        <v>0</v>
      </c>
      <c r="E8" s="15"/>
      <c r="F8" s="15"/>
      <c r="G8" s="15">
        <f>J10</f>
        <v>0</v>
      </c>
      <c r="H8" s="15"/>
      <c r="I8" s="15"/>
      <c r="J8" s="15"/>
      <c r="K8" s="15"/>
      <c r="M8" s="15"/>
    </row>
    <row r="9" spans="1:13">
      <c r="A9" s="12" t="s">
        <v>237</v>
      </c>
      <c r="B9" s="12" t="s">
        <v>238</v>
      </c>
      <c r="E9" s="10" t="str">
        <f>B9</f>
        <v>ORION ASSURANCE</v>
      </c>
      <c r="F9" s="10"/>
      <c r="H9" s="10" t="str">
        <f>B9</f>
        <v>ORION ASSURANCE</v>
      </c>
      <c r="I9" s="10"/>
      <c r="J9" s="15" t="str">
        <f>B7</f>
        <v>NSIA ASSURANCES</v>
      </c>
      <c r="K9" s="15"/>
      <c r="L9" s="15"/>
      <c r="M9" s="10" t="str">
        <f>B9</f>
        <v>ORION ASSURANCE</v>
      </c>
    </row>
    <row r="10" spans="1:13">
      <c r="A10" s="12" t="s">
        <v>239</v>
      </c>
      <c r="B10" s="12" t="s">
        <v>274</v>
      </c>
      <c r="D10" s="128"/>
      <c r="E10" s="10" t="str">
        <f>B10</f>
        <v>BP 2868 YAOUNDE</v>
      </c>
      <c r="F10" s="10"/>
      <c r="H10" s="10" t="str">
        <f>B10</f>
        <v>BP 2868 YAOUNDE</v>
      </c>
      <c r="I10" s="10"/>
      <c r="J10" s="128">
        <f>IF(CONTRATS!F12="GMC ASSURANCES","BP 1965 DOUALA",IF(CONTRATS!F12="CAMINSUR INSURANCE","BP12400 YAOUNDE",IF(CONTRATS!F12="SAAR ASSURANCES","BP 1011 DOUALA",0)))</f>
        <v>0</v>
      </c>
      <c r="K10" s="15"/>
      <c r="M10" s="10" t="str">
        <f>B10</f>
        <v>BP 2868 YAOUNDE</v>
      </c>
    </row>
    <row r="11" spans="1:13" ht="12" customHeight="1">
      <c r="A11" s="12" t="s">
        <v>240</v>
      </c>
      <c r="B11" s="12" t="str">
        <f>CONTRATS!E9</f>
        <v>A2023/1075/CAT1/1110155939</v>
      </c>
      <c r="D11" s="537" t="str">
        <f>B11</f>
        <v>A2023/1075/CAT1/1110155939</v>
      </c>
      <c r="E11" s="537"/>
      <c r="F11" s="119"/>
      <c r="G11" s="536" t="str">
        <f>D11</f>
        <v>A2023/1075/CAT1/1110155939</v>
      </c>
      <c r="H11" s="536"/>
      <c r="I11" s="119"/>
      <c r="J11" s="15"/>
      <c r="K11" s="15"/>
    </row>
    <row r="12" spans="1:13" ht="17.25" customHeight="1">
      <c r="D12" s="109"/>
      <c r="E12" s="109"/>
      <c r="F12" s="119"/>
      <c r="G12" s="15"/>
      <c r="H12" s="10"/>
      <c r="I12" s="119"/>
      <c r="J12" s="15"/>
      <c r="K12" s="15"/>
    </row>
    <row r="13" spans="1:13">
      <c r="A13" s="12" t="s">
        <v>241</v>
      </c>
      <c r="B13" s="44">
        <f>CONTRATS!F10</f>
        <v>45192</v>
      </c>
      <c r="C13" s="44"/>
      <c r="D13" s="133">
        <f>B13</f>
        <v>45192</v>
      </c>
      <c r="E13" s="120">
        <f>B14</f>
        <v>45251</v>
      </c>
      <c r="F13" s="121"/>
      <c r="G13" s="120">
        <f>B13</f>
        <v>45192</v>
      </c>
      <c r="H13" s="120">
        <f>B14</f>
        <v>45251</v>
      </c>
      <c r="I13" s="10"/>
      <c r="J13" s="15"/>
      <c r="K13" s="15"/>
      <c r="L13" s="15"/>
      <c r="M13" s="15"/>
    </row>
    <row r="14" spans="1:13">
      <c r="A14" s="12" t="s">
        <v>242</v>
      </c>
      <c r="B14" s="44">
        <f>CONTRATS!F11</f>
        <v>45251</v>
      </c>
      <c r="C14" s="66"/>
      <c r="J14" s="536" t="str">
        <f>CONTRATS!F50</f>
        <v>LIMBE</v>
      </c>
      <c r="K14" s="536"/>
      <c r="L14" s="134">
        <f ca="1">CONTRATS!H50</f>
        <v>45192.531511805559</v>
      </c>
      <c r="M14" s="15"/>
    </row>
    <row r="15" spans="1:13">
      <c r="A15" s="12" t="s">
        <v>243</v>
      </c>
      <c r="B15" s="12" t="str">
        <f>CONCATENATE(J19,CONTRATS!E18,H71,J20,CONTRATS!E17)</f>
        <v>CAT1**VT</v>
      </c>
      <c r="D15" s="135" t="str">
        <f>B15</f>
        <v>CAT1**VT</v>
      </c>
      <c r="E15" s="15"/>
      <c r="F15" s="15"/>
      <c r="G15" s="135" t="str">
        <f>B15</f>
        <v>CAT1**VT</v>
      </c>
      <c r="H15" s="15"/>
      <c r="I15" s="15"/>
      <c r="J15" s="129" t="str">
        <f>B15</f>
        <v>CAT1**VT</v>
      </c>
      <c r="L15" s="15"/>
      <c r="M15" s="15"/>
    </row>
    <row r="16" spans="1:13">
      <c r="A16" s="12" t="s">
        <v>244</v>
      </c>
      <c r="B16" s="12" t="str">
        <f>CONTRATS!F19</f>
        <v>JN8AR05Y7WW275240</v>
      </c>
      <c r="D16" s="67"/>
    </row>
    <row r="17" spans="1:10">
      <c r="A17" s="12" t="s">
        <v>245</v>
      </c>
      <c r="B17" s="12" t="str">
        <f>CONTRATS!B17</f>
        <v xml:space="preserve">NISSAN </v>
      </c>
    </row>
    <row r="18" spans="1:10">
      <c r="A18" s="12" t="s">
        <v>246</v>
      </c>
      <c r="B18" s="12" t="str">
        <f>CONTRATS!B17</f>
        <v xml:space="preserve">NISSAN </v>
      </c>
    </row>
    <row r="19" spans="1:10">
      <c r="A19" s="12" t="s">
        <v>247</v>
      </c>
      <c r="B19" s="12" t="str">
        <f>CONTRATS!F50</f>
        <v>LIMBE</v>
      </c>
      <c r="J19" s="16" t="s">
        <v>53</v>
      </c>
    </row>
    <row r="20" spans="1:10" ht="18" customHeight="1">
      <c r="A20" s="12" t="s">
        <v>248</v>
      </c>
      <c r="B20" s="54">
        <f ca="1">CONTRATS!H50</f>
        <v>45192.531511805559</v>
      </c>
      <c r="E20" s="12" t="s">
        <v>92</v>
      </c>
      <c r="G20" s="35"/>
    </row>
    <row r="21" spans="1:10">
      <c r="A21" s="3" t="s">
        <v>199</v>
      </c>
    </row>
    <row r="22" spans="1:10">
      <c r="A22" s="12" t="s">
        <v>201</v>
      </c>
    </row>
    <row r="23" spans="1:10">
      <c r="A23" s="12" t="s">
        <v>202</v>
      </c>
    </row>
    <row r="24" spans="1:10">
      <c r="A24" s="12" t="s">
        <v>204</v>
      </c>
      <c r="E24" s="136"/>
    </row>
    <row r="71" spans="8:8">
      <c r="H71" s="36" t="s">
        <v>277</v>
      </c>
    </row>
  </sheetData>
  <sheetProtection password="D6FA" sheet="1" objects="1" scenarios="1" selectLockedCells="1" selectUnlockedCells="1"/>
  <mergeCells count="8">
    <mergeCell ref="L3:M3"/>
    <mergeCell ref="J14:K14"/>
    <mergeCell ref="D4:E4"/>
    <mergeCell ref="D5:E5"/>
    <mergeCell ref="D11:E11"/>
    <mergeCell ref="G4:H4"/>
    <mergeCell ref="G5:I5"/>
    <mergeCell ref="G11:H11"/>
  </mergeCells>
  <pageMargins left="0.39370078740157483" right="0.78740157480314965" top="2.7165354330708662" bottom="2.7165354330708662" header="0" footer="0"/>
  <pageSetup paperSize="9" pageOrder="overThenDown"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FD6B6E"/>
  </sheetPr>
  <dimension ref="A1:N26"/>
  <sheetViews>
    <sheetView topLeftCell="B1" workbookViewId="0">
      <selection activeCell="D1" sqref="D1:N14"/>
    </sheetView>
  </sheetViews>
  <sheetFormatPr defaultColWidth="11.42578125" defaultRowHeight="12.75"/>
  <cols>
    <col min="1" max="1" width="26.7109375" style="12" hidden="1" customWidth="1"/>
    <col min="2" max="2" width="0.140625" style="12" customWidth="1"/>
    <col min="3" max="3" width="1.7109375" style="12" hidden="1" customWidth="1"/>
    <col min="4" max="4" width="10.85546875" style="12" customWidth="1"/>
    <col min="5" max="5" width="15.140625" style="12" customWidth="1"/>
    <col min="6" max="6" width="6.85546875" style="12" customWidth="1"/>
    <col min="7" max="7" width="15.7109375" style="12" customWidth="1"/>
    <col min="8" max="8" width="12.42578125" style="12" customWidth="1"/>
    <col min="9" max="9" width="4.85546875" style="12" customWidth="1"/>
    <col min="10" max="10" width="26.85546875" style="12" customWidth="1"/>
    <col min="11" max="11" width="2.140625" style="12" customWidth="1"/>
    <col min="12" max="12" width="17.5703125" style="12" customWidth="1"/>
    <col min="13" max="13" width="15.7109375" style="12" customWidth="1"/>
    <col min="14" max="43" width="11.42578125" style="12"/>
    <col min="44" max="44" width="25.140625" style="12" customWidth="1"/>
    <col min="45" max="45" width="27.85546875" style="12" customWidth="1"/>
    <col min="46" max="46" width="0.28515625" style="12" customWidth="1"/>
    <col min="47" max="47" width="15.7109375" style="12" customWidth="1"/>
    <col min="48" max="48" width="10.140625" style="12" customWidth="1"/>
    <col min="49" max="49" width="5.85546875" style="12" customWidth="1"/>
    <col min="50" max="50" width="15.7109375" style="12" customWidth="1"/>
    <col min="51" max="51" width="10.7109375" style="12" customWidth="1"/>
    <col min="52" max="52" width="4.85546875" style="12" customWidth="1"/>
    <col min="53" max="53" width="28.28515625" style="12" customWidth="1"/>
    <col min="54" max="54" width="3.7109375" style="12" customWidth="1"/>
    <col min="55" max="55" width="17" style="12" customWidth="1"/>
    <col min="56" max="56" width="12.42578125" style="12" customWidth="1"/>
    <col min="57" max="299" width="11.42578125" style="12"/>
    <col min="300" max="300" width="25.140625" style="12" customWidth="1"/>
    <col min="301" max="301" width="27.85546875" style="12" customWidth="1"/>
    <col min="302" max="302" width="0.28515625" style="12" customWidth="1"/>
    <col min="303" max="303" width="15.7109375" style="12" customWidth="1"/>
    <col min="304" max="304" width="10.140625" style="12" customWidth="1"/>
    <col min="305" max="305" width="5.85546875" style="12" customWidth="1"/>
    <col min="306" max="306" width="15.7109375" style="12" customWidth="1"/>
    <col min="307" max="307" width="10.7109375" style="12" customWidth="1"/>
    <col min="308" max="308" width="4.85546875" style="12" customWidth="1"/>
    <col min="309" max="309" width="28.28515625" style="12" customWidth="1"/>
    <col min="310" max="310" width="3.7109375" style="12" customWidth="1"/>
    <col min="311" max="311" width="17" style="12" customWidth="1"/>
    <col min="312" max="312" width="12.42578125" style="12" customWidth="1"/>
    <col min="313" max="555" width="11.42578125" style="12"/>
    <col min="556" max="556" width="25.140625" style="12" customWidth="1"/>
    <col min="557" max="557" width="27.85546875" style="12" customWidth="1"/>
    <col min="558" max="558" width="0.28515625" style="12" customWidth="1"/>
    <col min="559" max="559" width="15.7109375" style="12" customWidth="1"/>
    <col min="560" max="560" width="10.140625" style="12" customWidth="1"/>
    <col min="561" max="561" width="5.85546875" style="12" customWidth="1"/>
    <col min="562" max="562" width="15.7109375" style="12" customWidth="1"/>
    <col min="563" max="563" width="10.7109375" style="12" customWidth="1"/>
    <col min="564" max="564" width="4.85546875" style="12" customWidth="1"/>
    <col min="565" max="565" width="28.28515625" style="12" customWidth="1"/>
    <col min="566" max="566" width="3.7109375" style="12" customWidth="1"/>
    <col min="567" max="567" width="17" style="12" customWidth="1"/>
    <col min="568" max="568" width="12.42578125" style="12" customWidth="1"/>
    <col min="569" max="811" width="11.42578125" style="12"/>
    <col min="812" max="812" width="25.140625" style="12" customWidth="1"/>
    <col min="813" max="813" width="27.85546875" style="12" customWidth="1"/>
    <col min="814" max="814" width="0.28515625" style="12" customWidth="1"/>
    <col min="815" max="815" width="15.7109375" style="12" customWidth="1"/>
    <col min="816" max="816" width="10.140625" style="12" customWidth="1"/>
    <col min="817" max="817" width="5.85546875" style="12" customWidth="1"/>
    <col min="818" max="818" width="15.7109375" style="12" customWidth="1"/>
    <col min="819" max="819" width="10.7109375" style="12" customWidth="1"/>
    <col min="820" max="820" width="4.85546875" style="12" customWidth="1"/>
    <col min="821" max="821" width="28.28515625" style="12" customWidth="1"/>
    <col min="822" max="822" width="3.7109375" style="12" customWidth="1"/>
    <col min="823" max="823" width="17" style="12" customWidth="1"/>
    <col min="824" max="824" width="12.42578125" style="12" customWidth="1"/>
    <col min="825" max="1067" width="11.42578125" style="12"/>
    <col min="1068" max="1068" width="25.140625" style="12" customWidth="1"/>
    <col min="1069" max="1069" width="27.85546875" style="12" customWidth="1"/>
    <col min="1070" max="1070" width="0.28515625" style="12" customWidth="1"/>
    <col min="1071" max="1071" width="15.7109375" style="12" customWidth="1"/>
    <col min="1072" max="1072" width="10.140625" style="12" customWidth="1"/>
    <col min="1073" max="1073" width="5.85546875" style="12" customWidth="1"/>
    <col min="1074" max="1074" width="15.7109375" style="12" customWidth="1"/>
    <col min="1075" max="1075" width="10.7109375" style="12" customWidth="1"/>
    <col min="1076" max="1076" width="4.85546875" style="12" customWidth="1"/>
    <col min="1077" max="1077" width="28.28515625" style="12" customWidth="1"/>
    <col min="1078" max="1078" width="3.7109375" style="12" customWidth="1"/>
    <col min="1079" max="1079" width="17" style="12" customWidth="1"/>
    <col min="1080" max="1080" width="12.42578125" style="12" customWidth="1"/>
    <col min="1081" max="1323" width="11.42578125" style="12"/>
    <col min="1324" max="1324" width="25.140625" style="12" customWidth="1"/>
    <col min="1325" max="1325" width="27.85546875" style="12" customWidth="1"/>
    <col min="1326" max="1326" width="0.28515625" style="12" customWidth="1"/>
    <col min="1327" max="1327" width="15.7109375" style="12" customWidth="1"/>
    <col min="1328" max="1328" width="10.140625" style="12" customWidth="1"/>
    <col min="1329" max="1329" width="5.85546875" style="12" customWidth="1"/>
    <col min="1330" max="1330" width="15.7109375" style="12" customWidth="1"/>
    <col min="1331" max="1331" width="10.7109375" style="12" customWidth="1"/>
    <col min="1332" max="1332" width="4.85546875" style="12" customWidth="1"/>
    <col min="1333" max="1333" width="28.28515625" style="12" customWidth="1"/>
    <col min="1334" max="1334" width="3.7109375" style="12" customWidth="1"/>
    <col min="1335" max="1335" width="17" style="12" customWidth="1"/>
    <col min="1336" max="1336" width="12.42578125" style="12" customWidth="1"/>
    <col min="1337" max="1579" width="11.42578125" style="12"/>
    <col min="1580" max="1580" width="25.140625" style="12" customWidth="1"/>
    <col min="1581" max="1581" width="27.85546875" style="12" customWidth="1"/>
    <col min="1582" max="1582" width="0.28515625" style="12" customWidth="1"/>
    <col min="1583" max="1583" width="15.7109375" style="12" customWidth="1"/>
    <col min="1584" max="1584" width="10.140625" style="12" customWidth="1"/>
    <col min="1585" max="1585" width="5.85546875" style="12" customWidth="1"/>
    <col min="1586" max="1586" width="15.7109375" style="12" customWidth="1"/>
    <col min="1587" max="1587" width="10.7109375" style="12" customWidth="1"/>
    <col min="1588" max="1588" width="4.85546875" style="12" customWidth="1"/>
    <col min="1589" max="1589" width="28.28515625" style="12" customWidth="1"/>
    <col min="1590" max="1590" width="3.7109375" style="12" customWidth="1"/>
    <col min="1591" max="1591" width="17" style="12" customWidth="1"/>
    <col min="1592" max="1592" width="12.42578125" style="12" customWidth="1"/>
    <col min="1593" max="1835" width="11.42578125" style="12"/>
    <col min="1836" max="1836" width="25.140625" style="12" customWidth="1"/>
    <col min="1837" max="1837" width="27.85546875" style="12" customWidth="1"/>
    <col min="1838" max="1838" width="0.28515625" style="12" customWidth="1"/>
    <col min="1839" max="1839" width="15.7109375" style="12" customWidth="1"/>
    <col min="1840" max="1840" width="10.140625" style="12" customWidth="1"/>
    <col min="1841" max="1841" width="5.85546875" style="12" customWidth="1"/>
    <col min="1842" max="1842" width="15.7109375" style="12" customWidth="1"/>
    <col min="1843" max="1843" width="10.7109375" style="12" customWidth="1"/>
    <col min="1844" max="1844" width="4.85546875" style="12" customWidth="1"/>
    <col min="1845" max="1845" width="28.28515625" style="12" customWidth="1"/>
    <col min="1846" max="1846" width="3.7109375" style="12" customWidth="1"/>
    <col min="1847" max="1847" width="17" style="12" customWidth="1"/>
    <col min="1848" max="1848" width="12.42578125" style="12" customWidth="1"/>
    <col min="1849" max="2091" width="11.42578125" style="12"/>
    <col min="2092" max="2092" width="25.140625" style="12" customWidth="1"/>
    <col min="2093" max="2093" width="27.85546875" style="12" customWidth="1"/>
    <col min="2094" max="2094" width="0.28515625" style="12" customWidth="1"/>
    <col min="2095" max="2095" width="15.7109375" style="12" customWidth="1"/>
    <col min="2096" max="2096" width="10.140625" style="12" customWidth="1"/>
    <col min="2097" max="2097" width="5.85546875" style="12" customWidth="1"/>
    <col min="2098" max="2098" width="15.7109375" style="12" customWidth="1"/>
    <col min="2099" max="2099" width="10.7109375" style="12" customWidth="1"/>
    <col min="2100" max="2100" width="4.85546875" style="12" customWidth="1"/>
    <col min="2101" max="2101" width="28.28515625" style="12" customWidth="1"/>
    <col min="2102" max="2102" width="3.7109375" style="12" customWidth="1"/>
    <col min="2103" max="2103" width="17" style="12" customWidth="1"/>
    <col min="2104" max="2104" width="12.42578125" style="12" customWidth="1"/>
    <col min="2105" max="2347" width="11.42578125" style="12"/>
    <col min="2348" max="2348" width="25.140625" style="12" customWidth="1"/>
    <col min="2349" max="2349" width="27.85546875" style="12" customWidth="1"/>
    <col min="2350" max="2350" width="0.28515625" style="12" customWidth="1"/>
    <col min="2351" max="2351" width="15.7109375" style="12" customWidth="1"/>
    <col min="2352" max="2352" width="10.140625" style="12" customWidth="1"/>
    <col min="2353" max="2353" width="5.85546875" style="12" customWidth="1"/>
    <col min="2354" max="2354" width="15.7109375" style="12" customWidth="1"/>
    <col min="2355" max="2355" width="10.7109375" style="12" customWidth="1"/>
    <col min="2356" max="2356" width="4.85546875" style="12" customWidth="1"/>
    <col min="2357" max="2357" width="28.28515625" style="12" customWidth="1"/>
    <col min="2358" max="2358" width="3.7109375" style="12" customWidth="1"/>
    <col min="2359" max="2359" width="17" style="12" customWidth="1"/>
    <col min="2360" max="2360" width="12.42578125" style="12" customWidth="1"/>
    <col min="2361" max="2603" width="11.42578125" style="12"/>
    <col min="2604" max="2604" width="25.140625" style="12" customWidth="1"/>
    <col min="2605" max="2605" width="27.85546875" style="12" customWidth="1"/>
    <col min="2606" max="2606" width="0.28515625" style="12" customWidth="1"/>
    <col min="2607" max="2607" width="15.7109375" style="12" customWidth="1"/>
    <col min="2608" max="2608" width="10.140625" style="12" customWidth="1"/>
    <col min="2609" max="2609" width="5.85546875" style="12" customWidth="1"/>
    <col min="2610" max="2610" width="15.7109375" style="12" customWidth="1"/>
    <col min="2611" max="2611" width="10.7109375" style="12" customWidth="1"/>
    <col min="2612" max="2612" width="4.85546875" style="12" customWidth="1"/>
    <col min="2613" max="2613" width="28.28515625" style="12" customWidth="1"/>
    <col min="2614" max="2614" width="3.7109375" style="12" customWidth="1"/>
    <col min="2615" max="2615" width="17" style="12" customWidth="1"/>
    <col min="2616" max="2616" width="12.42578125" style="12" customWidth="1"/>
    <col min="2617" max="2859" width="11.42578125" style="12"/>
    <col min="2860" max="2860" width="25.140625" style="12" customWidth="1"/>
    <col min="2861" max="2861" width="27.85546875" style="12" customWidth="1"/>
    <col min="2862" max="2862" width="0.28515625" style="12" customWidth="1"/>
    <col min="2863" max="2863" width="15.7109375" style="12" customWidth="1"/>
    <col min="2864" max="2864" width="10.140625" style="12" customWidth="1"/>
    <col min="2865" max="2865" width="5.85546875" style="12" customWidth="1"/>
    <col min="2866" max="2866" width="15.7109375" style="12" customWidth="1"/>
    <col min="2867" max="2867" width="10.7109375" style="12" customWidth="1"/>
    <col min="2868" max="2868" width="4.85546875" style="12" customWidth="1"/>
    <col min="2869" max="2869" width="28.28515625" style="12" customWidth="1"/>
    <col min="2870" max="2870" width="3.7109375" style="12" customWidth="1"/>
    <col min="2871" max="2871" width="17" style="12" customWidth="1"/>
    <col min="2872" max="2872" width="12.42578125" style="12" customWidth="1"/>
    <col min="2873" max="3115" width="11.42578125" style="12"/>
    <col min="3116" max="3116" width="25.140625" style="12" customWidth="1"/>
    <col min="3117" max="3117" width="27.85546875" style="12" customWidth="1"/>
    <col min="3118" max="3118" width="0.28515625" style="12" customWidth="1"/>
    <col min="3119" max="3119" width="15.7109375" style="12" customWidth="1"/>
    <col min="3120" max="3120" width="10.140625" style="12" customWidth="1"/>
    <col min="3121" max="3121" width="5.85546875" style="12" customWidth="1"/>
    <col min="3122" max="3122" width="15.7109375" style="12" customWidth="1"/>
    <col min="3123" max="3123" width="10.7109375" style="12" customWidth="1"/>
    <col min="3124" max="3124" width="4.85546875" style="12" customWidth="1"/>
    <col min="3125" max="3125" width="28.28515625" style="12" customWidth="1"/>
    <col min="3126" max="3126" width="3.7109375" style="12" customWidth="1"/>
    <col min="3127" max="3127" width="17" style="12" customWidth="1"/>
    <col min="3128" max="3128" width="12.42578125" style="12" customWidth="1"/>
    <col min="3129" max="3371" width="11.42578125" style="12"/>
    <col min="3372" max="3372" width="25.140625" style="12" customWidth="1"/>
    <col min="3373" max="3373" width="27.85546875" style="12" customWidth="1"/>
    <col min="3374" max="3374" width="0.28515625" style="12" customWidth="1"/>
    <col min="3375" max="3375" width="15.7109375" style="12" customWidth="1"/>
    <col min="3376" max="3376" width="10.140625" style="12" customWidth="1"/>
    <col min="3377" max="3377" width="5.85546875" style="12" customWidth="1"/>
    <col min="3378" max="3378" width="15.7109375" style="12" customWidth="1"/>
    <col min="3379" max="3379" width="10.7109375" style="12" customWidth="1"/>
    <col min="3380" max="3380" width="4.85546875" style="12" customWidth="1"/>
    <col min="3381" max="3381" width="28.28515625" style="12" customWidth="1"/>
    <col min="3382" max="3382" width="3.7109375" style="12" customWidth="1"/>
    <col min="3383" max="3383" width="17" style="12" customWidth="1"/>
    <col min="3384" max="3384" width="12.42578125" style="12" customWidth="1"/>
    <col min="3385" max="3627" width="11.42578125" style="12"/>
    <col min="3628" max="3628" width="25.140625" style="12" customWidth="1"/>
    <col min="3629" max="3629" width="27.85546875" style="12" customWidth="1"/>
    <col min="3630" max="3630" width="0.28515625" style="12" customWidth="1"/>
    <col min="3631" max="3631" width="15.7109375" style="12" customWidth="1"/>
    <col min="3632" max="3632" width="10.140625" style="12" customWidth="1"/>
    <col min="3633" max="3633" width="5.85546875" style="12" customWidth="1"/>
    <col min="3634" max="3634" width="15.7109375" style="12" customWidth="1"/>
    <col min="3635" max="3635" width="10.7109375" style="12" customWidth="1"/>
    <col min="3636" max="3636" width="4.85546875" style="12" customWidth="1"/>
    <col min="3637" max="3637" width="28.28515625" style="12" customWidth="1"/>
    <col min="3638" max="3638" width="3.7109375" style="12" customWidth="1"/>
    <col min="3639" max="3639" width="17" style="12" customWidth="1"/>
    <col min="3640" max="3640" width="12.42578125" style="12" customWidth="1"/>
    <col min="3641" max="3883" width="11.42578125" style="12"/>
    <col min="3884" max="3884" width="25.140625" style="12" customWidth="1"/>
    <col min="3885" max="3885" width="27.85546875" style="12" customWidth="1"/>
    <col min="3886" max="3886" width="0.28515625" style="12" customWidth="1"/>
    <col min="3887" max="3887" width="15.7109375" style="12" customWidth="1"/>
    <col min="3888" max="3888" width="10.140625" style="12" customWidth="1"/>
    <col min="3889" max="3889" width="5.85546875" style="12" customWidth="1"/>
    <col min="3890" max="3890" width="15.7109375" style="12" customWidth="1"/>
    <col min="3891" max="3891" width="10.7109375" style="12" customWidth="1"/>
    <col min="3892" max="3892" width="4.85546875" style="12" customWidth="1"/>
    <col min="3893" max="3893" width="28.28515625" style="12" customWidth="1"/>
    <col min="3894" max="3894" width="3.7109375" style="12" customWidth="1"/>
    <col min="3895" max="3895" width="17" style="12" customWidth="1"/>
    <col min="3896" max="3896" width="12.42578125" style="12" customWidth="1"/>
    <col min="3897" max="4139" width="11.42578125" style="12"/>
    <col min="4140" max="4140" width="25.140625" style="12" customWidth="1"/>
    <col min="4141" max="4141" width="27.85546875" style="12" customWidth="1"/>
    <col min="4142" max="4142" width="0.28515625" style="12" customWidth="1"/>
    <col min="4143" max="4143" width="15.7109375" style="12" customWidth="1"/>
    <col min="4144" max="4144" width="10.140625" style="12" customWidth="1"/>
    <col min="4145" max="4145" width="5.85546875" style="12" customWidth="1"/>
    <col min="4146" max="4146" width="15.7109375" style="12" customWidth="1"/>
    <col min="4147" max="4147" width="10.7109375" style="12" customWidth="1"/>
    <col min="4148" max="4148" width="4.85546875" style="12" customWidth="1"/>
    <col min="4149" max="4149" width="28.28515625" style="12" customWidth="1"/>
    <col min="4150" max="4150" width="3.7109375" style="12" customWidth="1"/>
    <col min="4151" max="4151" width="17" style="12" customWidth="1"/>
    <col min="4152" max="4152" width="12.42578125" style="12" customWidth="1"/>
    <col min="4153" max="4395" width="11.42578125" style="12"/>
    <col min="4396" max="4396" width="25.140625" style="12" customWidth="1"/>
    <col min="4397" max="4397" width="27.85546875" style="12" customWidth="1"/>
    <col min="4398" max="4398" width="0.28515625" style="12" customWidth="1"/>
    <col min="4399" max="4399" width="15.7109375" style="12" customWidth="1"/>
    <col min="4400" max="4400" width="10.140625" style="12" customWidth="1"/>
    <col min="4401" max="4401" width="5.85546875" style="12" customWidth="1"/>
    <col min="4402" max="4402" width="15.7109375" style="12" customWidth="1"/>
    <col min="4403" max="4403" width="10.7109375" style="12" customWidth="1"/>
    <col min="4404" max="4404" width="4.85546875" style="12" customWidth="1"/>
    <col min="4405" max="4405" width="28.28515625" style="12" customWidth="1"/>
    <col min="4406" max="4406" width="3.7109375" style="12" customWidth="1"/>
    <col min="4407" max="4407" width="17" style="12" customWidth="1"/>
    <col min="4408" max="4408" width="12.42578125" style="12" customWidth="1"/>
    <col min="4409" max="4651" width="11.42578125" style="12"/>
    <col min="4652" max="4652" width="25.140625" style="12" customWidth="1"/>
    <col min="4653" max="4653" width="27.85546875" style="12" customWidth="1"/>
    <col min="4654" max="4654" width="0.28515625" style="12" customWidth="1"/>
    <col min="4655" max="4655" width="15.7109375" style="12" customWidth="1"/>
    <col min="4656" max="4656" width="10.140625" style="12" customWidth="1"/>
    <col min="4657" max="4657" width="5.85546875" style="12" customWidth="1"/>
    <col min="4658" max="4658" width="15.7109375" style="12" customWidth="1"/>
    <col min="4659" max="4659" width="10.7109375" style="12" customWidth="1"/>
    <col min="4660" max="4660" width="4.85546875" style="12" customWidth="1"/>
    <col min="4661" max="4661" width="28.28515625" style="12" customWidth="1"/>
    <col min="4662" max="4662" width="3.7109375" style="12" customWidth="1"/>
    <col min="4663" max="4663" width="17" style="12" customWidth="1"/>
    <col min="4664" max="4664" width="12.42578125" style="12" customWidth="1"/>
    <col min="4665" max="4907" width="11.42578125" style="12"/>
    <col min="4908" max="4908" width="25.140625" style="12" customWidth="1"/>
    <col min="4909" max="4909" width="27.85546875" style="12" customWidth="1"/>
    <col min="4910" max="4910" width="0.28515625" style="12" customWidth="1"/>
    <col min="4911" max="4911" width="15.7109375" style="12" customWidth="1"/>
    <col min="4912" max="4912" width="10.140625" style="12" customWidth="1"/>
    <col min="4913" max="4913" width="5.85546875" style="12" customWidth="1"/>
    <col min="4914" max="4914" width="15.7109375" style="12" customWidth="1"/>
    <col min="4915" max="4915" width="10.7109375" style="12" customWidth="1"/>
    <col min="4916" max="4916" width="4.85546875" style="12" customWidth="1"/>
    <col min="4917" max="4917" width="28.28515625" style="12" customWidth="1"/>
    <col min="4918" max="4918" width="3.7109375" style="12" customWidth="1"/>
    <col min="4919" max="4919" width="17" style="12" customWidth="1"/>
    <col min="4920" max="4920" width="12.42578125" style="12" customWidth="1"/>
    <col min="4921" max="5163" width="11.42578125" style="12"/>
    <col min="5164" max="5164" width="25.140625" style="12" customWidth="1"/>
    <col min="5165" max="5165" width="27.85546875" style="12" customWidth="1"/>
    <col min="5166" max="5166" width="0.28515625" style="12" customWidth="1"/>
    <col min="5167" max="5167" width="15.7109375" style="12" customWidth="1"/>
    <col min="5168" max="5168" width="10.140625" style="12" customWidth="1"/>
    <col min="5169" max="5169" width="5.85546875" style="12" customWidth="1"/>
    <col min="5170" max="5170" width="15.7109375" style="12" customWidth="1"/>
    <col min="5171" max="5171" width="10.7109375" style="12" customWidth="1"/>
    <col min="5172" max="5172" width="4.85546875" style="12" customWidth="1"/>
    <col min="5173" max="5173" width="28.28515625" style="12" customWidth="1"/>
    <col min="5174" max="5174" width="3.7109375" style="12" customWidth="1"/>
    <col min="5175" max="5175" width="17" style="12" customWidth="1"/>
    <col min="5176" max="5176" width="12.42578125" style="12" customWidth="1"/>
    <col min="5177" max="5419" width="11.42578125" style="12"/>
    <col min="5420" max="5420" width="25.140625" style="12" customWidth="1"/>
    <col min="5421" max="5421" width="27.85546875" style="12" customWidth="1"/>
    <col min="5422" max="5422" width="0.28515625" style="12" customWidth="1"/>
    <col min="5423" max="5423" width="15.7109375" style="12" customWidth="1"/>
    <col min="5424" max="5424" width="10.140625" style="12" customWidth="1"/>
    <col min="5425" max="5425" width="5.85546875" style="12" customWidth="1"/>
    <col min="5426" max="5426" width="15.7109375" style="12" customWidth="1"/>
    <col min="5427" max="5427" width="10.7109375" style="12" customWidth="1"/>
    <col min="5428" max="5428" width="4.85546875" style="12" customWidth="1"/>
    <col min="5429" max="5429" width="28.28515625" style="12" customWidth="1"/>
    <col min="5430" max="5430" width="3.7109375" style="12" customWidth="1"/>
    <col min="5431" max="5431" width="17" style="12" customWidth="1"/>
    <col min="5432" max="5432" width="12.42578125" style="12" customWidth="1"/>
    <col min="5433" max="5675" width="11.42578125" style="12"/>
    <col min="5676" max="5676" width="25.140625" style="12" customWidth="1"/>
    <col min="5677" max="5677" width="27.85546875" style="12" customWidth="1"/>
    <col min="5678" max="5678" width="0.28515625" style="12" customWidth="1"/>
    <col min="5679" max="5679" width="15.7109375" style="12" customWidth="1"/>
    <col min="5680" max="5680" width="10.140625" style="12" customWidth="1"/>
    <col min="5681" max="5681" width="5.85546875" style="12" customWidth="1"/>
    <col min="5682" max="5682" width="15.7109375" style="12" customWidth="1"/>
    <col min="5683" max="5683" width="10.7109375" style="12" customWidth="1"/>
    <col min="5684" max="5684" width="4.85546875" style="12" customWidth="1"/>
    <col min="5685" max="5685" width="28.28515625" style="12" customWidth="1"/>
    <col min="5686" max="5686" width="3.7109375" style="12" customWidth="1"/>
    <col min="5687" max="5687" width="17" style="12" customWidth="1"/>
    <col min="5688" max="5688" width="12.42578125" style="12" customWidth="1"/>
    <col min="5689" max="5931" width="11.42578125" style="12"/>
    <col min="5932" max="5932" width="25.140625" style="12" customWidth="1"/>
    <col min="5933" max="5933" width="27.85546875" style="12" customWidth="1"/>
    <col min="5934" max="5934" width="0.28515625" style="12" customWidth="1"/>
    <col min="5935" max="5935" width="15.7109375" style="12" customWidth="1"/>
    <col min="5936" max="5936" width="10.140625" style="12" customWidth="1"/>
    <col min="5937" max="5937" width="5.85546875" style="12" customWidth="1"/>
    <col min="5938" max="5938" width="15.7109375" style="12" customWidth="1"/>
    <col min="5939" max="5939" width="10.7109375" style="12" customWidth="1"/>
    <col min="5940" max="5940" width="4.85546875" style="12" customWidth="1"/>
    <col min="5941" max="5941" width="28.28515625" style="12" customWidth="1"/>
    <col min="5942" max="5942" width="3.7109375" style="12" customWidth="1"/>
    <col min="5943" max="5943" width="17" style="12" customWidth="1"/>
    <col min="5944" max="5944" width="12.42578125" style="12" customWidth="1"/>
    <col min="5945" max="6187" width="11.42578125" style="12"/>
    <col min="6188" max="6188" width="25.140625" style="12" customWidth="1"/>
    <col min="6189" max="6189" width="27.85546875" style="12" customWidth="1"/>
    <col min="6190" max="6190" width="0.28515625" style="12" customWidth="1"/>
    <col min="6191" max="6191" width="15.7109375" style="12" customWidth="1"/>
    <col min="6192" max="6192" width="10.140625" style="12" customWidth="1"/>
    <col min="6193" max="6193" width="5.85546875" style="12" customWidth="1"/>
    <col min="6194" max="6194" width="15.7109375" style="12" customWidth="1"/>
    <col min="6195" max="6195" width="10.7109375" style="12" customWidth="1"/>
    <col min="6196" max="6196" width="4.85546875" style="12" customWidth="1"/>
    <col min="6197" max="6197" width="28.28515625" style="12" customWidth="1"/>
    <col min="6198" max="6198" width="3.7109375" style="12" customWidth="1"/>
    <col min="6199" max="6199" width="17" style="12" customWidth="1"/>
    <col min="6200" max="6200" width="12.42578125" style="12" customWidth="1"/>
    <col min="6201" max="6443" width="11.42578125" style="12"/>
    <col min="6444" max="6444" width="25.140625" style="12" customWidth="1"/>
    <col min="6445" max="6445" width="27.85546875" style="12" customWidth="1"/>
    <col min="6446" max="6446" width="0.28515625" style="12" customWidth="1"/>
    <col min="6447" max="6447" width="15.7109375" style="12" customWidth="1"/>
    <col min="6448" max="6448" width="10.140625" style="12" customWidth="1"/>
    <col min="6449" max="6449" width="5.85546875" style="12" customWidth="1"/>
    <col min="6450" max="6450" width="15.7109375" style="12" customWidth="1"/>
    <col min="6451" max="6451" width="10.7109375" style="12" customWidth="1"/>
    <col min="6452" max="6452" width="4.85546875" style="12" customWidth="1"/>
    <col min="6453" max="6453" width="28.28515625" style="12" customWidth="1"/>
    <col min="6454" max="6454" width="3.7109375" style="12" customWidth="1"/>
    <col min="6455" max="6455" width="17" style="12" customWidth="1"/>
    <col min="6456" max="6456" width="12.42578125" style="12" customWidth="1"/>
    <col min="6457" max="6699" width="11.42578125" style="12"/>
    <col min="6700" max="6700" width="25.140625" style="12" customWidth="1"/>
    <col min="6701" max="6701" width="27.85546875" style="12" customWidth="1"/>
    <col min="6702" max="6702" width="0.28515625" style="12" customWidth="1"/>
    <col min="6703" max="6703" width="15.7109375" style="12" customWidth="1"/>
    <col min="6704" max="6704" width="10.140625" style="12" customWidth="1"/>
    <col min="6705" max="6705" width="5.85546875" style="12" customWidth="1"/>
    <col min="6706" max="6706" width="15.7109375" style="12" customWidth="1"/>
    <col min="6707" max="6707" width="10.7109375" style="12" customWidth="1"/>
    <col min="6708" max="6708" width="4.85546875" style="12" customWidth="1"/>
    <col min="6709" max="6709" width="28.28515625" style="12" customWidth="1"/>
    <col min="6710" max="6710" width="3.7109375" style="12" customWidth="1"/>
    <col min="6711" max="6711" width="17" style="12" customWidth="1"/>
    <col min="6712" max="6712" width="12.42578125" style="12" customWidth="1"/>
    <col min="6713" max="6955" width="11.42578125" style="12"/>
    <col min="6956" max="6956" width="25.140625" style="12" customWidth="1"/>
    <col min="6957" max="6957" width="27.85546875" style="12" customWidth="1"/>
    <col min="6958" max="6958" width="0.28515625" style="12" customWidth="1"/>
    <col min="6959" max="6959" width="15.7109375" style="12" customWidth="1"/>
    <col min="6960" max="6960" width="10.140625" style="12" customWidth="1"/>
    <col min="6961" max="6961" width="5.85546875" style="12" customWidth="1"/>
    <col min="6962" max="6962" width="15.7109375" style="12" customWidth="1"/>
    <col min="6963" max="6963" width="10.7109375" style="12" customWidth="1"/>
    <col min="6964" max="6964" width="4.85546875" style="12" customWidth="1"/>
    <col min="6965" max="6965" width="28.28515625" style="12" customWidth="1"/>
    <col min="6966" max="6966" width="3.7109375" style="12" customWidth="1"/>
    <col min="6967" max="6967" width="17" style="12" customWidth="1"/>
    <col min="6968" max="6968" width="12.42578125" style="12" customWidth="1"/>
    <col min="6969" max="7211" width="11.42578125" style="12"/>
    <col min="7212" max="7212" width="25.140625" style="12" customWidth="1"/>
    <col min="7213" max="7213" width="27.85546875" style="12" customWidth="1"/>
    <col min="7214" max="7214" width="0.28515625" style="12" customWidth="1"/>
    <col min="7215" max="7215" width="15.7109375" style="12" customWidth="1"/>
    <col min="7216" max="7216" width="10.140625" style="12" customWidth="1"/>
    <col min="7217" max="7217" width="5.85546875" style="12" customWidth="1"/>
    <col min="7218" max="7218" width="15.7109375" style="12" customWidth="1"/>
    <col min="7219" max="7219" width="10.7109375" style="12" customWidth="1"/>
    <col min="7220" max="7220" width="4.85546875" style="12" customWidth="1"/>
    <col min="7221" max="7221" width="28.28515625" style="12" customWidth="1"/>
    <col min="7222" max="7222" width="3.7109375" style="12" customWidth="1"/>
    <col min="7223" max="7223" width="17" style="12" customWidth="1"/>
    <col min="7224" max="7224" width="12.42578125" style="12" customWidth="1"/>
    <col min="7225" max="7467" width="11.42578125" style="12"/>
    <col min="7468" max="7468" width="25.140625" style="12" customWidth="1"/>
    <col min="7469" max="7469" width="27.85546875" style="12" customWidth="1"/>
    <col min="7470" max="7470" width="0.28515625" style="12" customWidth="1"/>
    <col min="7471" max="7471" width="15.7109375" style="12" customWidth="1"/>
    <col min="7472" max="7472" width="10.140625" style="12" customWidth="1"/>
    <col min="7473" max="7473" width="5.85546875" style="12" customWidth="1"/>
    <col min="7474" max="7474" width="15.7109375" style="12" customWidth="1"/>
    <col min="7475" max="7475" width="10.7109375" style="12" customWidth="1"/>
    <col min="7476" max="7476" width="4.85546875" style="12" customWidth="1"/>
    <col min="7477" max="7477" width="28.28515625" style="12" customWidth="1"/>
    <col min="7478" max="7478" width="3.7109375" style="12" customWidth="1"/>
    <col min="7479" max="7479" width="17" style="12" customWidth="1"/>
    <col min="7480" max="7480" width="12.42578125" style="12" customWidth="1"/>
    <col min="7481" max="7723" width="11.42578125" style="12"/>
    <col min="7724" max="7724" width="25.140625" style="12" customWidth="1"/>
    <col min="7725" max="7725" width="27.85546875" style="12" customWidth="1"/>
    <col min="7726" max="7726" width="0.28515625" style="12" customWidth="1"/>
    <col min="7727" max="7727" width="15.7109375" style="12" customWidth="1"/>
    <col min="7728" max="7728" width="10.140625" style="12" customWidth="1"/>
    <col min="7729" max="7729" width="5.85546875" style="12" customWidth="1"/>
    <col min="7730" max="7730" width="15.7109375" style="12" customWidth="1"/>
    <col min="7731" max="7731" width="10.7109375" style="12" customWidth="1"/>
    <col min="7732" max="7732" width="4.85546875" style="12" customWidth="1"/>
    <col min="7733" max="7733" width="28.28515625" style="12" customWidth="1"/>
    <col min="7734" max="7734" width="3.7109375" style="12" customWidth="1"/>
    <col min="7735" max="7735" width="17" style="12" customWidth="1"/>
    <col min="7736" max="7736" width="12.42578125" style="12" customWidth="1"/>
    <col min="7737" max="7979" width="11.42578125" style="12"/>
    <col min="7980" max="7980" width="25.140625" style="12" customWidth="1"/>
    <col min="7981" max="7981" width="27.85546875" style="12" customWidth="1"/>
    <col min="7982" max="7982" width="0.28515625" style="12" customWidth="1"/>
    <col min="7983" max="7983" width="15.7109375" style="12" customWidth="1"/>
    <col min="7984" max="7984" width="10.140625" style="12" customWidth="1"/>
    <col min="7985" max="7985" width="5.85546875" style="12" customWidth="1"/>
    <col min="7986" max="7986" width="15.7109375" style="12" customWidth="1"/>
    <col min="7987" max="7987" width="10.7109375" style="12" customWidth="1"/>
    <col min="7988" max="7988" width="4.85546875" style="12" customWidth="1"/>
    <col min="7989" max="7989" width="28.28515625" style="12" customWidth="1"/>
    <col min="7990" max="7990" width="3.7109375" style="12" customWidth="1"/>
    <col min="7991" max="7991" width="17" style="12" customWidth="1"/>
    <col min="7992" max="7992" width="12.42578125" style="12" customWidth="1"/>
    <col min="7993" max="8235" width="11.42578125" style="12"/>
    <col min="8236" max="8236" width="25.140625" style="12" customWidth="1"/>
    <col min="8237" max="8237" width="27.85546875" style="12" customWidth="1"/>
    <col min="8238" max="8238" width="0.28515625" style="12" customWidth="1"/>
    <col min="8239" max="8239" width="15.7109375" style="12" customWidth="1"/>
    <col min="8240" max="8240" width="10.140625" style="12" customWidth="1"/>
    <col min="8241" max="8241" width="5.85546875" style="12" customWidth="1"/>
    <col min="8242" max="8242" width="15.7109375" style="12" customWidth="1"/>
    <col min="8243" max="8243" width="10.7109375" style="12" customWidth="1"/>
    <col min="8244" max="8244" width="4.85546875" style="12" customWidth="1"/>
    <col min="8245" max="8245" width="28.28515625" style="12" customWidth="1"/>
    <col min="8246" max="8246" width="3.7109375" style="12" customWidth="1"/>
    <col min="8247" max="8247" width="17" style="12" customWidth="1"/>
    <col min="8248" max="8248" width="12.42578125" style="12" customWidth="1"/>
    <col min="8249" max="8491" width="11.42578125" style="12"/>
    <col min="8492" max="8492" width="25.140625" style="12" customWidth="1"/>
    <col min="8493" max="8493" width="27.85546875" style="12" customWidth="1"/>
    <col min="8494" max="8494" width="0.28515625" style="12" customWidth="1"/>
    <col min="8495" max="8495" width="15.7109375" style="12" customWidth="1"/>
    <col min="8496" max="8496" width="10.140625" style="12" customWidth="1"/>
    <col min="8497" max="8497" width="5.85546875" style="12" customWidth="1"/>
    <col min="8498" max="8498" width="15.7109375" style="12" customWidth="1"/>
    <col min="8499" max="8499" width="10.7109375" style="12" customWidth="1"/>
    <col min="8500" max="8500" width="4.85546875" style="12" customWidth="1"/>
    <col min="8501" max="8501" width="28.28515625" style="12" customWidth="1"/>
    <col min="8502" max="8502" width="3.7109375" style="12" customWidth="1"/>
    <col min="8503" max="8503" width="17" style="12" customWidth="1"/>
    <col min="8504" max="8504" width="12.42578125" style="12" customWidth="1"/>
    <col min="8505" max="8747" width="11.42578125" style="12"/>
    <col min="8748" max="8748" width="25.140625" style="12" customWidth="1"/>
    <col min="8749" max="8749" width="27.85546875" style="12" customWidth="1"/>
    <col min="8750" max="8750" width="0.28515625" style="12" customWidth="1"/>
    <col min="8751" max="8751" width="15.7109375" style="12" customWidth="1"/>
    <col min="8752" max="8752" width="10.140625" style="12" customWidth="1"/>
    <col min="8753" max="8753" width="5.85546875" style="12" customWidth="1"/>
    <col min="8754" max="8754" width="15.7109375" style="12" customWidth="1"/>
    <col min="8755" max="8755" width="10.7109375" style="12" customWidth="1"/>
    <col min="8756" max="8756" width="4.85546875" style="12" customWidth="1"/>
    <col min="8757" max="8757" width="28.28515625" style="12" customWidth="1"/>
    <col min="8758" max="8758" width="3.7109375" style="12" customWidth="1"/>
    <col min="8759" max="8759" width="17" style="12" customWidth="1"/>
    <col min="8760" max="8760" width="12.42578125" style="12" customWidth="1"/>
    <col min="8761" max="9003" width="11.42578125" style="12"/>
    <col min="9004" max="9004" width="25.140625" style="12" customWidth="1"/>
    <col min="9005" max="9005" width="27.85546875" style="12" customWidth="1"/>
    <col min="9006" max="9006" width="0.28515625" style="12" customWidth="1"/>
    <col min="9007" max="9007" width="15.7109375" style="12" customWidth="1"/>
    <col min="9008" max="9008" width="10.140625" style="12" customWidth="1"/>
    <col min="9009" max="9009" width="5.85546875" style="12" customWidth="1"/>
    <col min="9010" max="9010" width="15.7109375" style="12" customWidth="1"/>
    <col min="9011" max="9011" width="10.7109375" style="12" customWidth="1"/>
    <col min="9012" max="9012" width="4.85546875" style="12" customWidth="1"/>
    <col min="9013" max="9013" width="28.28515625" style="12" customWidth="1"/>
    <col min="9014" max="9014" width="3.7109375" style="12" customWidth="1"/>
    <col min="9015" max="9015" width="17" style="12" customWidth="1"/>
    <col min="9016" max="9016" width="12.42578125" style="12" customWidth="1"/>
    <col min="9017" max="9259" width="11.42578125" style="12"/>
    <col min="9260" max="9260" width="25.140625" style="12" customWidth="1"/>
    <col min="9261" max="9261" width="27.85546875" style="12" customWidth="1"/>
    <col min="9262" max="9262" width="0.28515625" style="12" customWidth="1"/>
    <col min="9263" max="9263" width="15.7109375" style="12" customWidth="1"/>
    <col min="9264" max="9264" width="10.140625" style="12" customWidth="1"/>
    <col min="9265" max="9265" width="5.85546875" style="12" customWidth="1"/>
    <col min="9266" max="9266" width="15.7109375" style="12" customWidth="1"/>
    <col min="9267" max="9267" width="10.7109375" style="12" customWidth="1"/>
    <col min="9268" max="9268" width="4.85546875" style="12" customWidth="1"/>
    <col min="9269" max="9269" width="28.28515625" style="12" customWidth="1"/>
    <col min="9270" max="9270" width="3.7109375" style="12" customWidth="1"/>
    <col min="9271" max="9271" width="17" style="12" customWidth="1"/>
    <col min="9272" max="9272" width="12.42578125" style="12" customWidth="1"/>
    <col min="9273" max="9515" width="11.42578125" style="12"/>
    <col min="9516" max="9516" width="25.140625" style="12" customWidth="1"/>
    <col min="9517" max="9517" width="27.85546875" style="12" customWidth="1"/>
    <col min="9518" max="9518" width="0.28515625" style="12" customWidth="1"/>
    <col min="9519" max="9519" width="15.7109375" style="12" customWidth="1"/>
    <col min="9520" max="9520" width="10.140625" style="12" customWidth="1"/>
    <col min="9521" max="9521" width="5.85546875" style="12" customWidth="1"/>
    <col min="9522" max="9522" width="15.7109375" style="12" customWidth="1"/>
    <col min="9523" max="9523" width="10.7109375" style="12" customWidth="1"/>
    <col min="9524" max="9524" width="4.85546875" style="12" customWidth="1"/>
    <col min="9525" max="9525" width="28.28515625" style="12" customWidth="1"/>
    <col min="9526" max="9526" width="3.7109375" style="12" customWidth="1"/>
    <col min="9527" max="9527" width="17" style="12" customWidth="1"/>
    <col min="9528" max="9528" width="12.42578125" style="12" customWidth="1"/>
    <col min="9529" max="9771" width="11.42578125" style="12"/>
    <col min="9772" max="9772" width="25.140625" style="12" customWidth="1"/>
    <col min="9773" max="9773" width="27.85546875" style="12" customWidth="1"/>
    <col min="9774" max="9774" width="0.28515625" style="12" customWidth="1"/>
    <col min="9775" max="9775" width="15.7109375" style="12" customWidth="1"/>
    <col min="9776" max="9776" width="10.140625" style="12" customWidth="1"/>
    <col min="9777" max="9777" width="5.85546875" style="12" customWidth="1"/>
    <col min="9778" max="9778" width="15.7109375" style="12" customWidth="1"/>
    <col min="9779" max="9779" width="10.7109375" style="12" customWidth="1"/>
    <col min="9780" max="9780" width="4.85546875" style="12" customWidth="1"/>
    <col min="9781" max="9781" width="28.28515625" style="12" customWidth="1"/>
    <col min="9782" max="9782" width="3.7109375" style="12" customWidth="1"/>
    <col min="9783" max="9783" width="17" style="12" customWidth="1"/>
    <col min="9784" max="9784" width="12.42578125" style="12" customWidth="1"/>
    <col min="9785" max="10027" width="11.42578125" style="12"/>
    <col min="10028" max="10028" width="25.140625" style="12" customWidth="1"/>
    <col min="10029" max="10029" width="27.85546875" style="12" customWidth="1"/>
    <col min="10030" max="10030" width="0.28515625" style="12" customWidth="1"/>
    <col min="10031" max="10031" width="15.7109375" style="12" customWidth="1"/>
    <col min="10032" max="10032" width="10.140625" style="12" customWidth="1"/>
    <col min="10033" max="10033" width="5.85546875" style="12" customWidth="1"/>
    <col min="10034" max="10034" width="15.7109375" style="12" customWidth="1"/>
    <col min="10035" max="10035" width="10.7109375" style="12" customWidth="1"/>
    <col min="10036" max="10036" width="4.85546875" style="12" customWidth="1"/>
    <col min="10037" max="10037" width="28.28515625" style="12" customWidth="1"/>
    <col min="10038" max="10038" width="3.7109375" style="12" customWidth="1"/>
    <col min="10039" max="10039" width="17" style="12" customWidth="1"/>
    <col min="10040" max="10040" width="12.42578125" style="12" customWidth="1"/>
    <col min="10041" max="10283" width="11.42578125" style="12"/>
    <col min="10284" max="10284" width="25.140625" style="12" customWidth="1"/>
    <col min="10285" max="10285" width="27.85546875" style="12" customWidth="1"/>
    <col min="10286" max="10286" width="0.28515625" style="12" customWidth="1"/>
    <col min="10287" max="10287" width="15.7109375" style="12" customWidth="1"/>
    <col min="10288" max="10288" width="10.140625" style="12" customWidth="1"/>
    <col min="10289" max="10289" width="5.85546875" style="12" customWidth="1"/>
    <col min="10290" max="10290" width="15.7109375" style="12" customWidth="1"/>
    <col min="10291" max="10291" width="10.7109375" style="12" customWidth="1"/>
    <col min="10292" max="10292" width="4.85546875" style="12" customWidth="1"/>
    <col min="10293" max="10293" width="28.28515625" style="12" customWidth="1"/>
    <col min="10294" max="10294" width="3.7109375" style="12" customWidth="1"/>
    <col min="10295" max="10295" width="17" style="12" customWidth="1"/>
    <col min="10296" max="10296" width="12.42578125" style="12" customWidth="1"/>
    <col min="10297" max="10539" width="11.42578125" style="12"/>
    <col min="10540" max="10540" width="25.140625" style="12" customWidth="1"/>
    <col min="10541" max="10541" width="27.85546875" style="12" customWidth="1"/>
    <col min="10542" max="10542" width="0.28515625" style="12" customWidth="1"/>
    <col min="10543" max="10543" width="15.7109375" style="12" customWidth="1"/>
    <col min="10544" max="10544" width="10.140625" style="12" customWidth="1"/>
    <col min="10545" max="10545" width="5.85546875" style="12" customWidth="1"/>
    <col min="10546" max="10546" width="15.7109375" style="12" customWidth="1"/>
    <col min="10547" max="10547" width="10.7109375" style="12" customWidth="1"/>
    <col min="10548" max="10548" width="4.85546875" style="12" customWidth="1"/>
    <col min="10549" max="10549" width="28.28515625" style="12" customWidth="1"/>
    <col min="10550" max="10550" width="3.7109375" style="12" customWidth="1"/>
    <col min="10551" max="10551" width="17" style="12" customWidth="1"/>
    <col min="10552" max="10552" width="12.42578125" style="12" customWidth="1"/>
    <col min="10553" max="10795" width="11.42578125" style="12"/>
    <col min="10796" max="10796" width="25.140625" style="12" customWidth="1"/>
    <col min="10797" max="10797" width="27.85546875" style="12" customWidth="1"/>
    <col min="10798" max="10798" width="0.28515625" style="12" customWidth="1"/>
    <col min="10799" max="10799" width="15.7109375" style="12" customWidth="1"/>
    <col min="10800" max="10800" width="10.140625" style="12" customWidth="1"/>
    <col min="10801" max="10801" width="5.85546875" style="12" customWidth="1"/>
    <col min="10802" max="10802" width="15.7109375" style="12" customWidth="1"/>
    <col min="10803" max="10803" width="10.7109375" style="12" customWidth="1"/>
    <col min="10804" max="10804" width="4.85546875" style="12" customWidth="1"/>
    <col min="10805" max="10805" width="28.28515625" style="12" customWidth="1"/>
    <col min="10806" max="10806" width="3.7109375" style="12" customWidth="1"/>
    <col min="10807" max="10807" width="17" style="12" customWidth="1"/>
    <col min="10808" max="10808" width="12.42578125" style="12" customWidth="1"/>
    <col min="10809" max="11051" width="11.42578125" style="12"/>
    <col min="11052" max="11052" width="25.140625" style="12" customWidth="1"/>
    <col min="11053" max="11053" width="27.85546875" style="12" customWidth="1"/>
    <col min="11054" max="11054" width="0.28515625" style="12" customWidth="1"/>
    <col min="11055" max="11055" width="15.7109375" style="12" customWidth="1"/>
    <col min="11056" max="11056" width="10.140625" style="12" customWidth="1"/>
    <col min="11057" max="11057" width="5.85546875" style="12" customWidth="1"/>
    <col min="11058" max="11058" width="15.7109375" style="12" customWidth="1"/>
    <col min="11059" max="11059" width="10.7109375" style="12" customWidth="1"/>
    <col min="11060" max="11060" width="4.85546875" style="12" customWidth="1"/>
    <col min="11061" max="11061" width="28.28515625" style="12" customWidth="1"/>
    <col min="11062" max="11062" width="3.7109375" style="12" customWidth="1"/>
    <col min="11063" max="11063" width="17" style="12" customWidth="1"/>
    <col min="11064" max="11064" width="12.42578125" style="12" customWidth="1"/>
    <col min="11065" max="11307" width="11.42578125" style="12"/>
    <col min="11308" max="11308" width="25.140625" style="12" customWidth="1"/>
    <col min="11309" max="11309" width="27.85546875" style="12" customWidth="1"/>
    <col min="11310" max="11310" width="0.28515625" style="12" customWidth="1"/>
    <col min="11311" max="11311" width="15.7109375" style="12" customWidth="1"/>
    <col min="11312" max="11312" width="10.140625" style="12" customWidth="1"/>
    <col min="11313" max="11313" width="5.85546875" style="12" customWidth="1"/>
    <col min="11314" max="11314" width="15.7109375" style="12" customWidth="1"/>
    <col min="11315" max="11315" width="10.7109375" style="12" customWidth="1"/>
    <col min="11316" max="11316" width="4.85546875" style="12" customWidth="1"/>
    <col min="11317" max="11317" width="28.28515625" style="12" customWidth="1"/>
    <col min="11318" max="11318" width="3.7109375" style="12" customWidth="1"/>
    <col min="11319" max="11319" width="17" style="12" customWidth="1"/>
    <col min="11320" max="11320" width="12.42578125" style="12" customWidth="1"/>
    <col min="11321" max="11563" width="11.42578125" style="12"/>
    <col min="11564" max="11564" width="25.140625" style="12" customWidth="1"/>
    <col min="11565" max="11565" width="27.85546875" style="12" customWidth="1"/>
    <col min="11566" max="11566" width="0.28515625" style="12" customWidth="1"/>
    <col min="11567" max="11567" width="15.7109375" style="12" customWidth="1"/>
    <col min="11568" max="11568" width="10.140625" style="12" customWidth="1"/>
    <col min="11569" max="11569" width="5.85546875" style="12" customWidth="1"/>
    <col min="11570" max="11570" width="15.7109375" style="12" customWidth="1"/>
    <col min="11571" max="11571" width="10.7109375" style="12" customWidth="1"/>
    <col min="11572" max="11572" width="4.85546875" style="12" customWidth="1"/>
    <col min="11573" max="11573" width="28.28515625" style="12" customWidth="1"/>
    <col min="11574" max="11574" width="3.7109375" style="12" customWidth="1"/>
    <col min="11575" max="11575" width="17" style="12" customWidth="1"/>
    <col min="11576" max="11576" width="12.42578125" style="12" customWidth="1"/>
    <col min="11577" max="11819" width="11.42578125" style="12"/>
    <col min="11820" max="11820" width="25.140625" style="12" customWidth="1"/>
    <col min="11821" max="11821" width="27.85546875" style="12" customWidth="1"/>
    <col min="11822" max="11822" width="0.28515625" style="12" customWidth="1"/>
    <col min="11823" max="11823" width="15.7109375" style="12" customWidth="1"/>
    <col min="11824" max="11824" width="10.140625" style="12" customWidth="1"/>
    <col min="11825" max="11825" width="5.85546875" style="12" customWidth="1"/>
    <col min="11826" max="11826" width="15.7109375" style="12" customWidth="1"/>
    <col min="11827" max="11827" width="10.7109375" style="12" customWidth="1"/>
    <col min="11828" max="11828" width="4.85546875" style="12" customWidth="1"/>
    <col min="11829" max="11829" width="28.28515625" style="12" customWidth="1"/>
    <col min="11830" max="11830" width="3.7109375" style="12" customWidth="1"/>
    <col min="11831" max="11831" width="17" style="12" customWidth="1"/>
    <col min="11832" max="11832" width="12.42578125" style="12" customWidth="1"/>
    <col min="11833" max="12075" width="11.42578125" style="12"/>
    <col min="12076" max="12076" width="25.140625" style="12" customWidth="1"/>
    <col min="12077" max="12077" width="27.85546875" style="12" customWidth="1"/>
    <col min="12078" max="12078" width="0.28515625" style="12" customWidth="1"/>
    <col min="12079" max="12079" width="15.7109375" style="12" customWidth="1"/>
    <col min="12080" max="12080" width="10.140625" style="12" customWidth="1"/>
    <col min="12081" max="12081" width="5.85546875" style="12" customWidth="1"/>
    <col min="12082" max="12082" width="15.7109375" style="12" customWidth="1"/>
    <col min="12083" max="12083" width="10.7109375" style="12" customWidth="1"/>
    <col min="12084" max="12084" width="4.85546875" style="12" customWidth="1"/>
    <col min="12085" max="12085" width="28.28515625" style="12" customWidth="1"/>
    <col min="12086" max="12086" width="3.7109375" style="12" customWidth="1"/>
    <col min="12087" max="12087" width="17" style="12" customWidth="1"/>
    <col min="12088" max="12088" width="12.42578125" style="12" customWidth="1"/>
    <col min="12089" max="12331" width="11.42578125" style="12"/>
    <col min="12332" max="12332" width="25.140625" style="12" customWidth="1"/>
    <col min="12333" max="12333" width="27.85546875" style="12" customWidth="1"/>
    <col min="12334" max="12334" width="0.28515625" style="12" customWidth="1"/>
    <col min="12335" max="12335" width="15.7109375" style="12" customWidth="1"/>
    <col min="12336" max="12336" width="10.140625" style="12" customWidth="1"/>
    <col min="12337" max="12337" width="5.85546875" style="12" customWidth="1"/>
    <col min="12338" max="12338" width="15.7109375" style="12" customWidth="1"/>
    <col min="12339" max="12339" width="10.7109375" style="12" customWidth="1"/>
    <col min="12340" max="12340" width="4.85546875" style="12" customWidth="1"/>
    <col min="12341" max="12341" width="28.28515625" style="12" customWidth="1"/>
    <col min="12342" max="12342" width="3.7109375" style="12" customWidth="1"/>
    <col min="12343" max="12343" width="17" style="12" customWidth="1"/>
    <col min="12344" max="12344" width="12.42578125" style="12" customWidth="1"/>
    <col min="12345" max="12587" width="11.42578125" style="12"/>
    <col min="12588" max="12588" width="25.140625" style="12" customWidth="1"/>
    <col min="12589" max="12589" width="27.85546875" style="12" customWidth="1"/>
    <col min="12590" max="12590" width="0.28515625" style="12" customWidth="1"/>
    <col min="12591" max="12591" width="15.7109375" style="12" customWidth="1"/>
    <col min="12592" max="12592" width="10.140625" style="12" customWidth="1"/>
    <col min="12593" max="12593" width="5.85546875" style="12" customWidth="1"/>
    <col min="12594" max="12594" width="15.7109375" style="12" customWidth="1"/>
    <col min="12595" max="12595" width="10.7109375" style="12" customWidth="1"/>
    <col min="12596" max="12596" width="4.85546875" style="12" customWidth="1"/>
    <col min="12597" max="12597" width="28.28515625" style="12" customWidth="1"/>
    <col min="12598" max="12598" width="3.7109375" style="12" customWidth="1"/>
    <col min="12599" max="12599" width="17" style="12" customWidth="1"/>
    <col min="12600" max="12600" width="12.42578125" style="12" customWidth="1"/>
    <col min="12601" max="12843" width="11.42578125" style="12"/>
    <col min="12844" max="12844" width="25.140625" style="12" customWidth="1"/>
    <col min="12845" max="12845" width="27.85546875" style="12" customWidth="1"/>
    <col min="12846" max="12846" width="0.28515625" style="12" customWidth="1"/>
    <col min="12847" max="12847" width="15.7109375" style="12" customWidth="1"/>
    <col min="12848" max="12848" width="10.140625" style="12" customWidth="1"/>
    <col min="12849" max="12849" width="5.85546875" style="12" customWidth="1"/>
    <col min="12850" max="12850" width="15.7109375" style="12" customWidth="1"/>
    <col min="12851" max="12851" width="10.7109375" style="12" customWidth="1"/>
    <col min="12852" max="12852" width="4.85546875" style="12" customWidth="1"/>
    <col min="12853" max="12853" width="28.28515625" style="12" customWidth="1"/>
    <col min="12854" max="12854" width="3.7109375" style="12" customWidth="1"/>
    <col min="12855" max="12855" width="17" style="12" customWidth="1"/>
    <col min="12856" max="12856" width="12.42578125" style="12" customWidth="1"/>
    <col min="12857" max="13099" width="11.42578125" style="12"/>
    <col min="13100" max="13100" width="25.140625" style="12" customWidth="1"/>
    <col min="13101" max="13101" width="27.85546875" style="12" customWidth="1"/>
    <col min="13102" max="13102" width="0.28515625" style="12" customWidth="1"/>
    <col min="13103" max="13103" width="15.7109375" style="12" customWidth="1"/>
    <col min="13104" max="13104" width="10.140625" style="12" customWidth="1"/>
    <col min="13105" max="13105" width="5.85546875" style="12" customWidth="1"/>
    <col min="13106" max="13106" width="15.7109375" style="12" customWidth="1"/>
    <col min="13107" max="13107" width="10.7109375" style="12" customWidth="1"/>
    <col min="13108" max="13108" width="4.85546875" style="12" customWidth="1"/>
    <col min="13109" max="13109" width="28.28515625" style="12" customWidth="1"/>
    <col min="13110" max="13110" width="3.7109375" style="12" customWidth="1"/>
    <col min="13111" max="13111" width="17" style="12" customWidth="1"/>
    <col min="13112" max="13112" width="12.42578125" style="12" customWidth="1"/>
    <col min="13113" max="13355" width="11.42578125" style="12"/>
    <col min="13356" max="13356" width="25.140625" style="12" customWidth="1"/>
    <col min="13357" max="13357" width="27.85546875" style="12" customWidth="1"/>
    <col min="13358" max="13358" width="0.28515625" style="12" customWidth="1"/>
    <col min="13359" max="13359" width="15.7109375" style="12" customWidth="1"/>
    <col min="13360" max="13360" width="10.140625" style="12" customWidth="1"/>
    <col min="13361" max="13361" width="5.85546875" style="12" customWidth="1"/>
    <col min="13362" max="13362" width="15.7109375" style="12" customWidth="1"/>
    <col min="13363" max="13363" width="10.7109375" style="12" customWidth="1"/>
    <col min="13364" max="13364" width="4.85546875" style="12" customWidth="1"/>
    <col min="13365" max="13365" width="28.28515625" style="12" customWidth="1"/>
    <col min="13366" max="13366" width="3.7109375" style="12" customWidth="1"/>
    <col min="13367" max="13367" width="17" style="12" customWidth="1"/>
    <col min="13368" max="13368" width="12.42578125" style="12" customWidth="1"/>
    <col min="13369" max="13611" width="11.42578125" style="12"/>
    <col min="13612" max="13612" width="25.140625" style="12" customWidth="1"/>
    <col min="13613" max="13613" width="27.85546875" style="12" customWidth="1"/>
    <col min="13614" max="13614" width="0.28515625" style="12" customWidth="1"/>
    <col min="13615" max="13615" width="15.7109375" style="12" customWidth="1"/>
    <col min="13616" max="13616" width="10.140625" style="12" customWidth="1"/>
    <col min="13617" max="13617" width="5.85546875" style="12" customWidth="1"/>
    <col min="13618" max="13618" width="15.7109375" style="12" customWidth="1"/>
    <col min="13619" max="13619" width="10.7109375" style="12" customWidth="1"/>
    <col min="13620" max="13620" width="4.85546875" style="12" customWidth="1"/>
    <col min="13621" max="13621" width="28.28515625" style="12" customWidth="1"/>
    <col min="13622" max="13622" width="3.7109375" style="12" customWidth="1"/>
    <col min="13623" max="13623" width="17" style="12" customWidth="1"/>
    <col min="13624" max="13624" width="12.42578125" style="12" customWidth="1"/>
    <col min="13625" max="13867" width="11.42578125" style="12"/>
    <col min="13868" max="13868" width="25.140625" style="12" customWidth="1"/>
    <col min="13869" max="13869" width="27.85546875" style="12" customWidth="1"/>
    <col min="13870" max="13870" width="0.28515625" style="12" customWidth="1"/>
    <col min="13871" max="13871" width="15.7109375" style="12" customWidth="1"/>
    <col min="13872" max="13872" width="10.140625" style="12" customWidth="1"/>
    <col min="13873" max="13873" width="5.85546875" style="12" customWidth="1"/>
    <col min="13874" max="13874" width="15.7109375" style="12" customWidth="1"/>
    <col min="13875" max="13875" width="10.7109375" style="12" customWidth="1"/>
    <col min="13876" max="13876" width="4.85546875" style="12" customWidth="1"/>
    <col min="13877" max="13877" width="28.28515625" style="12" customWidth="1"/>
    <col min="13878" max="13878" width="3.7109375" style="12" customWidth="1"/>
    <col min="13879" max="13879" width="17" style="12" customWidth="1"/>
    <col min="13880" max="13880" width="12.42578125" style="12" customWidth="1"/>
    <col min="13881" max="14123" width="11.42578125" style="12"/>
    <col min="14124" max="14124" width="25.140625" style="12" customWidth="1"/>
    <col min="14125" max="14125" width="27.85546875" style="12" customWidth="1"/>
    <col min="14126" max="14126" width="0.28515625" style="12" customWidth="1"/>
    <col min="14127" max="14127" width="15.7109375" style="12" customWidth="1"/>
    <col min="14128" max="14128" width="10.140625" style="12" customWidth="1"/>
    <col min="14129" max="14129" width="5.85546875" style="12" customWidth="1"/>
    <col min="14130" max="14130" width="15.7109375" style="12" customWidth="1"/>
    <col min="14131" max="14131" width="10.7109375" style="12" customWidth="1"/>
    <col min="14132" max="14132" width="4.85546875" style="12" customWidth="1"/>
    <col min="14133" max="14133" width="28.28515625" style="12" customWidth="1"/>
    <col min="14134" max="14134" width="3.7109375" style="12" customWidth="1"/>
    <col min="14135" max="14135" width="17" style="12" customWidth="1"/>
    <col min="14136" max="14136" width="12.42578125" style="12" customWidth="1"/>
    <col min="14137" max="14379" width="11.42578125" style="12"/>
    <col min="14380" max="14380" width="25.140625" style="12" customWidth="1"/>
    <col min="14381" max="14381" width="27.85546875" style="12" customWidth="1"/>
    <col min="14382" max="14382" width="0.28515625" style="12" customWidth="1"/>
    <col min="14383" max="14383" width="15.7109375" style="12" customWidth="1"/>
    <col min="14384" max="14384" width="10.140625" style="12" customWidth="1"/>
    <col min="14385" max="14385" width="5.85546875" style="12" customWidth="1"/>
    <col min="14386" max="14386" width="15.7109375" style="12" customWidth="1"/>
    <col min="14387" max="14387" width="10.7109375" style="12" customWidth="1"/>
    <col min="14388" max="14388" width="4.85546875" style="12" customWidth="1"/>
    <col min="14389" max="14389" width="28.28515625" style="12" customWidth="1"/>
    <col min="14390" max="14390" width="3.7109375" style="12" customWidth="1"/>
    <col min="14391" max="14391" width="17" style="12" customWidth="1"/>
    <col min="14392" max="14392" width="12.42578125" style="12" customWidth="1"/>
    <col min="14393" max="14635" width="11.42578125" style="12"/>
    <col min="14636" max="14636" width="25.140625" style="12" customWidth="1"/>
    <col min="14637" max="14637" width="27.85546875" style="12" customWidth="1"/>
    <col min="14638" max="14638" width="0.28515625" style="12" customWidth="1"/>
    <col min="14639" max="14639" width="15.7109375" style="12" customWidth="1"/>
    <col min="14640" max="14640" width="10.140625" style="12" customWidth="1"/>
    <col min="14641" max="14641" width="5.85546875" style="12" customWidth="1"/>
    <col min="14642" max="14642" width="15.7109375" style="12" customWidth="1"/>
    <col min="14643" max="14643" width="10.7109375" style="12" customWidth="1"/>
    <col min="14644" max="14644" width="4.85546875" style="12" customWidth="1"/>
    <col min="14645" max="14645" width="28.28515625" style="12" customWidth="1"/>
    <col min="14646" max="14646" width="3.7109375" style="12" customWidth="1"/>
    <col min="14647" max="14647" width="17" style="12" customWidth="1"/>
    <col min="14648" max="14648" width="12.42578125" style="12" customWidth="1"/>
    <col min="14649" max="14891" width="11.42578125" style="12"/>
    <col min="14892" max="14892" width="25.140625" style="12" customWidth="1"/>
    <col min="14893" max="14893" width="27.85546875" style="12" customWidth="1"/>
    <col min="14894" max="14894" width="0.28515625" style="12" customWidth="1"/>
    <col min="14895" max="14895" width="15.7109375" style="12" customWidth="1"/>
    <col min="14896" max="14896" width="10.140625" style="12" customWidth="1"/>
    <col min="14897" max="14897" width="5.85546875" style="12" customWidth="1"/>
    <col min="14898" max="14898" width="15.7109375" style="12" customWidth="1"/>
    <col min="14899" max="14899" width="10.7109375" style="12" customWidth="1"/>
    <col min="14900" max="14900" width="4.85546875" style="12" customWidth="1"/>
    <col min="14901" max="14901" width="28.28515625" style="12" customWidth="1"/>
    <col min="14902" max="14902" width="3.7109375" style="12" customWidth="1"/>
    <col min="14903" max="14903" width="17" style="12" customWidth="1"/>
    <col min="14904" max="14904" width="12.42578125" style="12" customWidth="1"/>
    <col min="14905" max="15147" width="11.42578125" style="12"/>
    <col min="15148" max="15148" width="25.140625" style="12" customWidth="1"/>
    <col min="15149" max="15149" width="27.85546875" style="12" customWidth="1"/>
    <col min="15150" max="15150" width="0.28515625" style="12" customWidth="1"/>
    <col min="15151" max="15151" width="15.7109375" style="12" customWidth="1"/>
    <col min="15152" max="15152" width="10.140625" style="12" customWidth="1"/>
    <col min="15153" max="15153" width="5.85546875" style="12" customWidth="1"/>
    <col min="15154" max="15154" width="15.7109375" style="12" customWidth="1"/>
    <col min="15155" max="15155" width="10.7109375" style="12" customWidth="1"/>
    <col min="15156" max="15156" width="4.85546875" style="12" customWidth="1"/>
    <col min="15157" max="15157" width="28.28515625" style="12" customWidth="1"/>
    <col min="15158" max="15158" width="3.7109375" style="12" customWidth="1"/>
    <col min="15159" max="15159" width="17" style="12" customWidth="1"/>
    <col min="15160" max="15160" width="12.42578125" style="12" customWidth="1"/>
    <col min="15161" max="15403" width="11.42578125" style="12"/>
    <col min="15404" max="15404" width="25.140625" style="12" customWidth="1"/>
    <col min="15405" max="15405" width="27.85546875" style="12" customWidth="1"/>
    <col min="15406" max="15406" width="0.28515625" style="12" customWidth="1"/>
    <col min="15407" max="15407" width="15.7109375" style="12" customWidth="1"/>
    <col min="15408" max="15408" width="10.140625" style="12" customWidth="1"/>
    <col min="15409" max="15409" width="5.85546875" style="12" customWidth="1"/>
    <col min="15410" max="15410" width="15.7109375" style="12" customWidth="1"/>
    <col min="15411" max="15411" width="10.7109375" style="12" customWidth="1"/>
    <col min="15412" max="15412" width="4.85546875" style="12" customWidth="1"/>
    <col min="15413" max="15413" width="28.28515625" style="12" customWidth="1"/>
    <col min="15414" max="15414" width="3.7109375" style="12" customWidth="1"/>
    <col min="15415" max="15415" width="17" style="12" customWidth="1"/>
    <col min="15416" max="15416" width="12.42578125" style="12" customWidth="1"/>
    <col min="15417" max="15659" width="11.42578125" style="12"/>
    <col min="15660" max="15660" width="25.140625" style="12" customWidth="1"/>
    <col min="15661" max="15661" width="27.85546875" style="12" customWidth="1"/>
    <col min="15662" max="15662" width="0.28515625" style="12" customWidth="1"/>
    <col min="15663" max="15663" width="15.7109375" style="12" customWidth="1"/>
    <col min="15664" max="15664" width="10.140625" style="12" customWidth="1"/>
    <col min="15665" max="15665" width="5.85546875" style="12" customWidth="1"/>
    <col min="15666" max="15666" width="15.7109375" style="12" customWidth="1"/>
    <col min="15667" max="15667" width="10.7109375" style="12" customWidth="1"/>
    <col min="15668" max="15668" width="4.85546875" style="12" customWidth="1"/>
    <col min="15669" max="15669" width="28.28515625" style="12" customWidth="1"/>
    <col min="15670" max="15670" width="3.7109375" style="12" customWidth="1"/>
    <col min="15671" max="15671" width="17" style="12" customWidth="1"/>
    <col min="15672" max="15672" width="12.42578125" style="12" customWidth="1"/>
    <col min="15673" max="15915" width="11.42578125" style="12"/>
    <col min="15916" max="15916" width="25.140625" style="12" customWidth="1"/>
    <col min="15917" max="15917" width="27.85546875" style="12" customWidth="1"/>
    <col min="15918" max="15918" width="0.28515625" style="12" customWidth="1"/>
    <col min="15919" max="15919" width="15.7109375" style="12" customWidth="1"/>
    <col min="15920" max="15920" width="10.140625" style="12" customWidth="1"/>
    <col min="15921" max="15921" width="5.85546875" style="12" customWidth="1"/>
    <col min="15922" max="15922" width="15.7109375" style="12" customWidth="1"/>
    <col min="15923" max="15923" width="10.7109375" style="12" customWidth="1"/>
    <col min="15924" max="15924" width="4.85546875" style="12" customWidth="1"/>
    <col min="15925" max="15925" width="28.28515625" style="12" customWidth="1"/>
    <col min="15926" max="15926" width="3.7109375" style="12" customWidth="1"/>
    <col min="15927" max="15927" width="17" style="12" customWidth="1"/>
    <col min="15928" max="15928" width="12.42578125" style="12" customWidth="1"/>
    <col min="15929" max="16384" width="11.42578125" style="12"/>
  </cols>
  <sheetData>
    <row r="1" spans="1:14" ht="12.75" customHeight="1">
      <c r="D1" s="128"/>
      <c r="E1" s="15"/>
      <c r="F1" s="15"/>
      <c r="G1" s="15"/>
      <c r="H1" s="15"/>
      <c r="I1" s="15"/>
      <c r="J1" s="15"/>
      <c r="K1" s="15"/>
      <c r="L1" s="15"/>
      <c r="M1" s="15"/>
    </row>
    <row r="2" spans="1:14">
      <c r="A2" s="12" t="s">
        <v>230</v>
      </c>
      <c r="B2" s="12" t="str">
        <f>CONTRATS!B8</f>
        <v>ALEMNGE CYPRIAN</v>
      </c>
      <c r="D2" s="128" t="str">
        <f>B2</f>
        <v>ALEMNGE CYPRIAN</v>
      </c>
      <c r="E2" s="220"/>
      <c r="F2" s="220"/>
      <c r="G2" s="538" t="str">
        <f>B2</f>
        <v>ALEMNGE CYPRIAN</v>
      </c>
      <c r="H2" s="538"/>
      <c r="I2" s="15"/>
      <c r="K2" s="15"/>
      <c r="L2" s="228">
        <f>B12</f>
        <v>45192</v>
      </c>
      <c r="M2" s="229">
        <f>B13</f>
        <v>45251</v>
      </c>
    </row>
    <row r="3" spans="1:14" ht="14.25" customHeight="1">
      <c r="A3" s="12" t="s">
        <v>231</v>
      </c>
      <c r="B3" s="12">
        <f>CONTRATS!B10</f>
        <v>0</v>
      </c>
      <c r="D3" s="230">
        <f>B3</f>
        <v>0</v>
      </c>
      <c r="E3" s="131"/>
      <c r="F3" s="131"/>
      <c r="G3" s="230">
        <f>B3</f>
        <v>0</v>
      </c>
      <c r="H3" s="15"/>
      <c r="I3" s="15"/>
      <c r="J3" s="15"/>
      <c r="K3" s="15"/>
      <c r="L3" s="536" t="str">
        <f>B11</f>
        <v>A2023/1075/CAT1/1110155939</v>
      </c>
      <c r="M3" s="536"/>
    </row>
    <row r="4" spans="1:14" ht="13.5" customHeight="1">
      <c r="A4" s="12" t="s">
        <v>232</v>
      </c>
      <c r="B4" s="12">
        <f>CONTRATS!B11</f>
        <v>0</v>
      </c>
      <c r="D4" s="537" t="str">
        <f>B5</f>
        <v>SW 859 BB</v>
      </c>
      <c r="E4" s="537"/>
      <c r="F4" s="15"/>
      <c r="G4" s="537" t="str">
        <f>B5</f>
        <v>SW 859 BB</v>
      </c>
      <c r="H4" s="537"/>
      <c r="I4" s="15"/>
      <c r="J4" s="220" t="str">
        <f>B2</f>
        <v>ALEMNGE CYPRIAN</v>
      </c>
      <c r="K4" s="15"/>
      <c r="L4" s="229">
        <f>B12</f>
        <v>45192</v>
      </c>
      <c r="M4" s="229">
        <f>B13</f>
        <v>45251</v>
      </c>
    </row>
    <row r="5" spans="1:14" ht="12" customHeight="1">
      <c r="A5" s="12" t="s">
        <v>204</v>
      </c>
      <c r="B5" s="105" t="str">
        <f>CONTRATS!H17</f>
        <v>SW 859 BB</v>
      </c>
      <c r="D5" s="538" t="str">
        <f>B6</f>
        <v xml:space="preserve">NISSAN </v>
      </c>
      <c r="E5" s="538"/>
      <c r="F5" s="218"/>
      <c r="G5" s="537" t="str">
        <f>B6</f>
        <v xml:space="preserve">NISSAN </v>
      </c>
      <c r="H5" s="537"/>
      <c r="I5" s="218"/>
      <c r="J5" s="131">
        <f>B3</f>
        <v>0</v>
      </c>
      <c r="K5" s="15"/>
      <c r="L5" s="15"/>
      <c r="M5" s="15"/>
    </row>
    <row r="6" spans="1:14" s="16" customFormat="1" ht="13.5" customHeight="1">
      <c r="A6" s="16" t="s">
        <v>233</v>
      </c>
      <c r="B6" s="16" t="str">
        <f>CONTRATS!B17</f>
        <v xml:space="preserve">NISSAN </v>
      </c>
      <c r="D6" s="15"/>
      <c r="E6" s="15"/>
      <c r="F6" s="15"/>
      <c r="G6" s="15"/>
      <c r="H6" s="15"/>
      <c r="I6" s="15"/>
      <c r="J6" s="15"/>
      <c r="K6" s="15"/>
      <c r="L6" s="537" t="str">
        <f>B6</f>
        <v xml:space="preserve">NISSAN </v>
      </c>
      <c r="M6" s="537"/>
      <c r="N6" s="12"/>
    </row>
    <row r="7" spans="1:14">
      <c r="A7" s="12" t="s">
        <v>234</v>
      </c>
      <c r="B7" s="12" t="str">
        <f>CONTRATS!F12</f>
        <v>NSIA ASSURANCES</v>
      </c>
      <c r="D7" s="128" t="str">
        <f>B7</f>
        <v>NSIA ASSURANCES</v>
      </c>
      <c r="E7" s="15"/>
      <c r="F7" s="15"/>
      <c r="G7" s="218" t="str">
        <f>B7</f>
        <v>NSIA ASSURANCES</v>
      </c>
      <c r="H7" s="15"/>
      <c r="I7" s="15"/>
      <c r="J7" s="220" t="str">
        <f>B5</f>
        <v>SW 859 BB</v>
      </c>
      <c r="K7" s="218"/>
      <c r="L7" s="15"/>
      <c r="M7" s="218"/>
    </row>
    <row r="8" spans="1:14" ht="17.25" customHeight="1">
      <c r="A8" s="12" t="s">
        <v>236</v>
      </c>
      <c r="B8" s="12" t="str">
        <f>D8</f>
        <v>BP 2759 DOUALA</v>
      </c>
      <c r="D8" s="231" t="str">
        <f>G8</f>
        <v>BP 2759 DOUALA</v>
      </c>
      <c r="E8" s="15"/>
      <c r="F8" s="15"/>
      <c r="G8" s="218" t="str">
        <f>J10</f>
        <v>BP 2759 DOUALA</v>
      </c>
      <c r="H8" s="15"/>
      <c r="I8" s="15"/>
      <c r="J8" s="15"/>
      <c r="K8" s="15"/>
      <c r="M8" s="220" t="str">
        <f>CONTRATS!F19</f>
        <v>JN8AR05Y7WW275240</v>
      </c>
    </row>
    <row r="9" spans="1:14" ht="12.75" customHeight="1">
      <c r="A9" s="12" t="s">
        <v>237</v>
      </c>
      <c r="B9" s="12" t="s">
        <v>238</v>
      </c>
      <c r="D9" s="538" t="s">
        <v>410</v>
      </c>
      <c r="E9" s="538"/>
      <c r="F9" s="218"/>
      <c r="G9" s="537" t="str">
        <f>D9</f>
        <v>YAN CAPITAL</v>
      </c>
      <c r="H9" s="537"/>
      <c r="I9" s="218"/>
      <c r="J9" s="220" t="str">
        <f>CONTRATS!F12</f>
        <v>NSIA ASSURANCES</v>
      </c>
      <c r="K9" s="15"/>
      <c r="L9" s="15"/>
      <c r="M9" s="218" t="str">
        <f>D9</f>
        <v>YAN CAPITAL</v>
      </c>
    </row>
    <row r="10" spans="1:14" ht="13.5" customHeight="1">
      <c r="A10" s="12" t="s">
        <v>239</v>
      </c>
      <c r="B10" s="12" t="s">
        <v>274</v>
      </c>
      <c r="D10" s="539" t="s">
        <v>411</v>
      </c>
      <c r="E10" s="538"/>
      <c r="F10" s="218"/>
      <c r="G10" s="537" t="str">
        <f>D10</f>
        <v>BP 8144 DOUALA</v>
      </c>
      <c r="H10" s="537"/>
      <c r="I10" s="218"/>
      <c r="J10" s="220" t="str">
        <f>IF(CONTRATS!F12="GMC ASSURANCES","BP 1965 DOUALA",IF(CONTRATS!F12="CAMINSUR INSURANCE","BP12400 YAOUNDE",IF(CONTRATS!F12="NSIA ASSURANCES","BP 2759 DOUALA",IF(CONTRATS!F12="CPA ASSURANCES","BP 54 DOUALA",IF(CONTRATS!F12="ATLANTIQUE ASSURANCES","BP 3073 DOUALA",IF(CONTRATS!F12="PRUDENTIAL BENEFICIAL","BP 2328 DOUALA",IF(CONTRATS!F12="AGC ASSURANCES","BP 1290 DOUALA",0)))))))</f>
        <v>BP 2759 DOUALA</v>
      </c>
      <c r="K10" s="15"/>
      <c r="M10" s="218" t="str">
        <f>D10</f>
        <v>BP 8144 DOUALA</v>
      </c>
    </row>
    <row r="11" spans="1:14" ht="12.75" customHeight="1">
      <c r="A11" s="12" t="s">
        <v>240</v>
      </c>
      <c r="B11" s="12" t="str">
        <f>CONTRATS!E9</f>
        <v>A2023/1075/CAT1/1110155939</v>
      </c>
      <c r="D11" s="538" t="str">
        <f>B11</f>
        <v>A2023/1075/CAT1/1110155939</v>
      </c>
      <c r="E11" s="538"/>
      <c r="F11" s="119"/>
      <c r="G11" s="538" t="str">
        <f>D11</f>
        <v>A2023/1075/CAT1/1110155939</v>
      </c>
      <c r="H11" s="538"/>
      <c r="I11" s="119"/>
      <c r="J11" s="15"/>
      <c r="K11" s="15"/>
    </row>
    <row r="12" spans="1:14" ht="22.5" customHeight="1">
      <c r="A12" s="12" t="s">
        <v>241</v>
      </c>
      <c r="B12" s="44">
        <f>CONTRATS!F10</f>
        <v>45192</v>
      </c>
      <c r="C12" s="44"/>
      <c r="D12" s="119">
        <f>B12</f>
        <v>45192</v>
      </c>
      <c r="E12" s="228">
        <f>B13</f>
        <v>45251</v>
      </c>
      <c r="F12" s="218"/>
      <c r="G12" s="119">
        <f>B12</f>
        <v>45192</v>
      </c>
      <c r="H12" s="119">
        <f>B13</f>
        <v>45251</v>
      </c>
      <c r="I12" s="218"/>
      <c r="J12" s="15"/>
      <c r="K12" s="15"/>
      <c r="L12" s="15"/>
      <c r="M12" s="15"/>
    </row>
    <row r="13" spans="1:14" ht="15" customHeight="1">
      <c r="A13" s="12" t="s">
        <v>242</v>
      </c>
      <c r="B13" s="44">
        <f>CONTRATS!F11</f>
        <v>45251</v>
      </c>
      <c r="C13" s="66"/>
      <c r="I13" s="105"/>
      <c r="J13" s="536" t="str">
        <f>CONTRATS!F50</f>
        <v>LIMBE</v>
      </c>
      <c r="K13" s="536"/>
      <c r="L13" s="232">
        <f ca="1">CONTRATS!H50</f>
        <v>45192.531511805559</v>
      </c>
      <c r="M13" s="15"/>
    </row>
    <row r="14" spans="1:14" ht="13.5" customHeight="1">
      <c r="A14" s="12" t="s">
        <v>243</v>
      </c>
      <c r="B14" s="154" t="str">
        <f>B24</f>
        <v>CAT01**VT</v>
      </c>
      <c r="D14" s="135" t="str">
        <f>B14</f>
        <v>CAT01**VT</v>
      </c>
      <c r="E14" s="105"/>
      <c r="G14" s="220" t="str">
        <f>B14</f>
        <v>CAT01**VT</v>
      </c>
      <c r="H14" s="216"/>
      <c r="I14" s="15"/>
      <c r="J14" s="220" t="str">
        <f>B14</f>
        <v>CAT01**VT</v>
      </c>
      <c r="L14" s="15"/>
      <c r="M14" s="15"/>
    </row>
    <row r="15" spans="1:14" hidden="1">
      <c r="A15" s="12" t="s">
        <v>244</v>
      </c>
      <c r="B15" s="105" t="str">
        <f>CONTRATS!H17</f>
        <v>SW 859 BB</v>
      </c>
      <c r="D15" s="67"/>
      <c r="E15" s="3"/>
      <c r="F15" s="3"/>
      <c r="G15" s="3"/>
      <c r="H15" s="3"/>
      <c r="I15" s="3"/>
      <c r="J15" s="3"/>
      <c r="K15" s="3"/>
      <c r="L15" s="3"/>
      <c r="M15" s="3"/>
    </row>
    <row r="16" spans="1:14" hidden="1">
      <c r="A16" s="12" t="s">
        <v>245</v>
      </c>
      <c r="B16" s="12" t="str">
        <f>CONTRATS!B17</f>
        <v xml:space="preserve">NISSAN </v>
      </c>
      <c r="D16" s="3"/>
      <c r="E16" s="3"/>
      <c r="F16" s="3"/>
      <c r="G16" s="3"/>
      <c r="H16" s="3"/>
      <c r="I16" s="3"/>
      <c r="J16" s="3"/>
      <c r="K16" s="3"/>
      <c r="L16" s="3"/>
      <c r="M16" s="3"/>
    </row>
    <row r="17" spans="2:13" hidden="1">
      <c r="D17" s="3"/>
      <c r="E17" s="3"/>
      <c r="F17" s="3"/>
      <c r="G17" s="3"/>
      <c r="H17" s="3"/>
      <c r="I17" s="3"/>
      <c r="J17" s="3"/>
      <c r="K17" s="3"/>
      <c r="L17" s="3"/>
      <c r="M17" s="3"/>
    </row>
    <row r="18" spans="2:13">
      <c r="D18" s="3"/>
      <c r="E18" s="3"/>
      <c r="F18" s="3"/>
      <c r="G18" s="3"/>
      <c r="H18" s="3"/>
      <c r="I18" s="3"/>
      <c r="J18" s="3"/>
      <c r="K18" s="3"/>
      <c r="L18" s="3"/>
      <c r="M18" s="3"/>
    </row>
    <row r="19" spans="2:13" hidden="1">
      <c r="B19" s="12" t="s">
        <v>53</v>
      </c>
      <c r="D19" s="3"/>
      <c r="E19" s="3"/>
      <c r="F19" s="3"/>
      <c r="G19" s="3"/>
      <c r="H19" s="3"/>
      <c r="I19" s="3"/>
      <c r="J19" s="3"/>
      <c r="K19" s="3"/>
      <c r="L19" s="3"/>
      <c r="M19" s="3"/>
    </row>
    <row r="20" spans="2:13" hidden="1">
      <c r="B20" s="150">
        <v>0</v>
      </c>
      <c r="D20" s="3"/>
      <c r="E20" s="3"/>
      <c r="F20" s="3"/>
      <c r="G20" s="3"/>
      <c r="H20" s="3"/>
      <c r="I20" s="3"/>
      <c r="J20" s="3"/>
      <c r="K20" s="3"/>
      <c r="L20" s="3"/>
      <c r="M20" s="3"/>
    </row>
    <row r="21" spans="2:13" hidden="1">
      <c r="B21" s="155">
        <f>CONTRATS!E18</f>
        <v>1</v>
      </c>
      <c r="D21" s="3"/>
      <c r="E21" s="3"/>
      <c r="F21" s="3"/>
      <c r="G21" s="3"/>
      <c r="H21" s="3"/>
      <c r="I21" s="3"/>
      <c r="J21" s="3"/>
      <c r="K21" s="3"/>
      <c r="L21" s="3"/>
      <c r="M21" s="3"/>
    </row>
    <row r="22" spans="2:13" hidden="1">
      <c r="B22" s="12" t="s">
        <v>277</v>
      </c>
      <c r="D22" s="3"/>
      <c r="E22" s="3"/>
      <c r="F22" s="3"/>
      <c r="G22" s="3"/>
      <c r="H22" s="3"/>
      <c r="I22" s="3"/>
      <c r="J22" s="3"/>
      <c r="K22" s="3"/>
      <c r="L22" s="3"/>
      <c r="M22" s="3"/>
    </row>
    <row r="23" spans="2:13" hidden="1">
      <c r="B23" s="12" t="str">
        <f>CONTRATS!E17</f>
        <v>VT</v>
      </c>
      <c r="D23" s="3"/>
      <c r="E23" s="3"/>
      <c r="F23" s="3"/>
      <c r="G23" s="3"/>
      <c r="H23" s="3"/>
      <c r="I23" s="3"/>
      <c r="J23" s="3"/>
      <c r="K23" s="3"/>
      <c r="L23" s="3"/>
      <c r="M23" s="3"/>
    </row>
    <row r="24" spans="2:13" hidden="1">
      <c r="B24" s="12" t="str">
        <f>CONCATENATE(B19,B20,B21,B22,B23)</f>
        <v>CAT01**VT</v>
      </c>
      <c r="D24" s="3"/>
      <c r="E24" s="3"/>
      <c r="F24" s="3"/>
      <c r="G24" s="3"/>
      <c r="H24" s="3"/>
      <c r="I24" s="3"/>
      <c r="J24" s="3"/>
      <c r="K24" s="3"/>
      <c r="L24" s="3"/>
      <c r="M24" s="3"/>
    </row>
    <row r="25" spans="2:13" hidden="1">
      <c r="D25" s="3"/>
      <c r="E25" s="3"/>
      <c r="F25" s="3"/>
      <c r="G25" s="3"/>
      <c r="H25" s="3"/>
      <c r="I25" s="3"/>
      <c r="J25" s="3"/>
      <c r="K25" s="3"/>
      <c r="L25" s="3"/>
      <c r="M25" s="3"/>
    </row>
    <row r="26" spans="2:13">
      <c r="D26" s="3"/>
      <c r="E26" s="3"/>
      <c r="F26" s="3"/>
      <c r="G26" s="3"/>
      <c r="H26" s="3"/>
      <c r="I26" s="3"/>
      <c r="J26" s="3"/>
      <c r="K26" s="3"/>
      <c r="L26" s="3"/>
      <c r="M26" s="3"/>
    </row>
  </sheetData>
  <sheetProtection algorithmName="SHA-512" hashValue="2FgCVjViqa9UNfSnd9kaubt1an4S03lfD2GIhvPeee+q/G7n3/sF+CVsPJSfoOQSbtLUaAt2U+JCERPi5GVI9w==" saltValue="50jL7BImwgICJrCAOqecFg==" spinCount="100000" sheet="1" objects="1" scenarios="1"/>
  <mergeCells count="14">
    <mergeCell ref="J13:K13"/>
    <mergeCell ref="L6:M6"/>
    <mergeCell ref="D9:E9"/>
    <mergeCell ref="G9:H9"/>
    <mergeCell ref="D10:E10"/>
    <mergeCell ref="G10:H10"/>
    <mergeCell ref="D11:E11"/>
    <mergeCell ref="G11:H11"/>
    <mergeCell ref="G2:H2"/>
    <mergeCell ref="L3:M3"/>
    <mergeCell ref="D4:E4"/>
    <mergeCell ref="G4:H4"/>
    <mergeCell ref="D5:E5"/>
    <mergeCell ref="G5:H5"/>
  </mergeCells>
  <pageMargins left="0.39370078740157483" right="0.78740157480314965" top="2.7165354330708662" bottom="2.7165354330708662" header="0" footer="0"/>
  <pageSetup paperSize="9" scale="98" pageOrder="overThenDown"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FD6B6E"/>
  </sheetPr>
  <dimension ref="A1:K18"/>
  <sheetViews>
    <sheetView topLeftCell="L1" workbookViewId="0">
      <selection sqref="A1:K1048576"/>
    </sheetView>
  </sheetViews>
  <sheetFormatPr defaultColWidth="11.42578125" defaultRowHeight="12.75"/>
  <cols>
    <col min="1" max="1" width="12.42578125" style="2" hidden="1" customWidth="1"/>
    <col min="2" max="2" width="0" style="2" hidden="1" customWidth="1"/>
    <col min="3" max="3" width="10.85546875" style="2" hidden="1" customWidth="1"/>
    <col min="4" max="4" width="12.28515625" style="2" hidden="1" customWidth="1"/>
    <col min="5" max="5" width="11" style="2" hidden="1" customWidth="1"/>
    <col min="6" max="6" width="11.140625" style="2" hidden="1" customWidth="1"/>
    <col min="7" max="7" width="13.140625" style="2" hidden="1" customWidth="1"/>
    <col min="8" max="8" width="13.7109375" style="2" hidden="1" customWidth="1"/>
    <col min="9" max="9" width="15" style="2" hidden="1" customWidth="1"/>
    <col min="10" max="10" width="14.85546875" style="2" hidden="1" customWidth="1"/>
    <col min="11" max="11" width="15.28515625" style="2" hidden="1" customWidth="1"/>
    <col min="12" max="256" width="11.42578125" style="2"/>
    <col min="257" max="257" width="12.42578125" style="2" customWidth="1"/>
    <col min="258" max="258" width="11.42578125" style="2"/>
    <col min="259" max="259" width="10.85546875" style="2" customWidth="1"/>
    <col min="260" max="260" width="12.28515625" style="2" customWidth="1"/>
    <col min="261" max="261" width="11" style="2" customWidth="1"/>
    <col min="262" max="262" width="11.140625" style="2" customWidth="1"/>
    <col min="263" max="263" width="13.140625" style="2" customWidth="1"/>
    <col min="264" max="264" width="13.7109375" style="2" customWidth="1"/>
    <col min="265" max="265" width="15" style="2" customWidth="1"/>
    <col min="266" max="266" width="14.85546875" style="2" customWidth="1"/>
    <col min="267" max="267" width="15.28515625" style="2" bestFit="1" customWidth="1"/>
    <col min="268" max="512" width="11.42578125" style="2"/>
    <col min="513" max="513" width="12.42578125" style="2" customWidth="1"/>
    <col min="514" max="514" width="11.42578125" style="2"/>
    <col min="515" max="515" width="10.85546875" style="2" customWidth="1"/>
    <col min="516" max="516" width="12.28515625" style="2" customWidth="1"/>
    <col min="517" max="517" width="11" style="2" customWidth="1"/>
    <col min="518" max="518" width="11.140625" style="2" customWidth="1"/>
    <col min="519" max="519" width="13.140625" style="2" customWidth="1"/>
    <col min="520" max="520" width="13.7109375" style="2" customWidth="1"/>
    <col min="521" max="521" width="15" style="2" customWidth="1"/>
    <col min="522" max="522" width="14.85546875" style="2" customWidth="1"/>
    <col min="523" max="523" width="15.28515625" style="2" bestFit="1" customWidth="1"/>
    <col min="524" max="768" width="11.42578125" style="2"/>
    <col min="769" max="769" width="12.42578125" style="2" customWidth="1"/>
    <col min="770" max="770" width="11.42578125" style="2"/>
    <col min="771" max="771" width="10.85546875" style="2" customWidth="1"/>
    <col min="772" max="772" width="12.28515625" style="2" customWidth="1"/>
    <col min="773" max="773" width="11" style="2" customWidth="1"/>
    <col min="774" max="774" width="11.140625" style="2" customWidth="1"/>
    <col min="775" max="775" width="13.140625" style="2" customWidth="1"/>
    <col min="776" max="776" width="13.7109375" style="2" customWidth="1"/>
    <col min="777" max="777" width="15" style="2" customWidth="1"/>
    <col min="778" max="778" width="14.85546875" style="2" customWidth="1"/>
    <col min="779" max="779" width="15.28515625" style="2" bestFit="1" customWidth="1"/>
    <col min="780" max="1024" width="11.42578125" style="2"/>
    <col min="1025" max="1025" width="12.42578125" style="2" customWidth="1"/>
    <col min="1026" max="1026" width="11.42578125" style="2"/>
    <col min="1027" max="1027" width="10.85546875" style="2" customWidth="1"/>
    <col min="1028" max="1028" width="12.28515625" style="2" customWidth="1"/>
    <col min="1029" max="1029" width="11" style="2" customWidth="1"/>
    <col min="1030" max="1030" width="11.140625" style="2" customWidth="1"/>
    <col min="1031" max="1031" width="13.140625" style="2" customWidth="1"/>
    <col min="1032" max="1032" width="13.7109375" style="2" customWidth="1"/>
    <col min="1033" max="1033" width="15" style="2" customWidth="1"/>
    <col min="1034" max="1034" width="14.85546875" style="2" customWidth="1"/>
    <col min="1035" max="1035" width="15.28515625" style="2" bestFit="1" customWidth="1"/>
    <col min="1036" max="1280" width="11.42578125" style="2"/>
    <col min="1281" max="1281" width="12.42578125" style="2" customWidth="1"/>
    <col min="1282" max="1282" width="11.42578125" style="2"/>
    <col min="1283" max="1283" width="10.85546875" style="2" customWidth="1"/>
    <col min="1284" max="1284" width="12.28515625" style="2" customWidth="1"/>
    <col min="1285" max="1285" width="11" style="2" customWidth="1"/>
    <col min="1286" max="1286" width="11.140625" style="2" customWidth="1"/>
    <col min="1287" max="1287" width="13.140625" style="2" customWidth="1"/>
    <col min="1288" max="1288" width="13.7109375" style="2" customWidth="1"/>
    <col min="1289" max="1289" width="15" style="2" customWidth="1"/>
    <col min="1290" max="1290" width="14.85546875" style="2" customWidth="1"/>
    <col min="1291" max="1291" width="15.28515625" style="2" bestFit="1" customWidth="1"/>
    <col min="1292" max="1536" width="11.42578125" style="2"/>
    <col min="1537" max="1537" width="12.42578125" style="2" customWidth="1"/>
    <col min="1538" max="1538" width="11.42578125" style="2"/>
    <col min="1539" max="1539" width="10.85546875" style="2" customWidth="1"/>
    <col min="1540" max="1540" width="12.28515625" style="2" customWidth="1"/>
    <col min="1541" max="1541" width="11" style="2" customWidth="1"/>
    <col min="1542" max="1542" width="11.140625" style="2" customWidth="1"/>
    <col min="1543" max="1543" width="13.140625" style="2" customWidth="1"/>
    <col min="1544" max="1544" width="13.7109375" style="2" customWidth="1"/>
    <col min="1545" max="1545" width="15" style="2" customWidth="1"/>
    <col min="1546" max="1546" width="14.85546875" style="2" customWidth="1"/>
    <col min="1547" max="1547" width="15.28515625" style="2" bestFit="1" customWidth="1"/>
    <col min="1548" max="1792" width="11.42578125" style="2"/>
    <col min="1793" max="1793" width="12.42578125" style="2" customWidth="1"/>
    <col min="1794" max="1794" width="11.42578125" style="2"/>
    <col min="1795" max="1795" width="10.85546875" style="2" customWidth="1"/>
    <col min="1796" max="1796" width="12.28515625" style="2" customWidth="1"/>
    <col min="1797" max="1797" width="11" style="2" customWidth="1"/>
    <col min="1798" max="1798" width="11.140625" style="2" customWidth="1"/>
    <col min="1799" max="1799" width="13.140625" style="2" customWidth="1"/>
    <col min="1800" max="1800" width="13.7109375" style="2" customWidth="1"/>
    <col min="1801" max="1801" width="15" style="2" customWidth="1"/>
    <col min="1802" max="1802" width="14.85546875" style="2" customWidth="1"/>
    <col min="1803" max="1803" width="15.28515625" style="2" bestFit="1" customWidth="1"/>
    <col min="1804" max="2048" width="11.42578125" style="2"/>
    <col min="2049" max="2049" width="12.42578125" style="2" customWidth="1"/>
    <col min="2050" max="2050" width="11.42578125" style="2"/>
    <col min="2051" max="2051" width="10.85546875" style="2" customWidth="1"/>
    <col min="2052" max="2052" width="12.28515625" style="2" customWidth="1"/>
    <col min="2053" max="2053" width="11" style="2" customWidth="1"/>
    <col min="2054" max="2054" width="11.140625" style="2" customWidth="1"/>
    <col min="2055" max="2055" width="13.140625" style="2" customWidth="1"/>
    <col min="2056" max="2056" width="13.7109375" style="2" customWidth="1"/>
    <col min="2057" max="2057" width="15" style="2" customWidth="1"/>
    <col min="2058" max="2058" width="14.85546875" style="2" customWidth="1"/>
    <col min="2059" max="2059" width="15.28515625" style="2" bestFit="1" customWidth="1"/>
    <col min="2060" max="2304" width="11.42578125" style="2"/>
    <col min="2305" max="2305" width="12.42578125" style="2" customWidth="1"/>
    <col min="2306" max="2306" width="11.42578125" style="2"/>
    <col min="2307" max="2307" width="10.85546875" style="2" customWidth="1"/>
    <col min="2308" max="2308" width="12.28515625" style="2" customWidth="1"/>
    <col min="2309" max="2309" width="11" style="2" customWidth="1"/>
    <col min="2310" max="2310" width="11.140625" style="2" customWidth="1"/>
    <col min="2311" max="2311" width="13.140625" style="2" customWidth="1"/>
    <col min="2312" max="2312" width="13.7109375" style="2" customWidth="1"/>
    <col min="2313" max="2313" width="15" style="2" customWidth="1"/>
    <col min="2314" max="2314" width="14.85546875" style="2" customWidth="1"/>
    <col min="2315" max="2315" width="15.28515625" style="2" bestFit="1" customWidth="1"/>
    <col min="2316" max="2560" width="11.42578125" style="2"/>
    <col min="2561" max="2561" width="12.42578125" style="2" customWidth="1"/>
    <col min="2562" max="2562" width="11.42578125" style="2"/>
    <col min="2563" max="2563" width="10.85546875" style="2" customWidth="1"/>
    <col min="2564" max="2564" width="12.28515625" style="2" customWidth="1"/>
    <col min="2565" max="2565" width="11" style="2" customWidth="1"/>
    <col min="2566" max="2566" width="11.140625" style="2" customWidth="1"/>
    <col min="2567" max="2567" width="13.140625" style="2" customWidth="1"/>
    <col min="2568" max="2568" width="13.7109375" style="2" customWidth="1"/>
    <col min="2569" max="2569" width="15" style="2" customWidth="1"/>
    <col min="2570" max="2570" width="14.85546875" style="2" customWidth="1"/>
    <col min="2571" max="2571" width="15.28515625" style="2" bestFit="1" customWidth="1"/>
    <col min="2572" max="2816" width="11.42578125" style="2"/>
    <col min="2817" max="2817" width="12.42578125" style="2" customWidth="1"/>
    <col min="2818" max="2818" width="11.42578125" style="2"/>
    <col min="2819" max="2819" width="10.85546875" style="2" customWidth="1"/>
    <col min="2820" max="2820" width="12.28515625" style="2" customWidth="1"/>
    <col min="2821" max="2821" width="11" style="2" customWidth="1"/>
    <col min="2822" max="2822" width="11.140625" style="2" customWidth="1"/>
    <col min="2823" max="2823" width="13.140625" style="2" customWidth="1"/>
    <col min="2824" max="2824" width="13.7109375" style="2" customWidth="1"/>
    <col min="2825" max="2825" width="15" style="2" customWidth="1"/>
    <col min="2826" max="2826" width="14.85546875" style="2" customWidth="1"/>
    <col min="2827" max="2827" width="15.28515625" style="2" bestFit="1" customWidth="1"/>
    <col min="2828" max="3072" width="11.42578125" style="2"/>
    <col min="3073" max="3073" width="12.42578125" style="2" customWidth="1"/>
    <col min="3074" max="3074" width="11.42578125" style="2"/>
    <col min="3075" max="3075" width="10.85546875" style="2" customWidth="1"/>
    <col min="3076" max="3076" width="12.28515625" style="2" customWidth="1"/>
    <col min="3077" max="3077" width="11" style="2" customWidth="1"/>
    <col min="3078" max="3078" width="11.140625" style="2" customWidth="1"/>
    <col min="3079" max="3079" width="13.140625" style="2" customWidth="1"/>
    <col min="3080" max="3080" width="13.7109375" style="2" customWidth="1"/>
    <col min="3081" max="3081" width="15" style="2" customWidth="1"/>
    <col min="3082" max="3082" width="14.85546875" style="2" customWidth="1"/>
    <col min="3083" max="3083" width="15.28515625" style="2" bestFit="1" customWidth="1"/>
    <col min="3084" max="3328" width="11.42578125" style="2"/>
    <col min="3329" max="3329" width="12.42578125" style="2" customWidth="1"/>
    <col min="3330" max="3330" width="11.42578125" style="2"/>
    <col min="3331" max="3331" width="10.85546875" style="2" customWidth="1"/>
    <col min="3332" max="3332" width="12.28515625" style="2" customWidth="1"/>
    <col min="3333" max="3333" width="11" style="2" customWidth="1"/>
    <col min="3334" max="3334" width="11.140625" style="2" customWidth="1"/>
    <col min="3335" max="3335" width="13.140625" style="2" customWidth="1"/>
    <col min="3336" max="3336" width="13.7109375" style="2" customWidth="1"/>
    <col min="3337" max="3337" width="15" style="2" customWidth="1"/>
    <col min="3338" max="3338" width="14.85546875" style="2" customWidth="1"/>
    <col min="3339" max="3339" width="15.28515625" style="2" bestFit="1" customWidth="1"/>
    <col min="3340" max="3584" width="11.42578125" style="2"/>
    <col min="3585" max="3585" width="12.42578125" style="2" customWidth="1"/>
    <col min="3586" max="3586" width="11.42578125" style="2"/>
    <col min="3587" max="3587" width="10.85546875" style="2" customWidth="1"/>
    <col min="3588" max="3588" width="12.28515625" style="2" customWidth="1"/>
    <col min="3589" max="3589" width="11" style="2" customWidth="1"/>
    <col min="3590" max="3590" width="11.140625" style="2" customWidth="1"/>
    <col min="3591" max="3591" width="13.140625" style="2" customWidth="1"/>
    <col min="3592" max="3592" width="13.7109375" style="2" customWidth="1"/>
    <col min="3593" max="3593" width="15" style="2" customWidth="1"/>
    <col min="3594" max="3594" width="14.85546875" style="2" customWidth="1"/>
    <col min="3595" max="3595" width="15.28515625" style="2" bestFit="1" customWidth="1"/>
    <col min="3596" max="3840" width="11.42578125" style="2"/>
    <col min="3841" max="3841" width="12.42578125" style="2" customWidth="1"/>
    <col min="3842" max="3842" width="11.42578125" style="2"/>
    <col min="3843" max="3843" width="10.85546875" style="2" customWidth="1"/>
    <col min="3844" max="3844" width="12.28515625" style="2" customWidth="1"/>
    <col min="3845" max="3845" width="11" style="2" customWidth="1"/>
    <col min="3846" max="3846" width="11.140625" style="2" customWidth="1"/>
    <col min="3847" max="3847" width="13.140625" style="2" customWidth="1"/>
    <col min="3848" max="3848" width="13.7109375" style="2" customWidth="1"/>
    <col min="3849" max="3849" width="15" style="2" customWidth="1"/>
    <col min="3850" max="3850" width="14.85546875" style="2" customWidth="1"/>
    <col min="3851" max="3851" width="15.28515625" style="2" bestFit="1" customWidth="1"/>
    <col min="3852" max="4096" width="11.42578125" style="2"/>
    <col min="4097" max="4097" width="12.42578125" style="2" customWidth="1"/>
    <col min="4098" max="4098" width="11.42578125" style="2"/>
    <col min="4099" max="4099" width="10.85546875" style="2" customWidth="1"/>
    <col min="4100" max="4100" width="12.28515625" style="2" customWidth="1"/>
    <col min="4101" max="4101" width="11" style="2" customWidth="1"/>
    <col min="4102" max="4102" width="11.140625" style="2" customWidth="1"/>
    <col min="4103" max="4103" width="13.140625" style="2" customWidth="1"/>
    <col min="4104" max="4104" width="13.7109375" style="2" customWidth="1"/>
    <col min="4105" max="4105" width="15" style="2" customWidth="1"/>
    <col min="4106" max="4106" width="14.85546875" style="2" customWidth="1"/>
    <col min="4107" max="4107" width="15.28515625" style="2" bestFit="1" customWidth="1"/>
    <col min="4108" max="4352" width="11.42578125" style="2"/>
    <col min="4353" max="4353" width="12.42578125" style="2" customWidth="1"/>
    <col min="4354" max="4354" width="11.42578125" style="2"/>
    <col min="4355" max="4355" width="10.85546875" style="2" customWidth="1"/>
    <col min="4356" max="4356" width="12.28515625" style="2" customWidth="1"/>
    <col min="4357" max="4357" width="11" style="2" customWidth="1"/>
    <col min="4358" max="4358" width="11.140625" style="2" customWidth="1"/>
    <col min="4359" max="4359" width="13.140625" style="2" customWidth="1"/>
    <col min="4360" max="4360" width="13.7109375" style="2" customWidth="1"/>
    <col min="4361" max="4361" width="15" style="2" customWidth="1"/>
    <col min="4362" max="4362" width="14.85546875" style="2" customWidth="1"/>
    <col min="4363" max="4363" width="15.28515625" style="2" bestFit="1" customWidth="1"/>
    <col min="4364" max="4608" width="11.42578125" style="2"/>
    <col min="4609" max="4609" width="12.42578125" style="2" customWidth="1"/>
    <col min="4610" max="4610" width="11.42578125" style="2"/>
    <col min="4611" max="4611" width="10.85546875" style="2" customWidth="1"/>
    <col min="4612" max="4612" width="12.28515625" style="2" customWidth="1"/>
    <col min="4613" max="4613" width="11" style="2" customWidth="1"/>
    <col min="4614" max="4614" width="11.140625" style="2" customWidth="1"/>
    <col min="4615" max="4615" width="13.140625" style="2" customWidth="1"/>
    <col min="4616" max="4616" width="13.7109375" style="2" customWidth="1"/>
    <col min="4617" max="4617" width="15" style="2" customWidth="1"/>
    <col min="4618" max="4618" width="14.85546875" style="2" customWidth="1"/>
    <col min="4619" max="4619" width="15.28515625" style="2" bestFit="1" customWidth="1"/>
    <col min="4620" max="4864" width="11.42578125" style="2"/>
    <col min="4865" max="4865" width="12.42578125" style="2" customWidth="1"/>
    <col min="4866" max="4866" width="11.42578125" style="2"/>
    <col min="4867" max="4867" width="10.85546875" style="2" customWidth="1"/>
    <col min="4868" max="4868" width="12.28515625" style="2" customWidth="1"/>
    <col min="4869" max="4869" width="11" style="2" customWidth="1"/>
    <col min="4870" max="4870" width="11.140625" style="2" customWidth="1"/>
    <col min="4871" max="4871" width="13.140625" style="2" customWidth="1"/>
    <col min="4872" max="4872" width="13.7109375" style="2" customWidth="1"/>
    <col min="4873" max="4873" width="15" style="2" customWidth="1"/>
    <col min="4874" max="4874" width="14.85546875" style="2" customWidth="1"/>
    <col min="4875" max="4875" width="15.28515625" style="2" bestFit="1" customWidth="1"/>
    <col min="4876" max="5120" width="11.42578125" style="2"/>
    <col min="5121" max="5121" width="12.42578125" style="2" customWidth="1"/>
    <col min="5122" max="5122" width="11.42578125" style="2"/>
    <col min="5123" max="5123" width="10.85546875" style="2" customWidth="1"/>
    <col min="5124" max="5124" width="12.28515625" style="2" customWidth="1"/>
    <col min="5125" max="5125" width="11" style="2" customWidth="1"/>
    <col min="5126" max="5126" width="11.140625" style="2" customWidth="1"/>
    <col min="5127" max="5127" width="13.140625" style="2" customWidth="1"/>
    <col min="5128" max="5128" width="13.7109375" style="2" customWidth="1"/>
    <col min="5129" max="5129" width="15" style="2" customWidth="1"/>
    <col min="5130" max="5130" width="14.85546875" style="2" customWidth="1"/>
    <col min="5131" max="5131" width="15.28515625" style="2" bestFit="1" customWidth="1"/>
    <col min="5132" max="5376" width="11.42578125" style="2"/>
    <col min="5377" max="5377" width="12.42578125" style="2" customWidth="1"/>
    <col min="5378" max="5378" width="11.42578125" style="2"/>
    <col min="5379" max="5379" width="10.85546875" style="2" customWidth="1"/>
    <col min="5380" max="5380" width="12.28515625" style="2" customWidth="1"/>
    <col min="5381" max="5381" width="11" style="2" customWidth="1"/>
    <col min="5382" max="5382" width="11.140625" style="2" customWidth="1"/>
    <col min="5383" max="5383" width="13.140625" style="2" customWidth="1"/>
    <col min="5384" max="5384" width="13.7109375" style="2" customWidth="1"/>
    <col min="5385" max="5385" width="15" style="2" customWidth="1"/>
    <col min="5386" max="5386" width="14.85546875" style="2" customWidth="1"/>
    <col min="5387" max="5387" width="15.28515625" style="2" bestFit="1" customWidth="1"/>
    <col min="5388" max="5632" width="11.42578125" style="2"/>
    <col min="5633" max="5633" width="12.42578125" style="2" customWidth="1"/>
    <col min="5634" max="5634" width="11.42578125" style="2"/>
    <col min="5635" max="5635" width="10.85546875" style="2" customWidth="1"/>
    <col min="5636" max="5636" width="12.28515625" style="2" customWidth="1"/>
    <col min="5637" max="5637" width="11" style="2" customWidth="1"/>
    <col min="5638" max="5638" width="11.140625" style="2" customWidth="1"/>
    <col min="5639" max="5639" width="13.140625" style="2" customWidth="1"/>
    <col min="5640" max="5640" width="13.7109375" style="2" customWidth="1"/>
    <col min="5641" max="5641" width="15" style="2" customWidth="1"/>
    <col min="5642" max="5642" width="14.85546875" style="2" customWidth="1"/>
    <col min="5643" max="5643" width="15.28515625" style="2" bestFit="1" customWidth="1"/>
    <col min="5644" max="5888" width="11.42578125" style="2"/>
    <col min="5889" max="5889" width="12.42578125" style="2" customWidth="1"/>
    <col min="5890" max="5890" width="11.42578125" style="2"/>
    <col min="5891" max="5891" width="10.85546875" style="2" customWidth="1"/>
    <col min="5892" max="5892" width="12.28515625" style="2" customWidth="1"/>
    <col min="5893" max="5893" width="11" style="2" customWidth="1"/>
    <col min="5894" max="5894" width="11.140625" style="2" customWidth="1"/>
    <col min="5895" max="5895" width="13.140625" style="2" customWidth="1"/>
    <col min="5896" max="5896" width="13.7109375" style="2" customWidth="1"/>
    <col min="5897" max="5897" width="15" style="2" customWidth="1"/>
    <col min="5898" max="5898" width="14.85546875" style="2" customWidth="1"/>
    <col min="5899" max="5899" width="15.28515625" style="2" bestFit="1" customWidth="1"/>
    <col min="5900" max="6144" width="11.42578125" style="2"/>
    <col min="6145" max="6145" width="12.42578125" style="2" customWidth="1"/>
    <col min="6146" max="6146" width="11.42578125" style="2"/>
    <col min="6147" max="6147" width="10.85546875" style="2" customWidth="1"/>
    <col min="6148" max="6148" width="12.28515625" style="2" customWidth="1"/>
    <col min="6149" max="6149" width="11" style="2" customWidth="1"/>
    <col min="6150" max="6150" width="11.140625" style="2" customWidth="1"/>
    <col min="6151" max="6151" width="13.140625" style="2" customWidth="1"/>
    <col min="6152" max="6152" width="13.7109375" style="2" customWidth="1"/>
    <col min="6153" max="6153" width="15" style="2" customWidth="1"/>
    <col min="6154" max="6154" width="14.85546875" style="2" customWidth="1"/>
    <col min="6155" max="6155" width="15.28515625" style="2" bestFit="1" customWidth="1"/>
    <col min="6156" max="6400" width="11.42578125" style="2"/>
    <col min="6401" max="6401" width="12.42578125" style="2" customWidth="1"/>
    <col min="6402" max="6402" width="11.42578125" style="2"/>
    <col min="6403" max="6403" width="10.85546875" style="2" customWidth="1"/>
    <col min="6404" max="6404" width="12.28515625" style="2" customWidth="1"/>
    <col min="6405" max="6405" width="11" style="2" customWidth="1"/>
    <col min="6406" max="6406" width="11.140625" style="2" customWidth="1"/>
    <col min="6407" max="6407" width="13.140625" style="2" customWidth="1"/>
    <col min="6408" max="6408" width="13.7109375" style="2" customWidth="1"/>
    <col min="6409" max="6409" width="15" style="2" customWidth="1"/>
    <col min="6410" max="6410" width="14.85546875" style="2" customWidth="1"/>
    <col min="6411" max="6411" width="15.28515625" style="2" bestFit="1" customWidth="1"/>
    <col min="6412" max="6656" width="11.42578125" style="2"/>
    <col min="6657" max="6657" width="12.42578125" style="2" customWidth="1"/>
    <col min="6658" max="6658" width="11.42578125" style="2"/>
    <col min="6659" max="6659" width="10.85546875" style="2" customWidth="1"/>
    <col min="6660" max="6660" width="12.28515625" style="2" customWidth="1"/>
    <col min="6661" max="6661" width="11" style="2" customWidth="1"/>
    <col min="6662" max="6662" width="11.140625" style="2" customWidth="1"/>
    <col min="6663" max="6663" width="13.140625" style="2" customWidth="1"/>
    <col min="6664" max="6664" width="13.7109375" style="2" customWidth="1"/>
    <col min="6665" max="6665" width="15" style="2" customWidth="1"/>
    <col min="6666" max="6666" width="14.85546875" style="2" customWidth="1"/>
    <col min="6667" max="6667" width="15.28515625" style="2" bestFit="1" customWidth="1"/>
    <col min="6668" max="6912" width="11.42578125" style="2"/>
    <col min="6913" max="6913" width="12.42578125" style="2" customWidth="1"/>
    <col min="6914" max="6914" width="11.42578125" style="2"/>
    <col min="6915" max="6915" width="10.85546875" style="2" customWidth="1"/>
    <col min="6916" max="6916" width="12.28515625" style="2" customWidth="1"/>
    <col min="6917" max="6917" width="11" style="2" customWidth="1"/>
    <col min="6918" max="6918" width="11.140625" style="2" customWidth="1"/>
    <col min="6919" max="6919" width="13.140625" style="2" customWidth="1"/>
    <col min="6920" max="6920" width="13.7109375" style="2" customWidth="1"/>
    <col min="6921" max="6921" width="15" style="2" customWidth="1"/>
    <col min="6922" max="6922" width="14.85546875" style="2" customWidth="1"/>
    <col min="6923" max="6923" width="15.28515625" style="2" bestFit="1" customWidth="1"/>
    <col min="6924" max="7168" width="11.42578125" style="2"/>
    <col min="7169" max="7169" width="12.42578125" style="2" customWidth="1"/>
    <col min="7170" max="7170" width="11.42578125" style="2"/>
    <col min="7171" max="7171" width="10.85546875" style="2" customWidth="1"/>
    <col min="7172" max="7172" width="12.28515625" style="2" customWidth="1"/>
    <col min="7173" max="7173" width="11" style="2" customWidth="1"/>
    <col min="7174" max="7174" width="11.140625" style="2" customWidth="1"/>
    <col min="7175" max="7175" width="13.140625" style="2" customWidth="1"/>
    <col min="7176" max="7176" width="13.7109375" style="2" customWidth="1"/>
    <col min="7177" max="7177" width="15" style="2" customWidth="1"/>
    <col min="7178" max="7178" width="14.85546875" style="2" customWidth="1"/>
    <col min="7179" max="7179" width="15.28515625" style="2" bestFit="1" customWidth="1"/>
    <col min="7180" max="7424" width="11.42578125" style="2"/>
    <col min="7425" max="7425" width="12.42578125" style="2" customWidth="1"/>
    <col min="7426" max="7426" width="11.42578125" style="2"/>
    <col min="7427" max="7427" width="10.85546875" style="2" customWidth="1"/>
    <col min="7428" max="7428" width="12.28515625" style="2" customWidth="1"/>
    <col min="7429" max="7429" width="11" style="2" customWidth="1"/>
    <col min="7430" max="7430" width="11.140625" style="2" customWidth="1"/>
    <col min="7431" max="7431" width="13.140625" style="2" customWidth="1"/>
    <col min="7432" max="7432" width="13.7109375" style="2" customWidth="1"/>
    <col min="7433" max="7433" width="15" style="2" customWidth="1"/>
    <col min="7434" max="7434" width="14.85546875" style="2" customWidth="1"/>
    <col min="7435" max="7435" width="15.28515625" style="2" bestFit="1" customWidth="1"/>
    <col min="7436" max="7680" width="11.42578125" style="2"/>
    <col min="7681" max="7681" width="12.42578125" style="2" customWidth="1"/>
    <col min="7682" max="7682" width="11.42578125" style="2"/>
    <col min="7683" max="7683" width="10.85546875" style="2" customWidth="1"/>
    <col min="7684" max="7684" width="12.28515625" style="2" customWidth="1"/>
    <col min="7685" max="7685" width="11" style="2" customWidth="1"/>
    <col min="7686" max="7686" width="11.140625" style="2" customWidth="1"/>
    <col min="7687" max="7687" width="13.140625" style="2" customWidth="1"/>
    <col min="7688" max="7688" width="13.7109375" style="2" customWidth="1"/>
    <col min="7689" max="7689" width="15" style="2" customWidth="1"/>
    <col min="7690" max="7690" width="14.85546875" style="2" customWidth="1"/>
    <col min="7691" max="7691" width="15.28515625" style="2" bestFit="1" customWidth="1"/>
    <col min="7692" max="7936" width="11.42578125" style="2"/>
    <col min="7937" max="7937" width="12.42578125" style="2" customWidth="1"/>
    <col min="7938" max="7938" width="11.42578125" style="2"/>
    <col min="7939" max="7939" width="10.85546875" style="2" customWidth="1"/>
    <col min="7940" max="7940" width="12.28515625" style="2" customWidth="1"/>
    <col min="7941" max="7941" width="11" style="2" customWidth="1"/>
    <col min="7942" max="7942" width="11.140625" style="2" customWidth="1"/>
    <col min="7943" max="7943" width="13.140625" style="2" customWidth="1"/>
    <col min="7944" max="7944" width="13.7109375" style="2" customWidth="1"/>
    <col min="7945" max="7945" width="15" style="2" customWidth="1"/>
    <col min="7946" max="7946" width="14.85546875" style="2" customWidth="1"/>
    <col min="7947" max="7947" width="15.28515625" style="2" bestFit="1" customWidth="1"/>
    <col min="7948" max="8192" width="11.42578125" style="2"/>
    <col min="8193" max="8193" width="12.42578125" style="2" customWidth="1"/>
    <col min="8194" max="8194" width="11.42578125" style="2"/>
    <col min="8195" max="8195" width="10.85546875" style="2" customWidth="1"/>
    <col min="8196" max="8196" width="12.28515625" style="2" customWidth="1"/>
    <col min="8197" max="8197" width="11" style="2" customWidth="1"/>
    <col min="8198" max="8198" width="11.140625" style="2" customWidth="1"/>
    <col min="8199" max="8199" width="13.140625" style="2" customWidth="1"/>
    <col min="8200" max="8200" width="13.7109375" style="2" customWidth="1"/>
    <col min="8201" max="8201" width="15" style="2" customWidth="1"/>
    <col min="8202" max="8202" width="14.85546875" style="2" customWidth="1"/>
    <col min="8203" max="8203" width="15.28515625" style="2" bestFit="1" customWidth="1"/>
    <col min="8204" max="8448" width="11.42578125" style="2"/>
    <col min="8449" max="8449" width="12.42578125" style="2" customWidth="1"/>
    <col min="8450" max="8450" width="11.42578125" style="2"/>
    <col min="8451" max="8451" width="10.85546875" style="2" customWidth="1"/>
    <col min="8452" max="8452" width="12.28515625" style="2" customWidth="1"/>
    <col min="8453" max="8453" width="11" style="2" customWidth="1"/>
    <col min="8454" max="8454" width="11.140625" style="2" customWidth="1"/>
    <col min="8455" max="8455" width="13.140625" style="2" customWidth="1"/>
    <col min="8456" max="8456" width="13.7109375" style="2" customWidth="1"/>
    <col min="8457" max="8457" width="15" style="2" customWidth="1"/>
    <col min="8458" max="8458" width="14.85546875" style="2" customWidth="1"/>
    <col min="8459" max="8459" width="15.28515625" style="2" bestFit="1" customWidth="1"/>
    <col min="8460" max="8704" width="11.42578125" style="2"/>
    <col min="8705" max="8705" width="12.42578125" style="2" customWidth="1"/>
    <col min="8706" max="8706" width="11.42578125" style="2"/>
    <col min="8707" max="8707" width="10.85546875" style="2" customWidth="1"/>
    <col min="8708" max="8708" width="12.28515625" style="2" customWidth="1"/>
    <col min="8709" max="8709" width="11" style="2" customWidth="1"/>
    <col min="8710" max="8710" width="11.140625" style="2" customWidth="1"/>
    <col min="8711" max="8711" width="13.140625" style="2" customWidth="1"/>
    <col min="8712" max="8712" width="13.7109375" style="2" customWidth="1"/>
    <col min="8713" max="8713" width="15" style="2" customWidth="1"/>
    <col min="8714" max="8714" width="14.85546875" style="2" customWidth="1"/>
    <col min="8715" max="8715" width="15.28515625" style="2" bestFit="1" customWidth="1"/>
    <col min="8716" max="8960" width="11.42578125" style="2"/>
    <col min="8961" max="8961" width="12.42578125" style="2" customWidth="1"/>
    <col min="8962" max="8962" width="11.42578125" style="2"/>
    <col min="8963" max="8963" width="10.85546875" style="2" customWidth="1"/>
    <col min="8964" max="8964" width="12.28515625" style="2" customWidth="1"/>
    <col min="8965" max="8965" width="11" style="2" customWidth="1"/>
    <col min="8966" max="8966" width="11.140625" style="2" customWidth="1"/>
    <col min="8967" max="8967" width="13.140625" style="2" customWidth="1"/>
    <col min="8968" max="8968" width="13.7109375" style="2" customWidth="1"/>
    <col min="8969" max="8969" width="15" style="2" customWidth="1"/>
    <col min="8970" max="8970" width="14.85546875" style="2" customWidth="1"/>
    <col min="8971" max="8971" width="15.28515625" style="2" bestFit="1" customWidth="1"/>
    <col min="8972" max="9216" width="11.42578125" style="2"/>
    <col min="9217" max="9217" width="12.42578125" style="2" customWidth="1"/>
    <col min="9218" max="9218" width="11.42578125" style="2"/>
    <col min="9219" max="9219" width="10.85546875" style="2" customWidth="1"/>
    <col min="9220" max="9220" width="12.28515625" style="2" customWidth="1"/>
    <col min="9221" max="9221" width="11" style="2" customWidth="1"/>
    <col min="9222" max="9222" width="11.140625" style="2" customWidth="1"/>
    <col min="9223" max="9223" width="13.140625" style="2" customWidth="1"/>
    <col min="9224" max="9224" width="13.7109375" style="2" customWidth="1"/>
    <col min="9225" max="9225" width="15" style="2" customWidth="1"/>
    <col min="9226" max="9226" width="14.85546875" style="2" customWidth="1"/>
    <col min="9227" max="9227" width="15.28515625" style="2" bestFit="1" customWidth="1"/>
    <col min="9228" max="9472" width="11.42578125" style="2"/>
    <col min="9473" max="9473" width="12.42578125" style="2" customWidth="1"/>
    <col min="9474" max="9474" width="11.42578125" style="2"/>
    <col min="9475" max="9475" width="10.85546875" style="2" customWidth="1"/>
    <col min="9476" max="9476" width="12.28515625" style="2" customWidth="1"/>
    <col min="9477" max="9477" width="11" style="2" customWidth="1"/>
    <col min="9478" max="9478" width="11.140625" style="2" customWidth="1"/>
    <col min="9479" max="9479" width="13.140625" style="2" customWidth="1"/>
    <col min="9480" max="9480" width="13.7109375" style="2" customWidth="1"/>
    <col min="9481" max="9481" width="15" style="2" customWidth="1"/>
    <col min="9482" max="9482" width="14.85546875" style="2" customWidth="1"/>
    <col min="9483" max="9483" width="15.28515625" style="2" bestFit="1" customWidth="1"/>
    <col min="9484" max="9728" width="11.42578125" style="2"/>
    <col min="9729" max="9729" width="12.42578125" style="2" customWidth="1"/>
    <col min="9730" max="9730" width="11.42578125" style="2"/>
    <col min="9731" max="9731" width="10.85546875" style="2" customWidth="1"/>
    <col min="9732" max="9732" width="12.28515625" style="2" customWidth="1"/>
    <col min="9733" max="9733" width="11" style="2" customWidth="1"/>
    <col min="9734" max="9734" width="11.140625" style="2" customWidth="1"/>
    <col min="9735" max="9735" width="13.140625" style="2" customWidth="1"/>
    <col min="9736" max="9736" width="13.7109375" style="2" customWidth="1"/>
    <col min="9737" max="9737" width="15" style="2" customWidth="1"/>
    <col min="9738" max="9738" width="14.85546875" style="2" customWidth="1"/>
    <col min="9739" max="9739" width="15.28515625" style="2" bestFit="1" customWidth="1"/>
    <col min="9740" max="9984" width="11.42578125" style="2"/>
    <col min="9985" max="9985" width="12.42578125" style="2" customWidth="1"/>
    <col min="9986" max="9986" width="11.42578125" style="2"/>
    <col min="9987" max="9987" width="10.85546875" style="2" customWidth="1"/>
    <col min="9988" max="9988" width="12.28515625" style="2" customWidth="1"/>
    <col min="9989" max="9989" width="11" style="2" customWidth="1"/>
    <col min="9990" max="9990" width="11.140625" style="2" customWidth="1"/>
    <col min="9991" max="9991" width="13.140625" style="2" customWidth="1"/>
    <col min="9992" max="9992" width="13.7109375" style="2" customWidth="1"/>
    <col min="9993" max="9993" width="15" style="2" customWidth="1"/>
    <col min="9994" max="9994" width="14.85546875" style="2" customWidth="1"/>
    <col min="9995" max="9995" width="15.28515625" style="2" bestFit="1" customWidth="1"/>
    <col min="9996" max="10240" width="11.42578125" style="2"/>
    <col min="10241" max="10241" width="12.42578125" style="2" customWidth="1"/>
    <col min="10242" max="10242" width="11.42578125" style="2"/>
    <col min="10243" max="10243" width="10.85546875" style="2" customWidth="1"/>
    <col min="10244" max="10244" width="12.28515625" style="2" customWidth="1"/>
    <col min="10245" max="10245" width="11" style="2" customWidth="1"/>
    <col min="10246" max="10246" width="11.140625" style="2" customWidth="1"/>
    <col min="10247" max="10247" width="13.140625" style="2" customWidth="1"/>
    <col min="10248" max="10248" width="13.7109375" style="2" customWidth="1"/>
    <col min="10249" max="10249" width="15" style="2" customWidth="1"/>
    <col min="10250" max="10250" width="14.85546875" style="2" customWidth="1"/>
    <col min="10251" max="10251" width="15.28515625" style="2" bestFit="1" customWidth="1"/>
    <col min="10252" max="10496" width="11.42578125" style="2"/>
    <col min="10497" max="10497" width="12.42578125" style="2" customWidth="1"/>
    <col min="10498" max="10498" width="11.42578125" style="2"/>
    <col min="10499" max="10499" width="10.85546875" style="2" customWidth="1"/>
    <col min="10500" max="10500" width="12.28515625" style="2" customWidth="1"/>
    <col min="10501" max="10501" width="11" style="2" customWidth="1"/>
    <col min="10502" max="10502" width="11.140625" style="2" customWidth="1"/>
    <col min="10503" max="10503" width="13.140625" style="2" customWidth="1"/>
    <col min="10504" max="10504" width="13.7109375" style="2" customWidth="1"/>
    <col min="10505" max="10505" width="15" style="2" customWidth="1"/>
    <col min="10506" max="10506" width="14.85546875" style="2" customWidth="1"/>
    <col min="10507" max="10507" width="15.28515625" style="2" bestFit="1" customWidth="1"/>
    <col min="10508" max="10752" width="11.42578125" style="2"/>
    <col min="10753" max="10753" width="12.42578125" style="2" customWidth="1"/>
    <col min="10754" max="10754" width="11.42578125" style="2"/>
    <col min="10755" max="10755" width="10.85546875" style="2" customWidth="1"/>
    <col min="10756" max="10756" width="12.28515625" style="2" customWidth="1"/>
    <col min="10757" max="10757" width="11" style="2" customWidth="1"/>
    <col min="10758" max="10758" width="11.140625" style="2" customWidth="1"/>
    <col min="10759" max="10759" width="13.140625" style="2" customWidth="1"/>
    <col min="10760" max="10760" width="13.7109375" style="2" customWidth="1"/>
    <col min="10761" max="10761" width="15" style="2" customWidth="1"/>
    <col min="10762" max="10762" width="14.85546875" style="2" customWidth="1"/>
    <col min="10763" max="10763" width="15.28515625" style="2" bestFit="1" customWidth="1"/>
    <col min="10764" max="11008" width="11.42578125" style="2"/>
    <col min="11009" max="11009" width="12.42578125" style="2" customWidth="1"/>
    <col min="11010" max="11010" width="11.42578125" style="2"/>
    <col min="11011" max="11011" width="10.85546875" style="2" customWidth="1"/>
    <col min="11012" max="11012" width="12.28515625" style="2" customWidth="1"/>
    <col min="11013" max="11013" width="11" style="2" customWidth="1"/>
    <col min="11014" max="11014" width="11.140625" style="2" customWidth="1"/>
    <col min="11015" max="11015" width="13.140625" style="2" customWidth="1"/>
    <col min="11016" max="11016" width="13.7109375" style="2" customWidth="1"/>
    <col min="11017" max="11017" width="15" style="2" customWidth="1"/>
    <col min="11018" max="11018" width="14.85546875" style="2" customWidth="1"/>
    <col min="11019" max="11019" width="15.28515625" style="2" bestFit="1" customWidth="1"/>
    <col min="11020" max="11264" width="11.42578125" style="2"/>
    <col min="11265" max="11265" width="12.42578125" style="2" customWidth="1"/>
    <col min="11266" max="11266" width="11.42578125" style="2"/>
    <col min="11267" max="11267" width="10.85546875" style="2" customWidth="1"/>
    <col min="11268" max="11268" width="12.28515625" style="2" customWidth="1"/>
    <col min="11269" max="11269" width="11" style="2" customWidth="1"/>
    <col min="11270" max="11270" width="11.140625" style="2" customWidth="1"/>
    <col min="11271" max="11271" width="13.140625" style="2" customWidth="1"/>
    <col min="11272" max="11272" width="13.7109375" style="2" customWidth="1"/>
    <col min="11273" max="11273" width="15" style="2" customWidth="1"/>
    <col min="11274" max="11274" width="14.85546875" style="2" customWidth="1"/>
    <col min="11275" max="11275" width="15.28515625" style="2" bestFit="1" customWidth="1"/>
    <col min="11276" max="11520" width="11.42578125" style="2"/>
    <col min="11521" max="11521" width="12.42578125" style="2" customWidth="1"/>
    <col min="11522" max="11522" width="11.42578125" style="2"/>
    <col min="11523" max="11523" width="10.85546875" style="2" customWidth="1"/>
    <col min="11524" max="11524" width="12.28515625" style="2" customWidth="1"/>
    <col min="11525" max="11525" width="11" style="2" customWidth="1"/>
    <col min="11526" max="11526" width="11.140625" style="2" customWidth="1"/>
    <col min="11527" max="11527" width="13.140625" style="2" customWidth="1"/>
    <col min="11528" max="11528" width="13.7109375" style="2" customWidth="1"/>
    <col min="11529" max="11529" width="15" style="2" customWidth="1"/>
    <col min="11530" max="11530" width="14.85546875" style="2" customWidth="1"/>
    <col min="11531" max="11531" width="15.28515625" style="2" bestFit="1" customWidth="1"/>
    <col min="11532" max="11776" width="11.42578125" style="2"/>
    <col min="11777" max="11777" width="12.42578125" style="2" customWidth="1"/>
    <col min="11778" max="11778" width="11.42578125" style="2"/>
    <col min="11779" max="11779" width="10.85546875" style="2" customWidth="1"/>
    <col min="11780" max="11780" width="12.28515625" style="2" customWidth="1"/>
    <col min="11781" max="11781" width="11" style="2" customWidth="1"/>
    <col min="11782" max="11782" width="11.140625" style="2" customWidth="1"/>
    <col min="11783" max="11783" width="13.140625" style="2" customWidth="1"/>
    <col min="11784" max="11784" width="13.7109375" style="2" customWidth="1"/>
    <col min="11785" max="11785" width="15" style="2" customWidth="1"/>
    <col min="11786" max="11786" width="14.85546875" style="2" customWidth="1"/>
    <col min="11787" max="11787" width="15.28515625" style="2" bestFit="1" customWidth="1"/>
    <col min="11788" max="12032" width="11.42578125" style="2"/>
    <col min="12033" max="12033" width="12.42578125" style="2" customWidth="1"/>
    <col min="12034" max="12034" width="11.42578125" style="2"/>
    <col min="12035" max="12035" width="10.85546875" style="2" customWidth="1"/>
    <col min="12036" max="12036" width="12.28515625" style="2" customWidth="1"/>
    <col min="12037" max="12037" width="11" style="2" customWidth="1"/>
    <col min="12038" max="12038" width="11.140625" style="2" customWidth="1"/>
    <col min="12039" max="12039" width="13.140625" style="2" customWidth="1"/>
    <col min="12040" max="12040" width="13.7109375" style="2" customWidth="1"/>
    <col min="12041" max="12041" width="15" style="2" customWidth="1"/>
    <col min="12042" max="12042" width="14.85546875" style="2" customWidth="1"/>
    <col min="12043" max="12043" width="15.28515625" style="2" bestFit="1" customWidth="1"/>
    <col min="12044" max="12288" width="11.42578125" style="2"/>
    <col min="12289" max="12289" width="12.42578125" style="2" customWidth="1"/>
    <col min="12290" max="12290" width="11.42578125" style="2"/>
    <col min="12291" max="12291" width="10.85546875" style="2" customWidth="1"/>
    <col min="12292" max="12292" width="12.28515625" style="2" customWidth="1"/>
    <col min="12293" max="12293" width="11" style="2" customWidth="1"/>
    <col min="12294" max="12294" width="11.140625" style="2" customWidth="1"/>
    <col min="12295" max="12295" width="13.140625" style="2" customWidth="1"/>
    <col min="12296" max="12296" width="13.7109375" style="2" customWidth="1"/>
    <col min="12297" max="12297" width="15" style="2" customWidth="1"/>
    <col min="12298" max="12298" width="14.85546875" style="2" customWidth="1"/>
    <col min="12299" max="12299" width="15.28515625" style="2" bestFit="1" customWidth="1"/>
    <col min="12300" max="12544" width="11.42578125" style="2"/>
    <col min="12545" max="12545" width="12.42578125" style="2" customWidth="1"/>
    <col min="12546" max="12546" width="11.42578125" style="2"/>
    <col min="12547" max="12547" width="10.85546875" style="2" customWidth="1"/>
    <col min="12548" max="12548" width="12.28515625" style="2" customWidth="1"/>
    <col min="12549" max="12549" width="11" style="2" customWidth="1"/>
    <col min="12550" max="12550" width="11.140625" style="2" customWidth="1"/>
    <col min="12551" max="12551" width="13.140625" style="2" customWidth="1"/>
    <col min="12552" max="12552" width="13.7109375" style="2" customWidth="1"/>
    <col min="12553" max="12553" width="15" style="2" customWidth="1"/>
    <col min="12554" max="12554" width="14.85546875" style="2" customWidth="1"/>
    <col min="12555" max="12555" width="15.28515625" style="2" bestFit="1" customWidth="1"/>
    <col min="12556" max="12800" width="11.42578125" style="2"/>
    <col min="12801" max="12801" width="12.42578125" style="2" customWidth="1"/>
    <col min="12802" max="12802" width="11.42578125" style="2"/>
    <col min="12803" max="12803" width="10.85546875" style="2" customWidth="1"/>
    <col min="12804" max="12804" width="12.28515625" style="2" customWidth="1"/>
    <col min="12805" max="12805" width="11" style="2" customWidth="1"/>
    <col min="12806" max="12806" width="11.140625" style="2" customWidth="1"/>
    <col min="12807" max="12807" width="13.140625" style="2" customWidth="1"/>
    <col min="12808" max="12808" width="13.7109375" style="2" customWidth="1"/>
    <col min="12809" max="12809" width="15" style="2" customWidth="1"/>
    <col min="12810" max="12810" width="14.85546875" style="2" customWidth="1"/>
    <col min="12811" max="12811" width="15.28515625" style="2" bestFit="1" customWidth="1"/>
    <col min="12812" max="13056" width="11.42578125" style="2"/>
    <col min="13057" max="13057" width="12.42578125" style="2" customWidth="1"/>
    <col min="13058" max="13058" width="11.42578125" style="2"/>
    <col min="13059" max="13059" width="10.85546875" style="2" customWidth="1"/>
    <col min="13060" max="13060" width="12.28515625" style="2" customWidth="1"/>
    <col min="13061" max="13061" width="11" style="2" customWidth="1"/>
    <col min="13062" max="13062" width="11.140625" style="2" customWidth="1"/>
    <col min="13063" max="13063" width="13.140625" style="2" customWidth="1"/>
    <col min="13064" max="13064" width="13.7109375" style="2" customWidth="1"/>
    <col min="13065" max="13065" width="15" style="2" customWidth="1"/>
    <col min="13066" max="13066" width="14.85546875" style="2" customWidth="1"/>
    <col min="13067" max="13067" width="15.28515625" style="2" bestFit="1" customWidth="1"/>
    <col min="13068" max="13312" width="11.42578125" style="2"/>
    <col min="13313" max="13313" width="12.42578125" style="2" customWidth="1"/>
    <col min="13314" max="13314" width="11.42578125" style="2"/>
    <col min="13315" max="13315" width="10.85546875" style="2" customWidth="1"/>
    <col min="13316" max="13316" width="12.28515625" style="2" customWidth="1"/>
    <col min="13317" max="13317" width="11" style="2" customWidth="1"/>
    <col min="13318" max="13318" width="11.140625" style="2" customWidth="1"/>
    <col min="13319" max="13319" width="13.140625" style="2" customWidth="1"/>
    <col min="13320" max="13320" width="13.7109375" style="2" customWidth="1"/>
    <col min="13321" max="13321" width="15" style="2" customWidth="1"/>
    <col min="13322" max="13322" width="14.85546875" style="2" customWidth="1"/>
    <col min="13323" max="13323" width="15.28515625" style="2" bestFit="1" customWidth="1"/>
    <col min="13324" max="13568" width="11.42578125" style="2"/>
    <col min="13569" max="13569" width="12.42578125" style="2" customWidth="1"/>
    <col min="13570" max="13570" width="11.42578125" style="2"/>
    <col min="13571" max="13571" width="10.85546875" style="2" customWidth="1"/>
    <col min="13572" max="13572" width="12.28515625" style="2" customWidth="1"/>
    <col min="13573" max="13573" width="11" style="2" customWidth="1"/>
    <col min="13574" max="13574" width="11.140625" style="2" customWidth="1"/>
    <col min="13575" max="13575" width="13.140625" style="2" customWidth="1"/>
    <col min="13576" max="13576" width="13.7109375" style="2" customWidth="1"/>
    <col min="13577" max="13577" width="15" style="2" customWidth="1"/>
    <col min="13578" max="13578" width="14.85546875" style="2" customWidth="1"/>
    <col min="13579" max="13579" width="15.28515625" style="2" bestFit="1" customWidth="1"/>
    <col min="13580" max="13824" width="11.42578125" style="2"/>
    <col min="13825" max="13825" width="12.42578125" style="2" customWidth="1"/>
    <col min="13826" max="13826" width="11.42578125" style="2"/>
    <col min="13827" max="13827" width="10.85546875" style="2" customWidth="1"/>
    <col min="13828" max="13828" width="12.28515625" style="2" customWidth="1"/>
    <col min="13829" max="13829" width="11" style="2" customWidth="1"/>
    <col min="13830" max="13830" width="11.140625" style="2" customWidth="1"/>
    <col min="13831" max="13831" width="13.140625" style="2" customWidth="1"/>
    <col min="13832" max="13832" width="13.7109375" style="2" customWidth="1"/>
    <col min="13833" max="13833" width="15" style="2" customWidth="1"/>
    <col min="13834" max="13834" width="14.85546875" style="2" customWidth="1"/>
    <col min="13835" max="13835" width="15.28515625" style="2" bestFit="1" customWidth="1"/>
    <col min="13836" max="14080" width="11.42578125" style="2"/>
    <col min="14081" max="14081" width="12.42578125" style="2" customWidth="1"/>
    <col min="14082" max="14082" width="11.42578125" style="2"/>
    <col min="14083" max="14083" width="10.85546875" style="2" customWidth="1"/>
    <col min="14084" max="14084" width="12.28515625" style="2" customWidth="1"/>
    <col min="14085" max="14085" width="11" style="2" customWidth="1"/>
    <col min="14086" max="14086" width="11.140625" style="2" customWidth="1"/>
    <col min="14087" max="14087" width="13.140625" style="2" customWidth="1"/>
    <col min="14088" max="14088" width="13.7109375" style="2" customWidth="1"/>
    <col min="14089" max="14089" width="15" style="2" customWidth="1"/>
    <col min="14090" max="14090" width="14.85546875" style="2" customWidth="1"/>
    <col min="14091" max="14091" width="15.28515625" style="2" bestFit="1" customWidth="1"/>
    <col min="14092" max="14336" width="11.42578125" style="2"/>
    <col min="14337" max="14337" width="12.42578125" style="2" customWidth="1"/>
    <col min="14338" max="14338" width="11.42578125" style="2"/>
    <col min="14339" max="14339" width="10.85546875" style="2" customWidth="1"/>
    <col min="14340" max="14340" width="12.28515625" style="2" customWidth="1"/>
    <col min="14341" max="14341" width="11" style="2" customWidth="1"/>
    <col min="14342" max="14342" width="11.140625" style="2" customWidth="1"/>
    <col min="14343" max="14343" width="13.140625" style="2" customWidth="1"/>
    <col min="14344" max="14344" width="13.7109375" style="2" customWidth="1"/>
    <col min="14345" max="14345" width="15" style="2" customWidth="1"/>
    <col min="14346" max="14346" width="14.85546875" style="2" customWidth="1"/>
    <col min="14347" max="14347" width="15.28515625" style="2" bestFit="1" customWidth="1"/>
    <col min="14348" max="14592" width="11.42578125" style="2"/>
    <col min="14593" max="14593" width="12.42578125" style="2" customWidth="1"/>
    <col min="14594" max="14594" width="11.42578125" style="2"/>
    <col min="14595" max="14595" width="10.85546875" style="2" customWidth="1"/>
    <col min="14596" max="14596" width="12.28515625" style="2" customWidth="1"/>
    <col min="14597" max="14597" width="11" style="2" customWidth="1"/>
    <col min="14598" max="14598" width="11.140625" style="2" customWidth="1"/>
    <col min="14599" max="14599" width="13.140625" style="2" customWidth="1"/>
    <col min="14600" max="14600" width="13.7109375" style="2" customWidth="1"/>
    <col min="14601" max="14601" width="15" style="2" customWidth="1"/>
    <col min="14602" max="14602" width="14.85546875" style="2" customWidth="1"/>
    <col min="14603" max="14603" width="15.28515625" style="2" bestFit="1" customWidth="1"/>
    <col min="14604" max="14848" width="11.42578125" style="2"/>
    <col min="14849" max="14849" width="12.42578125" style="2" customWidth="1"/>
    <col min="14850" max="14850" width="11.42578125" style="2"/>
    <col min="14851" max="14851" width="10.85546875" style="2" customWidth="1"/>
    <col min="14852" max="14852" width="12.28515625" style="2" customWidth="1"/>
    <col min="14853" max="14853" width="11" style="2" customWidth="1"/>
    <col min="14854" max="14854" width="11.140625" style="2" customWidth="1"/>
    <col min="14855" max="14855" width="13.140625" style="2" customWidth="1"/>
    <col min="14856" max="14856" width="13.7109375" style="2" customWidth="1"/>
    <col min="14857" max="14857" width="15" style="2" customWidth="1"/>
    <col min="14858" max="14858" width="14.85546875" style="2" customWidth="1"/>
    <col min="14859" max="14859" width="15.28515625" style="2" bestFit="1" customWidth="1"/>
    <col min="14860" max="15104" width="11.42578125" style="2"/>
    <col min="15105" max="15105" width="12.42578125" style="2" customWidth="1"/>
    <col min="15106" max="15106" width="11.42578125" style="2"/>
    <col min="15107" max="15107" width="10.85546875" style="2" customWidth="1"/>
    <col min="15108" max="15108" width="12.28515625" style="2" customWidth="1"/>
    <col min="15109" max="15109" width="11" style="2" customWidth="1"/>
    <col min="15110" max="15110" width="11.140625" style="2" customWidth="1"/>
    <col min="15111" max="15111" width="13.140625" style="2" customWidth="1"/>
    <col min="15112" max="15112" width="13.7109375" style="2" customWidth="1"/>
    <col min="15113" max="15113" width="15" style="2" customWidth="1"/>
    <col min="15114" max="15114" width="14.85546875" style="2" customWidth="1"/>
    <col min="15115" max="15115" width="15.28515625" style="2" bestFit="1" customWidth="1"/>
    <col min="15116" max="15360" width="11.42578125" style="2"/>
    <col min="15361" max="15361" width="12.42578125" style="2" customWidth="1"/>
    <col min="15362" max="15362" width="11.42578125" style="2"/>
    <col min="15363" max="15363" width="10.85546875" style="2" customWidth="1"/>
    <col min="15364" max="15364" width="12.28515625" style="2" customWidth="1"/>
    <col min="15365" max="15365" width="11" style="2" customWidth="1"/>
    <col min="15366" max="15366" width="11.140625" style="2" customWidth="1"/>
    <col min="15367" max="15367" width="13.140625" style="2" customWidth="1"/>
    <col min="15368" max="15368" width="13.7109375" style="2" customWidth="1"/>
    <col min="15369" max="15369" width="15" style="2" customWidth="1"/>
    <col min="15370" max="15370" width="14.85546875" style="2" customWidth="1"/>
    <col min="15371" max="15371" width="15.28515625" style="2" bestFit="1" customWidth="1"/>
    <col min="15372" max="15616" width="11.42578125" style="2"/>
    <col min="15617" max="15617" width="12.42578125" style="2" customWidth="1"/>
    <col min="15618" max="15618" width="11.42578125" style="2"/>
    <col min="15619" max="15619" width="10.85546875" style="2" customWidth="1"/>
    <col min="15620" max="15620" width="12.28515625" style="2" customWidth="1"/>
    <col min="15621" max="15621" width="11" style="2" customWidth="1"/>
    <col min="15622" max="15622" width="11.140625" style="2" customWidth="1"/>
    <col min="15623" max="15623" width="13.140625" style="2" customWidth="1"/>
    <col min="15624" max="15624" width="13.7109375" style="2" customWidth="1"/>
    <col min="15625" max="15625" width="15" style="2" customWidth="1"/>
    <col min="15626" max="15626" width="14.85546875" style="2" customWidth="1"/>
    <col min="15627" max="15627" width="15.28515625" style="2" bestFit="1" customWidth="1"/>
    <col min="15628" max="15872" width="11.42578125" style="2"/>
    <col min="15873" max="15873" width="12.42578125" style="2" customWidth="1"/>
    <col min="15874" max="15874" width="11.42578125" style="2"/>
    <col min="15875" max="15875" width="10.85546875" style="2" customWidth="1"/>
    <col min="15876" max="15876" width="12.28515625" style="2" customWidth="1"/>
    <col min="15877" max="15877" width="11" style="2" customWidth="1"/>
    <col min="15878" max="15878" width="11.140625" style="2" customWidth="1"/>
    <col min="15879" max="15879" width="13.140625" style="2" customWidth="1"/>
    <col min="15880" max="15880" width="13.7109375" style="2" customWidth="1"/>
    <col min="15881" max="15881" width="15" style="2" customWidth="1"/>
    <col min="15882" max="15882" width="14.85546875" style="2" customWidth="1"/>
    <col min="15883" max="15883" width="15.28515625" style="2" bestFit="1" customWidth="1"/>
    <col min="15884" max="16128" width="11.42578125" style="2"/>
    <col min="16129" max="16129" width="12.42578125" style="2" customWidth="1"/>
    <col min="16130" max="16130" width="11.42578125" style="2"/>
    <col min="16131" max="16131" width="10.85546875" style="2" customWidth="1"/>
    <col min="16132" max="16132" width="12.28515625" style="2" customWidth="1"/>
    <col min="16133" max="16133" width="11" style="2" customWidth="1"/>
    <col min="16134" max="16134" width="11.140625" style="2" customWidth="1"/>
    <col min="16135" max="16135" width="13.140625" style="2" customWidth="1"/>
    <col min="16136" max="16136" width="13.7109375" style="2" customWidth="1"/>
    <col min="16137" max="16137" width="15" style="2" customWidth="1"/>
    <col min="16138" max="16138" width="14.85546875" style="2" customWidth="1"/>
    <col min="16139" max="16139" width="15.28515625" style="2" bestFit="1" customWidth="1"/>
    <col min="16140" max="16384" width="11.42578125" style="2"/>
  </cols>
  <sheetData>
    <row r="1" spans="1:11" ht="18" customHeight="1">
      <c r="A1" s="24"/>
      <c r="B1" s="24"/>
      <c r="C1" s="24"/>
      <c r="D1" s="24"/>
      <c r="E1" s="24"/>
      <c r="F1" s="24"/>
      <c r="G1" s="24"/>
      <c r="H1" s="24"/>
    </row>
    <row r="2" spans="1:11">
      <c r="A2" s="24"/>
      <c r="B2" s="24"/>
      <c r="C2" s="24"/>
      <c r="D2" s="24"/>
      <c r="E2" s="24"/>
      <c r="F2" s="24"/>
      <c r="G2" s="541" t="str">
        <f>'carte rose'!B2</f>
        <v>ALEMNGE CYPRIAN</v>
      </c>
      <c r="H2" s="541"/>
    </row>
    <row r="3" spans="1:11">
      <c r="A3" s="541" t="str">
        <f>'carte rose'!B2</f>
        <v>ALEMNGE CYPRIAN</v>
      </c>
      <c r="B3" s="541"/>
      <c r="C3" s="24"/>
      <c r="D3" s="24"/>
      <c r="E3" s="24"/>
      <c r="F3" s="24"/>
      <c r="G3" s="542">
        <f>'carte rose'!B3</f>
        <v>0</v>
      </c>
      <c r="H3" s="542"/>
    </row>
    <row r="4" spans="1:11">
      <c r="A4" s="542">
        <f>'carte rose'!B3</f>
        <v>0</v>
      </c>
      <c r="B4" s="542"/>
      <c r="C4" s="24"/>
      <c r="D4" s="24"/>
      <c r="E4" s="24"/>
      <c r="F4" s="24"/>
      <c r="G4" s="540" t="str">
        <f>'carte rose'!B4</f>
        <v>ALEMNGE CYPRIAN</v>
      </c>
      <c r="H4" s="540"/>
    </row>
    <row r="5" spans="1:11">
      <c r="A5" s="24"/>
      <c r="B5" s="24"/>
      <c r="C5" s="24"/>
      <c r="D5" s="24"/>
      <c r="E5" s="25"/>
      <c r="F5" s="24"/>
      <c r="G5" s="540" t="str">
        <f>'carte rose'!B11</f>
        <v>A2023/1075/CAT1/1110155939</v>
      </c>
      <c r="H5" s="540"/>
    </row>
    <row r="6" spans="1:11">
      <c r="A6" s="540" t="str">
        <f>'carte rose'!B11</f>
        <v>A2023/1075/CAT1/1110155939</v>
      </c>
      <c r="B6" s="540"/>
      <c r="C6" s="24"/>
      <c r="D6" s="540" t="str">
        <f>'carte rose'!B11</f>
        <v>A2023/1075/CAT1/1110155939</v>
      </c>
      <c r="E6" s="540"/>
      <c r="F6" s="24"/>
      <c r="G6" s="24"/>
      <c r="H6" s="24"/>
    </row>
    <row r="7" spans="1:11">
      <c r="A7" s="26">
        <f>'carte rose'!B13</f>
        <v>45192</v>
      </c>
      <c r="B7" s="27">
        <f>'carte rose'!B14</f>
        <v>45251</v>
      </c>
      <c r="C7" s="24"/>
      <c r="D7" s="28">
        <f>'carte rose'!B13</f>
        <v>45192</v>
      </c>
      <c r="E7" s="26">
        <f>'carte rose'!B14</f>
        <v>45251</v>
      </c>
      <c r="F7" s="24" t="s">
        <v>262</v>
      </c>
      <c r="G7" s="26">
        <f>'carte rose'!B13</f>
        <v>45192</v>
      </c>
      <c r="H7" s="26">
        <f>'carte rose'!B14</f>
        <v>45251</v>
      </c>
      <c r="I7" s="2" t="s">
        <v>262</v>
      </c>
    </row>
    <row r="8" spans="1:11" ht="14.25" customHeight="1">
      <c r="A8" s="24"/>
      <c r="B8" s="25" t="str">
        <f>'carte rose'!B17</f>
        <v xml:space="preserve">NISSAN </v>
      </c>
      <c r="C8" s="24"/>
      <c r="D8" s="24"/>
      <c r="E8" s="25" t="str">
        <f>'carte rose'!B17</f>
        <v xml:space="preserve">NISSAN </v>
      </c>
      <c r="F8" s="24"/>
      <c r="G8" s="544" t="str">
        <f>'carte rose'!B17</f>
        <v xml:space="preserve">NISSAN </v>
      </c>
      <c r="H8" s="544"/>
    </row>
    <row r="9" spans="1:11" ht="9.75" customHeight="1">
      <c r="A9" s="24"/>
      <c r="B9" s="24"/>
      <c r="C9" s="24"/>
      <c r="D9" s="24"/>
      <c r="E9" s="24"/>
      <c r="F9" s="24"/>
      <c r="G9" s="24"/>
      <c r="H9" s="24"/>
    </row>
    <row r="10" spans="1:11">
      <c r="A10" s="24"/>
      <c r="B10" s="25" t="str">
        <f>'carte rose'!B5</f>
        <v>SW 859 BB</v>
      </c>
      <c r="C10" s="24"/>
      <c r="D10" s="24"/>
      <c r="E10" s="25" t="str">
        <f>'carte rose'!D4</f>
        <v>SW 859 BB</v>
      </c>
      <c r="F10" s="24"/>
      <c r="G10" s="25"/>
      <c r="H10" s="25" t="str">
        <f>'carte rose'!B5</f>
        <v>SW 859 BB</v>
      </c>
    </row>
    <row r="11" spans="1:11">
      <c r="A11" s="540"/>
      <c r="B11" s="540"/>
      <c r="C11" s="24"/>
      <c r="D11" s="540"/>
      <c r="E11" s="540"/>
      <c r="F11" s="24"/>
      <c r="G11" s="540" t="s">
        <v>92</v>
      </c>
      <c r="H11" s="540"/>
    </row>
    <row r="12" spans="1:11">
      <c r="A12" s="24"/>
      <c r="B12" s="25" t="str">
        <f>'carte rose'!B15</f>
        <v>CAT1**VT</v>
      </c>
      <c r="C12" s="24"/>
      <c r="D12" s="24"/>
      <c r="E12" s="25" t="str">
        <f>'carte rose'!B15</f>
        <v>CAT1**VT</v>
      </c>
      <c r="F12" s="24"/>
      <c r="G12" s="24"/>
      <c r="H12" s="25" t="str">
        <f>'carte rose'!B15</f>
        <v>CAT1**VT</v>
      </c>
    </row>
    <row r="13" spans="1:11">
      <c r="A13" s="24"/>
      <c r="C13" s="24"/>
      <c r="D13" s="24"/>
      <c r="F13" s="24"/>
      <c r="G13" s="25"/>
    </row>
    <row r="14" spans="1:11">
      <c r="A14" s="24"/>
      <c r="B14" s="24"/>
      <c r="C14" s="25"/>
      <c r="D14" s="14"/>
      <c r="E14" s="29"/>
      <c r="F14" s="24"/>
      <c r="G14" s="30">
        <f>'carte rose'!B22</f>
        <v>0</v>
      </c>
      <c r="H14" s="31">
        <f>'carte rose'!B23</f>
        <v>0</v>
      </c>
    </row>
    <row r="15" spans="1:11">
      <c r="A15" s="24"/>
      <c r="B15" s="24"/>
      <c r="C15" s="24"/>
      <c r="D15" s="24"/>
      <c r="E15" s="24"/>
      <c r="F15" s="24"/>
      <c r="G15" s="543">
        <f>'carte rose'!B24</f>
        <v>0</v>
      </c>
      <c r="H15" s="543"/>
      <c r="I15" s="32" t="str">
        <f>'carte rose'!J14</f>
        <v>LIMBE</v>
      </c>
      <c r="J15" s="33">
        <f ca="1">'carte rose'!L14</f>
        <v>45192.531511805559</v>
      </c>
      <c r="K15" s="34"/>
    </row>
    <row r="18" spans="3:3" ht="26.25">
      <c r="C18" s="35"/>
    </row>
  </sheetData>
  <sheetProtection password="D373" sheet="1" objects="1" scenarios="1" selectLockedCells="1" selectUnlockedCells="1"/>
  <mergeCells count="13">
    <mergeCell ref="G15:H15"/>
    <mergeCell ref="A6:B6"/>
    <mergeCell ref="D6:E6"/>
    <mergeCell ref="G8:H8"/>
    <mergeCell ref="A11:B11"/>
    <mergeCell ref="D11:E11"/>
    <mergeCell ref="G11:H11"/>
    <mergeCell ref="G5:H5"/>
    <mergeCell ref="G2:H2"/>
    <mergeCell ref="A3:B3"/>
    <mergeCell ref="G3:H3"/>
    <mergeCell ref="A4:B4"/>
    <mergeCell ref="G4:H4"/>
  </mergeCells>
  <pageMargins left="0.78740157480314965" right="0.78740157480314965" top="2.7559055118110236" bottom="2.7559055118110236" header="0.51181102362204722" footer="0.51181102362204722"/>
  <pageSetup paperSize="9"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T37"/>
  <sheetViews>
    <sheetView topLeftCell="AM1" workbookViewId="0">
      <selection sqref="A1:AL1048576"/>
    </sheetView>
  </sheetViews>
  <sheetFormatPr defaultColWidth="11.42578125" defaultRowHeight="15"/>
  <cols>
    <col min="1" max="2" width="0" style="73" hidden="1" customWidth="1"/>
    <col min="3" max="3" width="11.42578125" style="73" hidden="1" customWidth="1"/>
    <col min="4" max="4" width="16.7109375" style="73" hidden="1" customWidth="1"/>
    <col min="5" max="6" width="16.85546875" style="73" hidden="1" customWidth="1"/>
    <col min="7" max="7" width="19.85546875" style="73" hidden="1" customWidth="1"/>
    <col min="8" max="15" width="16.85546875" style="73" hidden="1" customWidth="1"/>
    <col min="16" max="16" width="0" style="73" hidden="1" customWidth="1"/>
    <col min="17" max="18" width="16.85546875" style="73" hidden="1" customWidth="1"/>
    <col min="19" max="38" width="0" style="73" hidden="1" customWidth="1"/>
    <col min="39" max="16384" width="11.42578125" style="73"/>
  </cols>
  <sheetData>
    <row r="1" spans="1:20">
      <c r="Q1" s="73" t="s">
        <v>15</v>
      </c>
      <c r="R1" s="73" t="s">
        <v>16</v>
      </c>
      <c r="S1" s="73" t="s">
        <v>17</v>
      </c>
    </row>
    <row r="2" spans="1:20">
      <c r="E2" s="73">
        <f>'CAT 5B'!G2</f>
        <v>3300</v>
      </c>
      <c r="I2" s="73" t="s">
        <v>0</v>
      </c>
      <c r="J2" s="73" t="s">
        <v>1</v>
      </c>
      <c r="K2" s="73" t="s">
        <v>20</v>
      </c>
      <c r="L2" s="73" t="s">
        <v>2</v>
      </c>
    </row>
    <row r="3" spans="1:20">
      <c r="C3" s="74"/>
      <c r="D3" s="74"/>
      <c r="E3" s="74" t="s">
        <v>21</v>
      </c>
      <c r="F3" s="74" t="s">
        <v>22</v>
      </c>
      <c r="G3" s="75"/>
    </row>
    <row r="4" spans="1:20">
      <c r="C4" s="74" t="str">
        <f>'CAT 3'!A4</f>
        <v>ZONE C</v>
      </c>
      <c r="D4" s="74" t="str">
        <f>'CAT 3'!B4</f>
        <v>SANS REMORQUE</v>
      </c>
      <c r="E4" s="74">
        <f>'CAT 3'!C4</f>
        <v>19</v>
      </c>
      <c r="F4" s="74" t="str">
        <f>'CAT 3'!D4</f>
        <v>ESSENCE</v>
      </c>
      <c r="G4" s="76"/>
      <c r="I4" s="73">
        <f>CONTRATS!D20</f>
        <v>0</v>
      </c>
    </row>
    <row r="5" spans="1:20">
      <c r="Q5" s="73" t="s">
        <v>15</v>
      </c>
      <c r="S5" s="307" t="s">
        <v>314</v>
      </c>
      <c r="T5" s="307"/>
    </row>
    <row r="6" spans="1:20">
      <c r="C6" s="73" t="s">
        <v>0</v>
      </c>
      <c r="D6" s="73" t="s">
        <v>319</v>
      </c>
      <c r="E6" s="73" t="s">
        <v>321</v>
      </c>
      <c r="F6" s="73" t="s">
        <v>322</v>
      </c>
      <c r="G6" s="77" t="str">
        <f>CONTRATS!E17</f>
        <v>VT</v>
      </c>
      <c r="K6" s="307" t="s">
        <v>18</v>
      </c>
      <c r="L6" s="307"/>
      <c r="M6" s="307"/>
      <c r="N6" s="77" t="s">
        <v>112</v>
      </c>
      <c r="P6" s="73" t="s">
        <v>319</v>
      </c>
      <c r="Q6" s="73" t="s">
        <v>321</v>
      </c>
      <c r="R6" s="73" t="s">
        <v>322</v>
      </c>
    </row>
    <row r="7" spans="1:20">
      <c r="A7" s="73">
        <f>I4</f>
        <v>0</v>
      </c>
      <c r="B7" s="73">
        <f>IF(A7=D7,1,0)</f>
        <v>0</v>
      </c>
      <c r="C7" s="78" t="s">
        <v>28</v>
      </c>
      <c r="D7" s="78">
        <v>1</v>
      </c>
      <c r="E7" s="79">
        <f>IF(C4="ZONE A",Q7,IF(C4="ZONE B",Q18,IF(C4="ZONE C",Q29,0)))</f>
        <v>23740</v>
      </c>
      <c r="F7" s="79">
        <f>IF(C4="ZONE A",R7,IF(C4="ZONE B",R18,IF(C4="ZONE C",R29,0)))</f>
        <v>91518</v>
      </c>
      <c r="G7" s="79">
        <v>0</v>
      </c>
      <c r="H7" s="79">
        <f>IF(E2&lt;50,1,0)</f>
        <v>0</v>
      </c>
      <c r="I7" s="79">
        <f>IF(E2&gt;=50,1,0)</f>
        <v>1</v>
      </c>
      <c r="J7" s="79">
        <f t="shared" ref="J7:J14" si="0">E7*H7+F7*I7</f>
        <v>91518</v>
      </c>
      <c r="K7" s="79">
        <f>B7</f>
        <v>0</v>
      </c>
      <c r="L7" s="79">
        <f>J7*K7</f>
        <v>0</v>
      </c>
      <c r="M7" s="79"/>
      <c r="N7" s="79">
        <f t="shared" ref="N7:N14" si="1">K7*G7</f>
        <v>0</v>
      </c>
      <c r="O7" s="79"/>
      <c r="P7" s="78">
        <v>1</v>
      </c>
      <c r="Q7" s="79">
        <v>25898</v>
      </c>
      <c r="R7" s="79">
        <v>99838</v>
      </c>
      <c r="S7" s="73">
        <v>0</v>
      </c>
      <c r="T7" s="73">
        <v>0</v>
      </c>
    </row>
    <row r="8" spans="1:20">
      <c r="A8" s="73">
        <f>A7</f>
        <v>0</v>
      </c>
      <c r="B8" s="73">
        <f>IF(A8=D8,1,0)</f>
        <v>0</v>
      </c>
      <c r="C8" s="78">
        <v>1</v>
      </c>
      <c r="D8" s="78">
        <v>2</v>
      </c>
      <c r="E8" s="79">
        <f>IF(C4="ZONE A",Q8,IF(C4="ZONE B",Q19,IF(C4="ZONE C",Q30,0)))</f>
        <v>35610</v>
      </c>
      <c r="F8" s="79">
        <f>IF(C4="ZONE A",R8,IF(C4="ZONE B",R19,IF(C4="ZONE C",R30,0)))</f>
        <v>137276</v>
      </c>
      <c r="G8" s="79">
        <v>0</v>
      </c>
      <c r="H8" s="79">
        <f>H7</f>
        <v>0</v>
      </c>
      <c r="I8" s="79">
        <f>I7</f>
        <v>1</v>
      </c>
      <c r="J8" s="79">
        <f t="shared" si="0"/>
        <v>137276</v>
      </c>
      <c r="K8" s="79">
        <f t="shared" ref="K8:K14" si="2">B8</f>
        <v>0</v>
      </c>
      <c r="L8" s="79">
        <f t="shared" ref="L8:L14" si="3">J8*K8</f>
        <v>0</v>
      </c>
      <c r="M8" s="79"/>
      <c r="N8" s="79">
        <f t="shared" si="1"/>
        <v>0</v>
      </c>
      <c r="O8" s="79"/>
      <c r="P8" s="78">
        <v>2</v>
      </c>
      <c r="Q8" s="79">
        <v>38848</v>
      </c>
      <c r="R8" s="79">
        <v>149755</v>
      </c>
    </row>
    <row r="9" spans="1:20">
      <c r="A9" s="73">
        <f>A8</f>
        <v>0</v>
      </c>
      <c r="B9" s="73">
        <f>IF(A9=D9,1,0)</f>
        <v>0</v>
      </c>
      <c r="C9" s="78">
        <v>2</v>
      </c>
      <c r="D9" s="78">
        <v>3</v>
      </c>
      <c r="E9" s="79">
        <f>IF(C4="ZONE A",Q9,IF(C4="ZONE B",Q20,IF(C4="ZONE C",Q31,0)))</f>
        <v>47480</v>
      </c>
      <c r="F9" s="79">
        <f>IF(C4="ZONE A",R9,IF(C4="ZONE B",R20,IF(C4="ZONE C",R31,0)))</f>
        <v>183037</v>
      </c>
      <c r="G9" s="79">
        <v>0</v>
      </c>
      <c r="H9" s="79">
        <f>H8</f>
        <v>0</v>
      </c>
      <c r="I9" s="79">
        <f t="shared" ref="H9:I12" si="4">I8</f>
        <v>1</v>
      </c>
      <c r="J9" s="79">
        <f t="shared" si="0"/>
        <v>183037</v>
      </c>
      <c r="K9" s="79">
        <f t="shared" si="2"/>
        <v>0</v>
      </c>
      <c r="L9" s="79">
        <f t="shared" si="3"/>
        <v>0</v>
      </c>
      <c r="M9" s="79"/>
      <c r="N9" s="79">
        <f t="shared" si="1"/>
        <v>0</v>
      </c>
      <c r="O9" s="79"/>
      <c r="P9" s="78">
        <v>3</v>
      </c>
      <c r="Q9" s="79">
        <v>51797</v>
      </c>
      <c r="R9" s="79">
        <v>199676</v>
      </c>
    </row>
    <row r="10" spans="1:20">
      <c r="A10" s="73">
        <f>A9</f>
        <v>0</v>
      </c>
      <c r="B10" s="73">
        <f>IF(A10=D10,1,0)</f>
        <v>0</v>
      </c>
      <c r="C10" s="78">
        <v>3</v>
      </c>
      <c r="D10" s="78">
        <v>4</v>
      </c>
      <c r="E10" s="79">
        <f>IF(C4="ZONE A",Q10,IF(C4="ZONE B",Q21,IF(C4="ZONE C",Q32,0)))</f>
        <v>59351</v>
      </c>
      <c r="F10" s="79">
        <f>IF(C4="ZONE A",R10,IF(C4="ZONE B",R21,IF(C4="ZONE C",R32,0)))</f>
        <v>238797</v>
      </c>
      <c r="G10" s="79">
        <v>0</v>
      </c>
      <c r="H10" s="79">
        <f t="shared" si="4"/>
        <v>0</v>
      </c>
      <c r="I10" s="79">
        <f t="shared" si="4"/>
        <v>1</v>
      </c>
      <c r="J10" s="79">
        <f t="shared" si="0"/>
        <v>238797</v>
      </c>
      <c r="K10" s="79">
        <f t="shared" si="2"/>
        <v>0</v>
      </c>
      <c r="L10" s="79">
        <f t="shared" si="3"/>
        <v>0</v>
      </c>
      <c r="M10" s="79"/>
      <c r="N10" s="79">
        <f t="shared" si="1"/>
        <v>0</v>
      </c>
      <c r="O10" s="79"/>
      <c r="P10" s="78">
        <v>4</v>
      </c>
      <c r="Q10" s="79">
        <v>64746</v>
      </c>
      <c r="R10" s="79">
        <v>249596</v>
      </c>
    </row>
    <row r="11" spans="1:20">
      <c r="A11" s="73">
        <f>A10</f>
        <v>0</v>
      </c>
      <c r="B11" s="73">
        <f>IF(A11&gt;4,1,0)</f>
        <v>0</v>
      </c>
      <c r="C11" s="78">
        <v>4</v>
      </c>
      <c r="D11" s="78" t="s">
        <v>320</v>
      </c>
      <c r="E11" s="79">
        <f>IF(C4="ZONE A",Q11,IF(C4="ZONE B",Q22,IF(C4="ZONE C",Q33,0)))</f>
        <v>11870</v>
      </c>
      <c r="F11" s="79">
        <f>IF(C4="ZONE A",R11,IF(C4="ZONE B",R22,IF(C4="ZONE C",R33,0)))</f>
        <v>45759</v>
      </c>
      <c r="G11" s="79">
        <v>0</v>
      </c>
      <c r="H11" s="79">
        <f t="shared" si="4"/>
        <v>0</v>
      </c>
      <c r="I11" s="79">
        <f t="shared" si="4"/>
        <v>1</v>
      </c>
      <c r="J11" s="79">
        <f t="shared" si="0"/>
        <v>45759</v>
      </c>
      <c r="K11" s="79">
        <f t="shared" si="2"/>
        <v>0</v>
      </c>
      <c r="L11" s="79">
        <f t="shared" si="3"/>
        <v>0</v>
      </c>
      <c r="M11" s="79"/>
      <c r="N11" s="79">
        <f t="shared" si="1"/>
        <v>0</v>
      </c>
      <c r="O11" s="79"/>
      <c r="P11" s="78" t="s">
        <v>320</v>
      </c>
      <c r="Q11" s="79">
        <f>IF(I4&gt;4,Q10+12949*(I4-4),12949)</f>
        <v>12949</v>
      </c>
      <c r="R11" s="79">
        <f>IF(I4&gt;4,R10+49920*(I4-4),12949)</f>
        <v>12949</v>
      </c>
    </row>
    <row r="12" spans="1:20">
      <c r="C12" s="78">
        <v>5</v>
      </c>
      <c r="D12" s="78"/>
      <c r="E12" s="79">
        <f>IF(C4="ZONE A",Q12,IF(C4="ZONE B",Q23,IF(C4="ZONE C",Q34,0)))</f>
        <v>0</v>
      </c>
      <c r="F12" s="79">
        <f>IF(C4="ZONE A",R12,IF(C4="ZONE B",R23,IF(C4="ZONE C",R34,0)))</f>
        <v>0</v>
      </c>
      <c r="G12" s="79">
        <f>F12-E12</f>
        <v>0</v>
      </c>
      <c r="H12" s="79">
        <f t="shared" si="4"/>
        <v>0</v>
      </c>
      <c r="I12" s="79">
        <f t="shared" si="4"/>
        <v>1</v>
      </c>
      <c r="J12" s="79">
        <f t="shared" si="0"/>
        <v>0</v>
      </c>
      <c r="K12" s="79">
        <f t="shared" si="2"/>
        <v>0</v>
      </c>
      <c r="L12" s="79">
        <f t="shared" si="3"/>
        <v>0</v>
      </c>
      <c r="M12" s="79"/>
      <c r="N12" s="79">
        <f t="shared" si="1"/>
        <v>0</v>
      </c>
      <c r="O12" s="79"/>
      <c r="P12" s="78"/>
      <c r="Q12" s="79"/>
      <c r="R12" s="79"/>
    </row>
    <row r="13" spans="1:20">
      <c r="C13" s="78">
        <v>6</v>
      </c>
      <c r="D13" s="78"/>
      <c r="E13" s="79">
        <f>IF(C4="ZONE A",Q13,IF(C4="ZONE B",Q24,IF(C4="ZONE C",Q35,0)))</f>
        <v>0</v>
      </c>
      <c r="F13" s="79">
        <f>IF(C4="ZONE A",R13,IF(C4="ZONE B",R24,IF(C4="ZONE C",R35,0)))</f>
        <v>0</v>
      </c>
      <c r="G13" s="79">
        <f>F13-E13</f>
        <v>0</v>
      </c>
      <c r="H13" s="79">
        <f>H12</f>
        <v>0</v>
      </c>
      <c r="I13" s="79">
        <f>I12</f>
        <v>1</v>
      </c>
      <c r="J13" s="79">
        <f t="shared" si="0"/>
        <v>0</v>
      </c>
      <c r="K13" s="79">
        <f t="shared" si="2"/>
        <v>0</v>
      </c>
      <c r="L13" s="79">
        <f t="shared" si="3"/>
        <v>0</v>
      </c>
      <c r="M13" s="80"/>
      <c r="N13" s="79">
        <f t="shared" si="1"/>
        <v>0</v>
      </c>
      <c r="P13" s="78"/>
      <c r="Q13" s="79"/>
      <c r="R13" s="79"/>
    </row>
    <row r="14" spans="1:20">
      <c r="C14" s="78" t="s">
        <v>29</v>
      </c>
      <c r="D14" s="78"/>
      <c r="E14" s="79">
        <f>IF(C4="ZONE A",Q14,IF(C4="ZONE B",Q25,IF(C4="ZONE C",Q36,0)))</f>
        <v>0</v>
      </c>
      <c r="F14" s="79">
        <f>IF(C4="ZONE A",R14,IF(C4="ZONE B",R25,IF(C4="ZONE C",R36,0)))</f>
        <v>0</v>
      </c>
      <c r="G14" s="79">
        <f>F14-E14</f>
        <v>0</v>
      </c>
      <c r="H14" s="79">
        <f>H13</f>
        <v>0</v>
      </c>
      <c r="I14" s="79">
        <f>I13</f>
        <v>1</v>
      </c>
      <c r="J14" s="79">
        <f t="shared" si="0"/>
        <v>0</v>
      </c>
      <c r="K14" s="79">
        <f t="shared" si="2"/>
        <v>0</v>
      </c>
      <c r="L14" s="79">
        <f t="shared" si="3"/>
        <v>0</v>
      </c>
      <c r="M14" s="79"/>
      <c r="N14" s="79">
        <f t="shared" si="1"/>
        <v>0</v>
      </c>
      <c r="P14" s="78"/>
      <c r="Q14" s="79"/>
      <c r="R14" s="79"/>
    </row>
    <row r="15" spans="1:20">
      <c r="C15" s="78"/>
      <c r="E15" s="79"/>
      <c r="F15" s="79"/>
      <c r="G15" s="79"/>
      <c r="H15" s="79"/>
      <c r="I15" s="79"/>
      <c r="J15" s="79"/>
      <c r="K15" s="79"/>
      <c r="L15" s="79">
        <f>SUM(L7:L14)</f>
        <v>0</v>
      </c>
      <c r="M15" s="79">
        <f>SUM(M7:M14)</f>
        <v>0</v>
      </c>
      <c r="N15" s="79">
        <f>SUM(N7:N14)</f>
        <v>0</v>
      </c>
      <c r="P15" s="78"/>
    </row>
    <row r="16" spans="1:20">
      <c r="C16" s="78"/>
      <c r="D16" s="309">
        <f>IF(G6="SEMI-REMORQUE",1,0)*N15+IF(G6="SEMI-REMORQUE",0,1)*L15</f>
        <v>0</v>
      </c>
      <c r="E16" s="308">
        <f>(D16*IF(CONTRATS!C24=0,1,0)*IF(CONTRATS!E24=0,1,0)*IF(CONTRATS!B24="NO",1,0)*IF(CONTRATS!E17="SCOOTER",0,1)+IF(CONTRATS!E17="SCOOTER",1,0)*H21)*IF(CONTRATS!E17="SCOOTER-REMORQUE",0,1)+IF(CONTRATS!E17="SCOOTER-REMORQUE",0,0)*H21</f>
        <v>0</v>
      </c>
      <c r="F16" s="308"/>
      <c r="G16" s="79"/>
      <c r="H16" s="79"/>
      <c r="I16" s="79"/>
      <c r="J16" s="79"/>
      <c r="K16" s="79"/>
      <c r="L16" s="79"/>
      <c r="M16" s="79"/>
      <c r="N16" s="79"/>
      <c r="Q16" s="73" t="s">
        <v>16</v>
      </c>
      <c r="S16" s="307" t="s">
        <v>314</v>
      </c>
      <c r="T16" s="307"/>
    </row>
    <row r="17" spans="2:20">
      <c r="C17" s="82"/>
      <c r="D17" s="309"/>
      <c r="E17" s="308"/>
      <c r="F17" s="308"/>
      <c r="G17" s="79"/>
      <c r="H17" s="79"/>
      <c r="I17" s="79"/>
      <c r="J17" s="79"/>
      <c r="K17" s="79"/>
      <c r="L17" s="79"/>
      <c r="M17" s="79"/>
      <c r="N17" s="79"/>
      <c r="P17" s="73" t="s">
        <v>319</v>
      </c>
      <c r="Q17" s="73" t="s">
        <v>321</v>
      </c>
      <c r="R17" s="73" t="s">
        <v>322</v>
      </c>
    </row>
    <row r="18" spans="2:20">
      <c r="B18" s="84"/>
      <c r="C18" s="83"/>
      <c r="D18" s="84"/>
      <c r="G18" s="79"/>
      <c r="H18" s="79"/>
      <c r="I18" s="79"/>
      <c r="J18" s="79"/>
      <c r="K18" s="79"/>
      <c r="L18" s="79"/>
      <c r="M18" s="79"/>
      <c r="N18" s="79"/>
      <c r="P18" s="78">
        <v>1</v>
      </c>
      <c r="Q18" s="79">
        <v>24819</v>
      </c>
      <c r="R18" s="79">
        <v>95678</v>
      </c>
      <c r="S18" s="73">
        <v>0</v>
      </c>
      <c r="T18" s="73">
        <v>0</v>
      </c>
    </row>
    <row r="19" spans="2:20">
      <c r="B19" s="84"/>
      <c r="C19" s="83"/>
      <c r="D19" s="84"/>
      <c r="E19" s="307" t="s">
        <v>314</v>
      </c>
      <c r="F19" s="307"/>
      <c r="G19" s="79"/>
      <c r="H19" s="79"/>
      <c r="I19" s="79"/>
      <c r="J19" s="79"/>
      <c r="K19" s="79"/>
      <c r="L19" s="79"/>
      <c r="M19" s="79"/>
      <c r="N19" s="79"/>
      <c r="P19" s="78">
        <v>2</v>
      </c>
      <c r="Q19" s="79">
        <v>37229</v>
      </c>
      <c r="R19" s="79">
        <v>143515</v>
      </c>
    </row>
    <row r="20" spans="2:20">
      <c r="B20" s="84"/>
      <c r="C20" s="83"/>
      <c r="D20" s="84"/>
      <c r="E20" s="73" t="str">
        <f>E6</f>
        <v>2-3 ROUES &lt;50CM3</v>
      </c>
      <c r="F20" s="73" t="str">
        <f>F6</f>
        <v>2-3 ROUES &gt;=50 CM3</v>
      </c>
      <c r="G20" s="73" t="str">
        <f>N6</f>
        <v>SEMI-REMORQUE</v>
      </c>
      <c r="N20" s="79"/>
      <c r="P20" s="78">
        <v>3</v>
      </c>
      <c r="Q20" s="79">
        <v>49639</v>
      </c>
      <c r="R20" s="79">
        <v>191357</v>
      </c>
    </row>
    <row r="21" spans="2:20">
      <c r="B21" s="84"/>
      <c r="C21" s="83"/>
      <c r="D21" s="84"/>
      <c r="E21" s="79">
        <f>IF(C4="ZONE A",S7,IF(C4="ZONE B",S18,IF(C4="ZONE C",S29,0)))</f>
        <v>0</v>
      </c>
      <c r="F21" s="79">
        <f>IF(C4="ZONE A",T7,IF(C4="ZONE B",T18,IF(C4="ZONE C",T29,0)))</f>
        <v>0</v>
      </c>
      <c r="G21" s="79">
        <f>F21-E21</f>
        <v>0</v>
      </c>
      <c r="H21" s="73">
        <f>IF(E2&lt;=50,E21,F21)*IF(CONTRATS!E17="SCOOTER-REMORQUE",0,1)+IF(CONTRATS!E17="SCOOTER-REMORQUE",0,1)*G21</f>
        <v>0</v>
      </c>
      <c r="P21" s="78">
        <v>4</v>
      </c>
      <c r="Q21" s="79">
        <v>62048</v>
      </c>
      <c r="R21" s="79">
        <v>239197</v>
      </c>
    </row>
    <row r="22" spans="2:20">
      <c r="B22" s="84"/>
      <c r="C22" s="83"/>
      <c r="D22" s="84"/>
      <c r="P22" s="78" t="s">
        <v>320</v>
      </c>
      <c r="Q22" s="79">
        <f>IF(I4&gt;4,Q21+12410*(I4-4),12410)</f>
        <v>12410</v>
      </c>
      <c r="R22" s="79">
        <f>IF(I4&gt;4,R21+47840*(I4-4),47840)</f>
        <v>47840</v>
      </c>
    </row>
    <row r="23" spans="2:20">
      <c r="B23" s="84"/>
      <c r="C23" s="83"/>
      <c r="D23" s="84"/>
      <c r="P23" s="78"/>
      <c r="Q23" s="79"/>
      <c r="R23" s="79"/>
    </row>
    <row r="24" spans="2:20">
      <c r="B24" s="84"/>
      <c r="C24" s="84"/>
      <c r="D24" s="84"/>
      <c r="P24" s="78"/>
      <c r="Q24" s="79"/>
      <c r="R24" s="79"/>
    </row>
    <row r="25" spans="2:20">
      <c r="B25" s="84"/>
      <c r="C25" s="84"/>
      <c r="D25" s="84"/>
      <c r="P25" s="78"/>
      <c r="Q25" s="79"/>
      <c r="R25" s="79"/>
    </row>
    <row r="26" spans="2:20">
      <c r="B26" s="84"/>
      <c r="C26" s="84"/>
      <c r="D26" s="84"/>
      <c r="P26" s="78"/>
    </row>
    <row r="27" spans="2:20">
      <c r="B27" s="84"/>
      <c r="C27" s="84"/>
      <c r="D27" s="84"/>
      <c r="Q27" s="73" t="s">
        <v>17</v>
      </c>
      <c r="S27" s="307" t="s">
        <v>314</v>
      </c>
      <c r="T27" s="307"/>
    </row>
    <row r="28" spans="2:20">
      <c r="B28" s="84"/>
      <c r="C28" s="84"/>
      <c r="D28" s="84"/>
      <c r="P28" s="73" t="s">
        <v>319</v>
      </c>
      <c r="Q28" s="73" t="s">
        <v>321</v>
      </c>
      <c r="R28" s="73" t="s">
        <v>322</v>
      </c>
    </row>
    <row r="29" spans="2:20">
      <c r="B29" s="84"/>
      <c r="C29" s="84"/>
      <c r="D29" s="84"/>
      <c r="P29" s="78">
        <v>1</v>
      </c>
      <c r="Q29" s="79">
        <v>23740</v>
      </c>
      <c r="R29" s="79">
        <v>91518</v>
      </c>
      <c r="S29" s="73">
        <v>0</v>
      </c>
      <c r="T29" s="73">
        <v>0</v>
      </c>
    </row>
    <row r="30" spans="2:20">
      <c r="B30" s="84"/>
      <c r="C30" s="84"/>
      <c r="D30" s="84"/>
      <c r="P30" s="78">
        <v>2</v>
      </c>
      <c r="Q30" s="79">
        <v>35610</v>
      </c>
      <c r="R30" s="79">
        <v>137276</v>
      </c>
    </row>
    <row r="31" spans="2:20">
      <c r="B31" s="84"/>
      <c r="C31" s="84"/>
      <c r="D31" s="84"/>
      <c r="P31" s="78">
        <v>3</v>
      </c>
      <c r="Q31" s="79">
        <v>47480</v>
      </c>
      <c r="R31" s="79">
        <v>183037</v>
      </c>
    </row>
    <row r="32" spans="2:20">
      <c r="B32" s="84"/>
      <c r="C32" s="84"/>
      <c r="D32" s="84"/>
      <c r="P32" s="78">
        <v>4</v>
      </c>
      <c r="Q32" s="79">
        <v>59351</v>
      </c>
      <c r="R32" s="79">
        <v>238797</v>
      </c>
    </row>
    <row r="33" spans="16:18">
      <c r="P33" s="78" t="s">
        <v>320</v>
      </c>
      <c r="Q33" s="79">
        <f>IF(I4&gt;4,Q32+11870*(I4-4),11870)</f>
        <v>11870</v>
      </c>
      <c r="R33" s="79">
        <f>IF(I4&gt;4,R32+45759*(I4-4),45759)</f>
        <v>45759</v>
      </c>
    </row>
    <row r="34" spans="16:18">
      <c r="P34" s="78"/>
      <c r="Q34" s="79"/>
      <c r="R34" s="79"/>
    </row>
    <row r="35" spans="16:18">
      <c r="P35" s="78"/>
      <c r="Q35" s="79"/>
      <c r="R35" s="79"/>
    </row>
    <row r="36" spans="16:18">
      <c r="P36" s="78"/>
      <c r="Q36" s="79"/>
      <c r="R36" s="79"/>
    </row>
    <row r="37" spans="16:18">
      <c r="P37" s="78"/>
    </row>
  </sheetData>
  <sheetProtection password="D373" sheet="1" objects="1" scenarios="1"/>
  <mergeCells count="7">
    <mergeCell ref="S27:T27"/>
    <mergeCell ref="S5:T5"/>
    <mergeCell ref="K6:M6"/>
    <mergeCell ref="D16:D17"/>
    <mergeCell ref="E16:F17"/>
    <mergeCell ref="S16:T16"/>
    <mergeCell ref="E19:F19"/>
  </mergeCells>
  <dataValidations count="2">
    <dataValidation type="list" allowBlank="1" showInputMessage="1" showErrorMessage="1" sqref="G4">
      <formula1>$M$2:$N$2</formula1>
    </dataValidation>
    <dataValidation type="list" allowBlank="1" showInputMessage="1" showErrorMessage="1" sqref="C4">
      <formula1>$Q$1:$S$1</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U178"/>
  <sheetViews>
    <sheetView topLeftCell="AQ1" workbookViewId="0">
      <selection sqref="A1:AP1048576"/>
    </sheetView>
  </sheetViews>
  <sheetFormatPr defaultColWidth="11.42578125" defaultRowHeight="15"/>
  <cols>
    <col min="1" max="1" width="0" hidden="1" customWidth="1"/>
    <col min="2" max="2" width="16.42578125" hidden="1" customWidth="1"/>
    <col min="3" max="4" width="16.85546875" hidden="1" customWidth="1"/>
    <col min="5" max="8" width="19.85546875" hidden="1" customWidth="1"/>
    <col min="9" max="16" width="16.85546875" hidden="1" customWidth="1"/>
    <col min="17" max="18" width="0" hidden="1" customWidth="1"/>
    <col min="19" max="20" width="16.85546875" hidden="1" customWidth="1"/>
    <col min="21" max="21" width="19.85546875" hidden="1" customWidth="1"/>
    <col min="22" max="42" width="0" hidden="1" customWidth="1"/>
  </cols>
  <sheetData>
    <row r="1" spans="1:21" s="73" customFormat="1">
      <c r="S1" s="73" t="s">
        <v>15</v>
      </c>
      <c r="T1" s="73" t="s">
        <v>16</v>
      </c>
      <c r="U1" s="73" t="s">
        <v>17</v>
      </c>
    </row>
    <row r="2" spans="1:21" s="73" customFormat="1">
      <c r="G2" s="73" t="s">
        <v>0</v>
      </c>
      <c r="H2" s="73" t="s">
        <v>1</v>
      </c>
      <c r="I2" s="73" t="s">
        <v>20</v>
      </c>
      <c r="J2" s="73" t="s">
        <v>2</v>
      </c>
      <c r="K2" s="73" t="s">
        <v>24</v>
      </c>
      <c r="L2" s="73" t="s">
        <v>25</v>
      </c>
    </row>
    <row r="3" spans="1:21" s="73" customFormat="1">
      <c r="A3" s="94"/>
      <c r="B3" s="94"/>
      <c r="C3" s="100" t="s">
        <v>21</v>
      </c>
      <c r="D3" s="94" t="s">
        <v>22</v>
      </c>
      <c r="E3" s="94" t="s">
        <v>23</v>
      </c>
      <c r="F3" s="75"/>
    </row>
    <row r="4" spans="1:21" s="73" customFormat="1">
      <c r="A4" s="97" t="str">
        <f>'CAT 3'!A4</f>
        <v>ZONE C</v>
      </c>
      <c r="B4" s="89" t="str">
        <f>'CAT 3'!B4</f>
        <v>SANS REMORQUE</v>
      </c>
      <c r="C4" s="98">
        <f>'CAT 3'!C4</f>
        <v>19</v>
      </c>
      <c r="D4" s="97" t="str">
        <f>'CAT 3'!D4</f>
        <v>ESSENCE</v>
      </c>
      <c r="E4" s="98" t="str">
        <f>'CAT 3'!E4</f>
        <v>NO</v>
      </c>
      <c r="F4" s="76"/>
      <c r="G4" s="77" t="str">
        <f>CONTRATS!E17</f>
        <v>VT</v>
      </c>
      <c r="R4" s="73" t="s">
        <v>15</v>
      </c>
    </row>
    <row r="5" spans="1:21" s="73" customFormat="1"/>
    <row r="6" spans="1:21" s="73" customFormat="1">
      <c r="A6" s="73" t="s">
        <v>0</v>
      </c>
      <c r="B6" s="73" t="s">
        <v>1</v>
      </c>
      <c r="C6" s="73" t="s">
        <v>3</v>
      </c>
      <c r="D6" s="73" t="s">
        <v>2</v>
      </c>
      <c r="E6" s="73" t="s">
        <v>23</v>
      </c>
      <c r="F6" s="77" t="s">
        <v>112</v>
      </c>
      <c r="J6" s="307" t="s">
        <v>18</v>
      </c>
      <c r="K6" s="307"/>
      <c r="L6" s="307"/>
      <c r="O6" s="77" t="s">
        <v>112</v>
      </c>
      <c r="Q6" s="73" t="s">
        <v>0</v>
      </c>
      <c r="R6" s="73" t="s">
        <v>1</v>
      </c>
      <c r="S6" s="73" t="s">
        <v>3</v>
      </c>
      <c r="T6" s="73" t="s">
        <v>2</v>
      </c>
      <c r="U6" s="73" t="s">
        <v>23</v>
      </c>
    </row>
    <row r="7" spans="1:21" s="73" customFormat="1">
      <c r="A7" s="73" t="s">
        <v>9</v>
      </c>
      <c r="B7" s="73" t="s">
        <v>9</v>
      </c>
      <c r="C7" s="79">
        <f>IF(A4="ZONE A",S7,IF(A4="ZONE B",S18,IF(A4="ZONE C",S29,0)))</f>
        <v>53863</v>
      </c>
      <c r="D7" s="79">
        <f>IF(A4="ZONE A",T7,IF(A4="ZONE B",T18,IF(A4="ZONE C",T29,0)))</f>
        <v>64628</v>
      </c>
      <c r="E7" s="79">
        <f>IF(A4="ZONE A",U7,IF(A4="ZONE B",U18,IF(A4="ZONE C",U29,0)))</f>
        <v>12112</v>
      </c>
      <c r="F7" s="79">
        <f t="shared" ref="F7:F12" si="0">D7-C7</f>
        <v>10765</v>
      </c>
      <c r="G7" s="79">
        <f>IF(B4="SANS REMORQUE",1,0)</f>
        <v>1</v>
      </c>
      <c r="H7" s="79">
        <f>IF(B4="SANS REMORQUE",0,1)</f>
        <v>0</v>
      </c>
      <c r="I7" s="79">
        <f t="shared" ref="I7:I12" si="1">C7*G7+D7*H7</f>
        <v>53863</v>
      </c>
      <c r="J7" s="79">
        <f>IF(C4&gt;0,1,0)</f>
        <v>1</v>
      </c>
      <c r="K7" s="79">
        <f>IF(C4&lt;=2,1,0)</f>
        <v>0</v>
      </c>
      <c r="L7" s="79">
        <f t="shared" ref="L7:L12" si="2">J7*K7</f>
        <v>0</v>
      </c>
      <c r="M7" s="73">
        <f>L7*I7</f>
        <v>0</v>
      </c>
      <c r="N7" s="79">
        <f t="shared" ref="N7:N12" si="3">E7*L7</f>
        <v>0</v>
      </c>
      <c r="O7" s="79">
        <f>L7*F7</f>
        <v>0</v>
      </c>
      <c r="P7" s="79"/>
      <c r="Q7" s="73" t="s">
        <v>9</v>
      </c>
      <c r="R7" s="73" t="s">
        <v>9</v>
      </c>
      <c r="S7" s="79">
        <v>58759</v>
      </c>
      <c r="T7" s="79">
        <v>70504</v>
      </c>
      <c r="U7" s="79">
        <v>13131</v>
      </c>
    </row>
    <row r="8" spans="1:21" s="73" customFormat="1">
      <c r="A8" s="73" t="s">
        <v>4</v>
      </c>
      <c r="B8" s="73" t="s">
        <v>10</v>
      </c>
      <c r="C8" s="79">
        <f>IF(A4="ZONE A",S8,IF(A4="ZONE B",S19,IF(A4="ZONE C",S30,0)))</f>
        <v>65251</v>
      </c>
      <c r="D8" s="79">
        <f>IF(A4="ZONE A",T8,IF(A4="ZONE B",T19,IF(A4="ZONE C",T30,0)))</f>
        <v>78301</v>
      </c>
      <c r="E8" s="79">
        <f>IF(A4="ZONE A",U8,IF(A4="ZONE B",U19,IF(A4="ZONE C",U30,0)))</f>
        <v>12112</v>
      </c>
      <c r="F8" s="79">
        <f t="shared" si="0"/>
        <v>13050</v>
      </c>
      <c r="G8" s="79">
        <f>G7</f>
        <v>1</v>
      </c>
      <c r="H8" s="79">
        <f>H7</f>
        <v>0</v>
      </c>
      <c r="I8" s="79">
        <f t="shared" si="1"/>
        <v>65251</v>
      </c>
      <c r="J8" s="79">
        <f>IF(C4&gt;2,1,0)</f>
        <v>1</v>
      </c>
      <c r="K8" s="79">
        <f>IF(C4&lt;7,1,0)</f>
        <v>0</v>
      </c>
      <c r="L8" s="79">
        <f t="shared" si="2"/>
        <v>0</v>
      </c>
      <c r="M8" s="73">
        <f t="shared" ref="M8:M19" si="4">L8*I8</f>
        <v>0</v>
      </c>
      <c r="N8" s="79">
        <f t="shared" si="3"/>
        <v>0</v>
      </c>
      <c r="O8" s="79">
        <f t="shared" ref="O8:O19" si="5">L8*F8</f>
        <v>0</v>
      </c>
      <c r="P8" s="79"/>
      <c r="Q8" s="73" t="s">
        <v>4</v>
      </c>
      <c r="R8" s="73" t="s">
        <v>10</v>
      </c>
      <c r="S8" s="79">
        <v>71183</v>
      </c>
      <c r="T8" s="79">
        <v>85420</v>
      </c>
      <c r="U8" s="79">
        <v>13213</v>
      </c>
    </row>
    <row r="9" spans="1:21" s="73" customFormat="1">
      <c r="A9" s="73" t="s">
        <v>5</v>
      </c>
      <c r="B9" s="73" t="s">
        <v>11</v>
      </c>
      <c r="C9" s="79">
        <f>IF(A4="ZONE A",S9,IF(A4="ZONE B",S20,IF(A4="ZONE C",S31,0)))</f>
        <v>74175</v>
      </c>
      <c r="D9" s="79">
        <f>IF(A4="ZONE A",T9,IF(A4="ZONE B",T20,IF(A4="ZONE C",T31,0)))</f>
        <v>89010</v>
      </c>
      <c r="E9" s="79">
        <f>IF(A4="ZONE A",U9,IF(A4="ZONE B",U20,IF(A4="ZONE C",U31,0)))</f>
        <v>12112</v>
      </c>
      <c r="F9" s="79">
        <f t="shared" si="0"/>
        <v>14835</v>
      </c>
      <c r="G9" s="79">
        <f t="shared" ref="G9:H12" si="6">G8</f>
        <v>1</v>
      </c>
      <c r="H9" s="79">
        <f t="shared" si="6"/>
        <v>0</v>
      </c>
      <c r="I9" s="79">
        <f t="shared" si="1"/>
        <v>74175</v>
      </c>
      <c r="J9" s="79">
        <f>IF(C4&gt;6,1,0)</f>
        <v>1</v>
      </c>
      <c r="K9" s="79">
        <f>IF(C4&lt;11,1,0)</f>
        <v>0</v>
      </c>
      <c r="L9" s="79">
        <f t="shared" si="2"/>
        <v>0</v>
      </c>
      <c r="M9" s="73">
        <f t="shared" si="4"/>
        <v>0</v>
      </c>
      <c r="N9" s="79">
        <f t="shared" si="3"/>
        <v>0</v>
      </c>
      <c r="O9" s="79">
        <f t="shared" si="5"/>
        <v>0</v>
      </c>
      <c r="P9" s="79"/>
      <c r="Q9" s="73" t="s">
        <v>5</v>
      </c>
      <c r="R9" s="73" t="s">
        <v>11</v>
      </c>
      <c r="S9" s="79">
        <v>80918</v>
      </c>
      <c r="T9" s="79">
        <v>97102</v>
      </c>
      <c r="U9" s="79">
        <v>13213</v>
      </c>
    </row>
    <row r="10" spans="1:21" s="73" customFormat="1">
      <c r="A10" s="73" t="s">
        <v>6</v>
      </c>
      <c r="B10" s="73" t="s">
        <v>12</v>
      </c>
      <c r="C10" s="79">
        <f>IF(A4="ZONE A",S10,IF(A4="ZONE B",S21,IF(A4="ZONE C",S32,0)))</f>
        <v>111111</v>
      </c>
      <c r="D10" s="79">
        <f>IF(A4="ZONE A",T10,IF(A4="ZONE B",T21,IF(A4="ZONE C",T32,0)))</f>
        <v>133333</v>
      </c>
      <c r="E10" s="79">
        <f>IF(A4="ZONE A",U10,IF(A4="ZONE B",U21,IF(A4="ZONE C",U32,0)))</f>
        <v>19382</v>
      </c>
      <c r="F10" s="79">
        <f t="shared" si="0"/>
        <v>22222</v>
      </c>
      <c r="G10" s="79">
        <f t="shared" si="6"/>
        <v>1</v>
      </c>
      <c r="H10" s="79">
        <f t="shared" si="6"/>
        <v>0</v>
      </c>
      <c r="I10" s="79">
        <f t="shared" si="1"/>
        <v>111111</v>
      </c>
      <c r="J10" s="79">
        <f>IF(C4&gt;10,1,0)</f>
        <v>1</v>
      </c>
      <c r="K10" s="79">
        <f>IF(C4&lt;15,1,0)</f>
        <v>0</v>
      </c>
      <c r="L10" s="79">
        <f t="shared" si="2"/>
        <v>0</v>
      </c>
      <c r="M10" s="73">
        <f t="shared" si="4"/>
        <v>0</v>
      </c>
      <c r="N10" s="79">
        <f t="shared" si="3"/>
        <v>0</v>
      </c>
      <c r="O10" s="79">
        <f t="shared" si="5"/>
        <v>0</v>
      </c>
      <c r="P10" s="79"/>
      <c r="Q10" s="73" t="s">
        <v>6</v>
      </c>
      <c r="R10" s="73" t="s">
        <v>12</v>
      </c>
      <c r="S10" s="79">
        <v>121212</v>
      </c>
      <c r="T10" s="79">
        <v>145454</v>
      </c>
      <c r="U10" s="79">
        <v>21144</v>
      </c>
    </row>
    <row r="11" spans="1:21" s="73" customFormat="1">
      <c r="A11" s="73" t="s">
        <v>7</v>
      </c>
      <c r="B11" s="73" t="s">
        <v>13</v>
      </c>
      <c r="C11" s="79">
        <f>IF(A4="ZONE A",S11,IF(A4="ZONE B",S22,IF(A4="ZONE C",S33,0)))</f>
        <v>137579</v>
      </c>
      <c r="D11" s="79">
        <f>IF(A4="ZONE A",T11,IF(A4="ZONE B",T22,IF(A4="ZONE C",T33,0)))</f>
        <v>165095</v>
      </c>
      <c r="E11" s="79">
        <f>IF(A4="ZONE A",U11,IF(A4="ZONE B",U22,IF(A4="ZONE C",U33,0)))</f>
        <v>19382</v>
      </c>
      <c r="F11" s="79">
        <f t="shared" si="0"/>
        <v>27516</v>
      </c>
      <c r="G11" s="79">
        <f>G10</f>
        <v>1</v>
      </c>
      <c r="H11" s="79">
        <f>H10</f>
        <v>0</v>
      </c>
      <c r="I11" s="79">
        <f t="shared" si="1"/>
        <v>137579</v>
      </c>
      <c r="J11" s="79">
        <f>IF(C4&gt;14,1,0)</f>
        <v>1</v>
      </c>
      <c r="K11" s="79">
        <f>IF(C4&lt;24,1,0)</f>
        <v>1</v>
      </c>
      <c r="L11" s="79">
        <f t="shared" si="2"/>
        <v>1</v>
      </c>
      <c r="M11" s="73">
        <f t="shared" si="4"/>
        <v>137579</v>
      </c>
      <c r="N11" s="79">
        <f t="shared" si="3"/>
        <v>19382</v>
      </c>
      <c r="O11" s="79">
        <f t="shared" si="5"/>
        <v>27516</v>
      </c>
      <c r="P11" s="79"/>
      <c r="Q11" s="73" t="s">
        <v>38</v>
      </c>
      <c r="R11" s="73" t="s">
        <v>13</v>
      </c>
      <c r="S11" s="79">
        <v>150086</v>
      </c>
      <c r="T11" s="79">
        <v>180103</v>
      </c>
      <c r="U11" s="79">
        <v>21144</v>
      </c>
    </row>
    <row r="12" spans="1:21" s="73" customFormat="1">
      <c r="A12" s="73" t="s">
        <v>8</v>
      </c>
      <c r="B12" s="73" t="s">
        <v>14</v>
      </c>
      <c r="C12" s="79">
        <f>IF(A4="ZONE A",S12,IF(A4="ZONE B",S23,IF(A4="ZONE C",S34,0)))</f>
        <v>159125</v>
      </c>
      <c r="D12" s="79">
        <f>IF(A4="ZONE A",T12,IF(A4="ZONE B",T23,IF(A4="ZONE C",T34,0)))</f>
        <v>190950</v>
      </c>
      <c r="E12" s="79">
        <f>IF(A4="ZONE A",U12,IF(A4="ZONE B",U23,IF(A4="ZONE C",U34,0)))</f>
        <v>19382</v>
      </c>
      <c r="F12" s="79">
        <f t="shared" si="0"/>
        <v>31825</v>
      </c>
      <c r="G12" s="79">
        <f t="shared" si="6"/>
        <v>1</v>
      </c>
      <c r="H12" s="79">
        <f t="shared" si="6"/>
        <v>0</v>
      </c>
      <c r="I12" s="79">
        <f t="shared" si="1"/>
        <v>159125</v>
      </c>
      <c r="J12" s="79">
        <f>IF(C4&gt;23,1,0)</f>
        <v>0</v>
      </c>
      <c r="K12" s="79">
        <f>IF(C4&lt;9999999999,1,0)</f>
        <v>1</v>
      </c>
      <c r="L12" s="79">
        <f t="shared" si="2"/>
        <v>0</v>
      </c>
      <c r="M12" s="73">
        <f t="shared" si="4"/>
        <v>0</v>
      </c>
      <c r="N12" s="79">
        <f t="shared" si="3"/>
        <v>0</v>
      </c>
      <c r="O12" s="79">
        <f t="shared" si="5"/>
        <v>0</v>
      </c>
      <c r="P12" s="79"/>
      <c r="Q12" s="73" t="s">
        <v>8</v>
      </c>
      <c r="R12" s="73" t="s">
        <v>14</v>
      </c>
      <c r="S12" s="79">
        <v>173591</v>
      </c>
      <c r="T12" s="79">
        <v>208309</v>
      </c>
      <c r="U12" s="79">
        <v>21144</v>
      </c>
    </row>
    <row r="13" spans="1:21" s="73" customFormat="1">
      <c r="J13" s="307" t="s">
        <v>19</v>
      </c>
      <c r="K13" s="307"/>
      <c r="L13" s="307"/>
      <c r="M13" s="73">
        <f>SUM(M7:M12)</f>
        <v>137579</v>
      </c>
      <c r="N13" s="73">
        <f>SUM(N7:N12)</f>
        <v>19382</v>
      </c>
      <c r="O13" s="79">
        <f>SUM(O7:O12)</f>
        <v>27516</v>
      </c>
    </row>
    <row r="14" spans="1:21" s="73" customFormat="1">
      <c r="E14" s="79">
        <f t="shared" ref="E14:F19" si="7">E7</f>
        <v>12112</v>
      </c>
      <c r="F14" s="79">
        <f>F7</f>
        <v>10765</v>
      </c>
      <c r="G14" s="79">
        <f>IF(B4="SANS REMORQUE",1,0)</f>
        <v>1</v>
      </c>
      <c r="H14" s="79">
        <f>IF(B4="SANS REMORQUE",0,1)</f>
        <v>0</v>
      </c>
      <c r="I14" s="79">
        <f t="shared" ref="I14:I19" si="8">C7*G14+D7*H14</f>
        <v>53863</v>
      </c>
      <c r="J14" s="79">
        <f>IF(C4&gt;0,1,0)</f>
        <v>1</v>
      </c>
      <c r="K14" s="79">
        <f>IF(C4&lt;=1,1,0)</f>
        <v>0</v>
      </c>
      <c r="L14" s="79">
        <f t="shared" ref="L14:L19" si="9">J14*K14</f>
        <v>0</v>
      </c>
      <c r="M14" s="73">
        <f t="shared" si="4"/>
        <v>0</v>
      </c>
      <c r="N14" s="79">
        <f t="shared" ref="N14:N19" si="10">E14*L14</f>
        <v>0</v>
      </c>
      <c r="O14" s="79">
        <f t="shared" si="5"/>
        <v>0</v>
      </c>
    </row>
    <row r="15" spans="1:21" s="73" customFormat="1">
      <c r="E15" s="79">
        <f t="shared" si="7"/>
        <v>12112</v>
      </c>
      <c r="F15" s="79">
        <f t="shared" si="7"/>
        <v>13050</v>
      </c>
      <c r="G15" s="79">
        <f>G14</f>
        <v>1</v>
      </c>
      <c r="H15" s="79">
        <f>H14</f>
        <v>0</v>
      </c>
      <c r="I15" s="79">
        <f t="shared" si="8"/>
        <v>65251</v>
      </c>
      <c r="J15" s="79">
        <f>IF(C4&gt;1,1,0)</f>
        <v>1</v>
      </c>
      <c r="K15" s="79">
        <f>IF(C4&lt;5,1,0)</f>
        <v>0</v>
      </c>
      <c r="L15" s="79">
        <f t="shared" si="9"/>
        <v>0</v>
      </c>
      <c r="M15" s="73">
        <f t="shared" si="4"/>
        <v>0</v>
      </c>
      <c r="N15" s="79">
        <f t="shared" si="10"/>
        <v>0</v>
      </c>
      <c r="O15" s="79">
        <f t="shared" si="5"/>
        <v>0</v>
      </c>
      <c r="R15" s="73" t="s">
        <v>16</v>
      </c>
    </row>
    <row r="16" spans="1:21" s="73" customFormat="1">
      <c r="A16" s="78" t="s">
        <v>300</v>
      </c>
      <c r="B16" s="307" t="s">
        <v>26</v>
      </c>
      <c r="C16" s="307"/>
      <c r="D16" s="99" t="s">
        <v>27</v>
      </c>
      <c r="E16" s="79">
        <f t="shared" si="7"/>
        <v>12112</v>
      </c>
      <c r="F16" s="79">
        <f t="shared" si="7"/>
        <v>14835</v>
      </c>
      <c r="G16" s="79">
        <f t="shared" ref="G16:H19" si="11">G15</f>
        <v>1</v>
      </c>
      <c r="H16" s="79">
        <f t="shared" si="11"/>
        <v>0</v>
      </c>
      <c r="I16" s="79">
        <f t="shared" si="8"/>
        <v>74175</v>
      </c>
      <c r="J16" s="79">
        <f>IF(C4&gt;4,1,0)</f>
        <v>1</v>
      </c>
      <c r="K16" s="79">
        <f>IF(C4&lt;8,1,0)</f>
        <v>0</v>
      </c>
      <c r="L16" s="79">
        <f t="shared" si="9"/>
        <v>0</v>
      </c>
      <c r="M16" s="73">
        <f t="shared" si="4"/>
        <v>0</v>
      </c>
      <c r="N16" s="79">
        <f t="shared" si="10"/>
        <v>0</v>
      </c>
      <c r="O16" s="79">
        <f>L16*F16</f>
        <v>0</v>
      </c>
    </row>
    <row r="17" spans="1:21" s="73" customFormat="1">
      <c r="A17" s="308">
        <f>IF(D4="ESSENCE",O13,O20)</f>
        <v>27516</v>
      </c>
      <c r="B17" s="308">
        <f>IF(D4="ESSENCE",M13,M20)</f>
        <v>137579</v>
      </c>
      <c r="C17" s="308"/>
      <c r="D17" s="308">
        <f>IF(D4="ESSENCE",N13,N20)</f>
        <v>19382</v>
      </c>
      <c r="E17" s="79">
        <f t="shared" si="7"/>
        <v>19382</v>
      </c>
      <c r="F17" s="79">
        <f t="shared" si="7"/>
        <v>22222</v>
      </c>
      <c r="G17" s="79">
        <f t="shared" si="11"/>
        <v>1</v>
      </c>
      <c r="H17" s="79">
        <f t="shared" si="11"/>
        <v>0</v>
      </c>
      <c r="I17" s="79">
        <f t="shared" si="8"/>
        <v>111111</v>
      </c>
      <c r="J17" s="79">
        <f>IF(C4&gt;7,1,0)</f>
        <v>1</v>
      </c>
      <c r="K17" s="79">
        <f>IF(C4&lt;11,1,0)</f>
        <v>0</v>
      </c>
      <c r="L17" s="79">
        <f t="shared" si="9"/>
        <v>0</v>
      </c>
      <c r="M17" s="73">
        <f t="shared" si="4"/>
        <v>0</v>
      </c>
      <c r="N17" s="79">
        <f t="shared" si="10"/>
        <v>0</v>
      </c>
      <c r="O17" s="79">
        <f t="shared" si="5"/>
        <v>0</v>
      </c>
      <c r="Q17" s="73" t="s">
        <v>0</v>
      </c>
      <c r="R17" s="73" t="s">
        <v>1</v>
      </c>
      <c r="S17" s="73" t="str">
        <f>S6</f>
        <v xml:space="preserve">SANS REMORQUE </v>
      </c>
      <c r="T17" s="73" t="str">
        <f>T6</f>
        <v xml:space="preserve">AVEC REMORQUE </v>
      </c>
      <c r="U17" s="73" t="s">
        <v>23</v>
      </c>
    </row>
    <row r="18" spans="1:21" s="73" customFormat="1">
      <c r="A18" s="308"/>
      <c r="B18" s="308"/>
      <c r="C18" s="308"/>
      <c r="D18" s="308"/>
      <c r="E18" s="79">
        <f t="shared" si="7"/>
        <v>19382</v>
      </c>
      <c r="F18" s="79">
        <f t="shared" si="7"/>
        <v>27516</v>
      </c>
      <c r="G18" s="79">
        <f t="shared" si="11"/>
        <v>1</v>
      </c>
      <c r="H18" s="79">
        <f t="shared" si="11"/>
        <v>0</v>
      </c>
      <c r="I18" s="79">
        <f t="shared" si="8"/>
        <v>137579</v>
      </c>
      <c r="J18" s="79">
        <f>IF(C4&gt;10,1,0)</f>
        <v>1</v>
      </c>
      <c r="K18" s="79">
        <f>IF(C4&lt;17,1,0)</f>
        <v>0</v>
      </c>
      <c r="L18" s="79">
        <f t="shared" si="9"/>
        <v>0</v>
      </c>
      <c r="M18" s="73">
        <f t="shared" si="4"/>
        <v>0</v>
      </c>
      <c r="N18" s="79">
        <f t="shared" si="10"/>
        <v>0</v>
      </c>
      <c r="O18" s="79">
        <f t="shared" si="5"/>
        <v>0</v>
      </c>
      <c r="Q18" s="73" t="s">
        <v>9</v>
      </c>
      <c r="R18" s="73" t="s">
        <v>9</v>
      </c>
      <c r="S18" s="79">
        <v>56311</v>
      </c>
      <c r="T18" s="79">
        <v>67566</v>
      </c>
      <c r="U18" s="79">
        <v>12663</v>
      </c>
    </row>
    <row r="19" spans="1:21" s="73" customFormat="1">
      <c r="A19" s="308"/>
      <c r="B19" s="308"/>
      <c r="C19" s="308"/>
      <c r="D19" s="308"/>
      <c r="E19" s="79">
        <f t="shared" si="7"/>
        <v>19382</v>
      </c>
      <c r="F19" s="79">
        <f t="shared" si="7"/>
        <v>31825</v>
      </c>
      <c r="G19" s="79">
        <f t="shared" si="11"/>
        <v>1</v>
      </c>
      <c r="H19" s="79">
        <f t="shared" si="11"/>
        <v>0</v>
      </c>
      <c r="I19" s="79">
        <f t="shared" si="8"/>
        <v>159125</v>
      </c>
      <c r="J19" s="79">
        <f>IF(C4&gt;16,1,0)</f>
        <v>1</v>
      </c>
      <c r="K19" s="79">
        <f>IF(C4&lt;9999999999,1,0)</f>
        <v>1</v>
      </c>
      <c r="L19" s="79">
        <f t="shared" si="9"/>
        <v>1</v>
      </c>
      <c r="M19" s="73">
        <f t="shared" si="4"/>
        <v>159125</v>
      </c>
      <c r="N19" s="79">
        <f t="shared" si="10"/>
        <v>19382</v>
      </c>
      <c r="O19" s="79">
        <f t="shared" si="5"/>
        <v>31825</v>
      </c>
      <c r="Q19" s="73" t="s">
        <v>4</v>
      </c>
      <c r="R19" s="73" t="s">
        <v>10</v>
      </c>
      <c r="S19" s="79">
        <v>68217</v>
      </c>
      <c r="T19" s="79">
        <v>81860</v>
      </c>
      <c r="U19" s="79">
        <v>12663</v>
      </c>
    </row>
    <row r="20" spans="1:21" s="73" customFormat="1">
      <c r="B20" s="308">
        <f>(A25+C25+D25)*IF(CONTRATS!C24=0,0,1)*IF(CONTRATS!E24=0,1,0)</f>
        <v>137579</v>
      </c>
      <c r="C20" s="308"/>
      <c r="D20" s="308"/>
      <c r="M20" s="73">
        <f>SUM(M14:M19)</f>
        <v>159125</v>
      </c>
      <c r="N20" s="73">
        <f>SUM(N14:N19)</f>
        <v>19382</v>
      </c>
      <c r="O20" s="79">
        <f>SUM(O14:O19)</f>
        <v>31825</v>
      </c>
      <c r="Q20" s="73" t="s">
        <v>5</v>
      </c>
      <c r="R20" s="73" t="s">
        <v>11</v>
      </c>
      <c r="S20" s="79">
        <v>77547</v>
      </c>
      <c r="T20" s="79">
        <v>93056</v>
      </c>
      <c r="U20" s="79">
        <v>12663</v>
      </c>
    </row>
    <row r="21" spans="1:21" s="73" customFormat="1">
      <c r="B21" s="308"/>
      <c r="C21" s="308"/>
      <c r="D21" s="308"/>
      <c r="Q21" s="73" t="s">
        <v>6</v>
      </c>
      <c r="R21" s="73" t="s">
        <v>12</v>
      </c>
      <c r="S21" s="79">
        <v>116162</v>
      </c>
      <c r="T21" s="79">
        <v>139394</v>
      </c>
      <c r="U21" s="79">
        <v>20263</v>
      </c>
    </row>
    <row r="22" spans="1:21" s="73" customFormat="1">
      <c r="B22" s="308"/>
      <c r="C22" s="308"/>
      <c r="D22" s="308"/>
      <c r="Q22" s="73" t="s">
        <v>7</v>
      </c>
      <c r="R22" s="73" t="s">
        <v>13</v>
      </c>
      <c r="S22" s="79">
        <v>143833</v>
      </c>
      <c r="T22" s="79">
        <v>172599</v>
      </c>
      <c r="U22" s="79">
        <v>20263</v>
      </c>
    </row>
    <row r="23" spans="1:21" s="73" customFormat="1">
      <c r="Q23" s="73" t="s">
        <v>8</v>
      </c>
      <c r="R23" s="73" t="s">
        <v>14</v>
      </c>
      <c r="S23" s="79">
        <v>166358</v>
      </c>
      <c r="T23" s="79">
        <v>199630</v>
      </c>
      <c r="U23" s="79">
        <v>20263</v>
      </c>
    </row>
    <row r="24" spans="1:21" s="73" customFormat="1">
      <c r="A24" s="73">
        <f>IF(G4="SEMI-REMORQUE",1,0)</f>
        <v>0</v>
      </c>
      <c r="C24" s="73">
        <f>IF(G4="SEMI-REMORQUE",0,1)</f>
        <v>1</v>
      </c>
      <c r="D24" s="73">
        <f>IF(E4="YES",1,0)</f>
        <v>0</v>
      </c>
    </row>
    <row r="25" spans="1:21" s="73" customFormat="1">
      <c r="A25" s="73">
        <f>A17*A24</f>
        <v>0</v>
      </c>
      <c r="C25" s="73">
        <f>C24*B17</f>
        <v>137579</v>
      </c>
      <c r="D25" s="73">
        <f>D24*D17</f>
        <v>0</v>
      </c>
    </row>
    <row r="26" spans="1:21" s="73" customFormat="1">
      <c r="R26" s="73" t="s">
        <v>17</v>
      </c>
    </row>
    <row r="27" spans="1:21" s="73" customFormat="1"/>
    <row r="28" spans="1:21" s="73" customFormat="1">
      <c r="Q28" s="73" t="s">
        <v>0</v>
      </c>
      <c r="R28" s="73" t="s">
        <v>1</v>
      </c>
      <c r="S28" s="73" t="str">
        <f>S17</f>
        <v xml:space="preserve">SANS REMORQUE </v>
      </c>
      <c r="T28" s="73" t="str">
        <f>T17</f>
        <v xml:space="preserve">AVEC REMORQUE </v>
      </c>
      <c r="U28" s="73" t="s">
        <v>23</v>
      </c>
    </row>
    <row r="29" spans="1:21" s="73" customFormat="1">
      <c r="Q29" s="73" t="s">
        <v>9</v>
      </c>
      <c r="R29" s="73" t="s">
        <v>9</v>
      </c>
      <c r="S29" s="79">
        <v>53863</v>
      </c>
      <c r="T29" s="79">
        <v>64628</v>
      </c>
      <c r="U29" s="79">
        <v>12112</v>
      </c>
    </row>
    <row r="30" spans="1:21" s="73" customFormat="1">
      <c r="Q30" s="73" t="s">
        <v>4</v>
      </c>
      <c r="R30" s="73" t="s">
        <v>10</v>
      </c>
      <c r="S30" s="79">
        <v>65251</v>
      </c>
      <c r="T30" s="79">
        <v>78301</v>
      </c>
      <c r="U30" s="79">
        <v>12112</v>
      </c>
    </row>
    <row r="31" spans="1:21" s="73" customFormat="1">
      <c r="Q31" s="73" t="s">
        <v>5</v>
      </c>
      <c r="R31" s="73" t="s">
        <v>11</v>
      </c>
      <c r="S31" s="79">
        <v>74175</v>
      </c>
      <c r="T31" s="79">
        <v>89010</v>
      </c>
      <c r="U31" s="79">
        <v>12112</v>
      </c>
    </row>
    <row r="32" spans="1:21" s="73" customFormat="1">
      <c r="Q32" s="73" t="s">
        <v>6</v>
      </c>
      <c r="R32" s="73" t="s">
        <v>12</v>
      </c>
      <c r="S32" s="79">
        <v>111111</v>
      </c>
      <c r="T32" s="79">
        <v>133333</v>
      </c>
      <c r="U32" s="79">
        <v>19382</v>
      </c>
    </row>
    <row r="33" spans="17:21" s="73" customFormat="1">
      <c r="Q33" s="73" t="s">
        <v>7</v>
      </c>
      <c r="R33" s="73" t="s">
        <v>13</v>
      </c>
      <c r="S33" s="79">
        <v>137579</v>
      </c>
      <c r="T33" s="79">
        <v>165095</v>
      </c>
      <c r="U33" s="79">
        <v>19382</v>
      </c>
    </row>
    <row r="34" spans="17:21" s="73" customFormat="1">
      <c r="Q34" s="73" t="s">
        <v>8</v>
      </c>
      <c r="R34" s="73" t="s">
        <v>14</v>
      </c>
      <c r="S34" s="79">
        <v>159125</v>
      </c>
      <c r="T34" s="79">
        <v>190950</v>
      </c>
      <c r="U34" s="79">
        <v>19382</v>
      </c>
    </row>
    <row r="35" spans="17:21" s="73" customFormat="1"/>
    <row r="36" spans="17:21" s="73" customFormat="1"/>
    <row r="37" spans="17:21" s="73" customFormat="1"/>
    <row r="38" spans="17:21" s="73" customFormat="1"/>
    <row r="39" spans="17:21" s="73" customFormat="1"/>
    <row r="40" spans="17:21" s="73" customFormat="1"/>
    <row r="41" spans="17:21" s="73" customFormat="1"/>
    <row r="42" spans="17:21" s="73" customFormat="1"/>
    <row r="43" spans="17:21" s="73" customFormat="1"/>
    <row r="44" spans="17:21" s="73" customFormat="1"/>
    <row r="45" spans="17:21" s="73" customFormat="1"/>
    <row r="46" spans="17:21" s="73" customFormat="1"/>
    <row r="47" spans="17:21" s="73" customFormat="1"/>
    <row r="48" spans="17:21" s="73" customFormat="1"/>
    <row r="49" s="73" customFormat="1"/>
    <row r="50" s="73" customFormat="1"/>
    <row r="51" s="73" customFormat="1"/>
    <row r="52" s="73" customFormat="1"/>
    <row r="53" s="73" customFormat="1"/>
    <row r="54" s="73" customFormat="1"/>
    <row r="55" s="73" customFormat="1"/>
    <row r="56" s="73" customFormat="1"/>
    <row r="57" s="73" customFormat="1"/>
    <row r="58" s="73" customFormat="1"/>
    <row r="59" s="73" customFormat="1"/>
    <row r="60" s="73" customFormat="1"/>
    <row r="61" s="73" customFormat="1"/>
    <row r="62" s="73" customFormat="1"/>
    <row r="63" s="73" customFormat="1"/>
    <row r="64" s="73" customFormat="1"/>
    <row r="65" s="73" customFormat="1"/>
    <row r="66" s="73" customFormat="1"/>
    <row r="67" s="73" customFormat="1"/>
    <row r="68" s="73" customFormat="1"/>
    <row r="69" s="73" customFormat="1"/>
    <row r="70" s="73" customFormat="1"/>
    <row r="71" s="73" customFormat="1"/>
    <row r="72" s="73" customFormat="1"/>
    <row r="73" s="73" customFormat="1"/>
    <row r="74" s="73" customFormat="1"/>
    <row r="75" s="73" customFormat="1"/>
    <row r="76" s="73" customFormat="1"/>
    <row r="77" s="73" customFormat="1"/>
    <row r="78" s="73" customFormat="1"/>
    <row r="79" s="73" customFormat="1"/>
    <row r="80" s="73" customFormat="1"/>
    <row r="81" s="73" customFormat="1"/>
    <row r="82" s="73" customFormat="1"/>
    <row r="83" s="73" customFormat="1"/>
    <row r="84" s="73" customFormat="1"/>
    <row r="85" s="73" customFormat="1"/>
    <row r="86" s="73" customFormat="1"/>
    <row r="87" s="73" customFormat="1"/>
    <row r="88" s="73" customFormat="1"/>
    <row r="89" s="73" customFormat="1"/>
    <row r="90" s="73" customFormat="1"/>
    <row r="91" s="73" customFormat="1"/>
    <row r="92" s="73" customFormat="1"/>
    <row r="93" s="73" customFormat="1"/>
    <row r="94" s="73" customFormat="1"/>
    <row r="95" s="73" customFormat="1"/>
    <row r="96" s="73" customFormat="1"/>
    <row r="97" s="73" customFormat="1"/>
    <row r="98" s="73" customFormat="1"/>
    <row r="99" s="73" customFormat="1"/>
    <row r="100" s="73" customFormat="1"/>
    <row r="101" s="73" customFormat="1"/>
    <row r="102" s="73" customFormat="1"/>
    <row r="103" s="73" customFormat="1"/>
    <row r="104" s="73" customFormat="1"/>
    <row r="105" s="73" customFormat="1"/>
    <row r="106" s="73" customFormat="1"/>
    <row r="107" s="73" customFormat="1"/>
    <row r="108" s="73" customFormat="1"/>
    <row r="109" s="73" customFormat="1"/>
    <row r="110" s="73" customFormat="1"/>
    <row r="111" s="73" customFormat="1"/>
    <row r="112" s="73" customFormat="1"/>
    <row r="113" s="73" customFormat="1"/>
    <row r="114" s="73" customFormat="1"/>
    <row r="115" s="73" customFormat="1"/>
    <row r="116" s="73" customFormat="1"/>
    <row r="117" s="73" customFormat="1"/>
    <row r="118" s="73" customFormat="1"/>
    <row r="119" s="73" customFormat="1"/>
    <row r="120" s="73" customFormat="1"/>
    <row r="121" s="73" customFormat="1"/>
    <row r="122" s="73" customFormat="1"/>
    <row r="123" s="73" customFormat="1"/>
    <row r="124" s="73" customFormat="1"/>
    <row r="125" s="73" customFormat="1"/>
    <row r="126" s="73" customFormat="1"/>
    <row r="127" s="73" customFormat="1"/>
    <row r="128" s="73" customFormat="1"/>
    <row r="129" s="73" customFormat="1"/>
    <row r="130" s="73" customFormat="1"/>
    <row r="131" s="73" customFormat="1"/>
    <row r="132" s="73" customFormat="1"/>
    <row r="133" s="73" customFormat="1"/>
    <row r="134" s="73" customFormat="1"/>
    <row r="135" s="73" customFormat="1"/>
    <row r="136" s="73" customFormat="1"/>
    <row r="137" s="73" customFormat="1"/>
    <row r="138" s="73" customFormat="1"/>
    <row r="139" s="73" customFormat="1"/>
    <row r="140" s="73" customFormat="1"/>
    <row r="141" s="73" customFormat="1"/>
    <row r="142" s="73" customFormat="1"/>
    <row r="143" s="73" customFormat="1"/>
    <row r="144" s="73" customFormat="1"/>
    <row r="145" s="73" customFormat="1"/>
    <row r="146" s="73" customFormat="1"/>
    <row r="147" s="73" customFormat="1"/>
    <row r="148" s="73" customFormat="1"/>
    <row r="149" s="73" customFormat="1"/>
    <row r="150" s="73" customFormat="1"/>
    <row r="151" s="73" customFormat="1"/>
    <row r="152" s="73" customFormat="1"/>
    <row r="153" s="73" customFormat="1"/>
    <row r="154" s="73" customFormat="1"/>
    <row r="155" s="73" customFormat="1"/>
    <row r="156" s="73" customFormat="1"/>
    <row r="157" s="73" customFormat="1"/>
    <row r="158" s="73" customFormat="1"/>
    <row r="159" s="73" customFormat="1"/>
    <row r="160" s="73" customFormat="1"/>
    <row r="161" s="73" customFormat="1"/>
    <row r="162" s="73" customFormat="1"/>
    <row r="163" s="73" customFormat="1"/>
    <row r="164" s="73" customFormat="1"/>
    <row r="165" s="73" customFormat="1"/>
    <row r="166" s="73" customFormat="1"/>
    <row r="167" s="73" customFormat="1"/>
    <row r="168" s="73" customFormat="1"/>
    <row r="169" s="73" customFormat="1"/>
    <row r="170" s="73" customFormat="1"/>
    <row r="171" s="73" customFormat="1"/>
    <row r="172" s="73" customFormat="1"/>
    <row r="173" s="73" customFormat="1"/>
    <row r="174" s="73" customFormat="1"/>
    <row r="175" s="73" customFormat="1"/>
    <row r="176" s="73" customFormat="1"/>
    <row r="177" s="73" customFormat="1"/>
    <row r="178" s="73" customFormat="1"/>
  </sheetData>
  <sheetProtection password="D373" sheet="1" objects="1" scenarios="1"/>
  <mergeCells count="7">
    <mergeCell ref="A17:A19"/>
    <mergeCell ref="B20:D22"/>
    <mergeCell ref="J6:L6"/>
    <mergeCell ref="J13:L13"/>
    <mergeCell ref="B17:C19"/>
    <mergeCell ref="D17:D19"/>
    <mergeCell ref="B16:C16"/>
  </mergeCells>
  <dataValidations count="2">
    <dataValidation type="list" allowBlank="1" showInputMessage="1" showErrorMessage="1" sqref="E4:F4">
      <formula1>$K$2:$L$2</formula1>
    </dataValidation>
    <dataValidation type="list" allowBlank="1" showInputMessage="1" showErrorMessage="1" sqref="A4">
      <formula1>$S$1:$U$1</formula1>
    </dataValidation>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T38"/>
  <sheetViews>
    <sheetView topLeftCell="AK1" workbookViewId="0">
      <selection sqref="A1:AJ1048576"/>
    </sheetView>
  </sheetViews>
  <sheetFormatPr defaultColWidth="11.42578125" defaultRowHeight="15"/>
  <cols>
    <col min="1" max="2" width="0" style="73" hidden="1" customWidth="1"/>
    <col min="3" max="3" width="11.42578125" style="73" hidden="1" customWidth="1"/>
    <col min="4" max="4" width="16.7109375" style="73" hidden="1" customWidth="1"/>
    <col min="5" max="6" width="16.85546875" style="73" hidden="1" customWidth="1"/>
    <col min="7" max="7" width="19.85546875" style="73" hidden="1" customWidth="1"/>
    <col min="8" max="15" width="16.85546875" style="73" hidden="1" customWidth="1"/>
    <col min="16" max="16" width="0" style="73" hidden="1" customWidth="1"/>
    <col min="17" max="18" width="16.85546875" style="73" hidden="1" customWidth="1"/>
    <col min="19" max="36" width="0" style="73" hidden="1" customWidth="1"/>
    <col min="37" max="16384" width="11.42578125" style="73"/>
  </cols>
  <sheetData>
    <row r="1" spans="1:20">
      <c r="D1" s="78" t="s">
        <v>326</v>
      </c>
      <c r="Q1" s="73" t="s">
        <v>15</v>
      </c>
      <c r="R1" s="73" t="s">
        <v>16</v>
      </c>
      <c r="S1" s="73" t="s">
        <v>17</v>
      </c>
    </row>
    <row r="2" spans="1:20">
      <c r="D2" s="78">
        <f>CONTRATS!F20</f>
        <v>0</v>
      </c>
      <c r="E2" s="73">
        <f>'CAT 5B'!G2</f>
        <v>3300</v>
      </c>
      <c r="I2" s="73" t="s">
        <v>0</v>
      </c>
      <c r="J2" s="73" t="s">
        <v>1</v>
      </c>
      <c r="K2" s="73" t="s">
        <v>20</v>
      </c>
      <c r="L2" s="73" t="s">
        <v>2</v>
      </c>
    </row>
    <row r="3" spans="1:20">
      <c r="C3" s="74"/>
      <c r="D3" s="74"/>
      <c r="E3" s="74" t="s">
        <v>21</v>
      </c>
      <c r="F3" s="74" t="s">
        <v>22</v>
      </c>
      <c r="G3" s="75"/>
      <c r="I3" s="78" t="s">
        <v>325</v>
      </c>
    </row>
    <row r="4" spans="1:20">
      <c r="C4" s="74" t="str">
        <f>'CAT 3'!A4</f>
        <v>ZONE C</v>
      </c>
      <c r="D4" s="74" t="str">
        <f>'CAT 3'!B4</f>
        <v>SANS REMORQUE</v>
      </c>
      <c r="E4" s="74">
        <f>'CAT 3'!C4</f>
        <v>19</v>
      </c>
      <c r="F4" s="74" t="str">
        <f>'CAT 3'!D4</f>
        <v>ESSENCE</v>
      </c>
      <c r="G4" s="76"/>
      <c r="I4" s="73">
        <f>CONTRATS!D20</f>
        <v>0</v>
      </c>
    </row>
    <row r="5" spans="1:20">
      <c r="Q5" s="73" t="s">
        <v>15</v>
      </c>
      <c r="S5" s="307" t="s">
        <v>314</v>
      </c>
      <c r="T5" s="307"/>
    </row>
    <row r="6" spans="1:20">
      <c r="C6" s="73" t="s">
        <v>0</v>
      </c>
      <c r="D6" s="73" t="s">
        <v>319</v>
      </c>
      <c r="E6" s="78" t="str">
        <f>Q6</f>
        <v>VEH.CAT.01</v>
      </c>
      <c r="F6" s="78" t="str">
        <f>R6</f>
        <v>VEH.CAT.02&amp;03</v>
      </c>
      <c r="G6" s="77" t="str">
        <f>CONTRATS!E17</f>
        <v>VT</v>
      </c>
      <c r="K6" s="307" t="s">
        <v>18</v>
      </c>
      <c r="L6" s="307"/>
      <c r="M6" s="307"/>
      <c r="N6" s="77" t="s">
        <v>112</v>
      </c>
      <c r="P6" s="73" t="s">
        <v>319</v>
      </c>
      <c r="Q6" s="78" t="s">
        <v>304</v>
      </c>
      <c r="R6" s="78" t="s">
        <v>324</v>
      </c>
    </row>
    <row r="7" spans="1:20">
      <c r="A7" s="73">
        <f>I4</f>
        <v>0</v>
      </c>
      <c r="B7" s="73">
        <f>IF(A7=D7,1,0)</f>
        <v>0</v>
      </c>
      <c r="C7" s="78" t="s">
        <v>28</v>
      </c>
      <c r="D7" s="78">
        <v>1</v>
      </c>
      <c r="E7" s="79">
        <f>IF(C4="ZONE A",Q7,IF(C4="ZONE B",Q19,IF(C4="ZONE C",Q30,0)))</f>
        <v>326338</v>
      </c>
      <c r="F7" s="79">
        <f>IF(C4="ZONE A",R7,IF(C4="ZONE B",R19,IF(C4="ZONE C",R30,0)))</f>
        <v>408012</v>
      </c>
      <c r="G7" s="79">
        <v>0</v>
      </c>
      <c r="H7" s="79">
        <f>IF(D2="VEH.CAT.01",1,0)</f>
        <v>0</v>
      </c>
      <c r="I7" s="79">
        <f>IF(D2="VEH.CAT.02",1,0)+IF(D2="VEH.CAT.03",1,0)</f>
        <v>0</v>
      </c>
      <c r="J7" s="79">
        <f t="shared" ref="J7:J15" si="0">E7*H7+F7*I7</f>
        <v>0</v>
      </c>
      <c r="K7" s="79">
        <f>B7</f>
        <v>0</v>
      </c>
      <c r="L7" s="79">
        <f>J7*K7</f>
        <v>0</v>
      </c>
      <c r="M7" s="79"/>
      <c r="N7" s="79">
        <f t="shared" ref="N7:N15" si="1">K7*G7</f>
        <v>0</v>
      </c>
      <c r="O7" s="79"/>
      <c r="P7" s="78">
        <v>1</v>
      </c>
      <c r="Q7" s="79">
        <v>356059</v>
      </c>
      <c r="R7" s="79">
        <v>445104</v>
      </c>
      <c r="S7" s="73">
        <v>0</v>
      </c>
      <c r="T7" s="73">
        <v>0</v>
      </c>
    </row>
    <row r="8" spans="1:20">
      <c r="A8" s="73">
        <f>A7</f>
        <v>0</v>
      </c>
      <c r="B8" s="73">
        <f>IF(A8=D8,1,0)</f>
        <v>0</v>
      </c>
      <c r="C8" s="78">
        <v>1</v>
      </c>
      <c r="D8" s="78">
        <v>2</v>
      </c>
      <c r="E8" s="79">
        <f>IF(C4="ZONE A",Q8,IF(C4="ZONE B",Q20,IF(C4="ZONE C",Q31,0)))</f>
        <v>489581</v>
      </c>
      <c r="F8" s="79">
        <f>IF(C4="ZONE A",R8,IF(C4="ZONE B",R20,IF(C4="ZONE C",R31,0)))</f>
        <v>612018</v>
      </c>
      <c r="G8" s="79">
        <v>0</v>
      </c>
      <c r="H8" s="79">
        <f>H7</f>
        <v>0</v>
      </c>
      <c r="I8" s="79">
        <f>I7</f>
        <v>0</v>
      </c>
      <c r="J8" s="79">
        <f t="shared" si="0"/>
        <v>0</v>
      </c>
      <c r="K8" s="79">
        <f t="shared" ref="K8:K15" si="2">B8</f>
        <v>0</v>
      </c>
      <c r="L8" s="79">
        <f t="shared" ref="L8:L15" si="3">J8*K8</f>
        <v>0</v>
      </c>
      <c r="M8" s="79"/>
      <c r="N8" s="79">
        <f t="shared" si="1"/>
        <v>0</v>
      </c>
      <c r="O8" s="79"/>
      <c r="P8" s="78">
        <v>2</v>
      </c>
      <c r="Q8" s="79">
        <v>534089</v>
      </c>
      <c r="R8" s="79">
        <v>667656</v>
      </c>
    </row>
    <row r="9" spans="1:20">
      <c r="A9" s="73">
        <f>A8</f>
        <v>0</v>
      </c>
      <c r="B9" s="73">
        <f>IF(A9=D9,1,0)</f>
        <v>0</v>
      </c>
      <c r="C9" s="78">
        <v>2</v>
      </c>
      <c r="D9" s="78">
        <v>3</v>
      </c>
      <c r="E9" s="79">
        <f>IF(C4="ZONE A",Q9,IF(C4="ZONE B",Q21,IF(C4="ZONE C",Q32,0)))</f>
        <v>652775</v>
      </c>
      <c r="F9" s="79">
        <f>IF(C4="ZONE A",R9,IF(C4="ZONE B",R21,IF(C4="ZONE C",R32,0)))</f>
        <v>816024</v>
      </c>
      <c r="G9" s="79">
        <v>0</v>
      </c>
      <c r="H9" s="79">
        <f>H8</f>
        <v>0</v>
      </c>
      <c r="I9" s="79">
        <f t="shared" ref="H9:I13" si="4">I8</f>
        <v>0</v>
      </c>
      <c r="J9" s="79">
        <f t="shared" si="0"/>
        <v>0</v>
      </c>
      <c r="K9" s="79">
        <f t="shared" si="2"/>
        <v>0</v>
      </c>
      <c r="L9" s="79">
        <f t="shared" si="3"/>
        <v>0</v>
      </c>
      <c r="M9" s="79"/>
      <c r="N9" s="79">
        <f t="shared" si="1"/>
        <v>0</v>
      </c>
      <c r="O9" s="79"/>
      <c r="P9" s="78">
        <v>3</v>
      </c>
      <c r="Q9" s="79">
        <v>712118</v>
      </c>
      <c r="R9" s="79">
        <v>890208</v>
      </c>
    </row>
    <row r="10" spans="1:20">
      <c r="A10" s="73">
        <f>A9</f>
        <v>0</v>
      </c>
      <c r="B10" s="73">
        <f>IF(A10=D10,1,0)</f>
        <v>0</v>
      </c>
      <c r="C10" s="78">
        <v>3</v>
      </c>
      <c r="D10" s="78">
        <v>4</v>
      </c>
      <c r="E10" s="79">
        <f>IF(C4="ZONE A",Q10,IF(C4="ZONE B",Q22,IF(C4="ZONE C",Q33,0)))</f>
        <v>815969</v>
      </c>
      <c r="F10" s="79">
        <f>IF(C4="ZONE A",R10,IF(C4="ZONE B",R22,IF(C4="ZONE C",R33,0)))</f>
        <v>1020030</v>
      </c>
      <c r="G10" s="79">
        <v>0</v>
      </c>
      <c r="H10" s="79">
        <f t="shared" si="4"/>
        <v>0</v>
      </c>
      <c r="I10" s="79">
        <f t="shared" si="4"/>
        <v>0</v>
      </c>
      <c r="J10" s="79">
        <f t="shared" si="0"/>
        <v>0</v>
      </c>
      <c r="K10" s="79">
        <f t="shared" si="2"/>
        <v>0</v>
      </c>
      <c r="L10" s="79">
        <f t="shared" si="3"/>
        <v>0</v>
      </c>
      <c r="M10" s="79"/>
      <c r="N10" s="79">
        <f t="shared" si="1"/>
        <v>0</v>
      </c>
      <c r="O10" s="79"/>
      <c r="P10" s="78">
        <v>4</v>
      </c>
      <c r="Q10" s="79">
        <v>890148</v>
      </c>
      <c r="R10" s="79">
        <v>112760</v>
      </c>
    </row>
    <row r="11" spans="1:20">
      <c r="A11" s="73">
        <f>A10</f>
        <v>0</v>
      </c>
      <c r="B11" s="73">
        <f>IF(A11=D11,1,0)</f>
        <v>0</v>
      </c>
      <c r="C11" s="78"/>
      <c r="D11" s="78">
        <v>5</v>
      </c>
      <c r="E11" s="79">
        <f>IF(C4="ZONE A",Q11,IF(C4="ZONE B",Q23,IF(C4="ZONE C",Q34,0)))</f>
        <v>979163</v>
      </c>
      <c r="F11" s="79">
        <f>IF(C4="ZONE A",R11,IF(C4="ZONE B",R23,IF(C4="ZONE C",R34,0)))</f>
        <v>1223706</v>
      </c>
      <c r="G11" s="79">
        <v>0</v>
      </c>
      <c r="H11" s="79">
        <f>H10</f>
        <v>0</v>
      </c>
      <c r="I11" s="79">
        <f>I10</f>
        <v>0</v>
      </c>
      <c r="J11" s="79">
        <f t="shared" si="0"/>
        <v>0</v>
      </c>
      <c r="K11" s="79">
        <f t="shared" si="2"/>
        <v>0</v>
      </c>
      <c r="L11" s="79">
        <f t="shared" si="3"/>
        <v>0</v>
      </c>
      <c r="M11" s="79"/>
      <c r="N11" s="79">
        <f t="shared" si="1"/>
        <v>0</v>
      </c>
      <c r="O11" s="79"/>
      <c r="P11" s="78">
        <v>5</v>
      </c>
      <c r="Q11" s="79">
        <v>1068178</v>
      </c>
      <c r="R11" s="79">
        <v>1334952</v>
      </c>
    </row>
    <row r="12" spans="1:20">
      <c r="A12" s="73">
        <f>A10</f>
        <v>0</v>
      </c>
      <c r="B12" s="73">
        <f>IF(A12&gt;5,1,0)</f>
        <v>0</v>
      </c>
      <c r="C12" s="78">
        <v>4</v>
      </c>
      <c r="D12" s="78" t="s">
        <v>323</v>
      </c>
      <c r="E12" s="79">
        <f>IF(C4="ZONE A",Q12,IF(C4="ZONE B",Q24,IF(C4="ZONE C",Q35,0)))</f>
        <v>163194</v>
      </c>
      <c r="F12" s="79">
        <f>IF(C4="ZONE A",R12,IF(C4="ZONE B",R24,IF(C4="ZONE C",R35,0)))</f>
        <v>204006</v>
      </c>
      <c r="G12" s="79">
        <v>0</v>
      </c>
      <c r="H12" s="79">
        <f>H11</f>
        <v>0</v>
      </c>
      <c r="I12" s="79">
        <f>I11</f>
        <v>0</v>
      </c>
      <c r="J12" s="79">
        <f t="shared" si="0"/>
        <v>0</v>
      </c>
      <c r="K12" s="79">
        <f t="shared" si="2"/>
        <v>0</v>
      </c>
      <c r="L12" s="79">
        <f t="shared" si="3"/>
        <v>0</v>
      </c>
      <c r="M12" s="79"/>
      <c r="N12" s="79">
        <f t="shared" si="1"/>
        <v>0</v>
      </c>
      <c r="O12" s="79"/>
      <c r="P12" s="78" t="s">
        <v>323</v>
      </c>
      <c r="Q12" s="79">
        <f>IF(I4&gt;5,Q11+178030*(I4-5),178030)</f>
        <v>178030</v>
      </c>
      <c r="R12" s="79">
        <f>IF(I4&gt;5,R11+222552*(I4-5),222552)</f>
        <v>222552</v>
      </c>
    </row>
    <row r="13" spans="1:20">
      <c r="C13" s="78">
        <v>5</v>
      </c>
      <c r="D13" s="78"/>
      <c r="E13" s="79"/>
      <c r="F13" s="79"/>
      <c r="G13" s="79">
        <f>F13-E13</f>
        <v>0</v>
      </c>
      <c r="H13" s="79">
        <f t="shared" si="4"/>
        <v>0</v>
      </c>
      <c r="I13" s="79">
        <f t="shared" si="4"/>
        <v>0</v>
      </c>
      <c r="J13" s="79">
        <f t="shared" si="0"/>
        <v>0</v>
      </c>
      <c r="K13" s="79">
        <f t="shared" si="2"/>
        <v>0</v>
      </c>
      <c r="L13" s="79">
        <f t="shared" si="3"/>
        <v>0</v>
      </c>
      <c r="M13" s="79"/>
      <c r="N13" s="79">
        <f t="shared" si="1"/>
        <v>0</v>
      </c>
      <c r="O13" s="79"/>
      <c r="P13" s="78"/>
      <c r="Q13" s="79"/>
      <c r="R13" s="79"/>
    </row>
    <row r="14" spans="1:20">
      <c r="C14" s="78">
        <v>6</v>
      </c>
      <c r="D14" s="78"/>
      <c r="E14" s="79">
        <f>IF(C4="ZONE A",Q14,IF(C4="ZONE B",Q25,IF(C4="ZONE C",Q36,0)))</f>
        <v>0</v>
      </c>
      <c r="F14" s="79">
        <f>IF(C4="ZONE A",R14,IF(C4="ZONE B",R25,IF(C4="ZONE C",R36,0)))</f>
        <v>0</v>
      </c>
      <c r="G14" s="79">
        <f>F14-E14</f>
        <v>0</v>
      </c>
      <c r="H14" s="79">
        <f>H13</f>
        <v>0</v>
      </c>
      <c r="I14" s="79">
        <f>I13</f>
        <v>0</v>
      </c>
      <c r="J14" s="79">
        <f t="shared" si="0"/>
        <v>0</v>
      </c>
      <c r="K14" s="79">
        <f t="shared" si="2"/>
        <v>0</v>
      </c>
      <c r="L14" s="79">
        <f t="shared" si="3"/>
        <v>0</v>
      </c>
      <c r="M14" s="80"/>
      <c r="N14" s="79">
        <f t="shared" si="1"/>
        <v>0</v>
      </c>
      <c r="P14" s="78"/>
      <c r="Q14" s="79"/>
      <c r="R14" s="79"/>
    </row>
    <row r="15" spans="1:20">
      <c r="C15" s="78" t="s">
        <v>29</v>
      </c>
      <c r="D15" s="78"/>
      <c r="E15" s="79">
        <f>IF(C4="ZONE A",Q15,IF(C4="ZONE B",Q26,IF(C4="ZONE C",Q37,0)))</f>
        <v>0</v>
      </c>
      <c r="F15" s="79">
        <f>IF(C4="ZONE A",R15,IF(C4="ZONE B",R26,IF(C4="ZONE C",R37,0)))</f>
        <v>0</v>
      </c>
      <c r="G15" s="79">
        <f>F15-E15</f>
        <v>0</v>
      </c>
      <c r="H15" s="79">
        <f>H14</f>
        <v>0</v>
      </c>
      <c r="I15" s="79">
        <f>I14</f>
        <v>0</v>
      </c>
      <c r="J15" s="79">
        <f t="shared" si="0"/>
        <v>0</v>
      </c>
      <c r="K15" s="79">
        <f t="shared" si="2"/>
        <v>0</v>
      </c>
      <c r="L15" s="79">
        <f t="shared" si="3"/>
        <v>0</v>
      </c>
      <c r="M15" s="79"/>
      <c r="N15" s="79">
        <f t="shared" si="1"/>
        <v>0</v>
      </c>
      <c r="P15" s="78"/>
      <c r="Q15" s="79"/>
      <c r="R15" s="79"/>
    </row>
    <row r="16" spans="1:20">
      <c r="C16" s="78"/>
      <c r="E16" s="79"/>
      <c r="F16" s="79"/>
      <c r="G16" s="79"/>
      <c r="H16" s="79"/>
      <c r="I16" s="79"/>
      <c r="J16" s="79"/>
      <c r="K16" s="79"/>
      <c r="L16" s="79">
        <f>SUM(L7:L15)</f>
        <v>0</v>
      </c>
      <c r="M16" s="79">
        <f>SUM(M7:M15)</f>
        <v>0</v>
      </c>
      <c r="N16" s="79">
        <f>SUM(N7:N15)</f>
        <v>0</v>
      </c>
      <c r="P16" s="78"/>
    </row>
    <row r="17" spans="2:20">
      <c r="C17" s="78"/>
      <c r="D17" s="309">
        <f>IF(G6="SEMI-REMORQUE",1,0)*N16+IF(G6="SEMI-REMORQUE",0,1)*L16</f>
        <v>0</v>
      </c>
      <c r="E17" s="308">
        <f>(D17*IF(CONTRATS!C24=0,1,0)*IF(CONTRATS!E24=0,1,0)*IF(CONTRATS!B24="NO",1,0)*IF(CONTRATS!E17="SCOOTER",0,1)+IF(CONTRATS!E17="SCOOTER",1,0)*H22)*IF(CONTRATS!E17="SCOOTER-REMORQUE",0,1)+IF(CONTRATS!E17="SCOOTER-REMORQUE",0,0)*H22</f>
        <v>0</v>
      </c>
      <c r="F17" s="308"/>
      <c r="G17" s="79"/>
      <c r="H17" s="79"/>
      <c r="I17" s="79"/>
      <c r="J17" s="79"/>
      <c r="K17" s="79"/>
      <c r="L17" s="79"/>
      <c r="M17" s="79"/>
      <c r="N17" s="79"/>
      <c r="Q17" s="73" t="s">
        <v>16</v>
      </c>
      <c r="S17" s="307" t="s">
        <v>314</v>
      </c>
      <c r="T17" s="307"/>
    </row>
    <row r="18" spans="2:20">
      <c r="C18" s="82"/>
      <c r="D18" s="309"/>
      <c r="E18" s="308"/>
      <c r="F18" s="308"/>
      <c r="G18" s="79"/>
      <c r="H18" s="79"/>
      <c r="I18" s="79"/>
      <c r="J18" s="79"/>
      <c r="K18" s="79"/>
      <c r="L18" s="79"/>
      <c r="M18" s="79"/>
      <c r="N18" s="79"/>
      <c r="P18" s="73" t="s">
        <v>319</v>
      </c>
      <c r="Q18" s="78" t="str">
        <f>Q6</f>
        <v>VEH.CAT.01</v>
      </c>
      <c r="R18" s="78" t="str">
        <f>R6</f>
        <v>VEH.CAT.02&amp;03</v>
      </c>
    </row>
    <row r="19" spans="2:20">
      <c r="B19" s="84"/>
      <c r="C19" s="83"/>
      <c r="D19" s="84"/>
      <c r="G19" s="79"/>
      <c r="H19" s="79"/>
      <c r="I19" s="79"/>
      <c r="J19" s="79"/>
      <c r="K19" s="79"/>
      <c r="L19" s="79"/>
      <c r="M19" s="79"/>
      <c r="N19" s="79"/>
      <c r="P19" s="78">
        <v>1</v>
      </c>
      <c r="Q19" s="79">
        <v>341223</v>
      </c>
      <c r="R19" s="79">
        <v>426558</v>
      </c>
      <c r="S19" s="73">
        <v>0</v>
      </c>
      <c r="T19" s="73">
        <v>0</v>
      </c>
    </row>
    <row r="20" spans="2:20">
      <c r="B20" s="84"/>
      <c r="C20" s="83"/>
      <c r="D20" s="84"/>
      <c r="E20" s="307" t="s">
        <v>314</v>
      </c>
      <c r="F20" s="307"/>
      <c r="G20" s="79"/>
      <c r="H20" s="79"/>
      <c r="I20" s="79"/>
      <c r="J20" s="79"/>
      <c r="K20" s="79"/>
      <c r="L20" s="79"/>
      <c r="M20" s="79"/>
      <c r="N20" s="79"/>
      <c r="P20" s="78">
        <v>2</v>
      </c>
      <c r="Q20" s="79">
        <v>511835</v>
      </c>
      <c r="R20" s="79">
        <v>639837</v>
      </c>
    </row>
    <row r="21" spans="2:20">
      <c r="B21" s="84"/>
      <c r="C21" s="83"/>
      <c r="D21" s="84"/>
      <c r="E21" s="73" t="str">
        <f>E6</f>
        <v>VEH.CAT.01</v>
      </c>
      <c r="F21" s="73" t="str">
        <f>F6</f>
        <v>VEH.CAT.02&amp;03</v>
      </c>
      <c r="G21" s="73" t="str">
        <f>N6</f>
        <v>SEMI-REMORQUE</v>
      </c>
      <c r="N21" s="79"/>
      <c r="P21" s="78">
        <v>3</v>
      </c>
      <c r="Q21" s="79">
        <v>682447</v>
      </c>
      <c r="R21" s="79">
        <v>853116</v>
      </c>
    </row>
    <row r="22" spans="2:20">
      <c r="B22" s="84"/>
      <c r="C22" s="83"/>
      <c r="D22" s="84"/>
      <c r="E22" s="79">
        <f>IF(C4="ZONE A",S7,IF(C4="ZONE B",S19,IF(C4="ZONE C",S30,0)))</f>
        <v>0</v>
      </c>
      <c r="F22" s="79">
        <f>IF(C4="ZONE A",T7,IF(C4="ZONE B",T19,IF(C4="ZONE C",T30,0)))</f>
        <v>0</v>
      </c>
      <c r="G22" s="79">
        <f>F22-E22</f>
        <v>0</v>
      </c>
      <c r="H22" s="73">
        <f>IF(E2&lt;=50,E22,F22)*IF(CONTRATS!E17="SCOOTER-REMORQUE",0,1)+IF(CONTRATS!E17="SCOOTER-REMORQUE",0,1)*G22</f>
        <v>0</v>
      </c>
      <c r="P22" s="78">
        <v>4</v>
      </c>
      <c r="Q22" s="79">
        <v>853059</v>
      </c>
      <c r="R22" s="79">
        <v>1066395</v>
      </c>
    </row>
    <row r="23" spans="2:20">
      <c r="B23" s="84"/>
      <c r="C23" s="83"/>
      <c r="D23" s="84"/>
      <c r="P23" s="78">
        <v>5</v>
      </c>
      <c r="Q23" s="79">
        <v>1023670</v>
      </c>
      <c r="R23" s="79">
        <v>1279329</v>
      </c>
    </row>
    <row r="24" spans="2:20">
      <c r="B24" s="84"/>
      <c r="C24" s="85">
        <f>'CAT 65'!E16</f>
        <v>0</v>
      </c>
      <c r="D24" s="86">
        <f>E17</f>
        <v>0</v>
      </c>
      <c r="P24" s="78" t="s">
        <v>323</v>
      </c>
      <c r="Q24" s="79">
        <f>IF(I4&gt;5,Q23+170612*(I4-5),170612)</f>
        <v>170612</v>
      </c>
      <c r="R24" s="79">
        <f>IF(I4&gt;5,R23+213279*(I4-5),213279)</f>
        <v>213279</v>
      </c>
    </row>
    <row r="25" spans="2:20">
      <c r="B25" s="84"/>
      <c r="C25" s="84">
        <f>IF(D2="VEH.CAT.05",1,0)</f>
        <v>0</v>
      </c>
      <c r="D25" s="84">
        <v>1</v>
      </c>
      <c r="P25" s="78"/>
      <c r="Q25" s="79"/>
      <c r="R25" s="79"/>
    </row>
    <row r="26" spans="2:20" ht="21">
      <c r="B26" s="84"/>
      <c r="C26" s="84">
        <f>C24*C25</f>
        <v>0</v>
      </c>
      <c r="D26" s="84">
        <f>D24*D25</f>
        <v>0</v>
      </c>
      <c r="E26" s="90">
        <f>C26+D26</f>
        <v>0</v>
      </c>
      <c r="P26" s="78"/>
      <c r="Q26" s="79"/>
      <c r="R26" s="79"/>
    </row>
    <row r="27" spans="2:20">
      <c r="B27" s="84"/>
      <c r="C27" s="84"/>
      <c r="D27" s="84"/>
      <c r="P27" s="78"/>
    </row>
    <row r="28" spans="2:20">
      <c r="B28" s="84"/>
      <c r="C28" s="84"/>
      <c r="D28" s="84"/>
      <c r="Q28" s="73" t="s">
        <v>17</v>
      </c>
      <c r="S28" s="307" t="s">
        <v>314</v>
      </c>
      <c r="T28" s="307"/>
    </row>
    <row r="29" spans="2:20">
      <c r="B29" s="84"/>
      <c r="C29" s="84"/>
      <c r="D29" s="84"/>
      <c r="P29" s="73" t="s">
        <v>319</v>
      </c>
      <c r="Q29" s="78" t="str">
        <f>Q18</f>
        <v>VEH.CAT.01</v>
      </c>
      <c r="R29" s="78" t="str">
        <f>R18</f>
        <v>VEH.CAT.02&amp;03</v>
      </c>
    </row>
    <row r="30" spans="2:20">
      <c r="B30" s="84"/>
      <c r="C30" s="84"/>
      <c r="D30" s="84"/>
      <c r="P30" s="78">
        <v>1</v>
      </c>
      <c r="Q30" s="79">
        <v>326338</v>
      </c>
      <c r="R30" s="79">
        <v>408012</v>
      </c>
      <c r="S30" s="73">
        <v>0</v>
      </c>
      <c r="T30" s="73">
        <v>0</v>
      </c>
    </row>
    <row r="31" spans="2:20">
      <c r="B31" s="84"/>
      <c r="C31" s="84"/>
      <c r="D31" s="84"/>
      <c r="P31" s="78">
        <v>2</v>
      </c>
      <c r="Q31" s="79">
        <v>489581</v>
      </c>
      <c r="R31" s="79">
        <v>612018</v>
      </c>
    </row>
    <row r="32" spans="2:20">
      <c r="B32" s="84"/>
      <c r="C32" s="84"/>
      <c r="D32" s="84"/>
      <c r="P32" s="78">
        <v>3</v>
      </c>
      <c r="Q32" s="79">
        <v>652775</v>
      </c>
      <c r="R32" s="79">
        <v>816024</v>
      </c>
    </row>
    <row r="33" spans="2:18">
      <c r="B33" s="84"/>
      <c r="C33" s="84"/>
      <c r="D33" s="84"/>
      <c r="P33" s="78">
        <v>4</v>
      </c>
      <c r="Q33" s="79">
        <v>815969</v>
      </c>
      <c r="R33" s="79">
        <v>1020030</v>
      </c>
    </row>
    <row r="34" spans="2:18">
      <c r="P34" s="78">
        <v>5</v>
      </c>
      <c r="Q34" s="79">
        <v>979163</v>
      </c>
      <c r="R34" s="79">
        <v>1223706</v>
      </c>
    </row>
    <row r="35" spans="2:18">
      <c r="P35" s="78" t="s">
        <v>323</v>
      </c>
      <c r="Q35" s="79">
        <f>IF(I4&gt;5,Q34+163194*(I4-5),163194)</f>
        <v>163194</v>
      </c>
      <c r="R35" s="79">
        <f>IF(I4&gt;5,R34+204006*(I4-5),204006)</f>
        <v>204006</v>
      </c>
    </row>
    <row r="36" spans="2:18">
      <c r="P36" s="78"/>
      <c r="Q36" s="79"/>
      <c r="R36" s="79"/>
    </row>
    <row r="37" spans="2:18">
      <c r="P37" s="78"/>
      <c r="Q37" s="79"/>
      <c r="R37" s="79"/>
    </row>
    <row r="38" spans="2:18">
      <c r="P38" s="78"/>
    </row>
  </sheetData>
  <sheetProtection password="D373" sheet="1" objects="1" scenarios="1"/>
  <mergeCells count="7">
    <mergeCell ref="S28:T28"/>
    <mergeCell ref="S5:T5"/>
    <mergeCell ref="K6:M6"/>
    <mergeCell ref="D17:D18"/>
    <mergeCell ref="E17:F18"/>
    <mergeCell ref="S17:T17"/>
    <mergeCell ref="E20:F20"/>
  </mergeCells>
  <dataValidations count="2">
    <dataValidation type="list" allowBlank="1" showInputMessage="1" showErrorMessage="1" sqref="C4">
      <formula1>$Q$1:$S$1</formula1>
    </dataValidation>
    <dataValidation type="list" allowBlank="1" showInputMessage="1" showErrorMessage="1" sqref="G4">
      <formula1>$M$2:$N$2</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Y155"/>
  <sheetViews>
    <sheetView topLeftCell="AV1" workbookViewId="0">
      <selection sqref="A1:AU1048576"/>
    </sheetView>
  </sheetViews>
  <sheetFormatPr defaultColWidth="9.140625" defaultRowHeight="15"/>
  <cols>
    <col min="1" max="1" width="12.140625" hidden="1" customWidth="1"/>
    <col min="2" max="2" width="16.7109375" hidden="1" customWidth="1"/>
    <col min="3" max="3" width="16.85546875" hidden="1" customWidth="1"/>
    <col min="4" max="4" width="22.42578125" hidden="1" customWidth="1"/>
    <col min="5" max="5" width="20" hidden="1" customWidth="1"/>
    <col min="6" max="6" width="16.28515625" hidden="1" customWidth="1"/>
    <col min="7" max="7" width="0" hidden="1" customWidth="1"/>
    <col min="8" max="8" width="6.7109375" hidden="1" customWidth="1"/>
    <col min="9" max="9" width="16.42578125" hidden="1" customWidth="1"/>
    <col min="10" max="10" width="16.85546875" hidden="1" customWidth="1"/>
    <col min="11" max="11" width="11" hidden="1" customWidth="1"/>
    <col min="12" max="14" width="0" hidden="1" customWidth="1"/>
    <col min="15" max="15" width="16.28515625" hidden="1" customWidth="1"/>
    <col min="16" max="17" width="0" hidden="1" customWidth="1"/>
    <col min="18" max="18" width="11.85546875" hidden="1" customWidth="1"/>
    <col min="19" max="20" width="16.85546875" hidden="1" customWidth="1"/>
    <col min="21" max="22" width="0" hidden="1" customWidth="1"/>
    <col min="23" max="24" width="16.85546875" hidden="1" customWidth="1"/>
    <col min="25" max="25" width="20" hidden="1" customWidth="1"/>
    <col min="26" max="47" width="0" hidden="1" customWidth="1"/>
  </cols>
  <sheetData>
    <row r="1" spans="1:25" s="73" customFormat="1" ht="15.75" thickBot="1">
      <c r="S1" s="73" t="s">
        <v>15</v>
      </c>
      <c r="T1" s="73" t="s">
        <v>16</v>
      </c>
      <c r="U1" s="73" t="s">
        <v>17</v>
      </c>
    </row>
    <row r="2" spans="1:25" s="73" customFormat="1" ht="15.75" thickBot="1">
      <c r="B2" s="310" t="str">
        <f>S5</f>
        <v>VEHICULE AVEC DOUBLE COMMANDE</v>
      </c>
      <c r="C2" s="311"/>
      <c r="D2" s="312"/>
      <c r="G2" s="73" t="s">
        <v>0</v>
      </c>
      <c r="H2" s="73" t="s">
        <v>1</v>
      </c>
      <c r="I2" s="73" t="s">
        <v>20</v>
      </c>
      <c r="J2" s="73" t="s">
        <v>2</v>
      </c>
      <c r="K2" s="73" t="s">
        <v>24</v>
      </c>
      <c r="L2" s="73" t="s">
        <v>25</v>
      </c>
    </row>
    <row r="3" spans="1:25" s="73" customFormat="1">
      <c r="A3" s="94"/>
      <c r="B3" s="95"/>
      <c r="C3" s="96" t="s">
        <v>21</v>
      </c>
      <c r="D3" s="95" t="s">
        <v>22</v>
      </c>
      <c r="E3" s="94" t="s">
        <v>23</v>
      </c>
      <c r="F3" s="75"/>
    </row>
    <row r="4" spans="1:25" s="73" customFormat="1">
      <c r="A4" s="97" t="str">
        <f>A28</f>
        <v>ZONE C</v>
      </c>
      <c r="B4" s="97" t="str">
        <f>B28</f>
        <v>SANS REMORQUE</v>
      </c>
      <c r="C4" s="98">
        <f>C28</f>
        <v>19</v>
      </c>
      <c r="D4" s="97" t="str">
        <f>D28</f>
        <v>ESSENCE</v>
      </c>
      <c r="E4" s="98" t="str">
        <f>E28</f>
        <v>NO</v>
      </c>
      <c r="F4" s="76"/>
      <c r="G4" s="76" t="str">
        <f>'CAT 3'!G4</f>
        <v>VT</v>
      </c>
      <c r="R4" s="73" t="s">
        <v>15</v>
      </c>
    </row>
    <row r="5" spans="1:25" s="73" customFormat="1">
      <c r="S5" s="307" t="s">
        <v>327</v>
      </c>
      <c r="T5" s="307"/>
      <c r="U5" s="307"/>
      <c r="W5" s="307" t="s">
        <v>328</v>
      </c>
      <c r="X5" s="307"/>
      <c r="Y5" s="307"/>
    </row>
    <row r="6" spans="1:25" s="73" customFormat="1">
      <c r="A6" s="73" t="s">
        <v>0</v>
      </c>
      <c r="B6" s="73" t="s">
        <v>1</v>
      </c>
      <c r="C6" s="73" t="s">
        <v>3</v>
      </c>
      <c r="D6" s="73" t="s">
        <v>2</v>
      </c>
      <c r="E6" s="73" t="s">
        <v>23</v>
      </c>
      <c r="F6" s="77" t="s">
        <v>112</v>
      </c>
      <c r="J6" s="307" t="s">
        <v>18</v>
      </c>
      <c r="K6" s="307"/>
      <c r="L6" s="307"/>
      <c r="O6" s="77" t="s">
        <v>112</v>
      </c>
      <c r="Q6" s="73" t="s">
        <v>0</v>
      </c>
      <c r="R6" s="73" t="s">
        <v>1</v>
      </c>
      <c r="S6" s="73" t="s">
        <v>3</v>
      </c>
      <c r="T6" s="73" t="s">
        <v>2</v>
      </c>
      <c r="U6" s="73" t="s">
        <v>23</v>
      </c>
      <c r="W6" s="73" t="s">
        <v>3</v>
      </c>
      <c r="X6" s="73" t="s">
        <v>2</v>
      </c>
      <c r="Y6" s="73" t="s">
        <v>23</v>
      </c>
    </row>
    <row r="7" spans="1:25" s="73" customFormat="1">
      <c r="A7" s="73" t="s">
        <v>9</v>
      </c>
      <c r="B7" s="73" t="s">
        <v>9</v>
      </c>
      <c r="C7" s="79">
        <f>IF(A4="ZONE A",S7,IF(A4="ZONE B",S18,IF(A4="ZONE C",S29,0)))</f>
        <v>51414</v>
      </c>
      <c r="D7" s="79">
        <f>IF(A4="ZONE A",T7,IF(A4="ZONE B",T18,IF(A4="ZONE C",T29,0)))</f>
        <v>61697</v>
      </c>
      <c r="E7" s="79">
        <f>IF(A4="ZONE A",U7,IF(A4="ZONE B",U18,IF(A4="ZONE C",U29,0)))</f>
        <v>0</v>
      </c>
      <c r="F7" s="79">
        <f t="shared" ref="F7:F12" si="0">D7-C7</f>
        <v>10283</v>
      </c>
      <c r="G7" s="79">
        <f>IF(B4="SANS REMORQUE",1,0)</f>
        <v>1</v>
      </c>
      <c r="H7" s="79">
        <f>IF(B4="SANS REMORQUE",0,1)</f>
        <v>0</v>
      </c>
      <c r="I7" s="79">
        <f t="shared" ref="I7:I12" si="1">C7*G7+D7*H7</f>
        <v>51414</v>
      </c>
      <c r="J7" s="79">
        <f>IF(C4&gt;0,1,0)</f>
        <v>1</v>
      </c>
      <c r="K7" s="79">
        <f>IF(C4&lt;=2,1,0)</f>
        <v>0</v>
      </c>
      <c r="L7" s="79">
        <f t="shared" ref="L7:L12" si="2">J7*K7</f>
        <v>0</v>
      </c>
      <c r="M7" s="73">
        <f>L7*I7</f>
        <v>0</v>
      </c>
      <c r="N7" s="79">
        <f t="shared" ref="N7:N12" si="3">E7*L7</f>
        <v>0</v>
      </c>
      <c r="O7" s="79">
        <f>L7*F7</f>
        <v>0</v>
      </c>
      <c r="P7" s="79"/>
      <c r="Q7" s="73" t="s">
        <v>9</v>
      </c>
      <c r="R7" s="73" t="s">
        <v>9</v>
      </c>
      <c r="S7" s="79">
        <v>56088</v>
      </c>
      <c r="T7" s="79">
        <v>67306</v>
      </c>
      <c r="U7" s="79">
        <v>0</v>
      </c>
      <c r="W7" s="79">
        <v>67306</v>
      </c>
      <c r="X7" s="79">
        <v>80767</v>
      </c>
      <c r="Y7" s="79">
        <v>0</v>
      </c>
    </row>
    <row r="8" spans="1:25" s="73" customFormat="1">
      <c r="A8" s="73" t="s">
        <v>4</v>
      </c>
      <c r="B8" s="73" t="s">
        <v>10</v>
      </c>
      <c r="C8" s="79">
        <f>IF(A4="ZONE A",S8,IF(A4="ZONE B",S19,IF(A4="ZONE C",S30,0)))</f>
        <v>62466</v>
      </c>
      <c r="D8" s="79">
        <f>IF(A4="ZONE A",T8,IF(A4="ZONE B",T19,IF(A4="ZONE C",T30,0)))</f>
        <v>74960</v>
      </c>
      <c r="E8" s="79">
        <f>IF(A4="ZONE A",U8,IF(A4="ZONE B",U19,IF(A4="ZONE C",U30,0)))</f>
        <v>0</v>
      </c>
      <c r="F8" s="79">
        <f t="shared" si="0"/>
        <v>12494</v>
      </c>
      <c r="G8" s="79">
        <f>G7</f>
        <v>1</v>
      </c>
      <c r="H8" s="79">
        <f>H7</f>
        <v>0</v>
      </c>
      <c r="I8" s="79">
        <f t="shared" si="1"/>
        <v>62466</v>
      </c>
      <c r="J8" s="79">
        <f>IF(C4&gt;2,1,0)</f>
        <v>1</v>
      </c>
      <c r="K8" s="79">
        <f>IF(C4&lt;7,1,0)</f>
        <v>0</v>
      </c>
      <c r="L8" s="79">
        <f t="shared" si="2"/>
        <v>0</v>
      </c>
      <c r="M8" s="73">
        <f t="shared" ref="M8:M19" si="4">L8*I8</f>
        <v>0</v>
      </c>
      <c r="N8" s="79">
        <f t="shared" si="3"/>
        <v>0</v>
      </c>
      <c r="O8" s="79">
        <f t="shared" ref="O8:O19" si="5">L8*F8</f>
        <v>0</v>
      </c>
      <c r="P8" s="79"/>
      <c r="Q8" s="73" t="s">
        <v>4</v>
      </c>
      <c r="R8" s="73" t="s">
        <v>10</v>
      </c>
      <c r="S8" s="79">
        <v>68144</v>
      </c>
      <c r="T8" s="79">
        <v>81774</v>
      </c>
      <c r="U8" s="79">
        <v>0</v>
      </c>
      <c r="W8" s="79">
        <v>81774</v>
      </c>
      <c r="X8" s="79">
        <v>98129</v>
      </c>
      <c r="Y8" s="79">
        <v>0</v>
      </c>
    </row>
    <row r="9" spans="1:25" s="73" customFormat="1">
      <c r="A9" s="73" t="s">
        <v>5</v>
      </c>
      <c r="B9" s="73" t="s">
        <v>11</v>
      </c>
      <c r="C9" s="79">
        <f>IF(A4="ZONE A",S9,IF(A4="ZONE B",S20,IF(A4="ZONE C",S31,0)))</f>
        <v>69413</v>
      </c>
      <c r="D9" s="79">
        <f>IF(A4="ZONE A",T9,IF(A4="ZONE B",T20,IF(A4="ZONE C",T31,0)))</f>
        <v>83295</v>
      </c>
      <c r="E9" s="79">
        <f>IF(A4="ZONE A",U9,IF(A4="ZONE B",U20,IF(A4="ZONE C",U31,0)))</f>
        <v>0</v>
      </c>
      <c r="F9" s="79">
        <f t="shared" si="0"/>
        <v>13882</v>
      </c>
      <c r="G9" s="79">
        <f t="shared" ref="G9:H12" si="6">G8</f>
        <v>1</v>
      </c>
      <c r="H9" s="79">
        <f t="shared" si="6"/>
        <v>0</v>
      </c>
      <c r="I9" s="79">
        <f t="shared" si="1"/>
        <v>69413</v>
      </c>
      <c r="J9" s="79">
        <f>IF(C4&gt;6,1,0)</f>
        <v>1</v>
      </c>
      <c r="K9" s="79">
        <f>IF(C4&lt;11,1,0)</f>
        <v>0</v>
      </c>
      <c r="L9" s="79">
        <f t="shared" si="2"/>
        <v>0</v>
      </c>
      <c r="M9" s="73">
        <f t="shared" si="4"/>
        <v>0</v>
      </c>
      <c r="N9" s="79">
        <f t="shared" si="3"/>
        <v>0</v>
      </c>
      <c r="O9" s="79">
        <f t="shared" si="5"/>
        <v>0</v>
      </c>
      <c r="P9" s="79"/>
      <c r="Q9" s="73" t="s">
        <v>5</v>
      </c>
      <c r="R9" s="73" t="s">
        <v>11</v>
      </c>
      <c r="S9" s="79">
        <v>75724</v>
      </c>
      <c r="T9" s="79">
        <v>90868</v>
      </c>
      <c r="U9" s="79">
        <v>0</v>
      </c>
      <c r="W9" s="79">
        <v>90868</v>
      </c>
      <c r="X9" s="79">
        <v>109042</v>
      </c>
      <c r="Y9" s="79">
        <v>0</v>
      </c>
    </row>
    <row r="10" spans="1:25" s="73" customFormat="1">
      <c r="A10" s="73" t="s">
        <v>6</v>
      </c>
      <c r="B10" s="73" t="s">
        <v>12</v>
      </c>
      <c r="C10" s="79">
        <f>IF(A4="ZONE A",S10,IF(A4="ZONE B",S21,IF(A4="ZONE C",S32,0)))</f>
        <v>90586</v>
      </c>
      <c r="D10" s="79">
        <f>IF(A4="ZONE A",T10,IF(A4="ZONE B",T21,IF(A4="ZONE C",T32,0)))</f>
        <v>108704</v>
      </c>
      <c r="E10" s="79">
        <f>IF(A4="ZONE A",U10,IF(A4="ZONE B",U21,IF(A4="ZONE C",U32,0)))</f>
        <v>0</v>
      </c>
      <c r="F10" s="79">
        <f t="shared" si="0"/>
        <v>18118</v>
      </c>
      <c r="G10" s="79">
        <f t="shared" si="6"/>
        <v>1</v>
      </c>
      <c r="H10" s="79">
        <f t="shared" si="6"/>
        <v>0</v>
      </c>
      <c r="I10" s="79">
        <f t="shared" si="1"/>
        <v>90586</v>
      </c>
      <c r="J10" s="79">
        <f>IF(C4&gt;10,1,0)</f>
        <v>1</v>
      </c>
      <c r="K10" s="79">
        <f>IF(C4&lt;15,1,0)</f>
        <v>0</v>
      </c>
      <c r="L10" s="79">
        <f t="shared" si="2"/>
        <v>0</v>
      </c>
      <c r="M10" s="73">
        <f t="shared" si="4"/>
        <v>0</v>
      </c>
      <c r="N10" s="79">
        <f t="shared" si="3"/>
        <v>0</v>
      </c>
      <c r="O10" s="79">
        <f t="shared" si="5"/>
        <v>0</v>
      </c>
      <c r="P10" s="79"/>
      <c r="Q10" s="73" t="s">
        <v>6</v>
      </c>
      <c r="R10" s="73" t="s">
        <v>12</v>
      </c>
      <c r="S10" s="79">
        <v>98821</v>
      </c>
      <c r="T10" s="79">
        <v>118586</v>
      </c>
      <c r="U10" s="79">
        <v>0</v>
      </c>
      <c r="W10" s="79">
        <v>118586</v>
      </c>
      <c r="X10" s="79">
        <v>142304</v>
      </c>
      <c r="Y10" s="79">
        <v>0</v>
      </c>
    </row>
    <row r="11" spans="1:25" s="73" customFormat="1">
      <c r="A11" s="73" t="s">
        <v>7</v>
      </c>
      <c r="B11" s="73" t="s">
        <v>13</v>
      </c>
      <c r="C11" s="79">
        <f>IF(A4="ZONE A",S11,IF(A4="ZONE B",S22,IF(A4="ZONE C",S33,0)))</f>
        <v>115332</v>
      </c>
      <c r="D11" s="79">
        <f>IF(A4="ZONE A",T11,IF(A4="ZONE B",T22,IF(A4="ZONE C",T33,0)))</f>
        <v>138399</v>
      </c>
      <c r="E11" s="79">
        <f>IF(A4="ZONE A",U11,IF(A4="ZONE B",U22,IF(A4="ZONE C",U33,0)))</f>
        <v>0</v>
      </c>
      <c r="F11" s="79">
        <f t="shared" si="0"/>
        <v>23067</v>
      </c>
      <c r="G11" s="79">
        <f t="shared" si="6"/>
        <v>1</v>
      </c>
      <c r="H11" s="79">
        <f t="shared" si="6"/>
        <v>0</v>
      </c>
      <c r="I11" s="79">
        <f t="shared" si="1"/>
        <v>115332</v>
      </c>
      <c r="J11" s="79">
        <f>IF(C4&gt;14,1,0)</f>
        <v>1</v>
      </c>
      <c r="K11" s="79">
        <f>IF(C4&lt;24,1,0)</f>
        <v>1</v>
      </c>
      <c r="L11" s="79">
        <f t="shared" si="2"/>
        <v>1</v>
      </c>
      <c r="M11" s="73">
        <f t="shared" si="4"/>
        <v>115332</v>
      </c>
      <c r="N11" s="79">
        <f t="shared" si="3"/>
        <v>0</v>
      </c>
      <c r="O11" s="79">
        <f t="shared" si="5"/>
        <v>23067</v>
      </c>
      <c r="P11" s="79"/>
      <c r="Q11" s="73" t="s">
        <v>38</v>
      </c>
      <c r="R11" s="73" t="s">
        <v>13</v>
      </c>
      <c r="S11" s="79">
        <v>125816</v>
      </c>
      <c r="T11" s="79">
        <v>150980</v>
      </c>
      <c r="U11" s="79">
        <v>0</v>
      </c>
      <c r="W11" s="79">
        <v>150980</v>
      </c>
      <c r="X11" s="79">
        <v>181176</v>
      </c>
      <c r="Y11" s="79">
        <v>0</v>
      </c>
    </row>
    <row r="12" spans="1:25" s="73" customFormat="1">
      <c r="A12" s="73" t="s">
        <v>8</v>
      </c>
      <c r="B12" s="73" t="s">
        <v>14</v>
      </c>
      <c r="C12" s="79">
        <f>IF(A4="ZONE A",S12,IF(A4="ZONE B",S23,IF(A4="ZONE C",S34,0)))</f>
        <v>135995</v>
      </c>
      <c r="D12" s="79">
        <f>IF(A4="ZONE A",T12,IF(A4="ZONE B",T23,IF(A4="ZONE C",T34,0)))</f>
        <v>163195</v>
      </c>
      <c r="E12" s="79">
        <f>IF(A4="ZONE A",U12,IF(A4="ZONE B",U23,IF(A4="ZONE C",U34,0)))</f>
        <v>0</v>
      </c>
      <c r="F12" s="79">
        <f t="shared" si="0"/>
        <v>27200</v>
      </c>
      <c r="G12" s="79">
        <f t="shared" si="6"/>
        <v>1</v>
      </c>
      <c r="H12" s="79">
        <f t="shared" si="6"/>
        <v>0</v>
      </c>
      <c r="I12" s="79">
        <f t="shared" si="1"/>
        <v>135995</v>
      </c>
      <c r="J12" s="79">
        <f>IF(C4&gt;23,1,0)</f>
        <v>0</v>
      </c>
      <c r="K12" s="79">
        <f>IF(C4&lt;9999999999,1,0)</f>
        <v>1</v>
      </c>
      <c r="L12" s="79">
        <f t="shared" si="2"/>
        <v>0</v>
      </c>
      <c r="M12" s="73">
        <f t="shared" si="4"/>
        <v>0</v>
      </c>
      <c r="N12" s="79">
        <f t="shared" si="3"/>
        <v>0</v>
      </c>
      <c r="O12" s="79">
        <f t="shared" si="5"/>
        <v>0</v>
      </c>
      <c r="P12" s="79"/>
      <c r="Q12" s="73" t="s">
        <v>8</v>
      </c>
      <c r="R12" s="73" t="s">
        <v>14</v>
      </c>
      <c r="S12" s="79">
        <v>148358</v>
      </c>
      <c r="T12" s="79">
        <v>178031</v>
      </c>
      <c r="U12" s="79">
        <v>0</v>
      </c>
      <c r="W12" s="79">
        <v>178031</v>
      </c>
      <c r="X12" s="79">
        <v>213637</v>
      </c>
      <c r="Y12" s="79">
        <v>0</v>
      </c>
    </row>
    <row r="13" spans="1:25" s="73" customFormat="1">
      <c r="J13" s="307" t="s">
        <v>19</v>
      </c>
      <c r="K13" s="307"/>
      <c r="L13" s="307"/>
      <c r="M13" s="73">
        <f>SUM(M7:M12)</f>
        <v>115332</v>
      </c>
      <c r="N13" s="73">
        <f>SUM(N7:N12)</f>
        <v>0</v>
      </c>
      <c r="O13" s="79">
        <f>SUM(O7:O12)</f>
        <v>23067</v>
      </c>
    </row>
    <row r="14" spans="1:25" s="73" customFormat="1">
      <c r="E14" s="79">
        <f t="shared" ref="E14:F19" si="7">E7</f>
        <v>0</v>
      </c>
      <c r="F14" s="79">
        <f>F7</f>
        <v>10283</v>
      </c>
      <c r="G14" s="79">
        <f>IF(B4="SANS REMORQUE",1,0)</f>
        <v>1</v>
      </c>
      <c r="H14" s="79">
        <f>IF(B4="SANS REMORQUE",0,1)</f>
        <v>0</v>
      </c>
      <c r="I14" s="79">
        <f t="shared" ref="I14:I19" si="8">C7*G14+D7*H14</f>
        <v>51414</v>
      </c>
      <c r="J14" s="79">
        <f>IF(C4&gt;0,1,0)</f>
        <v>1</v>
      </c>
      <c r="K14" s="79">
        <f>IF(C4&lt;=1,1,0)</f>
        <v>0</v>
      </c>
      <c r="L14" s="79">
        <f t="shared" ref="L14:L19" si="9">J14*K14</f>
        <v>0</v>
      </c>
      <c r="M14" s="73">
        <f t="shared" si="4"/>
        <v>0</v>
      </c>
      <c r="N14" s="79">
        <f t="shared" ref="N14:N19" si="10">E14*L14</f>
        <v>0</v>
      </c>
      <c r="O14" s="79">
        <f t="shared" si="5"/>
        <v>0</v>
      </c>
    </row>
    <row r="15" spans="1:25" s="73" customFormat="1">
      <c r="E15" s="79">
        <f t="shared" si="7"/>
        <v>0</v>
      </c>
      <c r="F15" s="79">
        <f t="shared" si="7"/>
        <v>12494</v>
      </c>
      <c r="G15" s="79">
        <f>G14</f>
        <v>1</v>
      </c>
      <c r="H15" s="79">
        <f>H14</f>
        <v>0</v>
      </c>
      <c r="I15" s="79">
        <f t="shared" si="8"/>
        <v>62466</v>
      </c>
      <c r="J15" s="79">
        <f>IF(C4&gt;1,1,0)</f>
        <v>1</v>
      </c>
      <c r="K15" s="79">
        <f>IF(C4&lt;5,1,0)</f>
        <v>0</v>
      </c>
      <c r="L15" s="79">
        <f t="shared" si="9"/>
        <v>0</v>
      </c>
      <c r="M15" s="73">
        <f t="shared" si="4"/>
        <v>0</v>
      </c>
      <c r="N15" s="79">
        <f t="shared" si="10"/>
        <v>0</v>
      </c>
      <c r="O15" s="79">
        <f t="shared" si="5"/>
        <v>0</v>
      </c>
      <c r="R15" s="73" t="s">
        <v>16</v>
      </c>
    </row>
    <row r="16" spans="1:25" s="73" customFormat="1">
      <c r="A16" s="78" t="s">
        <v>300</v>
      </c>
      <c r="B16" s="307" t="s">
        <v>26</v>
      </c>
      <c r="C16" s="307"/>
      <c r="D16" s="99" t="s">
        <v>27</v>
      </c>
      <c r="E16" s="79">
        <f t="shared" si="7"/>
        <v>0</v>
      </c>
      <c r="F16" s="79">
        <f t="shared" si="7"/>
        <v>13882</v>
      </c>
      <c r="G16" s="79">
        <f t="shared" ref="G16:H19" si="11">G15</f>
        <v>1</v>
      </c>
      <c r="H16" s="79">
        <f t="shared" si="11"/>
        <v>0</v>
      </c>
      <c r="I16" s="79">
        <f t="shared" si="8"/>
        <v>69413</v>
      </c>
      <c r="J16" s="79">
        <f>IF(C4&gt;4,1,0)</f>
        <v>1</v>
      </c>
      <c r="K16" s="79">
        <f>IF(C4&lt;8,1,0)</f>
        <v>0</v>
      </c>
      <c r="L16" s="79">
        <f t="shared" si="9"/>
        <v>0</v>
      </c>
      <c r="M16" s="73">
        <f t="shared" si="4"/>
        <v>0</v>
      </c>
      <c r="N16" s="79">
        <f t="shared" si="10"/>
        <v>0</v>
      </c>
      <c r="O16" s="79">
        <f>L16*F16</f>
        <v>0</v>
      </c>
      <c r="S16" s="307" t="str">
        <f>S5</f>
        <v>VEHICULE AVEC DOUBLE COMMANDE</v>
      </c>
      <c r="T16" s="307"/>
      <c r="U16" s="307"/>
      <c r="W16" s="307" t="str">
        <f>W5</f>
        <v>VEHICULE SANS  DOUBLE COMMANDE</v>
      </c>
      <c r="X16" s="307"/>
      <c r="Y16" s="307"/>
    </row>
    <row r="17" spans="1:25" s="73" customFormat="1">
      <c r="A17" s="308">
        <f>IF(D4="ESSENCE",O13,O20)</f>
        <v>23067</v>
      </c>
      <c r="B17" s="308">
        <f>IF(D4="ESSENCE",M13,M20)</f>
        <v>115332</v>
      </c>
      <c r="C17" s="308"/>
      <c r="D17" s="308">
        <f>IF(D4="ESSENCE",N13,N20)</f>
        <v>0</v>
      </c>
      <c r="E17" s="79">
        <f t="shared" si="7"/>
        <v>0</v>
      </c>
      <c r="F17" s="79">
        <f t="shared" si="7"/>
        <v>18118</v>
      </c>
      <c r="G17" s="79">
        <f t="shared" si="11"/>
        <v>1</v>
      </c>
      <c r="H17" s="79">
        <f t="shared" si="11"/>
        <v>0</v>
      </c>
      <c r="I17" s="79">
        <f t="shared" si="8"/>
        <v>90586</v>
      </c>
      <c r="J17" s="79">
        <f>IF(C4&gt;7,1,0)</f>
        <v>1</v>
      </c>
      <c r="K17" s="79">
        <f>IF(C4&lt;11,1,0)</f>
        <v>0</v>
      </c>
      <c r="L17" s="79">
        <f t="shared" si="9"/>
        <v>0</v>
      </c>
      <c r="M17" s="73">
        <f t="shared" si="4"/>
        <v>0</v>
      </c>
      <c r="N17" s="79">
        <f t="shared" si="10"/>
        <v>0</v>
      </c>
      <c r="O17" s="79">
        <f t="shared" si="5"/>
        <v>0</v>
      </c>
      <c r="Q17" s="73" t="s">
        <v>0</v>
      </c>
      <c r="R17" s="73" t="s">
        <v>1</v>
      </c>
      <c r="S17" s="73" t="str">
        <f>S6</f>
        <v xml:space="preserve">SANS REMORQUE </v>
      </c>
      <c r="T17" s="73" t="str">
        <f>T6</f>
        <v xml:space="preserve">AVEC REMORQUE </v>
      </c>
      <c r="U17" s="73" t="s">
        <v>23</v>
      </c>
      <c r="W17" s="73" t="str">
        <f>W6</f>
        <v xml:space="preserve">SANS REMORQUE </v>
      </c>
      <c r="X17" s="73" t="str">
        <f>X6</f>
        <v xml:space="preserve">AVEC REMORQUE </v>
      </c>
      <c r="Y17" s="73" t="s">
        <v>23</v>
      </c>
    </row>
    <row r="18" spans="1:25" s="73" customFormat="1">
      <c r="A18" s="308"/>
      <c r="B18" s="308"/>
      <c r="C18" s="308"/>
      <c r="D18" s="308"/>
      <c r="E18" s="79">
        <f t="shared" si="7"/>
        <v>0</v>
      </c>
      <c r="F18" s="79">
        <f t="shared" si="7"/>
        <v>23067</v>
      </c>
      <c r="G18" s="79">
        <f t="shared" si="11"/>
        <v>1</v>
      </c>
      <c r="H18" s="79">
        <f t="shared" si="11"/>
        <v>0</v>
      </c>
      <c r="I18" s="79">
        <f t="shared" si="8"/>
        <v>115332</v>
      </c>
      <c r="J18" s="79">
        <f>IF(C4&gt;10,1,0)</f>
        <v>1</v>
      </c>
      <c r="K18" s="79">
        <f>IF(C4&lt;17,1,0)</f>
        <v>0</v>
      </c>
      <c r="L18" s="79">
        <f t="shared" si="9"/>
        <v>0</v>
      </c>
      <c r="M18" s="73">
        <f t="shared" si="4"/>
        <v>0</v>
      </c>
      <c r="N18" s="79">
        <f t="shared" si="10"/>
        <v>0</v>
      </c>
      <c r="O18" s="79">
        <f t="shared" si="5"/>
        <v>0</v>
      </c>
      <c r="Q18" s="73" t="s">
        <v>9</v>
      </c>
      <c r="R18" s="73" t="s">
        <v>9</v>
      </c>
      <c r="S18" s="79">
        <v>53751</v>
      </c>
      <c r="T18" s="79">
        <v>64501</v>
      </c>
      <c r="U18" s="79">
        <v>0</v>
      </c>
      <c r="W18" s="79">
        <v>64501</v>
      </c>
      <c r="X18" s="79">
        <v>77402</v>
      </c>
      <c r="Y18" s="79">
        <v>0</v>
      </c>
    </row>
    <row r="19" spans="1:25" s="73" customFormat="1">
      <c r="A19" s="308"/>
      <c r="B19" s="308"/>
      <c r="C19" s="308"/>
      <c r="D19" s="308"/>
      <c r="E19" s="79">
        <f t="shared" si="7"/>
        <v>0</v>
      </c>
      <c r="F19" s="79">
        <f t="shared" si="7"/>
        <v>27200</v>
      </c>
      <c r="G19" s="79">
        <f t="shared" si="11"/>
        <v>1</v>
      </c>
      <c r="H19" s="79">
        <f t="shared" si="11"/>
        <v>0</v>
      </c>
      <c r="I19" s="79">
        <f t="shared" si="8"/>
        <v>135995</v>
      </c>
      <c r="J19" s="79">
        <f>IF(C4&gt;16,1,0)</f>
        <v>1</v>
      </c>
      <c r="K19" s="79">
        <f>IF(C4&lt;9999999999,1,0)</f>
        <v>1</v>
      </c>
      <c r="L19" s="79">
        <f t="shared" si="9"/>
        <v>1</v>
      </c>
      <c r="M19" s="73">
        <f t="shared" si="4"/>
        <v>135995</v>
      </c>
      <c r="N19" s="79">
        <f t="shared" si="10"/>
        <v>0</v>
      </c>
      <c r="O19" s="79">
        <f t="shared" si="5"/>
        <v>27200</v>
      </c>
      <c r="Q19" s="73" t="s">
        <v>4</v>
      </c>
      <c r="R19" s="73" t="s">
        <v>10</v>
      </c>
      <c r="S19" s="79">
        <v>65305</v>
      </c>
      <c r="T19" s="79">
        <v>78367</v>
      </c>
      <c r="U19" s="79">
        <v>0</v>
      </c>
      <c r="W19" s="79">
        <v>78367</v>
      </c>
      <c r="X19" s="79">
        <v>94040</v>
      </c>
      <c r="Y19" s="79">
        <v>0</v>
      </c>
    </row>
    <row r="20" spans="1:25" s="73" customFormat="1">
      <c r="B20" s="308">
        <f>(A25+C25+D25)</f>
        <v>115332</v>
      </c>
      <c r="C20" s="308"/>
      <c r="D20" s="308"/>
      <c r="E20" s="313">
        <f>IF(CONTRATS!E24="VEHICULE AVEC DOUBLE COMMANDE",1,0)</f>
        <v>0</v>
      </c>
      <c r="G20" s="308">
        <f>B20*E20</f>
        <v>0</v>
      </c>
      <c r="M20" s="73">
        <f>SUM(M14:M19)</f>
        <v>135995</v>
      </c>
      <c r="N20" s="73">
        <f>SUM(N14:N19)</f>
        <v>0</v>
      </c>
      <c r="O20" s="79">
        <f>SUM(O14:O19)</f>
        <v>27200</v>
      </c>
      <c r="Q20" s="73" t="s">
        <v>5</v>
      </c>
      <c r="R20" s="73" t="s">
        <v>11</v>
      </c>
      <c r="S20" s="79">
        <v>72568</v>
      </c>
      <c r="T20" s="79">
        <v>87081</v>
      </c>
      <c r="U20" s="79">
        <v>0</v>
      </c>
      <c r="W20" s="79">
        <v>87081</v>
      </c>
      <c r="X20" s="79">
        <v>104498</v>
      </c>
      <c r="Y20" s="79">
        <v>0</v>
      </c>
    </row>
    <row r="21" spans="1:25" s="73" customFormat="1">
      <c r="B21" s="308"/>
      <c r="C21" s="308"/>
      <c r="D21" s="308"/>
      <c r="E21" s="309"/>
      <c r="G21" s="308"/>
      <c r="Q21" s="73" t="s">
        <v>6</v>
      </c>
      <c r="R21" s="73" t="s">
        <v>12</v>
      </c>
      <c r="S21" s="79">
        <v>94704</v>
      </c>
      <c r="T21" s="79">
        <v>113645</v>
      </c>
      <c r="U21" s="79">
        <v>0</v>
      </c>
      <c r="W21" s="79">
        <v>113645</v>
      </c>
      <c r="X21" s="79">
        <v>136375</v>
      </c>
      <c r="Y21" s="79">
        <v>0</v>
      </c>
    </row>
    <row r="22" spans="1:25" s="73" customFormat="1">
      <c r="B22" s="308"/>
      <c r="C22" s="308"/>
      <c r="D22" s="308"/>
      <c r="E22" s="309"/>
      <c r="G22" s="308"/>
      <c r="Q22" s="73" t="s">
        <v>38</v>
      </c>
      <c r="R22" s="73" t="s">
        <v>13</v>
      </c>
      <c r="S22" s="79">
        <v>120574</v>
      </c>
      <c r="T22" s="79">
        <v>144690</v>
      </c>
      <c r="U22" s="79">
        <v>0</v>
      </c>
      <c r="W22" s="79">
        <v>144690</v>
      </c>
      <c r="X22" s="79">
        <v>173627</v>
      </c>
      <c r="Y22" s="79">
        <v>0</v>
      </c>
    </row>
    <row r="23" spans="1:25" s="73" customFormat="1">
      <c r="Q23" s="73" t="s">
        <v>8</v>
      </c>
      <c r="R23" s="73" t="s">
        <v>14</v>
      </c>
      <c r="S23" s="79">
        <v>142177</v>
      </c>
      <c r="T23" s="79">
        <v>170613</v>
      </c>
      <c r="U23" s="79">
        <v>0</v>
      </c>
      <c r="W23" s="79">
        <v>170613</v>
      </c>
      <c r="X23" s="79">
        <v>204736</v>
      </c>
      <c r="Y23" s="79">
        <v>0</v>
      </c>
    </row>
    <row r="24" spans="1:25" s="73" customFormat="1">
      <c r="A24" s="73">
        <f>IF(G4="SEMI-REMORQUE",1,0)</f>
        <v>0</v>
      </c>
      <c r="C24" s="73">
        <f>IF(G4="SEMI-REMORQUE",0,1)</f>
        <v>1</v>
      </c>
      <c r="D24" s="73">
        <f>IF(E4="YES",1,0)</f>
        <v>0</v>
      </c>
    </row>
    <row r="25" spans="1:25" s="73" customFormat="1" ht="15.75" thickBot="1">
      <c r="A25" s="79">
        <f>A17*A24</f>
        <v>0</v>
      </c>
      <c r="C25" s="73">
        <f>C24*B17</f>
        <v>115332</v>
      </c>
      <c r="D25" s="73">
        <f>D24*D17</f>
        <v>0</v>
      </c>
    </row>
    <row r="26" spans="1:25" s="73" customFormat="1" ht="15.75" thickBot="1">
      <c r="B26" s="310" t="str">
        <f>W27</f>
        <v>VEHICULE SANS  DOUBLE COMMANDE</v>
      </c>
      <c r="C26" s="311"/>
      <c r="D26" s="312"/>
      <c r="G26" s="73" t="s">
        <v>0</v>
      </c>
      <c r="H26" s="73" t="s">
        <v>1</v>
      </c>
      <c r="I26" s="73" t="s">
        <v>20</v>
      </c>
      <c r="J26" s="73" t="s">
        <v>2</v>
      </c>
      <c r="K26" s="73" t="s">
        <v>24</v>
      </c>
      <c r="L26" s="73" t="s">
        <v>25</v>
      </c>
      <c r="R26" s="73" t="s">
        <v>17</v>
      </c>
    </row>
    <row r="27" spans="1:25" s="73" customFormat="1">
      <c r="A27" s="94"/>
      <c r="B27" s="95"/>
      <c r="C27" s="96" t="s">
        <v>21</v>
      </c>
      <c r="D27" s="95" t="s">
        <v>22</v>
      </c>
      <c r="E27" s="94" t="s">
        <v>23</v>
      </c>
      <c r="S27" s="307" t="str">
        <f>S16</f>
        <v>VEHICULE AVEC DOUBLE COMMANDE</v>
      </c>
      <c r="T27" s="307"/>
      <c r="U27" s="307"/>
      <c r="W27" s="307" t="str">
        <f>W16</f>
        <v>VEHICULE SANS  DOUBLE COMMANDE</v>
      </c>
      <c r="X27" s="307"/>
      <c r="Y27" s="307"/>
    </row>
    <row r="28" spans="1:25" s="73" customFormat="1">
      <c r="A28" s="97" t="str">
        <f>'CAT 3'!A4</f>
        <v>ZONE C</v>
      </c>
      <c r="B28" s="97" t="str">
        <f>'CAT 3'!B4</f>
        <v>SANS REMORQUE</v>
      </c>
      <c r="C28" s="98">
        <f>'CAT 3'!C4</f>
        <v>19</v>
      </c>
      <c r="D28" s="97" t="str">
        <f>'CAT 3'!D4</f>
        <v>ESSENCE</v>
      </c>
      <c r="E28" s="98" t="str">
        <f>[1]CONTRATS!$B$21</f>
        <v>NO</v>
      </c>
      <c r="G28" s="73" t="str">
        <f>G4</f>
        <v>VT</v>
      </c>
      <c r="Q28" s="73" t="s">
        <v>0</v>
      </c>
      <c r="R28" s="73" t="s">
        <v>1</v>
      </c>
      <c r="S28" s="73" t="str">
        <f>S17</f>
        <v xml:space="preserve">SANS REMORQUE </v>
      </c>
      <c r="T28" s="73" t="str">
        <f>T17</f>
        <v xml:space="preserve">AVEC REMORQUE </v>
      </c>
      <c r="U28" s="73" t="s">
        <v>23</v>
      </c>
      <c r="W28" s="73" t="str">
        <f>W17</f>
        <v xml:space="preserve">SANS REMORQUE </v>
      </c>
      <c r="X28" s="73" t="str">
        <f>X17</f>
        <v xml:space="preserve">AVEC REMORQUE </v>
      </c>
      <c r="Y28" s="73" t="s">
        <v>23</v>
      </c>
    </row>
    <row r="29" spans="1:25" s="73" customFormat="1">
      <c r="Q29" s="73" t="s">
        <v>9</v>
      </c>
      <c r="R29" s="73" t="s">
        <v>9</v>
      </c>
      <c r="S29" s="79">
        <v>51414</v>
      </c>
      <c r="T29" s="79">
        <v>61697</v>
      </c>
      <c r="U29" s="79">
        <v>0</v>
      </c>
      <c r="W29" s="79">
        <v>61697</v>
      </c>
      <c r="X29" s="79">
        <v>74037</v>
      </c>
      <c r="Y29" s="79">
        <v>0</v>
      </c>
    </row>
    <row r="30" spans="1:25" s="73" customFormat="1">
      <c r="A30" s="73" t="s">
        <v>0</v>
      </c>
      <c r="B30" s="73" t="s">
        <v>1</v>
      </c>
      <c r="C30" s="73" t="s">
        <v>3</v>
      </c>
      <c r="D30" s="73" t="s">
        <v>2</v>
      </c>
      <c r="E30" s="73" t="s">
        <v>23</v>
      </c>
      <c r="F30" s="77" t="s">
        <v>112</v>
      </c>
      <c r="J30" s="307" t="s">
        <v>18</v>
      </c>
      <c r="K30" s="307"/>
      <c r="L30" s="307"/>
      <c r="O30" s="77" t="s">
        <v>112</v>
      </c>
      <c r="Q30" s="73" t="s">
        <v>4</v>
      </c>
      <c r="R30" s="73" t="s">
        <v>10</v>
      </c>
      <c r="S30" s="79">
        <v>62466</v>
      </c>
      <c r="T30" s="79">
        <v>74960</v>
      </c>
      <c r="U30" s="79">
        <v>0</v>
      </c>
      <c r="W30" s="79">
        <v>74960</v>
      </c>
      <c r="X30" s="79">
        <v>89951</v>
      </c>
      <c r="Y30" s="79">
        <v>0</v>
      </c>
    </row>
    <row r="31" spans="1:25" s="73" customFormat="1">
      <c r="A31" s="73" t="s">
        <v>9</v>
      </c>
      <c r="B31" s="73" t="s">
        <v>9</v>
      </c>
      <c r="C31" s="79">
        <f>IF(A28="ZONE A",W7,IF(A28="ZONE B",W18,IF(A28="ZONE C",W29,0)))</f>
        <v>61697</v>
      </c>
      <c r="D31" s="79">
        <f>IF(A28="ZONE A",X7,IF(A28="ZONE B",X18,IF(A28="ZONE C",X29,0)))</f>
        <v>74037</v>
      </c>
      <c r="E31" s="79">
        <f>IF(A28="ZONE A",U31,IF(A28="ZONE B",U42,IF(A28="ZONE C",U53,0)))</f>
        <v>0</v>
      </c>
      <c r="F31" s="79">
        <f t="shared" ref="F31:F36" si="12">D31-C31</f>
        <v>12340</v>
      </c>
      <c r="G31" s="79">
        <f>IF(B28="SANS REMORQUE",1,0)</f>
        <v>1</v>
      </c>
      <c r="H31" s="79">
        <f>IF(B28="SANS REMORQUE",0,1)</f>
        <v>0</v>
      </c>
      <c r="I31" s="79">
        <f t="shared" ref="I31:I36" si="13">C31*G31+D31*H31</f>
        <v>61697</v>
      </c>
      <c r="J31" s="79">
        <f>IF(C28&gt;0,1,0)</f>
        <v>1</v>
      </c>
      <c r="K31" s="79">
        <f>IF(C28&lt;=2,1,0)</f>
        <v>0</v>
      </c>
      <c r="L31" s="79">
        <f t="shared" ref="L31:L36" si="14">J31*K31</f>
        <v>0</v>
      </c>
      <c r="M31" s="73">
        <f t="shared" ref="M31:M36" si="15">L31*I31</f>
        <v>0</v>
      </c>
      <c r="N31" s="79">
        <f t="shared" ref="N31:N36" si="16">E31*L31</f>
        <v>0</v>
      </c>
      <c r="O31" s="79">
        <f>L31*F31</f>
        <v>0</v>
      </c>
      <c r="Q31" s="73" t="s">
        <v>5</v>
      </c>
      <c r="R31" s="73" t="s">
        <v>11</v>
      </c>
      <c r="S31" s="79">
        <v>69413</v>
      </c>
      <c r="T31" s="79">
        <v>83295</v>
      </c>
      <c r="U31" s="79">
        <v>0</v>
      </c>
      <c r="W31" s="79">
        <v>83295</v>
      </c>
      <c r="X31" s="79">
        <v>99955</v>
      </c>
      <c r="Y31" s="79">
        <v>0</v>
      </c>
    </row>
    <row r="32" spans="1:25" s="73" customFormat="1">
      <c r="A32" s="73" t="s">
        <v>4</v>
      </c>
      <c r="B32" s="73" t="s">
        <v>10</v>
      </c>
      <c r="C32" s="79">
        <f>IF(A28="ZONE A",W8,IF(A28="ZONE B",W19,IF(A28="ZONE C",W30,0)))</f>
        <v>74960</v>
      </c>
      <c r="D32" s="79">
        <f>IF(A28="ZONE A",X8,IF(A28="ZONE B",X19,IF(A28="ZONE C",X30,0)))</f>
        <v>89951</v>
      </c>
      <c r="E32" s="79">
        <f>IF(A28="ZONE A",U32,IF(A28="ZONE B",U43,IF(A28="ZONE C",U54,0)))</f>
        <v>0</v>
      </c>
      <c r="F32" s="79">
        <f t="shared" si="12"/>
        <v>14991</v>
      </c>
      <c r="G32" s="79">
        <f t="shared" ref="G32:H36" si="17">G31</f>
        <v>1</v>
      </c>
      <c r="H32" s="79">
        <f t="shared" si="17"/>
        <v>0</v>
      </c>
      <c r="I32" s="79">
        <f t="shared" si="13"/>
        <v>74960</v>
      </c>
      <c r="J32" s="79">
        <f>IF(C28&gt;2,1,0)</f>
        <v>1</v>
      </c>
      <c r="K32" s="79">
        <f>IF(C28&lt;7,1,0)</f>
        <v>0</v>
      </c>
      <c r="L32" s="79">
        <f t="shared" si="14"/>
        <v>0</v>
      </c>
      <c r="M32" s="73">
        <f t="shared" si="15"/>
        <v>0</v>
      </c>
      <c r="N32" s="79">
        <f t="shared" si="16"/>
        <v>0</v>
      </c>
      <c r="O32" s="79">
        <f t="shared" ref="O32:O43" si="18">L32*F32</f>
        <v>0</v>
      </c>
      <c r="Q32" s="73" t="s">
        <v>6</v>
      </c>
      <c r="R32" s="73" t="s">
        <v>12</v>
      </c>
      <c r="S32" s="79">
        <v>90586</v>
      </c>
      <c r="T32" s="79">
        <v>108704</v>
      </c>
      <c r="U32" s="79">
        <v>0</v>
      </c>
      <c r="W32" s="79">
        <v>108704</v>
      </c>
      <c r="X32" s="79">
        <v>130446</v>
      </c>
      <c r="Y32" s="79">
        <v>0</v>
      </c>
    </row>
    <row r="33" spans="1:25" s="73" customFormat="1">
      <c r="A33" s="73" t="s">
        <v>5</v>
      </c>
      <c r="B33" s="73" t="s">
        <v>11</v>
      </c>
      <c r="C33" s="79">
        <f>IF(A28="ZONE A",W9,IF(A28="ZONE B",W20,IF(A28="ZONE C",W31,0)))</f>
        <v>83295</v>
      </c>
      <c r="D33" s="79">
        <f>IF(A28="ZONE A",X9,IF(A28="ZONE B",X20,IF(A28="ZONE C",X31,0)))</f>
        <v>99955</v>
      </c>
      <c r="E33" s="79">
        <f>IF(A28="ZONE A",U33,IF(A28="ZONE B",U44,IF(A28="ZONE C",U55,0)))</f>
        <v>0</v>
      </c>
      <c r="F33" s="79">
        <f t="shared" si="12"/>
        <v>16660</v>
      </c>
      <c r="G33" s="79">
        <f t="shared" si="17"/>
        <v>1</v>
      </c>
      <c r="H33" s="79">
        <f t="shared" si="17"/>
        <v>0</v>
      </c>
      <c r="I33" s="79">
        <f t="shared" si="13"/>
        <v>83295</v>
      </c>
      <c r="J33" s="79">
        <f>IF(C28&gt;6,1,0)</f>
        <v>1</v>
      </c>
      <c r="K33" s="79">
        <f>IF(C28&lt;11,1,0)</f>
        <v>0</v>
      </c>
      <c r="L33" s="79">
        <f t="shared" si="14"/>
        <v>0</v>
      </c>
      <c r="M33" s="73">
        <f t="shared" si="15"/>
        <v>0</v>
      </c>
      <c r="N33" s="79">
        <f t="shared" si="16"/>
        <v>0</v>
      </c>
      <c r="O33" s="79">
        <f t="shared" si="18"/>
        <v>0</v>
      </c>
      <c r="Q33" s="73" t="s">
        <v>7</v>
      </c>
      <c r="R33" s="73" t="s">
        <v>13</v>
      </c>
      <c r="S33" s="79">
        <v>115332</v>
      </c>
      <c r="T33" s="79">
        <v>138399</v>
      </c>
      <c r="U33" s="79">
        <v>0</v>
      </c>
      <c r="W33" s="79">
        <v>138399</v>
      </c>
      <c r="X33" s="79">
        <v>166078</v>
      </c>
      <c r="Y33" s="79">
        <v>0</v>
      </c>
    </row>
    <row r="34" spans="1:25" s="73" customFormat="1">
      <c r="A34" s="73" t="s">
        <v>6</v>
      </c>
      <c r="B34" s="73" t="s">
        <v>12</v>
      </c>
      <c r="C34" s="79">
        <f>IF(A28="ZONE A",W10,IF(A28="ZONE B",W21,IF(A28="ZONE C",W32,0)))</f>
        <v>108704</v>
      </c>
      <c r="D34" s="79">
        <f>IF(A28="ZONE A",X10,IF(A28="ZONE B",X21,IF(A28="ZONE C",X32,0)))</f>
        <v>130446</v>
      </c>
      <c r="E34" s="79">
        <f>IF(A28="ZONE A",U34,IF(A28="ZONE B",U45,IF(A28="ZONE C",U56,0)))</f>
        <v>0</v>
      </c>
      <c r="F34" s="79">
        <f t="shared" si="12"/>
        <v>21742</v>
      </c>
      <c r="G34" s="79">
        <f t="shared" si="17"/>
        <v>1</v>
      </c>
      <c r="H34" s="79">
        <f t="shared" si="17"/>
        <v>0</v>
      </c>
      <c r="I34" s="79">
        <f t="shared" si="13"/>
        <v>108704</v>
      </c>
      <c r="J34" s="79">
        <f>IF(C28&gt;10,1,0)</f>
        <v>1</v>
      </c>
      <c r="K34" s="79">
        <f>IF(C28&lt;15,1,0)</f>
        <v>0</v>
      </c>
      <c r="L34" s="79">
        <f t="shared" si="14"/>
        <v>0</v>
      </c>
      <c r="M34" s="73">
        <f t="shared" si="15"/>
        <v>0</v>
      </c>
      <c r="N34" s="79">
        <f t="shared" si="16"/>
        <v>0</v>
      </c>
      <c r="O34" s="79">
        <f t="shared" si="18"/>
        <v>0</v>
      </c>
      <c r="Q34" s="73" t="s">
        <v>8</v>
      </c>
      <c r="R34" s="73" t="s">
        <v>14</v>
      </c>
      <c r="S34" s="79">
        <v>135995</v>
      </c>
      <c r="T34" s="79">
        <v>163195</v>
      </c>
      <c r="U34" s="79">
        <v>0</v>
      </c>
      <c r="W34" s="79">
        <v>163195</v>
      </c>
      <c r="X34" s="79">
        <v>195834</v>
      </c>
      <c r="Y34" s="79">
        <v>0</v>
      </c>
    </row>
    <row r="35" spans="1:25" s="73" customFormat="1">
      <c r="A35" s="73" t="s">
        <v>7</v>
      </c>
      <c r="B35" s="73" t="s">
        <v>13</v>
      </c>
      <c r="C35" s="79">
        <f>IF(A28="ZONE A",W11,IF(A28="ZONE B",W22,IF(A28="ZONE C",W33,0)))</f>
        <v>138399</v>
      </c>
      <c r="D35" s="79">
        <f>IF(A28="ZONE A",X11,IF(A28="ZONE B",X22,IF(A28="ZONE C",X33,0)))</f>
        <v>166078</v>
      </c>
      <c r="E35" s="79">
        <f>IF(A28="ZONE A",U35,IF(A28="ZONE B",U46,IF(A28="ZONE C",U57,0)))</f>
        <v>0</v>
      </c>
      <c r="F35" s="79">
        <f t="shared" si="12"/>
        <v>27679</v>
      </c>
      <c r="G35" s="79">
        <f t="shared" si="17"/>
        <v>1</v>
      </c>
      <c r="H35" s="79">
        <f t="shared" si="17"/>
        <v>0</v>
      </c>
      <c r="I35" s="79">
        <f t="shared" si="13"/>
        <v>138399</v>
      </c>
      <c r="J35" s="79">
        <f>IF(C28&gt;14,1,0)</f>
        <v>1</v>
      </c>
      <c r="K35" s="79">
        <f>IF(C28&lt;24,1,0)</f>
        <v>1</v>
      </c>
      <c r="L35" s="79">
        <f t="shared" si="14"/>
        <v>1</v>
      </c>
      <c r="M35" s="73">
        <f t="shared" si="15"/>
        <v>138399</v>
      </c>
      <c r="N35" s="79">
        <f t="shared" si="16"/>
        <v>0</v>
      </c>
      <c r="O35" s="79">
        <f t="shared" si="18"/>
        <v>27679</v>
      </c>
    </row>
    <row r="36" spans="1:25" s="73" customFormat="1">
      <c r="A36" s="73" t="s">
        <v>8</v>
      </c>
      <c r="B36" s="73" t="s">
        <v>14</v>
      </c>
      <c r="C36" s="79">
        <f>IF(A28="ZONE A",W12,IF(A28="ZONE B",W23,IF(A28="ZONE C",W34,0)))</f>
        <v>163195</v>
      </c>
      <c r="D36" s="79">
        <f>IF(A28="ZONE A",X12,IF(A28="ZONE B",X23,IF(A28="ZONE C",X34,0)))</f>
        <v>195834</v>
      </c>
      <c r="E36" s="79">
        <f>IF(A28="ZONE A",U36,IF(A28="ZONE B",U47,IF(A28="ZONE C",U58,0)))</f>
        <v>0</v>
      </c>
      <c r="F36" s="79">
        <f t="shared" si="12"/>
        <v>32639</v>
      </c>
      <c r="G36" s="79">
        <f t="shared" si="17"/>
        <v>1</v>
      </c>
      <c r="H36" s="79">
        <f t="shared" si="17"/>
        <v>0</v>
      </c>
      <c r="I36" s="79">
        <f t="shared" si="13"/>
        <v>163195</v>
      </c>
      <c r="J36" s="79">
        <f>IF(C28&gt;23,1,0)</f>
        <v>0</v>
      </c>
      <c r="K36" s="79">
        <f>IF(C28&lt;9999999999,1,0)</f>
        <v>1</v>
      </c>
      <c r="L36" s="79">
        <f t="shared" si="14"/>
        <v>0</v>
      </c>
      <c r="M36" s="73">
        <f t="shared" si="15"/>
        <v>0</v>
      </c>
      <c r="N36" s="79">
        <f t="shared" si="16"/>
        <v>0</v>
      </c>
      <c r="O36" s="79">
        <f t="shared" si="18"/>
        <v>0</v>
      </c>
    </row>
    <row r="37" spans="1:25" s="73" customFormat="1">
      <c r="J37" s="307" t="s">
        <v>19</v>
      </c>
      <c r="K37" s="307"/>
      <c r="L37" s="307"/>
      <c r="M37" s="73">
        <f>SUM(M31:M36)</f>
        <v>138399</v>
      </c>
      <c r="N37" s="73">
        <f>SUM(N31:N36)</f>
        <v>0</v>
      </c>
      <c r="O37" s="79">
        <f>SUM(O31:O36)</f>
        <v>27679</v>
      </c>
    </row>
    <row r="38" spans="1:25" s="73" customFormat="1">
      <c r="E38" s="79">
        <f t="shared" ref="E38:F43" si="19">E31</f>
        <v>0</v>
      </c>
      <c r="F38" s="79">
        <f>F31</f>
        <v>12340</v>
      </c>
      <c r="G38" s="79">
        <f>IF(B28="SANS REMORQUE",1,0)</f>
        <v>1</v>
      </c>
      <c r="H38" s="79">
        <f>IF(B28="SANS REMORQUE",0,1)</f>
        <v>0</v>
      </c>
      <c r="I38" s="79">
        <f t="shared" ref="I38:I43" si="20">C31*G38+D31*H38</f>
        <v>61697</v>
      </c>
      <c r="J38" s="79">
        <f>IF(C28&gt;0,1,0)</f>
        <v>1</v>
      </c>
      <c r="K38" s="79">
        <f>IF(C28&lt;=1,1,0)</f>
        <v>0</v>
      </c>
      <c r="L38" s="79">
        <f t="shared" ref="L38:L43" si="21">J38*K38</f>
        <v>0</v>
      </c>
      <c r="M38" s="73">
        <f t="shared" ref="M38:M43" si="22">L38*I38</f>
        <v>0</v>
      </c>
      <c r="N38" s="79">
        <f t="shared" ref="N38:N43" si="23">E38*L38</f>
        <v>0</v>
      </c>
      <c r="O38" s="79">
        <f t="shared" si="18"/>
        <v>0</v>
      </c>
    </row>
    <row r="39" spans="1:25" s="73" customFormat="1">
      <c r="E39" s="79">
        <f t="shared" si="19"/>
        <v>0</v>
      </c>
      <c r="F39" s="79">
        <f t="shared" si="19"/>
        <v>14991</v>
      </c>
      <c r="G39" s="79">
        <f t="shared" ref="G39:H43" si="24">G38</f>
        <v>1</v>
      </c>
      <c r="H39" s="79">
        <f t="shared" si="24"/>
        <v>0</v>
      </c>
      <c r="I39" s="79">
        <f t="shared" si="20"/>
        <v>74960</v>
      </c>
      <c r="J39" s="79">
        <f>IF(C28&gt;1,1,0)</f>
        <v>1</v>
      </c>
      <c r="K39" s="79">
        <f>IF(C28&lt;5,1,0)</f>
        <v>0</v>
      </c>
      <c r="L39" s="79">
        <f t="shared" si="21"/>
        <v>0</v>
      </c>
      <c r="M39" s="73">
        <f t="shared" si="22"/>
        <v>0</v>
      </c>
      <c r="N39" s="79">
        <f t="shared" si="23"/>
        <v>0</v>
      </c>
      <c r="O39" s="79">
        <f t="shared" si="18"/>
        <v>0</v>
      </c>
    </row>
    <row r="40" spans="1:25" s="73" customFormat="1">
      <c r="A40" s="78" t="s">
        <v>300</v>
      </c>
      <c r="B40" s="307" t="s">
        <v>26</v>
      </c>
      <c r="C40" s="307"/>
      <c r="D40" s="99" t="s">
        <v>27</v>
      </c>
      <c r="E40" s="79">
        <f t="shared" si="19"/>
        <v>0</v>
      </c>
      <c r="F40" s="79">
        <f t="shared" si="19"/>
        <v>16660</v>
      </c>
      <c r="G40" s="79">
        <f t="shared" si="24"/>
        <v>1</v>
      </c>
      <c r="H40" s="79">
        <f t="shared" si="24"/>
        <v>0</v>
      </c>
      <c r="I40" s="79">
        <f t="shared" si="20"/>
        <v>83295</v>
      </c>
      <c r="J40" s="79">
        <f>IF(C28&gt;4,1,0)</f>
        <v>1</v>
      </c>
      <c r="K40" s="79">
        <f>IF(C28&lt;8,1,0)</f>
        <v>0</v>
      </c>
      <c r="L40" s="79">
        <f t="shared" si="21"/>
        <v>0</v>
      </c>
      <c r="M40" s="73">
        <f t="shared" si="22"/>
        <v>0</v>
      </c>
      <c r="N40" s="79">
        <f t="shared" si="23"/>
        <v>0</v>
      </c>
      <c r="O40" s="79">
        <f>L40*F40</f>
        <v>0</v>
      </c>
    </row>
    <row r="41" spans="1:25" s="73" customFormat="1">
      <c r="A41" s="308">
        <f>IF(D28="ESSENCE",O37,O44)</f>
        <v>27679</v>
      </c>
      <c r="B41" s="308">
        <f>IF(D28="ESSENCE",M37,M44)</f>
        <v>138399</v>
      </c>
      <c r="C41" s="308"/>
      <c r="D41" s="308">
        <f>IF(D28="ESSENCE",N37,N44)</f>
        <v>0</v>
      </c>
      <c r="E41" s="79">
        <f t="shared" si="19"/>
        <v>0</v>
      </c>
      <c r="F41" s="79">
        <f t="shared" si="19"/>
        <v>21742</v>
      </c>
      <c r="G41" s="79">
        <f t="shared" si="24"/>
        <v>1</v>
      </c>
      <c r="H41" s="79">
        <f t="shared" si="24"/>
        <v>0</v>
      </c>
      <c r="I41" s="79">
        <f t="shared" si="20"/>
        <v>108704</v>
      </c>
      <c r="J41" s="79">
        <f>IF(C28&gt;7,1,0)</f>
        <v>1</v>
      </c>
      <c r="K41" s="79">
        <f>IF(C28&lt;11,1,0)</f>
        <v>0</v>
      </c>
      <c r="L41" s="79">
        <f t="shared" si="21"/>
        <v>0</v>
      </c>
      <c r="M41" s="73">
        <f t="shared" si="22"/>
        <v>0</v>
      </c>
      <c r="N41" s="79">
        <f t="shared" si="23"/>
        <v>0</v>
      </c>
      <c r="O41" s="79">
        <f t="shared" si="18"/>
        <v>0</v>
      </c>
    </row>
    <row r="42" spans="1:25" s="73" customFormat="1">
      <c r="A42" s="308"/>
      <c r="B42" s="308"/>
      <c r="C42" s="308"/>
      <c r="D42" s="308"/>
      <c r="E42" s="79">
        <f t="shared" si="19"/>
        <v>0</v>
      </c>
      <c r="F42" s="79">
        <f t="shared" si="19"/>
        <v>27679</v>
      </c>
      <c r="G42" s="79">
        <f t="shared" si="24"/>
        <v>1</v>
      </c>
      <c r="H42" s="79">
        <f t="shared" si="24"/>
        <v>0</v>
      </c>
      <c r="I42" s="79">
        <f t="shared" si="20"/>
        <v>138399</v>
      </c>
      <c r="J42" s="79">
        <f>IF(C28&gt;10,1,0)</f>
        <v>1</v>
      </c>
      <c r="K42" s="79">
        <f>IF(C28&lt;17,1,0)</f>
        <v>0</v>
      </c>
      <c r="L42" s="79">
        <f t="shared" si="21"/>
        <v>0</v>
      </c>
      <c r="M42" s="73">
        <f t="shared" si="22"/>
        <v>0</v>
      </c>
      <c r="N42" s="79">
        <f t="shared" si="23"/>
        <v>0</v>
      </c>
      <c r="O42" s="79">
        <f t="shared" si="18"/>
        <v>0</v>
      </c>
    </row>
    <row r="43" spans="1:25" s="73" customFormat="1">
      <c r="A43" s="308"/>
      <c r="B43" s="308"/>
      <c r="C43" s="308"/>
      <c r="D43" s="308"/>
      <c r="E43" s="79">
        <f t="shared" si="19"/>
        <v>0</v>
      </c>
      <c r="F43" s="79">
        <f t="shared" si="19"/>
        <v>32639</v>
      </c>
      <c r="G43" s="79">
        <f t="shared" si="24"/>
        <v>1</v>
      </c>
      <c r="H43" s="79">
        <f t="shared" si="24"/>
        <v>0</v>
      </c>
      <c r="I43" s="79">
        <f t="shared" si="20"/>
        <v>163195</v>
      </c>
      <c r="J43" s="79">
        <f>IF(C28&gt;16,1,0)</f>
        <v>1</v>
      </c>
      <c r="K43" s="79">
        <f>IF(C28&lt;9999999999,1,0)</f>
        <v>1</v>
      </c>
      <c r="L43" s="79">
        <f t="shared" si="21"/>
        <v>1</v>
      </c>
      <c r="M43" s="73">
        <f t="shared" si="22"/>
        <v>163195</v>
      </c>
      <c r="N43" s="79">
        <f t="shared" si="23"/>
        <v>0</v>
      </c>
      <c r="O43" s="79">
        <f t="shared" si="18"/>
        <v>32639</v>
      </c>
    </row>
    <row r="44" spans="1:25" s="73" customFormat="1">
      <c r="B44" s="308">
        <f>(A49+C49+D49)</f>
        <v>138399</v>
      </c>
      <c r="C44" s="308"/>
      <c r="D44" s="308"/>
      <c r="E44" s="313">
        <f>IF(CONTRATS!E24="VEHICULE SANS DOUBLE COMMANDE",1,0)</f>
        <v>0</v>
      </c>
      <c r="G44" s="308">
        <f>B44*E44</f>
        <v>0</v>
      </c>
      <c r="M44" s="73">
        <f>SUM(M38:M43)</f>
        <v>163195</v>
      </c>
      <c r="N44" s="73">
        <f>SUM(N38:N43)</f>
        <v>0</v>
      </c>
      <c r="O44" s="79">
        <f>SUM(O38:O43)</f>
        <v>32639</v>
      </c>
    </row>
    <row r="45" spans="1:25" s="73" customFormat="1">
      <c r="B45" s="308"/>
      <c r="C45" s="308"/>
      <c r="D45" s="308"/>
      <c r="E45" s="309"/>
      <c r="G45" s="308"/>
    </row>
    <row r="46" spans="1:25" s="73" customFormat="1">
      <c r="B46" s="308"/>
      <c r="C46" s="308"/>
      <c r="D46" s="308"/>
      <c r="E46" s="309"/>
      <c r="G46" s="308"/>
    </row>
    <row r="47" spans="1:25" s="73" customFormat="1"/>
    <row r="48" spans="1:25" s="73" customFormat="1">
      <c r="A48" s="73">
        <f>IF(G28="SEMI-REMORQUE",1,0)</f>
        <v>0</v>
      </c>
      <c r="C48" s="73">
        <f>IF(G28="SEMI-REMORQUE",0,1)</f>
        <v>1</v>
      </c>
      <c r="D48" s="73">
        <f>IF(E28="YES",1,0)</f>
        <v>0</v>
      </c>
    </row>
    <row r="49" spans="1:4" s="73" customFormat="1">
      <c r="A49" s="73">
        <f>A41*A48</f>
        <v>0</v>
      </c>
      <c r="C49" s="73">
        <f>C48*B41</f>
        <v>138399</v>
      </c>
      <c r="D49" s="73">
        <f>D48*D41</f>
        <v>0</v>
      </c>
    </row>
    <row r="50" spans="1:4" s="73" customFormat="1"/>
    <row r="51" spans="1:4" s="73" customFormat="1"/>
    <row r="52" spans="1:4" s="73" customFormat="1"/>
    <row r="53" spans="1:4" s="73" customFormat="1"/>
    <row r="54" spans="1:4" s="73" customFormat="1"/>
    <row r="55" spans="1:4" s="73" customFormat="1"/>
    <row r="56" spans="1:4" s="73" customFormat="1"/>
    <row r="57" spans="1:4" s="73" customFormat="1"/>
    <row r="58" spans="1:4" s="73" customFormat="1"/>
    <row r="59" spans="1:4" s="73" customFormat="1">
      <c r="B59" s="308">
        <f>(G20+G44)*IF(CONTRATS!C24=0,0,1)*IF(CONTRATS!E24=0,0,1)*IF(CONTRATS!B24="NO",1,0)</f>
        <v>0</v>
      </c>
      <c r="C59" s="309"/>
      <c r="D59" s="309"/>
    </row>
    <row r="60" spans="1:4" s="73" customFormat="1">
      <c r="B60" s="309"/>
      <c r="C60" s="309"/>
      <c r="D60" s="309"/>
    </row>
    <row r="61" spans="1:4" s="73" customFormat="1">
      <c r="B61" s="309"/>
      <c r="C61" s="309"/>
      <c r="D61" s="309"/>
    </row>
    <row r="62" spans="1:4" s="73" customFormat="1">
      <c r="B62" s="309"/>
      <c r="C62" s="309"/>
      <c r="D62" s="309"/>
    </row>
    <row r="63" spans="1:4" s="73" customFormat="1"/>
    <row r="64" spans="1:4" s="73" customFormat="1"/>
    <row r="65" s="73" customFormat="1"/>
    <row r="66" s="73" customFormat="1"/>
    <row r="67" s="73" customFormat="1"/>
    <row r="68" s="73" customFormat="1"/>
    <row r="69" s="73" customFormat="1"/>
    <row r="70" s="73" customFormat="1"/>
    <row r="71" s="73" customFormat="1"/>
    <row r="72" s="73" customFormat="1"/>
    <row r="73" s="73" customFormat="1"/>
    <row r="74" s="73" customFormat="1"/>
    <row r="75" s="73" customFormat="1"/>
    <row r="76" s="73" customFormat="1"/>
    <row r="77" s="73" customFormat="1"/>
    <row r="78" s="73" customFormat="1"/>
    <row r="79" s="73" customFormat="1"/>
    <row r="80" s="73" customFormat="1"/>
    <row r="81" s="73" customFormat="1"/>
    <row r="82" s="73" customFormat="1"/>
    <row r="83" s="73" customFormat="1"/>
    <row r="84" s="73" customFormat="1"/>
    <row r="85" s="73" customFormat="1"/>
    <row r="86" s="73" customFormat="1"/>
    <row r="87" s="73" customFormat="1"/>
    <row r="88" s="73" customFormat="1"/>
    <row r="89" s="73" customFormat="1"/>
    <row r="90" s="73" customFormat="1"/>
    <row r="91" s="73" customFormat="1"/>
    <row r="92" s="73" customFormat="1"/>
    <row r="93" s="73" customFormat="1"/>
    <row r="94" s="73" customFormat="1"/>
    <row r="95" s="73" customFormat="1"/>
    <row r="96" s="73" customFormat="1"/>
    <row r="97" s="73" customFormat="1"/>
    <row r="98" s="73" customFormat="1"/>
    <row r="99" s="73" customFormat="1"/>
    <row r="100" s="73" customFormat="1"/>
    <row r="101" s="73" customFormat="1"/>
    <row r="102" s="73" customFormat="1"/>
    <row r="103" s="73" customFormat="1"/>
    <row r="104" s="73" customFormat="1"/>
    <row r="105" s="73" customFormat="1"/>
    <row r="106" s="73" customFormat="1"/>
    <row r="107" s="73" customFormat="1"/>
    <row r="108" s="73" customFormat="1"/>
    <row r="109" s="73" customFormat="1"/>
    <row r="110" s="73" customFormat="1"/>
    <row r="111" s="73" customFormat="1"/>
    <row r="112" s="73" customFormat="1"/>
    <row r="113" s="73" customFormat="1"/>
    <row r="114" s="73" customFormat="1"/>
    <row r="115" s="73" customFormat="1"/>
    <row r="116" s="73" customFormat="1"/>
    <row r="117" s="73" customFormat="1"/>
    <row r="118" s="73" customFormat="1"/>
    <row r="119" s="73" customFormat="1"/>
    <row r="120" s="73" customFormat="1"/>
    <row r="121" s="73" customFormat="1"/>
    <row r="122" s="73" customFormat="1"/>
    <row r="123" s="73" customFormat="1"/>
    <row r="124" s="73" customFormat="1"/>
    <row r="125" s="73" customFormat="1"/>
    <row r="126" s="73" customFormat="1"/>
    <row r="127" s="73" customFormat="1"/>
    <row r="128" s="73" customFormat="1"/>
    <row r="129" s="73" customFormat="1"/>
    <row r="130" s="73" customFormat="1"/>
    <row r="131" s="73" customFormat="1"/>
    <row r="132" s="73" customFormat="1"/>
    <row r="133" s="73" customFormat="1"/>
    <row r="134" s="73" customFormat="1"/>
    <row r="135" s="73" customFormat="1"/>
    <row r="136" s="73" customFormat="1"/>
    <row r="137" s="73" customFormat="1"/>
    <row r="138" s="73" customFormat="1"/>
    <row r="139" s="73" customFormat="1"/>
    <row r="140" s="73" customFormat="1"/>
    <row r="141" s="73" customFormat="1"/>
    <row r="142" s="73" customFormat="1"/>
    <row r="143" s="73" customFormat="1"/>
    <row r="144" s="73" customFormat="1"/>
    <row r="145" s="73" customFormat="1"/>
    <row r="146" s="73" customFormat="1"/>
    <row r="147" s="73" customFormat="1"/>
    <row r="148" s="73" customFormat="1"/>
    <row r="149" s="73" customFormat="1"/>
    <row r="150" s="73" customFormat="1"/>
    <row r="151" s="73" customFormat="1"/>
    <row r="152" s="73" customFormat="1"/>
    <row r="153" s="73" customFormat="1"/>
    <row r="154" s="73" customFormat="1"/>
    <row r="155" s="73" customFormat="1"/>
  </sheetData>
  <sheetProtection password="D373" sheet="1" objects="1" scenarios="1"/>
  <mergeCells count="27">
    <mergeCell ref="B59:D62"/>
    <mergeCell ref="A41:A43"/>
    <mergeCell ref="B41:C43"/>
    <mergeCell ref="D41:D43"/>
    <mergeCell ref="B44:D46"/>
    <mergeCell ref="E44:E46"/>
    <mergeCell ref="G44:G46"/>
    <mergeCell ref="B26:D26"/>
    <mergeCell ref="S27:U27"/>
    <mergeCell ref="W27:Y27"/>
    <mergeCell ref="J30:L30"/>
    <mergeCell ref="J37:L37"/>
    <mergeCell ref="B40:C40"/>
    <mergeCell ref="A17:A19"/>
    <mergeCell ref="B17:C19"/>
    <mergeCell ref="D17:D19"/>
    <mergeCell ref="B20:D22"/>
    <mergeCell ref="E20:E22"/>
    <mergeCell ref="G20:G22"/>
    <mergeCell ref="B2:D2"/>
    <mergeCell ref="S5:U5"/>
    <mergeCell ref="W5:Y5"/>
    <mergeCell ref="J6:L6"/>
    <mergeCell ref="J13:L13"/>
    <mergeCell ref="B16:C16"/>
    <mergeCell ref="S16:U16"/>
    <mergeCell ref="W16:Y16"/>
  </mergeCells>
  <dataValidations count="2">
    <dataValidation type="list" allowBlank="1" showInputMessage="1" showErrorMessage="1" sqref="A4 A28">
      <formula1>$S$1:$U$1</formula1>
    </dataValidation>
    <dataValidation type="list" allowBlank="1" showInputMessage="1" showErrorMessage="1" sqref="E28 E4:F4">
      <formula1>$K$2:$L$2</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R146"/>
  <sheetViews>
    <sheetView topLeftCell="AS1" workbookViewId="0">
      <selection sqref="A1:AR1048576"/>
    </sheetView>
  </sheetViews>
  <sheetFormatPr defaultColWidth="9.140625" defaultRowHeight="15"/>
  <cols>
    <col min="1" max="1" width="12.140625" hidden="1" customWidth="1"/>
    <col min="2" max="2" width="16.7109375" hidden="1" customWidth="1"/>
    <col min="3" max="3" width="16.85546875" hidden="1" customWidth="1"/>
    <col min="4" max="4" width="22.42578125" hidden="1" customWidth="1"/>
    <col min="5" max="5" width="20" hidden="1" customWidth="1"/>
    <col min="6" max="6" width="16.28515625" hidden="1" customWidth="1"/>
    <col min="7" max="7" width="8.5703125" hidden="1" customWidth="1"/>
    <col min="8" max="8" width="6.7109375" hidden="1" customWidth="1"/>
    <col min="9" max="9" width="16.42578125" hidden="1" customWidth="1"/>
    <col min="10" max="10" width="16.85546875" hidden="1" customWidth="1"/>
    <col min="11" max="11" width="4" hidden="1" customWidth="1"/>
    <col min="12" max="12" width="3.85546875" hidden="1" customWidth="1"/>
    <col min="13" max="13" width="7" hidden="1" customWidth="1"/>
    <col min="14" max="14" width="2" hidden="1" customWidth="1"/>
    <col min="15" max="15" width="16.28515625" hidden="1" customWidth="1"/>
    <col min="16" max="16" width="9.140625" hidden="1" customWidth="1"/>
    <col min="17" max="17" width="8.5703125" hidden="1" customWidth="1"/>
    <col min="18" max="18" width="7.5703125" hidden="1" customWidth="1"/>
    <col min="19" max="20" width="16.85546875" hidden="1" customWidth="1"/>
    <col min="21" max="21" width="20" hidden="1" customWidth="1"/>
    <col min="22" max="22" width="9.140625" hidden="1" customWidth="1"/>
    <col min="23" max="24" width="16.85546875" hidden="1" customWidth="1"/>
    <col min="25" max="25" width="20" hidden="1" customWidth="1"/>
    <col min="26" max="44" width="9.140625" hidden="1" customWidth="1"/>
    <col min="45" max="45" width="9.140625" customWidth="1"/>
  </cols>
  <sheetData>
    <row r="1" spans="1:25" s="73" customFormat="1" ht="15.75" thickBot="1">
      <c r="S1" s="73" t="s">
        <v>15</v>
      </c>
      <c r="T1" s="73" t="s">
        <v>16</v>
      </c>
      <c r="U1" s="73" t="s">
        <v>17</v>
      </c>
    </row>
    <row r="2" spans="1:25" s="73" customFormat="1" ht="15.75" thickBot="1">
      <c r="B2" s="310" t="str">
        <f>S5</f>
        <v>VEHICULE AVEC DOUBLE COMMANDE</v>
      </c>
      <c r="C2" s="311"/>
      <c r="D2" s="312"/>
      <c r="G2" s="73" t="s">
        <v>0</v>
      </c>
      <c r="H2" s="73" t="s">
        <v>1</v>
      </c>
      <c r="I2" s="73" t="s">
        <v>20</v>
      </c>
      <c r="J2" s="73" t="s">
        <v>2</v>
      </c>
      <c r="K2" s="73" t="s">
        <v>24</v>
      </c>
      <c r="L2" s="73" t="s">
        <v>25</v>
      </c>
    </row>
    <row r="3" spans="1:25" s="73" customFormat="1">
      <c r="A3" s="94"/>
      <c r="B3" s="95"/>
      <c r="C3" s="96" t="s">
        <v>21</v>
      </c>
      <c r="D3" s="95" t="s">
        <v>22</v>
      </c>
      <c r="E3" s="94" t="s">
        <v>23</v>
      </c>
      <c r="F3" s="75"/>
    </row>
    <row r="4" spans="1:25" s="73" customFormat="1">
      <c r="A4" s="97" t="str">
        <f>A28</f>
        <v>ZONE C</v>
      </c>
      <c r="B4" s="97" t="str">
        <f>B28</f>
        <v>SANS REMORQUE</v>
      </c>
      <c r="C4" s="98">
        <f>C28</f>
        <v>19</v>
      </c>
      <c r="D4" s="97" t="str">
        <f>D28</f>
        <v>ESSENCE</v>
      </c>
      <c r="E4" s="98" t="str">
        <f>E28</f>
        <v>NO</v>
      </c>
      <c r="F4" s="76"/>
      <c r="G4" s="76" t="str">
        <f>'CAT 3'!G4</f>
        <v>VT</v>
      </c>
      <c r="R4" s="73" t="s">
        <v>15</v>
      </c>
    </row>
    <row r="5" spans="1:25" s="73" customFormat="1">
      <c r="S5" s="307" t="s">
        <v>327</v>
      </c>
      <c r="T5" s="307"/>
      <c r="U5" s="307"/>
      <c r="W5" s="307" t="s">
        <v>328</v>
      </c>
      <c r="X5" s="307"/>
      <c r="Y5" s="307"/>
    </row>
    <row r="6" spans="1:25" s="73" customFormat="1">
      <c r="A6" s="73" t="s">
        <v>0</v>
      </c>
      <c r="B6" s="73" t="s">
        <v>1</v>
      </c>
      <c r="C6" s="73" t="s">
        <v>3</v>
      </c>
      <c r="D6" s="73" t="s">
        <v>2</v>
      </c>
      <c r="E6" s="73" t="s">
        <v>23</v>
      </c>
      <c r="F6" s="77" t="s">
        <v>112</v>
      </c>
      <c r="J6" s="307" t="s">
        <v>18</v>
      </c>
      <c r="K6" s="307"/>
      <c r="L6" s="307"/>
      <c r="O6" s="77" t="s">
        <v>112</v>
      </c>
      <c r="Q6" s="73" t="s">
        <v>0</v>
      </c>
      <c r="R6" s="73" t="s">
        <v>1</v>
      </c>
      <c r="S6" s="73" t="s">
        <v>3</v>
      </c>
      <c r="T6" s="73" t="s">
        <v>2</v>
      </c>
      <c r="U6" s="73" t="s">
        <v>23</v>
      </c>
      <c r="W6" s="73" t="s">
        <v>3</v>
      </c>
      <c r="X6" s="73" t="s">
        <v>2</v>
      </c>
      <c r="Y6" s="73" t="s">
        <v>23</v>
      </c>
    </row>
    <row r="7" spans="1:25" s="73" customFormat="1">
      <c r="A7" s="73" t="s">
        <v>9</v>
      </c>
      <c r="B7" s="73" t="s">
        <v>9</v>
      </c>
      <c r="C7" s="79">
        <f>IF(A4="ZONE A",S7,IF(A4="ZONE B",S18,IF(A4="ZONE C",S29,0)))</f>
        <v>57547</v>
      </c>
      <c r="D7" s="79">
        <f>IF(A4="ZONE A",T7,IF(A4="ZONE B",T18,IF(A4="ZONE C",T29,0)))</f>
        <v>69056</v>
      </c>
      <c r="E7" s="79">
        <f>IF(A4="ZONE A",U7,IF(A4="ZONE B",U18,IF(A4="ZONE C",U29,0)))</f>
        <v>0</v>
      </c>
      <c r="F7" s="79">
        <f t="shared" ref="F7:F12" si="0">D7-C7</f>
        <v>11509</v>
      </c>
      <c r="G7" s="79">
        <f>IF(B4="SANS REMORQUE",1,0)</f>
        <v>1</v>
      </c>
      <c r="H7" s="79">
        <f>IF(B4="SANS REMORQUE",0,1)</f>
        <v>0</v>
      </c>
      <c r="I7" s="79">
        <f t="shared" ref="I7:I12" si="1">C7*G7+D7*H7</f>
        <v>57547</v>
      </c>
      <c r="J7" s="79">
        <f>IF(C4&gt;0,1,0)</f>
        <v>1</v>
      </c>
      <c r="K7" s="79">
        <f>IF(C4&lt;2,1,0)</f>
        <v>0</v>
      </c>
      <c r="L7" s="79">
        <f t="shared" ref="L7:L12" si="2">J7*K7</f>
        <v>0</v>
      </c>
      <c r="M7" s="73">
        <f>L7*I7</f>
        <v>0</v>
      </c>
      <c r="N7" s="79">
        <f t="shared" ref="N7:N12" si="3">E7*L7</f>
        <v>0</v>
      </c>
      <c r="O7" s="79">
        <f>L7*F7</f>
        <v>0</v>
      </c>
      <c r="P7" s="79"/>
      <c r="Q7" s="73" t="s">
        <v>9</v>
      </c>
      <c r="R7" s="73" t="s">
        <v>9</v>
      </c>
      <c r="S7" s="79">
        <v>62778</v>
      </c>
      <c r="T7" s="79">
        <v>75334</v>
      </c>
      <c r="U7" s="79">
        <v>0</v>
      </c>
      <c r="W7" s="79">
        <v>75334</v>
      </c>
      <c r="X7" s="79">
        <v>88000</v>
      </c>
      <c r="Y7" s="79">
        <v>0</v>
      </c>
    </row>
    <row r="8" spans="1:25" s="73" customFormat="1">
      <c r="A8" s="73" t="s">
        <v>4</v>
      </c>
      <c r="B8" s="73" t="s">
        <v>10</v>
      </c>
      <c r="C8" s="79">
        <f>IF(A4="ZONE A",S8,IF(A4="ZONE B",S19,IF(A4="ZONE C",S30,0)))</f>
        <v>69713</v>
      </c>
      <c r="D8" s="79">
        <f>IF(A4="ZONE A",T8,IF(A4="ZONE B",T19,IF(A4="ZONE C",T30,0)))</f>
        <v>83656</v>
      </c>
      <c r="E8" s="79">
        <f>IF(A4="ZONE A",U8,IF(A4="ZONE B",U19,IF(A4="ZONE C",U30,0)))</f>
        <v>0</v>
      </c>
      <c r="F8" s="79">
        <f t="shared" si="0"/>
        <v>13943</v>
      </c>
      <c r="G8" s="79">
        <f>G7</f>
        <v>1</v>
      </c>
      <c r="H8" s="79">
        <f>H7</f>
        <v>0</v>
      </c>
      <c r="I8" s="79">
        <f t="shared" si="1"/>
        <v>69713</v>
      </c>
      <c r="J8" s="79">
        <f>IF(C4&gt;2,1,0)</f>
        <v>1</v>
      </c>
      <c r="K8" s="79">
        <f>IF(C4&lt;7,1,0)</f>
        <v>0</v>
      </c>
      <c r="L8" s="79">
        <f t="shared" si="2"/>
        <v>0</v>
      </c>
      <c r="M8" s="73">
        <f t="shared" ref="M8:M19" si="4">L8*I8</f>
        <v>0</v>
      </c>
      <c r="N8" s="79">
        <f t="shared" si="3"/>
        <v>0</v>
      </c>
      <c r="O8" s="79">
        <f t="shared" ref="O8:O19" si="5">L8*F8</f>
        <v>0</v>
      </c>
      <c r="P8" s="79"/>
      <c r="Q8" s="73" t="s">
        <v>4</v>
      </c>
      <c r="R8" s="73" t="s">
        <v>10</v>
      </c>
      <c r="S8" s="79">
        <v>75050</v>
      </c>
      <c r="T8" s="79">
        <v>91261</v>
      </c>
      <c r="U8" s="79">
        <v>0</v>
      </c>
      <c r="W8" s="79">
        <v>91261</v>
      </c>
      <c r="X8" s="79">
        <v>109512</v>
      </c>
      <c r="Y8" s="79">
        <v>0</v>
      </c>
    </row>
    <row r="9" spans="1:25" s="73" customFormat="1">
      <c r="A9" s="73" t="s">
        <v>5</v>
      </c>
      <c r="B9" s="73" t="s">
        <v>11</v>
      </c>
      <c r="C9" s="79">
        <f>IF(A4="ZONE A",S9,IF(A4="ZONE B",S20,IF(A4="ZONE C",S31,0)))</f>
        <v>79247</v>
      </c>
      <c r="D9" s="79">
        <f>IF(A4="ZONE A",T9,IF(A4="ZONE B",T20,IF(A4="ZONE C",T31,0)))</f>
        <v>95097</v>
      </c>
      <c r="E9" s="79">
        <f>IF(A4="ZONE A",U9,IF(A4="ZONE B",U20,IF(A4="ZONE C",U31,0)))</f>
        <v>0</v>
      </c>
      <c r="F9" s="79">
        <f t="shared" si="0"/>
        <v>15850</v>
      </c>
      <c r="G9" s="79">
        <f t="shared" ref="G9:H12" si="6">G8</f>
        <v>1</v>
      </c>
      <c r="H9" s="79">
        <f t="shared" si="6"/>
        <v>0</v>
      </c>
      <c r="I9" s="79">
        <f t="shared" si="1"/>
        <v>79247</v>
      </c>
      <c r="J9" s="79">
        <f>IF(C4&gt;6,1,0)</f>
        <v>1</v>
      </c>
      <c r="K9" s="79">
        <f>IF(C4&lt;11,1,0)</f>
        <v>0</v>
      </c>
      <c r="L9" s="79">
        <f t="shared" si="2"/>
        <v>0</v>
      </c>
      <c r="M9" s="73">
        <f t="shared" si="4"/>
        <v>0</v>
      </c>
      <c r="N9" s="79">
        <f t="shared" si="3"/>
        <v>0</v>
      </c>
      <c r="O9" s="79">
        <f t="shared" si="5"/>
        <v>0</v>
      </c>
      <c r="P9" s="79"/>
      <c r="Q9" s="73" t="s">
        <v>5</v>
      </c>
      <c r="R9" s="73" t="s">
        <v>11</v>
      </c>
      <c r="S9" s="79">
        <v>86452</v>
      </c>
      <c r="T9" s="79">
        <v>103742</v>
      </c>
      <c r="U9" s="79">
        <v>0</v>
      </c>
      <c r="W9" s="79">
        <v>103742</v>
      </c>
      <c r="X9" s="79">
        <v>124492</v>
      </c>
      <c r="Y9" s="79">
        <v>0</v>
      </c>
    </row>
    <row r="10" spans="1:25" s="73" customFormat="1">
      <c r="A10" s="73" t="s">
        <v>6</v>
      </c>
      <c r="B10" s="73" t="s">
        <v>12</v>
      </c>
      <c r="C10" s="79">
        <f>IF(A4="ZONE A",S10,IF(A4="ZONE B",S21,IF(A4="ZONE C",S32,0)))</f>
        <v>118708</v>
      </c>
      <c r="D10" s="79">
        <f>IF(A4="ZONE A",T10,IF(A4="ZONE B",T21,IF(A4="ZONE C",T32,0)))</f>
        <v>142450</v>
      </c>
      <c r="E10" s="79">
        <f>IF(A4="ZONE A",U10,IF(A4="ZONE B",U21,IF(A4="ZONE C",U32,0)))</f>
        <v>0</v>
      </c>
      <c r="F10" s="79">
        <f t="shared" si="0"/>
        <v>23742</v>
      </c>
      <c r="G10" s="79">
        <f t="shared" si="6"/>
        <v>1</v>
      </c>
      <c r="H10" s="79">
        <f t="shared" si="6"/>
        <v>0</v>
      </c>
      <c r="I10" s="79">
        <f t="shared" si="1"/>
        <v>118708</v>
      </c>
      <c r="J10" s="79">
        <f>IF(C4&gt;10,1,0)</f>
        <v>1</v>
      </c>
      <c r="K10" s="79">
        <f>IF(C4&lt;15,1,0)</f>
        <v>0</v>
      </c>
      <c r="L10" s="79">
        <f t="shared" si="2"/>
        <v>0</v>
      </c>
      <c r="M10" s="73">
        <f t="shared" si="4"/>
        <v>0</v>
      </c>
      <c r="N10" s="79">
        <f t="shared" si="3"/>
        <v>0</v>
      </c>
      <c r="O10" s="79">
        <f t="shared" si="5"/>
        <v>0</v>
      </c>
      <c r="P10" s="79"/>
      <c r="Q10" s="73" t="s">
        <v>6</v>
      </c>
      <c r="R10" s="73" t="s">
        <v>12</v>
      </c>
      <c r="S10" s="79">
        <v>129499</v>
      </c>
      <c r="T10" s="79">
        <v>155400</v>
      </c>
      <c r="U10" s="79">
        <v>0</v>
      </c>
      <c r="W10" s="79">
        <v>155400</v>
      </c>
      <c r="X10" s="79">
        <v>186481</v>
      </c>
      <c r="Y10" s="79">
        <v>0</v>
      </c>
    </row>
    <row r="11" spans="1:25" s="73" customFormat="1">
      <c r="A11" s="73" t="s">
        <v>7</v>
      </c>
      <c r="B11" s="73" t="s">
        <v>13</v>
      </c>
      <c r="C11" s="79">
        <f>IF(A4="ZONE A",S11,IF(A4="ZONE B",S22,IF(A4="ZONE C",S33,0)))</f>
        <v>146986</v>
      </c>
      <c r="D11" s="79">
        <f>IF(A4="ZONE A",T11,IF(A4="ZONE B",T22,IF(A4="ZONE C",T33,0)))</f>
        <v>176384</v>
      </c>
      <c r="E11" s="79">
        <f>IF(A4="ZONE A",U11,IF(A4="ZONE B",U22,IF(A4="ZONE C",U33,0)))</f>
        <v>0</v>
      </c>
      <c r="F11" s="79">
        <f t="shared" si="0"/>
        <v>29398</v>
      </c>
      <c r="G11" s="79">
        <f t="shared" si="6"/>
        <v>1</v>
      </c>
      <c r="H11" s="79">
        <f t="shared" si="6"/>
        <v>0</v>
      </c>
      <c r="I11" s="79">
        <f t="shared" si="1"/>
        <v>146986</v>
      </c>
      <c r="J11" s="79">
        <f>IF(C4&gt;14,1,0)</f>
        <v>1</v>
      </c>
      <c r="K11" s="79">
        <f>IF(C4&lt;24,1,0)</f>
        <v>1</v>
      </c>
      <c r="L11" s="79">
        <f t="shared" si="2"/>
        <v>1</v>
      </c>
      <c r="M11" s="73">
        <f t="shared" si="4"/>
        <v>146986</v>
      </c>
      <c r="N11" s="79">
        <f t="shared" si="3"/>
        <v>0</v>
      </c>
      <c r="O11" s="79">
        <f t="shared" si="5"/>
        <v>29398</v>
      </c>
      <c r="P11" s="79"/>
      <c r="Q11" s="73" t="s">
        <v>38</v>
      </c>
      <c r="R11" s="73" t="s">
        <v>13</v>
      </c>
      <c r="S11" s="79">
        <v>160349</v>
      </c>
      <c r="T11" s="79">
        <v>192419</v>
      </c>
      <c r="U11" s="79">
        <v>0</v>
      </c>
      <c r="W11" s="79">
        <v>192419</v>
      </c>
      <c r="X11" s="79">
        <v>230902</v>
      </c>
      <c r="Y11" s="79">
        <v>0</v>
      </c>
    </row>
    <row r="12" spans="1:25" s="73" customFormat="1">
      <c r="A12" s="73" t="s">
        <v>8</v>
      </c>
      <c r="B12" s="73" t="s">
        <v>14</v>
      </c>
      <c r="C12" s="79">
        <f>IF(A4="ZONE A",S12,IF(A4="ZONE B",S23,IF(A4="ZONE C",S34,0)))</f>
        <v>170005</v>
      </c>
      <c r="D12" s="79">
        <f>IF(A4="ZONE A",T12,IF(A4="ZONE B",T23,IF(A4="ZONE C",T34,0)))</f>
        <v>204006</v>
      </c>
      <c r="E12" s="79">
        <f>IF(A4="ZONE A",U12,IF(A4="ZONE B",U23,IF(A4="ZONE C",U34,0)))</f>
        <v>0</v>
      </c>
      <c r="F12" s="79">
        <f t="shared" si="0"/>
        <v>34001</v>
      </c>
      <c r="G12" s="79">
        <f t="shared" si="6"/>
        <v>1</v>
      </c>
      <c r="H12" s="79">
        <f t="shared" si="6"/>
        <v>0</v>
      </c>
      <c r="I12" s="79">
        <f t="shared" si="1"/>
        <v>170005</v>
      </c>
      <c r="J12" s="79">
        <f>IF(C4&gt;23,1,0)</f>
        <v>0</v>
      </c>
      <c r="K12" s="79">
        <f>IF(C4&lt;9999999999,1,0)</f>
        <v>1</v>
      </c>
      <c r="L12" s="79">
        <f t="shared" si="2"/>
        <v>0</v>
      </c>
      <c r="M12" s="73">
        <f t="shared" si="4"/>
        <v>0</v>
      </c>
      <c r="N12" s="79">
        <f t="shared" si="3"/>
        <v>0</v>
      </c>
      <c r="O12" s="79">
        <f t="shared" si="5"/>
        <v>0</v>
      </c>
      <c r="P12" s="79"/>
      <c r="Q12" s="73" t="s">
        <v>8</v>
      </c>
      <c r="R12" s="73" t="s">
        <v>14</v>
      </c>
      <c r="S12" s="79">
        <v>185460</v>
      </c>
      <c r="T12" s="79">
        <v>222552</v>
      </c>
      <c r="U12" s="79">
        <v>0</v>
      </c>
      <c r="W12" s="79">
        <v>222552</v>
      </c>
      <c r="X12" s="79">
        <v>267062</v>
      </c>
      <c r="Y12" s="79">
        <v>0</v>
      </c>
    </row>
    <row r="13" spans="1:25" s="73" customFormat="1">
      <c r="J13" s="307" t="s">
        <v>19</v>
      </c>
      <c r="K13" s="307"/>
      <c r="L13" s="307"/>
      <c r="M13" s="73">
        <f>SUM(M7:M12)</f>
        <v>146986</v>
      </c>
      <c r="N13" s="73">
        <f>SUM(N7:N12)</f>
        <v>0</v>
      </c>
      <c r="O13" s="79">
        <f>SUM(O7:O12)</f>
        <v>29398</v>
      </c>
    </row>
    <row r="14" spans="1:25" s="73" customFormat="1">
      <c r="E14" s="79">
        <f t="shared" ref="E14:F19" si="7">E7</f>
        <v>0</v>
      </c>
      <c r="F14" s="79">
        <f>F7</f>
        <v>11509</v>
      </c>
      <c r="G14" s="79">
        <f>IF(B4="SANS REMORQUE",1,0)</f>
        <v>1</v>
      </c>
      <c r="H14" s="79">
        <f>IF(B4="SANS REMORQUE",0,1)</f>
        <v>0</v>
      </c>
      <c r="I14" s="79">
        <f t="shared" ref="I14:I19" si="8">C7*G14+D7*H14</f>
        <v>57547</v>
      </c>
      <c r="J14" s="79">
        <f>IF(C4&gt;0,1,0)</f>
        <v>1</v>
      </c>
      <c r="K14" s="79">
        <f>IF(C4&lt;=1,1,0)</f>
        <v>0</v>
      </c>
      <c r="L14" s="79">
        <f t="shared" ref="L14:L19" si="9">J14*K14</f>
        <v>0</v>
      </c>
      <c r="M14" s="73">
        <f t="shared" si="4"/>
        <v>0</v>
      </c>
      <c r="N14" s="79">
        <f t="shared" ref="N14:N19" si="10">E14*L14</f>
        <v>0</v>
      </c>
      <c r="O14" s="79">
        <f t="shared" si="5"/>
        <v>0</v>
      </c>
    </row>
    <row r="15" spans="1:25" s="73" customFormat="1">
      <c r="E15" s="79">
        <f t="shared" si="7"/>
        <v>0</v>
      </c>
      <c r="F15" s="79">
        <f t="shared" si="7"/>
        <v>13943</v>
      </c>
      <c r="G15" s="79">
        <f>G14</f>
        <v>1</v>
      </c>
      <c r="H15" s="79">
        <f>H14</f>
        <v>0</v>
      </c>
      <c r="I15" s="79">
        <f t="shared" si="8"/>
        <v>69713</v>
      </c>
      <c r="J15" s="79">
        <f>IF(C4&gt;1,1,0)</f>
        <v>1</v>
      </c>
      <c r="K15" s="79">
        <f>IF(C4&lt;5,1,0)</f>
        <v>0</v>
      </c>
      <c r="L15" s="79">
        <f t="shared" si="9"/>
        <v>0</v>
      </c>
      <c r="M15" s="73">
        <f t="shared" si="4"/>
        <v>0</v>
      </c>
      <c r="N15" s="79">
        <f t="shared" si="10"/>
        <v>0</v>
      </c>
      <c r="O15" s="79">
        <f t="shared" si="5"/>
        <v>0</v>
      </c>
      <c r="R15" s="73" t="s">
        <v>16</v>
      </c>
    </row>
    <row r="16" spans="1:25" s="73" customFormat="1">
      <c r="A16" s="78" t="s">
        <v>300</v>
      </c>
      <c r="B16" s="307" t="s">
        <v>26</v>
      </c>
      <c r="C16" s="307"/>
      <c r="D16" s="99" t="s">
        <v>27</v>
      </c>
      <c r="E16" s="79">
        <f t="shared" si="7"/>
        <v>0</v>
      </c>
      <c r="F16" s="79">
        <f t="shared" si="7"/>
        <v>15850</v>
      </c>
      <c r="G16" s="79">
        <f t="shared" ref="G16:H19" si="11">G15</f>
        <v>1</v>
      </c>
      <c r="H16" s="79">
        <f t="shared" si="11"/>
        <v>0</v>
      </c>
      <c r="I16" s="79">
        <f t="shared" si="8"/>
        <v>79247</v>
      </c>
      <c r="J16" s="79">
        <f>IF(C4&gt;4,1,0)</f>
        <v>1</v>
      </c>
      <c r="K16" s="79">
        <f>IF(C4&lt;8,1,0)</f>
        <v>0</v>
      </c>
      <c r="L16" s="79">
        <f t="shared" si="9"/>
        <v>0</v>
      </c>
      <c r="M16" s="73">
        <f t="shared" si="4"/>
        <v>0</v>
      </c>
      <c r="N16" s="79">
        <f t="shared" si="10"/>
        <v>0</v>
      </c>
      <c r="O16" s="79">
        <f>L16*F16</f>
        <v>0</v>
      </c>
      <c r="S16" s="307" t="str">
        <f>S5</f>
        <v>VEHICULE AVEC DOUBLE COMMANDE</v>
      </c>
      <c r="T16" s="307"/>
      <c r="U16" s="307"/>
      <c r="W16" s="307" t="str">
        <f>W5</f>
        <v>VEHICULE SANS  DOUBLE COMMANDE</v>
      </c>
      <c r="X16" s="307"/>
      <c r="Y16" s="307"/>
    </row>
    <row r="17" spans="1:25" s="73" customFormat="1">
      <c r="A17" s="308">
        <f>IF(D4="ESSENCE",O13,O20)</f>
        <v>29398</v>
      </c>
      <c r="B17" s="308">
        <f>IF(D4="ESSENCE",M13,M20)</f>
        <v>146986</v>
      </c>
      <c r="C17" s="308"/>
      <c r="D17" s="308">
        <f>IF(D4="ESSENCE",N13,N20)</f>
        <v>0</v>
      </c>
      <c r="E17" s="79">
        <f t="shared" si="7"/>
        <v>0</v>
      </c>
      <c r="F17" s="79">
        <f t="shared" si="7"/>
        <v>23742</v>
      </c>
      <c r="G17" s="79">
        <f t="shared" si="11"/>
        <v>1</v>
      </c>
      <c r="H17" s="79">
        <f t="shared" si="11"/>
        <v>0</v>
      </c>
      <c r="I17" s="79">
        <f t="shared" si="8"/>
        <v>118708</v>
      </c>
      <c r="J17" s="79">
        <f>IF(C4&gt;7,1,0)</f>
        <v>1</v>
      </c>
      <c r="K17" s="79">
        <f>IF(C4&lt;11,1,0)</f>
        <v>0</v>
      </c>
      <c r="L17" s="79">
        <f t="shared" si="9"/>
        <v>0</v>
      </c>
      <c r="M17" s="73">
        <f t="shared" si="4"/>
        <v>0</v>
      </c>
      <c r="N17" s="79">
        <f t="shared" si="10"/>
        <v>0</v>
      </c>
      <c r="O17" s="79">
        <f t="shared" si="5"/>
        <v>0</v>
      </c>
      <c r="Q17" s="73" t="s">
        <v>0</v>
      </c>
      <c r="R17" s="73" t="s">
        <v>1</v>
      </c>
      <c r="S17" s="73" t="str">
        <f>S6</f>
        <v xml:space="preserve">SANS REMORQUE </v>
      </c>
      <c r="T17" s="73" t="str">
        <f>T6</f>
        <v xml:space="preserve">AVEC REMORQUE </v>
      </c>
      <c r="U17" s="73" t="s">
        <v>23</v>
      </c>
      <c r="W17" s="73" t="str">
        <f>W6</f>
        <v xml:space="preserve">SANS REMORQUE </v>
      </c>
      <c r="X17" s="73" t="str">
        <f>X6</f>
        <v xml:space="preserve">AVEC REMORQUE </v>
      </c>
      <c r="Y17" s="73" t="s">
        <v>23</v>
      </c>
    </row>
    <row r="18" spans="1:25" s="73" customFormat="1">
      <c r="A18" s="308"/>
      <c r="B18" s="308"/>
      <c r="C18" s="308"/>
      <c r="D18" s="308"/>
      <c r="E18" s="79">
        <f t="shared" si="7"/>
        <v>0</v>
      </c>
      <c r="F18" s="79">
        <f t="shared" si="7"/>
        <v>29398</v>
      </c>
      <c r="G18" s="79">
        <f t="shared" si="11"/>
        <v>1</v>
      </c>
      <c r="H18" s="79">
        <f t="shared" si="11"/>
        <v>0</v>
      </c>
      <c r="I18" s="79">
        <f t="shared" si="8"/>
        <v>146986</v>
      </c>
      <c r="J18" s="79">
        <f>IF(C4&gt;10,1,0)</f>
        <v>1</v>
      </c>
      <c r="K18" s="79">
        <f>IF(C4&lt;17,1,0)</f>
        <v>0</v>
      </c>
      <c r="L18" s="79">
        <f t="shared" si="9"/>
        <v>0</v>
      </c>
      <c r="M18" s="73">
        <f t="shared" si="4"/>
        <v>0</v>
      </c>
      <c r="N18" s="79">
        <f t="shared" si="10"/>
        <v>0</v>
      </c>
      <c r="O18" s="79">
        <f t="shared" si="5"/>
        <v>0</v>
      </c>
      <c r="Q18" s="73" t="s">
        <v>9</v>
      </c>
      <c r="R18" s="73" t="s">
        <v>9</v>
      </c>
      <c r="S18" s="79">
        <v>60162</v>
      </c>
      <c r="T18" s="79">
        <v>72195</v>
      </c>
      <c r="U18" s="79">
        <v>0</v>
      </c>
      <c r="W18" s="79">
        <v>72195</v>
      </c>
      <c r="X18" s="79">
        <v>84333</v>
      </c>
      <c r="Y18" s="79">
        <v>0</v>
      </c>
    </row>
    <row r="19" spans="1:25" s="73" customFormat="1">
      <c r="A19" s="308"/>
      <c r="B19" s="308"/>
      <c r="C19" s="308"/>
      <c r="D19" s="308"/>
      <c r="E19" s="79">
        <f t="shared" si="7"/>
        <v>0</v>
      </c>
      <c r="F19" s="79">
        <f t="shared" si="7"/>
        <v>34001</v>
      </c>
      <c r="G19" s="79">
        <f t="shared" si="11"/>
        <v>1</v>
      </c>
      <c r="H19" s="79">
        <f t="shared" si="11"/>
        <v>0</v>
      </c>
      <c r="I19" s="79">
        <f t="shared" si="8"/>
        <v>170005</v>
      </c>
      <c r="J19" s="79">
        <f>IF(C4&gt;16,1,0)</f>
        <v>1</v>
      </c>
      <c r="K19" s="79">
        <f>IF(C4&lt;9999999999,1,0)</f>
        <v>1</v>
      </c>
      <c r="L19" s="79">
        <f t="shared" si="9"/>
        <v>1</v>
      </c>
      <c r="M19" s="73">
        <f t="shared" si="4"/>
        <v>170005</v>
      </c>
      <c r="N19" s="79">
        <f t="shared" si="10"/>
        <v>0</v>
      </c>
      <c r="O19" s="79">
        <f t="shared" si="5"/>
        <v>34001</v>
      </c>
      <c r="Q19" s="73" t="s">
        <v>4</v>
      </c>
      <c r="R19" s="73" t="s">
        <v>10</v>
      </c>
      <c r="S19" s="79">
        <v>72881</v>
      </c>
      <c r="T19" s="79">
        <v>87459</v>
      </c>
      <c r="U19" s="79">
        <v>0</v>
      </c>
      <c r="W19" s="79">
        <v>87459</v>
      </c>
      <c r="X19" s="79">
        <v>104949</v>
      </c>
      <c r="Y19" s="79">
        <v>0</v>
      </c>
    </row>
    <row r="20" spans="1:25" s="73" customFormat="1">
      <c r="B20" s="308">
        <f>(A25+C25+D25)</f>
        <v>146986</v>
      </c>
      <c r="C20" s="308"/>
      <c r="D20" s="308"/>
      <c r="E20" s="313">
        <f>IF(CONTRATS!E24="VEHICULE AVEC DOUBLE COMMANDE",1,0)</f>
        <v>0</v>
      </c>
      <c r="G20" s="308">
        <f>B20*E20</f>
        <v>0</v>
      </c>
      <c r="M20" s="73">
        <f>SUM(M14:M19)</f>
        <v>170005</v>
      </c>
      <c r="N20" s="73">
        <f>SUM(N14:N19)</f>
        <v>0</v>
      </c>
      <c r="O20" s="79">
        <f>SUM(O14:O19)</f>
        <v>34001</v>
      </c>
      <c r="Q20" s="73" t="s">
        <v>5</v>
      </c>
      <c r="R20" s="73" t="s">
        <v>11</v>
      </c>
      <c r="S20" s="79">
        <v>82849</v>
      </c>
      <c r="T20" s="79">
        <v>99420</v>
      </c>
      <c r="U20" s="79">
        <v>0</v>
      </c>
      <c r="W20" s="79">
        <v>99420</v>
      </c>
      <c r="X20" s="79">
        <v>119304</v>
      </c>
      <c r="Y20" s="79">
        <v>0</v>
      </c>
    </row>
    <row r="21" spans="1:25" s="73" customFormat="1">
      <c r="B21" s="308"/>
      <c r="C21" s="308"/>
      <c r="D21" s="308"/>
      <c r="E21" s="309"/>
      <c r="G21" s="308"/>
      <c r="Q21" s="73" t="s">
        <v>6</v>
      </c>
      <c r="R21" s="73" t="s">
        <v>12</v>
      </c>
      <c r="S21" s="79">
        <v>124103</v>
      </c>
      <c r="T21" s="79">
        <v>148925</v>
      </c>
      <c r="U21" s="79">
        <v>0</v>
      </c>
      <c r="W21" s="79">
        <v>148925</v>
      </c>
      <c r="X21" s="79">
        <v>178711</v>
      </c>
      <c r="Y21" s="79">
        <v>0</v>
      </c>
    </row>
    <row r="22" spans="1:25" s="73" customFormat="1">
      <c r="B22" s="308"/>
      <c r="C22" s="308"/>
      <c r="D22" s="308"/>
      <c r="E22" s="309"/>
      <c r="G22" s="308"/>
      <c r="Q22" s="73" t="s">
        <v>38</v>
      </c>
      <c r="R22" s="73" t="s">
        <v>13</v>
      </c>
      <c r="S22" s="79">
        <v>153668</v>
      </c>
      <c r="T22" s="79">
        <v>184401</v>
      </c>
      <c r="U22" s="79">
        <v>0</v>
      </c>
      <c r="W22" s="79">
        <v>184401</v>
      </c>
      <c r="X22" s="79">
        <v>221281</v>
      </c>
      <c r="Y22" s="79">
        <v>0</v>
      </c>
    </row>
    <row r="23" spans="1:25" s="73" customFormat="1">
      <c r="Q23" s="73" t="s">
        <v>8</v>
      </c>
      <c r="R23" s="73" t="s">
        <v>14</v>
      </c>
      <c r="S23" s="79">
        <v>177733</v>
      </c>
      <c r="T23" s="79">
        <v>213279</v>
      </c>
      <c r="U23" s="79">
        <v>0</v>
      </c>
      <c r="W23" s="79">
        <v>213279</v>
      </c>
      <c r="X23" s="79">
        <v>255935</v>
      </c>
      <c r="Y23" s="79">
        <v>0</v>
      </c>
    </row>
    <row r="24" spans="1:25" s="73" customFormat="1">
      <c r="A24" s="73">
        <f>IF(G4="SEMI-REMORQUE",1,0)</f>
        <v>0</v>
      </c>
      <c r="C24" s="73">
        <f>IF(G4="SEMI-REMORQUE",0,1)</f>
        <v>1</v>
      </c>
      <c r="D24" s="73">
        <f>IF(E4="YES",1,0)</f>
        <v>0</v>
      </c>
    </row>
    <row r="25" spans="1:25" s="73" customFormat="1" ht="15.75" thickBot="1">
      <c r="A25" s="79">
        <f>A17*A24</f>
        <v>0</v>
      </c>
      <c r="C25" s="73">
        <f>C24*B17</f>
        <v>146986</v>
      </c>
      <c r="D25" s="73">
        <f>D24*D17</f>
        <v>0</v>
      </c>
    </row>
    <row r="26" spans="1:25" s="73" customFormat="1" ht="15.75" thickBot="1">
      <c r="B26" s="310" t="str">
        <f>W27</f>
        <v>VEHICULE SANS  DOUBLE COMMANDE</v>
      </c>
      <c r="C26" s="311"/>
      <c r="D26" s="312"/>
      <c r="G26" s="73" t="s">
        <v>0</v>
      </c>
      <c r="H26" s="73" t="s">
        <v>1</v>
      </c>
      <c r="I26" s="73" t="s">
        <v>20</v>
      </c>
      <c r="J26" s="73" t="s">
        <v>2</v>
      </c>
      <c r="K26" s="73" t="s">
        <v>24</v>
      </c>
      <c r="L26" s="73" t="s">
        <v>25</v>
      </c>
      <c r="R26" s="73" t="s">
        <v>17</v>
      </c>
    </row>
    <row r="27" spans="1:25" s="73" customFormat="1">
      <c r="A27" s="94"/>
      <c r="B27" s="95"/>
      <c r="C27" s="96" t="s">
        <v>21</v>
      </c>
      <c r="D27" s="95" t="s">
        <v>22</v>
      </c>
      <c r="E27" s="94" t="s">
        <v>23</v>
      </c>
      <c r="S27" s="307" t="str">
        <f>S16</f>
        <v>VEHICULE AVEC DOUBLE COMMANDE</v>
      </c>
      <c r="T27" s="307"/>
      <c r="U27" s="307"/>
      <c r="W27" s="307" t="str">
        <f>W16</f>
        <v>VEHICULE SANS  DOUBLE COMMANDE</v>
      </c>
      <c r="X27" s="307"/>
      <c r="Y27" s="307"/>
    </row>
    <row r="28" spans="1:25" s="73" customFormat="1">
      <c r="A28" s="97" t="str">
        <f>'CAT 3'!A4</f>
        <v>ZONE C</v>
      </c>
      <c r="B28" s="97" t="str">
        <f>'CAT 3'!B4</f>
        <v>SANS REMORQUE</v>
      </c>
      <c r="C28" s="98">
        <f>'CAT 3'!C4</f>
        <v>19</v>
      </c>
      <c r="D28" s="97" t="str">
        <f>'CAT 3'!D4</f>
        <v>ESSENCE</v>
      </c>
      <c r="E28" s="98" t="str">
        <f>[1]CONTRATS!$B$21</f>
        <v>NO</v>
      </c>
      <c r="G28" s="73" t="str">
        <f>G4</f>
        <v>VT</v>
      </c>
      <c r="Q28" s="73" t="s">
        <v>0</v>
      </c>
      <c r="R28" s="73" t="s">
        <v>1</v>
      </c>
      <c r="S28" s="73" t="str">
        <f>S17</f>
        <v xml:space="preserve">SANS REMORQUE </v>
      </c>
      <c r="T28" s="73" t="str">
        <f>T17</f>
        <v xml:space="preserve">AVEC REMORQUE </v>
      </c>
      <c r="U28" s="73" t="s">
        <v>23</v>
      </c>
      <c r="W28" s="73" t="str">
        <f>W17</f>
        <v xml:space="preserve">SANS REMORQUE </v>
      </c>
      <c r="X28" s="73" t="str">
        <f>X17</f>
        <v xml:space="preserve">AVEC REMORQUE </v>
      </c>
      <c r="Y28" s="73" t="s">
        <v>23</v>
      </c>
    </row>
    <row r="29" spans="1:25" s="73" customFormat="1">
      <c r="Q29" s="73" t="s">
        <v>9</v>
      </c>
      <c r="R29" s="73" t="s">
        <v>9</v>
      </c>
      <c r="S29" s="79">
        <v>57547</v>
      </c>
      <c r="T29" s="79">
        <v>69056</v>
      </c>
      <c r="U29" s="79">
        <v>0</v>
      </c>
      <c r="W29" s="79">
        <v>69056</v>
      </c>
      <c r="X29" s="79">
        <v>80666</v>
      </c>
      <c r="Y29" s="79">
        <v>0</v>
      </c>
    </row>
    <row r="30" spans="1:25" s="73" customFormat="1">
      <c r="A30" s="73" t="s">
        <v>0</v>
      </c>
      <c r="B30" s="73" t="s">
        <v>1</v>
      </c>
      <c r="C30" s="73" t="s">
        <v>3</v>
      </c>
      <c r="D30" s="73" t="s">
        <v>2</v>
      </c>
      <c r="E30" s="73" t="s">
        <v>23</v>
      </c>
      <c r="F30" s="77" t="s">
        <v>112</v>
      </c>
      <c r="J30" s="307" t="s">
        <v>18</v>
      </c>
      <c r="K30" s="307"/>
      <c r="L30" s="307"/>
      <c r="O30" s="77" t="s">
        <v>112</v>
      </c>
      <c r="Q30" s="73" t="s">
        <v>4</v>
      </c>
      <c r="R30" s="73" t="s">
        <v>10</v>
      </c>
      <c r="S30" s="79">
        <v>69713</v>
      </c>
      <c r="T30" s="79">
        <v>83656</v>
      </c>
      <c r="U30" s="79">
        <v>0</v>
      </c>
      <c r="W30" s="79">
        <v>83656</v>
      </c>
      <c r="X30" s="79">
        <v>100386</v>
      </c>
      <c r="Y30" s="79">
        <v>0</v>
      </c>
    </row>
    <row r="31" spans="1:25" s="73" customFormat="1">
      <c r="A31" s="73" t="s">
        <v>9</v>
      </c>
      <c r="B31" s="73" t="s">
        <v>9</v>
      </c>
      <c r="C31" s="79">
        <f>IF(A28="ZONE A",W7,IF(A28="ZONE B",W18,IF(A28="ZONE C",W29,0)))</f>
        <v>69056</v>
      </c>
      <c r="D31" s="79">
        <f>IF(A28="ZONE A",X7,IF(A28="ZONE B",X18,IF(A28="ZONE C",X29,0)))</f>
        <v>80666</v>
      </c>
      <c r="E31" s="79">
        <f>IF(A28="ZONE A",U31,IF(A28="ZONE B",U42,IF(A28="ZONE C",U53,0)))</f>
        <v>0</v>
      </c>
      <c r="F31" s="79">
        <f t="shared" ref="F31:F36" si="12">D31-C31</f>
        <v>11610</v>
      </c>
      <c r="G31" s="79">
        <f>IF(B28="SANS REMORQUE",1,0)</f>
        <v>1</v>
      </c>
      <c r="H31" s="79">
        <f>IF(B28="SANS REMORQUE",0,1)</f>
        <v>0</v>
      </c>
      <c r="I31" s="79">
        <f t="shared" ref="I31:I36" si="13">C31*G31+D31*H31</f>
        <v>69056</v>
      </c>
      <c r="J31" s="79">
        <f>IF(C28&gt;0,1,0)</f>
        <v>1</v>
      </c>
      <c r="K31" s="79">
        <f>IF(C28&lt;2,1,0)</f>
        <v>0</v>
      </c>
      <c r="L31" s="79">
        <f t="shared" ref="L31:L36" si="14">J31*K31</f>
        <v>0</v>
      </c>
      <c r="M31" s="73">
        <f t="shared" ref="M31:M36" si="15">L31*I31</f>
        <v>0</v>
      </c>
      <c r="N31" s="79">
        <f t="shared" ref="N31:N36" si="16">E31*L31</f>
        <v>0</v>
      </c>
      <c r="O31" s="79">
        <f>L31*F31</f>
        <v>0</v>
      </c>
      <c r="Q31" s="73" t="s">
        <v>5</v>
      </c>
      <c r="R31" s="73" t="s">
        <v>11</v>
      </c>
      <c r="S31" s="79">
        <v>79247</v>
      </c>
      <c r="T31" s="79">
        <v>95097</v>
      </c>
      <c r="U31" s="79">
        <v>0</v>
      </c>
      <c r="W31" s="79">
        <v>95097</v>
      </c>
      <c r="X31" s="79">
        <v>114117</v>
      </c>
      <c r="Y31" s="79">
        <v>0</v>
      </c>
    </row>
    <row r="32" spans="1:25" s="73" customFormat="1">
      <c r="A32" s="73" t="s">
        <v>4</v>
      </c>
      <c r="B32" s="73" t="s">
        <v>10</v>
      </c>
      <c r="C32" s="79">
        <f>IF(A28="ZONE A",W8,IF(A28="ZONE B",W19,IF(A28="ZONE C",W30,0)))</f>
        <v>83656</v>
      </c>
      <c r="D32" s="79">
        <f>IF(A28="ZONE A",X8,IF(A28="ZONE B",X19,IF(A28="ZONE C",X30,0)))</f>
        <v>100386</v>
      </c>
      <c r="E32" s="79">
        <f>IF(A28="ZONE A",U32,IF(A28="ZONE B",U43,IF(A28="ZONE C",U54,0)))</f>
        <v>0</v>
      </c>
      <c r="F32" s="79">
        <f t="shared" si="12"/>
        <v>16730</v>
      </c>
      <c r="G32" s="79">
        <f t="shared" ref="G32:H36" si="17">G31</f>
        <v>1</v>
      </c>
      <c r="H32" s="79">
        <f t="shared" si="17"/>
        <v>0</v>
      </c>
      <c r="I32" s="79">
        <f t="shared" si="13"/>
        <v>83656</v>
      </c>
      <c r="J32" s="79">
        <f>IF(C28&gt;2,1,0)</f>
        <v>1</v>
      </c>
      <c r="K32" s="79">
        <f>IF(C28&lt;7,1,0)</f>
        <v>0</v>
      </c>
      <c r="L32" s="79">
        <f t="shared" si="14"/>
        <v>0</v>
      </c>
      <c r="M32" s="73">
        <f t="shared" si="15"/>
        <v>0</v>
      </c>
      <c r="N32" s="79">
        <f t="shared" si="16"/>
        <v>0</v>
      </c>
      <c r="O32" s="79">
        <f t="shared" ref="O32:O43" si="18">L32*F32</f>
        <v>0</v>
      </c>
      <c r="Q32" s="73" t="s">
        <v>6</v>
      </c>
      <c r="R32" s="73" t="s">
        <v>12</v>
      </c>
      <c r="S32" s="79">
        <v>118708</v>
      </c>
      <c r="T32" s="79">
        <v>142450</v>
      </c>
      <c r="U32" s="79">
        <v>0</v>
      </c>
      <c r="W32" s="79">
        <v>142450</v>
      </c>
      <c r="X32" s="79">
        <v>170941</v>
      </c>
      <c r="Y32" s="79">
        <v>0</v>
      </c>
    </row>
    <row r="33" spans="1:25" s="73" customFormat="1">
      <c r="A33" s="73" t="s">
        <v>5</v>
      </c>
      <c r="B33" s="73" t="s">
        <v>11</v>
      </c>
      <c r="C33" s="79">
        <f>IF(A28="ZONE A",W9,IF(A28="ZONE B",W20,IF(A28="ZONE C",W31,0)))</f>
        <v>95097</v>
      </c>
      <c r="D33" s="79">
        <f>IF(A28="ZONE A",X9,IF(A28="ZONE B",X20,IF(A28="ZONE C",X31,0)))</f>
        <v>114117</v>
      </c>
      <c r="E33" s="79">
        <f>IF(A28="ZONE A",U33,IF(A28="ZONE B",U44,IF(A28="ZONE C",U55,0)))</f>
        <v>0</v>
      </c>
      <c r="F33" s="79">
        <f t="shared" si="12"/>
        <v>19020</v>
      </c>
      <c r="G33" s="79">
        <f t="shared" si="17"/>
        <v>1</v>
      </c>
      <c r="H33" s="79">
        <f t="shared" si="17"/>
        <v>0</v>
      </c>
      <c r="I33" s="79">
        <f t="shared" si="13"/>
        <v>95097</v>
      </c>
      <c r="J33" s="79">
        <f>IF(C28&gt;6,1,0)</f>
        <v>1</v>
      </c>
      <c r="K33" s="79">
        <f>IF(C28&lt;11,1,0)</f>
        <v>0</v>
      </c>
      <c r="L33" s="79">
        <f t="shared" si="14"/>
        <v>0</v>
      </c>
      <c r="M33" s="73">
        <f t="shared" si="15"/>
        <v>0</v>
      </c>
      <c r="N33" s="79">
        <f t="shared" si="16"/>
        <v>0</v>
      </c>
      <c r="O33" s="79">
        <f t="shared" si="18"/>
        <v>0</v>
      </c>
      <c r="Q33" s="73" t="s">
        <v>7</v>
      </c>
      <c r="R33" s="73" t="s">
        <v>13</v>
      </c>
      <c r="S33" s="79">
        <v>146986</v>
      </c>
      <c r="T33" s="79">
        <v>176384</v>
      </c>
      <c r="U33" s="79">
        <v>0</v>
      </c>
      <c r="W33" s="79">
        <v>176384</v>
      </c>
      <c r="X33" s="79">
        <v>211660</v>
      </c>
      <c r="Y33" s="79">
        <v>0</v>
      </c>
    </row>
    <row r="34" spans="1:25" s="73" customFormat="1">
      <c r="A34" s="73" t="s">
        <v>6</v>
      </c>
      <c r="B34" s="73" t="s">
        <v>12</v>
      </c>
      <c r="C34" s="79">
        <f>IF(A28="ZONE A",W10,IF(A28="ZONE B",W21,IF(A28="ZONE C",W32,0)))</f>
        <v>142450</v>
      </c>
      <c r="D34" s="79">
        <f>IF(A28="ZONE A",X10,IF(A28="ZONE B",X21,IF(A28="ZONE C",X32,0)))</f>
        <v>170941</v>
      </c>
      <c r="E34" s="79">
        <f>IF(A28="ZONE A",U34,IF(A28="ZONE B",U45,IF(A28="ZONE C",U56,0)))</f>
        <v>0</v>
      </c>
      <c r="F34" s="79">
        <f t="shared" si="12"/>
        <v>28491</v>
      </c>
      <c r="G34" s="79">
        <f t="shared" si="17"/>
        <v>1</v>
      </c>
      <c r="H34" s="79">
        <f t="shared" si="17"/>
        <v>0</v>
      </c>
      <c r="I34" s="79">
        <f t="shared" si="13"/>
        <v>142450</v>
      </c>
      <c r="J34" s="79">
        <f>IF(C28&gt;10,1,0)</f>
        <v>1</v>
      </c>
      <c r="K34" s="79">
        <f>IF(C28&lt;15,1,0)</f>
        <v>0</v>
      </c>
      <c r="L34" s="79">
        <f t="shared" si="14"/>
        <v>0</v>
      </c>
      <c r="M34" s="73">
        <f t="shared" si="15"/>
        <v>0</v>
      </c>
      <c r="N34" s="79">
        <f t="shared" si="16"/>
        <v>0</v>
      </c>
      <c r="O34" s="79">
        <f t="shared" si="18"/>
        <v>0</v>
      </c>
      <c r="Q34" s="73" t="s">
        <v>8</v>
      </c>
      <c r="R34" s="73" t="s">
        <v>14</v>
      </c>
      <c r="S34" s="79">
        <v>170005</v>
      </c>
      <c r="T34" s="79">
        <v>204006</v>
      </c>
      <c r="U34" s="79">
        <v>0</v>
      </c>
      <c r="W34" s="79">
        <v>204006</v>
      </c>
      <c r="X34" s="79">
        <v>244807</v>
      </c>
      <c r="Y34" s="79">
        <v>0</v>
      </c>
    </row>
    <row r="35" spans="1:25" s="73" customFormat="1">
      <c r="A35" s="73" t="s">
        <v>7</v>
      </c>
      <c r="B35" s="73" t="s">
        <v>13</v>
      </c>
      <c r="C35" s="79">
        <f>IF(A28="ZONE A",W11,IF(A28="ZONE B",W22,IF(A28="ZONE C",W33,0)))</f>
        <v>176384</v>
      </c>
      <c r="D35" s="79">
        <f>IF(A28="ZONE A",X11,IF(A28="ZONE B",X22,IF(A28="ZONE C",X33,0)))</f>
        <v>211660</v>
      </c>
      <c r="E35" s="79">
        <f>IF(A28="ZONE A",U35,IF(A28="ZONE B",U46,IF(A28="ZONE C",U57,0)))</f>
        <v>0</v>
      </c>
      <c r="F35" s="79">
        <f t="shared" si="12"/>
        <v>35276</v>
      </c>
      <c r="G35" s="79">
        <f t="shared" si="17"/>
        <v>1</v>
      </c>
      <c r="H35" s="79">
        <f t="shared" si="17"/>
        <v>0</v>
      </c>
      <c r="I35" s="79">
        <f t="shared" si="13"/>
        <v>176384</v>
      </c>
      <c r="J35" s="79">
        <f>IF(C28&gt;14,1,0)</f>
        <v>1</v>
      </c>
      <c r="K35" s="79">
        <f>IF(C28&lt;24,1,0)</f>
        <v>1</v>
      </c>
      <c r="L35" s="79">
        <f t="shared" si="14"/>
        <v>1</v>
      </c>
      <c r="M35" s="73">
        <f t="shared" si="15"/>
        <v>176384</v>
      </c>
      <c r="N35" s="79">
        <f t="shared" si="16"/>
        <v>0</v>
      </c>
      <c r="O35" s="79">
        <f t="shared" si="18"/>
        <v>35276</v>
      </c>
    </row>
    <row r="36" spans="1:25" s="73" customFormat="1">
      <c r="A36" s="73" t="s">
        <v>8</v>
      </c>
      <c r="B36" s="73" t="s">
        <v>14</v>
      </c>
      <c r="C36" s="79">
        <f>IF(A28="ZONE A",W12,IF(A28="ZONE B",W23,IF(A28="ZONE C",W34,0)))</f>
        <v>204006</v>
      </c>
      <c r="D36" s="79">
        <f>IF(A28="ZONE A",X12,IF(A28="ZONE B",X23,IF(A28="ZONE C",X34,0)))</f>
        <v>244807</v>
      </c>
      <c r="E36" s="79">
        <f>IF(A28="ZONE A",U36,IF(A28="ZONE B",U47,IF(A28="ZONE C",U58,0)))</f>
        <v>0</v>
      </c>
      <c r="F36" s="79">
        <f t="shared" si="12"/>
        <v>40801</v>
      </c>
      <c r="G36" s="79">
        <f t="shared" si="17"/>
        <v>1</v>
      </c>
      <c r="H36" s="79">
        <f t="shared" si="17"/>
        <v>0</v>
      </c>
      <c r="I36" s="79">
        <f t="shared" si="13"/>
        <v>204006</v>
      </c>
      <c r="J36" s="79">
        <f>IF(C28&gt;23,1,0)</f>
        <v>0</v>
      </c>
      <c r="K36" s="79">
        <f>IF(C28&lt;9999999999,1,0)</f>
        <v>1</v>
      </c>
      <c r="L36" s="79">
        <f t="shared" si="14"/>
        <v>0</v>
      </c>
      <c r="M36" s="73">
        <f t="shared" si="15"/>
        <v>0</v>
      </c>
      <c r="N36" s="79">
        <f t="shared" si="16"/>
        <v>0</v>
      </c>
      <c r="O36" s="79">
        <f t="shared" si="18"/>
        <v>0</v>
      </c>
    </row>
    <row r="37" spans="1:25" s="73" customFormat="1">
      <c r="J37" s="307" t="s">
        <v>19</v>
      </c>
      <c r="K37" s="307"/>
      <c r="L37" s="307"/>
      <c r="M37" s="73">
        <f>SUM(M31:M36)</f>
        <v>176384</v>
      </c>
      <c r="N37" s="73">
        <f>SUM(N31:N36)</f>
        <v>0</v>
      </c>
      <c r="O37" s="79">
        <f>SUM(O31:O36)</f>
        <v>35276</v>
      </c>
    </row>
    <row r="38" spans="1:25" s="73" customFormat="1">
      <c r="E38" s="79">
        <f t="shared" ref="E38:F43" si="19">E31</f>
        <v>0</v>
      </c>
      <c r="F38" s="79">
        <f>F31</f>
        <v>11610</v>
      </c>
      <c r="G38" s="79">
        <f>IF(B28="SANS REMORQUE",1,0)</f>
        <v>1</v>
      </c>
      <c r="H38" s="79">
        <f>IF(B28="SANS REMORQUE",0,1)</f>
        <v>0</v>
      </c>
      <c r="I38" s="79">
        <f t="shared" ref="I38:I43" si="20">C31*G38+D31*H38</f>
        <v>69056</v>
      </c>
      <c r="J38" s="79">
        <f>IF(C28&gt;0,1,0)</f>
        <v>1</v>
      </c>
      <c r="K38" s="79">
        <f>IF(C28&lt;=1,1,0)</f>
        <v>0</v>
      </c>
      <c r="L38" s="79">
        <f t="shared" ref="L38:L43" si="21">J38*K38</f>
        <v>0</v>
      </c>
      <c r="M38" s="73">
        <f t="shared" ref="M38:M43" si="22">L38*I38</f>
        <v>0</v>
      </c>
      <c r="N38" s="79">
        <f t="shared" ref="N38:N43" si="23">E38*L38</f>
        <v>0</v>
      </c>
      <c r="O38" s="79">
        <f t="shared" si="18"/>
        <v>0</v>
      </c>
    </row>
    <row r="39" spans="1:25" s="73" customFormat="1">
      <c r="E39" s="79">
        <f t="shared" si="19"/>
        <v>0</v>
      </c>
      <c r="F39" s="79">
        <f t="shared" si="19"/>
        <v>16730</v>
      </c>
      <c r="G39" s="79">
        <f t="shared" ref="G39:H43" si="24">G38</f>
        <v>1</v>
      </c>
      <c r="H39" s="79">
        <f t="shared" si="24"/>
        <v>0</v>
      </c>
      <c r="I39" s="79">
        <f t="shared" si="20"/>
        <v>83656</v>
      </c>
      <c r="J39" s="79">
        <f>IF(C28&gt;1,1,0)</f>
        <v>1</v>
      </c>
      <c r="K39" s="79">
        <f>IF(C28&lt;5,1,0)</f>
        <v>0</v>
      </c>
      <c r="L39" s="79">
        <f t="shared" si="21"/>
        <v>0</v>
      </c>
      <c r="M39" s="73">
        <f t="shared" si="22"/>
        <v>0</v>
      </c>
      <c r="N39" s="79">
        <f t="shared" si="23"/>
        <v>0</v>
      </c>
      <c r="O39" s="79">
        <f t="shared" si="18"/>
        <v>0</v>
      </c>
    </row>
    <row r="40" spans="1:25" s="73" customFormat="1">
      <c r="A40" s="78" t="s">
        <v>300</v>
      </c>
      <c r="B40" s="307" t="s">
        <v>26</v>
      </c>
      <c r="C40" s="307"/>
      <c r="D40" s="99" t="s">
        <v>27</v>
      </c>
      <c r="E40" s="79">
        <f t="shared" si="19"/>
        <v>0</v>
      </c>
      <c r="F40" s="79">
        <f t="shared" si="19"/>
        <v>19020</v>
      </c>
      <c r="G40" s="79">
        <f t="shared" si="24"/>
        <v>1</v>
      </c>
      <c r="H40" s="79">
        <f t="shared" si="24"/>
        <v>0</v>
      </c>
      <c r="I40" s="79">
        <f t="shared" si="20"/>
        <v>95097</v>
      </c>
      <c r="J40" s="79">
        <f>IF(C28&gt;4,1,0)</f>
        <v>1</v>
      </c>
      <c r="K40" s="79">
        <f>IF(C28&lt;8,1,0)</f>
        <v>0</v>
      </c>
      <c r="L40" s="79">
        <f t="shared" si="21"/>
        <v>0</v>
      </c>
      <c r="M40" s="73">
        <f t="shared" si="22"/>
        <v>0</v>
      </c>
      <c r="N40" s="79">
        <f t="shared" si="23"/>
        <v>0</v>
      </c>
      <c r="O40" s="79">
        <f>L40*F40</f>
        <v>0</v>
      </c>
    </row>
    <row r="41" spans="1:25" s="73" customFormat="1">
      <c r="A41" s="308">
        <f>IF(D28="ESSENCE",O37,O44)</f>
        <v>35276</v>
      </c>
      <c r="B41" s="308">
        <f>IF(D28="ESSENCE",M37,M44)</f>
        <v>176384</v>
      </c>
      <c r="C41" s="308"/>
      <c r="D41" s="308">
        <f>IF(D28="ESSENCE",N37,N44)</f>
        <v>0</v>
      </c>
      <c r="E41" s="79">
        <f t="shared" si="19"/>
        <v>0</v>
      </c>
      <c r="F41" s="79">
        <f t="shared" si="19"/>
        <v>28491</v>
      </c>
      <c r="G41" s="79">
        <f t="shared" si="24"/>
        <v>1</v>
      </c>
      <c r="H41" s="79">
        <f t="shared" si="24"/>
        <v>0</v>
      </c>
      <c r="I41" s="79">
        <f t="shared" si="20"/>
        <v>142450</v>
      </c>
      <c r="J41" s="79">
        <f>IF(C28&gt;7,1,0)</f>
        <v>1</v>
      </c>
      <c r="K41" s="79">
        <f>IF(C28&lt;11,1,0)</f>
        <v>0</v>
      </c>
      <c r="L41" s="79">
        <f t="shared" si="21"/>
        <v>0</v>
      </c>
      <c r="M41" s="73">
        <f t="shared" si="22"/>
        <v>0</v>
      </c>
      <c r="N41" s="79">
        <f t="shared" si="23"/>
        <v>0</v>
      </c>
      <c r="O41" s="79">
        <f t="shared" si="18"/>
        <v>0</v>
      </c>
    </row>
    <row r="42" spans="1:25" s="73" customFormat="1">
      <c r="A42" s="308"/>
      <c r="B42" s="308"/>
      <c r="C42" s="308"/>
      <c r="D42" s="308"/>
      <c r="E42" s="79">
        <f t="shared" si="19"/>
        <v>0</v>
      </c>
      <c r="F42" s="79">
        <f t="shared" si="19"/>
        <v>35276</v>
      </c>
      <c r="G42" s="79">
        <f t="shared" si="24"/>
        <v>1</v>
      </c>
      <c r="H42" s="79">
        <f t="shared" si="24"/>
        <v>0</v>
      </c>
      <c r="I42" s="79">
        <f t="shared" si="20"/>
        <v>176384</v>
      </c>
      <c r="J42" s="79">
        <f>IF(C28&gt;10,1,0)</f>
        <v>1</v>
      </c>
      <c r="K42" s="79">
        <f>IF(C28&lt;17,1,0)</f>
        <v>0</v>
      </c>
      <c r="L42" s="79">
        <f t="shared" si="21"/>
        <v>0</v>
      </c>
      <c r="M42" s="73">
        <f t="shared" si="22"/>
        <v>0</v>
      </c>
      <c r="N42" s="79">
        <f t="shared" si="23"/>
        <v>0</v>
      </c>
      <c r="O42" s="79">
        <f t="shared" si="18"/>
        <v>0</v>
      </c>
    </row>
    <row r="43" spans="1:25" s="73" customFormat="1">
      <c r="A43" s="308"/>
      <c r="B43" s="308"/>
      <c r="C43" s="308"/>
      <c r="D43" s="308"/>
      <c r="E43" s="79">
        <f t="shared" si="19"/>
        <v>0</v>
      </c>
      <c r="F43" s="79">
        <f t="shared" si="19"/>
        <v>40801</v>
      </c>
      <c r="G43" s="79">
        <f t="shared" si="24"/>
        <v>1</v>
      </c>
      <c r="H43" s="79">
        <f t="shared" si="24"/>
        <v>0</v>
      </c>
      <c r="I43" s="79">
        <f t="shared" si="20"/>
        <v>204006</v>
      </c>
      <c r="J43" s="79">
        <f>IF(C28&gt;16,1,0)</f>
        <v>1</v>
      </c>
      <c r="K43" s="79">
        <f>IF(C28&lt;9999999999,1,0)</f>
        <v>1</v>
      </c>
      <c r="L43" s="79">
        <f t="shared" si="21"/>
        <v>1</v>
      </c>
      <c r="M43" s="73">
        <f t="shared" si="22"/>
        <v>204006</v>
      </c>
      <c r="N43" s="79">
        <f t="shared" si="23"/>
        <v>0</v>
      </c>
      <c r="O43" s="79">
        <f t="shared" si="18"/>
        <v>40801</v>
      </c>
    </row>
    <row r="44" spans="1:25" s="73" customFormat="1">
      <c r="B44" s="308">
        <f>(A49+C49+D49)</f>
        <v>176384</v>
      </c>
      <c r="C44" s="308"/>
      <c r="D44" s="308"/>
      <c r="E44" s="313">
        <f>IF(CONTRATS!E24="VEHICULE SANS DOUBLE COMMANDE",1,0)</f>
        <v>0</v>
      </c>
      <c r="G44" s="308">
        <f>B44*E44</f>
        <v>0</v>
      </c>
      <c r="M44" s="73">
        <f>SUM(M38:M43)</f>
        <v>204006</v>
      </c>
      <c r="N44" s="73">
        <f>SUM(N38:N43)</f>
        <v>0</v>
      </c>
      <c r="O44" s="79">
        <f>SUM(O38:O43)</f>
        <v>40801</v>
      </c>
    </row>
    <row r="45" spans="1:25" s="73" customFormat="1">
      <c r="B45" s="308"/>
      <c r="C45" s="308"/>
      <c r="D45" s="308"/>
      <c r="E45" s="309"/>
      <c r="G45" s="308"/>
    </row>
    <row r="46" spans="1:25" s="73" customFormat="1">
      <c r="B46" s="308"/>
      <c r="C46" s="308"/>
      <c r="D46" s="308"/>
      <c r="E46" s="309"/>
      <c r="G46" s="308"/>
    </row>
    <row r="47" spans="1:25" s="73" customFormat="1"/>
    <row r="48" spans="1:25" s="73" customFormat="1">
      <c r="A48" s="73">
        <f>IF(G28="SEMI-REMORQUE",1,0)</f>
        <v>0</v>
      </c>
      <c r="C48" s="73">
        <f>IF(G28="SEMI-REMORQUE",0,1)</f>
        <v>1</v>
      </c>
      <c r="D48" s="73">
        <f>IF(E28="YES",1,0)</f>
        <v>0</v>
      </c>
    </row>
    <row r="49" spans="1:4" s="73" customFormat="1">
      <c r="A49" s="73">
        <f>A41*A48</f>
        <v>0</v>
      </c>
      <c r="C49" s="73">
        <f>C48*B41</f>
        <v>176384</v>
      </c>
      <c r="D49" s="73">
        <f>D48*D41</f>
        <v>0</v>
      </c>
    </row>
    <row r="50" spans="1:4" s="73" customFormat="1"/>
    <row r="51" spans="1:4" s="73" customFormat="1"/>
    <row r="52" spans="1:4" s="73" customFormat="1"/>
    <row r="53" spans="1:4" s="73" customFormat="1"/>
    <row r="54" spans="1:4" s="73" customFormat="1"/>
    <row r="55" spans="1:4" s="73" customFormat="1"/>
    <row r="56" spans="1:4" s="73" customFormat="1"/>
    <row r="57" spans="1:4" s="73" customFormat="1"/>
    <row r="58" spans="1:4" s="73" customFormat="1"/>
    <row r="59" spans="1:4" s="73" customFormat="1">
      <c r="B59" s="308">
        <f>(G20+G44)*IF(CONTRATS!C24=0,0,1)*IF(CONTRATS!E24=0,0,1)*IF(CONTRATS!B24="NO",1,0)</f>
        <v>0</v>
      </c>
      <c r="C59" s="309"/>
      <c r="D59" s="309"/>
    </row>
    <row r="60" spans="1:4" s="73" customFormat="1">
      <c r="B60" s="309"/>
      <c r="C60" s="309"/>
      <c r="D60" s="309"/>
    </row>
    <row r="61" spans="1:4" s="73" customFormat="1">
      <c r="B61" s="309"/>
      <c r="C61" s="309"/>
      <c r="D61" s="309"/>
    </row>
    <row r="62" spans="1:4" s="73" customFormat="1">
      <c r="B62" s="309"/>
      <c r="C62" s="309"/>
      <c r="D62" s="309"/>
    </row>
    <row r="63" spans="1:4" s="73" customFormat="1"/>
    <row r="64" spans="1:4" s="73" customFormat="1"/>
    <row r="65" s="73" customFormat="1"/>
    <row r="66" s="73" customFormat="1"/>
    <row r="67" s="73" customFormat="1"/>
    <row r="68" s="73" customFormat="1"/>
    <row r="69" s="73" customFormat="1"/>
    <row r="70" s="73" customFormat="1"/>
    <row r="71" s="73" customFormat="1"/>
    <row r="72" s="73" customFormat="1"/>
    <row r="73" s="73" customFormat="1"/>
    <row r="74" s="73" customFormat="1"/>
    <row r="75" s="73" customFormat="1"/>
    <row r="76" s="73" customFormat="1"/>
    <row r="77" s="73" customFormat="1"/>
    <row r="78" s="73" customFormat="1"/>
    <row r="79" s="73" customFormat="1"/>
    <row r="80" s="73" customFormat="1"/>
    <row r="81" s="73" customFormat="1"/>
    <row r="82" s="73" customFormat="1"/>
    <row r="83" s="73" customFormat="1"/>
    <row r="84" s="73" customFormat="1"/>
    <row r="85" s="73" customFormat="1"/>
    <row r="86" s="73" customFormat="1"/>
    <row r="87" s="73" customFormat="1"/>
    <row r="88" s="73" customFormat="1"/>
    <row r="89" s="73" customFormat="1"/>
    <row r="90" s="73" customFormat="1"/>
    <row r="91" s="73" customFormat="1"/>
    <row r="92" s="73" customFormat="1"/>
    <row r="93" s="73" customFormat="1"/>
    <row r="94" s="73" customFormat="1"/>
    <row r="95" s="73" customFormat="1"/>
    <row r="96" s="73" customFormat="1"/>
    <row r="97" s="73" customFormat="1"/>
    <row r="98" s="73" customFormat="1"/>
    <row r="99" s="73" customFormat="1"/>
    <row r="100" s="73" customFormat="1"/>
    <row r="101" s="73" customFormat="1"/>
    <row r="102" s="73" customFormat="1"/>
    <row r="103" s="73" customFormat="1"/>
    <row r="104" s="73" customFormat="1"/>
    <row r="105" s="73" customFormat="1"/>
    <row r="106" s="73" customFormat="1"/>
    <row r="107" s="73" customFormat="1"/>
    <row r="108" s="73" customFormat="1"/>
    <row r="109" s="73" customFormat="1"/>
    <row r="110" s="73" customFormat="1"/>
    <row r="111" s="73" customFormat="1"/>
    <row r="112" s="73" customFormat="1"/>
    <row r="113" s="73" customFormat="1"/>
    <row r="114" s="73" customFormat="1"/>
    <row r="115" s="73" customFormat="1"/>
    <row r="116" s="73" customFormat="1"/>
    <row r="117" s="73" customFormat="1"/>
    <row r="118" s="73" customFormat="1"/>
    <row r="119" s="73" customFormat="1"/>
    <row r="120" s="73" customFormat="1"/>
    <row r="121" s="73" customFormat="1"/>
    <row r="122" s="73" customFormat="1"/>
    <row r="123" s="73" customFormat="1"/>
    <row r="124" s="73" customFormat="1"/>
    <row r="125" s="73" customFormat="1"/>
    <row r="126" s="73" customFormat="1"/>
    <row r="127" s="73" customFormat="1"/>
    <row r="128" s="73" customFormat="1"/>
    <row r="129" s="73" customFormat="1"/>
    <row r="130" s="73" customFormat="1"/>
    <row r="131" s="73" customFormat="1"/>
    <row r="132" s="73" customFormat="1"/>
    <row r="133" s="73" customFormat="1"/>
    <row r="134" s="73" customFormat="1"/>
    <row r="135" s="73" customFormat="1"/>
    <row r="136" s="73" customFormat="1"/>
    <row r="137" s="73" customFormat="1"/>
    <row r="138" s="73" customFormat="1"/>
    <row r="139" s="73" customFormat="1"/>
    <row r="140" s="73" customFormat="1"/>
    <row r="141" s="73" customFormat="1"/>
    <row r="142" s="73" customFormat="1"/>
    <row r="143" s="73" customFormat="1"/>
    <row r="144" s="73" customFormat="1"/>
    <row r="145" s="73" customFormat="1"/>
    <row r="146" s="73" customFormat="1"/>
  </sheetData>
  <sheetProtection password="D373" sheet="1" objects="1" scenarios="1"/>
  <mergeCells count="27">
    <mergeCell ref="B59:D62"/>
    <mergeCell ref="A41:A43"/>
    <mergeCell ref="B41:C43"/>
    <mergeCell ref="D41:D43"/>
    <mergeCell ref="B44:D46"/>
    <mergeCell ref="E44:E46"/>
    <mergeCell ref="G44:G46"/>
    <mergeCell ref="B26:D26"/>
    <mergeCell ref="S27:U27"/>
    <mergeCell ref="W27:Y27"/>
    <mergeCell ref="J30:L30"/>
    <mergeCell ref="J37:L37"/>
    <mergeCell ref="B40:C40"/>
    <mergeCell ref="A17:A19"/>
    <mergeCell ref="B17:C19"/>
    <mergeCell ref="D17:D19"/>
    <mergeCell ref="B20:D22"/>
    <mergeCell ref="E20:E22"/>
    <mergeCell ref="G20:G22"/>
    <mergeCell ref="B2:D2"/>
    <mergeCell ref="S5:U5"/>
    <mergeCell ref="W5:Y5"/>
    <mergeCell ref="J6:L6"/>
    <mergeCell ref="J13:L13"/>
    <mergeCell ref="B16:C16"/>
    <mergeCell ref="S16:U16"/>
    <mergeCell ref="W16:Y16"/>
  </mergeCells>
  <dataValidations count="2">
    <dataValidation type="list" allowBlank="1" showInputMessage="1" showErrorMessage="1" sqref="E28 E4:F4">
      <formula1>$K$2:$L$2</formula1>
    </dataValidation>
    <dataValidation type="list" allowBlank="1" showInputMessage="1" showErrorMessage="1" sqref="A4 A28">
      <formula1>$S$1:$U$1</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V42"/>
  <sheetViews>
    <sheetView topLeftCell="AT7" workbookViewId="0">
      <selection activeCell="A7" sqref="A1:AS1048576"/>
    </sheetView>
  </sheetViews>
  <sheetFormatPr defaultColWidth="11.42578125" defaultRowHeight="15"/>
  <cols>
    <col min="1" max="4" width="0" style="73" hidden="1" customWidth="1"/>
    <col min="5" max="5" width="11.42578125" style="73" hidden="1" customWidth="1"/>
    <col min="6" max="6" width="16.7109375" style="73" hidden="1" customWidth="1"/>
    <col min="7" max="8" width="16.85546875" style="73" hidden="1" customWidth="1"/>
    <col min="9" max="9" width="19.85546875" style="73" hidden="1" customWidth="1"/>
    <col min="10" max="17" width="16.85546875" style="73" hidden="1" customWidth="1"/>
    <col min="18" max="18" width="0" style="73" hidden="1" customWidth="1"/>
    <col min="19" max="20" width="16.85546875" style="73" hidden="1" customWidth="1"/>
    <col min="21" max="45" width="0" style="73" hidden="1" customWidth="1"/>
    <col min="46" max="16384" width="11.42578125" style="73"/>
  </cols>
  <sheetData>
    <row r="1" spans="1:22">
      <c r="S1" s="73" t="s">
        <v>15</v>
      </c>
      <c r="T1" s="73" t="s">
        <v>16</v>
      </c>
      <c r="U1" s="73" t="s">
        <v>17</v>
      </c>
    </row>
    <row r="2" spans="1:22">
      <c r="G2" s="73">
        <f>'CAT 5B'!G2</f>
        <v>3300</v>
      </c>
      <c r="K2" s="73" t="s">
        <v>0</v>
      </c>
      <c r="L2" s="73" t="s">
        <v>1</v>
      </c>
      <c r="M2" s="73" t="s">
        <v>20</v>
      </c>
      <c r="N2" s="73" t="s">
        <v>2</v>
      </c>
    </row>
    <row r="3" spans="1:22">
      <c r="B3" s="78" t="s">
        <v>326</v>
      </c>
      <c r="E3" s="74"/>
      <c r="F3" s="74"/>
      <c r="G3" s="74" t="s">
        <v>21</v>
      </c>
      <c r="H3" s="74" t="s">
        <v>22</v>
      </c>
      <c r="I3" s="75"/>
    </row>
    <row r="4" spans="1:22">
      <c r="B4" s="73">
        <f>CONTRATS!F20</f>
        <v>0</v>
      </c>
      <c r="E4" s="74" t="str">
        <f>'CAT 3'!A4</f>
        <v>ZONE C</v>
      </c>
      <c r="F4" s="74" t="str">
        <f>'CAT 3'!B4</f>
        <v>SANS REMORQUE</v>
      </c>
      <c r="G4" s="74">
        <f>'CAT 3'!C4</f>
        <v>19</v>
      </c>
      <c r="H4" s="74" t="str">
        <f>'CAT 3'!D4</f>
        <v>ESSENCE</v>
      </c>
      <c r="I4" s="76"/>
    </row>
    <row r="5" spans="1:22">
      <c r="S5" s="73" t="s">
        <v>15</v>
      </c>
      <c r="U5" s="307" t="s">
        <v>314</v>
      </c>
      <c r="V5" s="307"/>
    </row>
    <row r="6" spans="1:22">
      <c r="E6" s="73" t="s">
        <v>0</v>
      </c>
      <c r="F6" s="73" t="s">
        <v>1</v>
      </c>
      <c r="G6" s="73" t="s">
        <v>3</v>
      </c>
      <c r="H6" s="73" t="s">
        <v>2</v>
      </c>
      <c r="I6" s="77" t="str">
        <f>CONTRATS!E17</f>
        <v>VT</v>
      </c>
      <c r="M6" s="307" t="s">
        <v>18</v>
      </c>
      <c r="N6" s="307"/>
      <c r="O6" s="307"/>
      <c r="P6" s="77" t="s">
        <v>112</v>
      </c>
      <c r="R6" s="73" t="s">
        <v>0</v>
      </c>
      <c r="S6" s="73" t="s">
        <v>3</v>
      </c>
      <c r="T6" s="73" t="s">
        <v>2</v>
      </c>
    </row>
    <row r="7" spans="1:22">
      <c r="A7" s="73">
        <f>G2</f>
        <v>3300</v>
      </c>
      <c r="B7" s="73">
        <f>IF(A7&lt;=50,1,0)</f>
        <v>0</v>
      </c>
      <c r="C7" s="73">
        <f>IF(A7&gt;0,1,0)</f>
        <v>1</v>
      </c>
      <c r="D7" s="73">
        <f>B7*C7</f>
        <v>0</v>
      </c>
      <c r="E7" s="78" t="s">
        <v>28</v>
      </c>
      <c r="F7" s="73" t="s">
        <v>9</v>
      </c>
      <c r="G7" s="79">
        <f>IF(E4="ZONE A",S7,IF(E4="ZONE B",S18,IF(E4="ZONE C",S29,0)))</f>
        <v>11870</v>
      </c>
      <c r="H7" s="79">
        <f>IF(E4="ZONE A",T7,IF(E4="ZONE B",T18,IF(E4="ZONE C",T29,0)))</f>
        <v>14244</v>
      </c>
      <c r="I7" s="79">
        <f>H7-G7</f>
        <v>2374</v>
      </c>
      <c r="J7" s="79">
        <f>IF(F4="SANS REMORQUE",1,0)</f>
        <v>1</v>
      </c>
      <c r="K7" s="79">
        <f>IF(F4="SANS REMORQUE",0,1)</f>
        <v>0</v>
      </c>
      <c r="L7" s="79">
        <f t="shared" ref="L7:L14" si="0">G7*J7+H7*K7</f>
        <v>11870</v>
      </c>
      <c r="M7" s="79">
        <f>D7</f>
        <v>0</v>
      </c>
      <c r="N7" s="79">
        <f>L7*M7</f>
        <v>0</v>
      </c>
      <c r="O7" s="79"/>
      <c r="P7" s="79">
        <f t="shared" ref="P7:P14" si="1">M7*I7</f>
        <v>0</v>
      </c>
      <c r="Q7" s="79"/>
      <c r="R7" s="78" t="s">
        <v>28</v>
      </c>
      <c r="S7" s="79">
        <v>12949</v>
      </c>
      <c r="T7" s="79">
        <v>15539</v>
      </c>
      <c r="U7" s="73">
        <v>25496</v>
      </c>
      <c r="V7" s="73">
        <v>30596</v>
      </c>
    </row>
    <row r="8" spans="1:22">
      <c r="A8" s="73">
        <f>A7</f>
        <v>3300</v>
      </c>
      <c r="B8" s="73">
        <f>IF(A8&lt;=125,1,0)</f>
        <v>0</v>
      </c>
      <c r="C8" s="73">
        <f>IF(A8&gt;=51,1,0)</f>
        <v>1</v>
      </c>
      <c r="D8" s="73">
        <f t="shared" ref="D8:D14" si="2">B8*C8</f>
        <v>0</v>
      </c>
      <c r="E8" s="78">
        <v>1</v>
      </c>
      <c r="F8" s="73" t="s">
        <v>10</v>
      </c>
      <c r="G8" s="79">
        <f>IF(E4="ZONE A",S8,IF(E4="ZONE B",S19,IF(E4="ZONE C",S30,0)))</f>
        <v>16669</v>
      </c>
      <c r="H8" s="79">
        <f>IF(E4="ZONE A",T8,IF(E4="ZONE B",T19,IF(E4="ZONE C",T30,0)))</f>
        <v>20002</v>
      </c>
      <c r="I8" s="79">
        <f t="shared" ref="I8:I14" si="3">H8-G8</f>
        <v>3333</v>
      </c>
      <c r="J8" s="79">
        <f>J7</f>
        <v>1</v>
      </c>
      <c r="K8" s="79">
        <f>K7</f>
        <v>0</v>
      </c>
      <c r="L8" s="79">
        <f t="shared" si="0"/>
        <v>16669</v>
      </c>
      <c r="M8" s="79">
        <f t="shared" ref="M8:M14" si="4">D8</f>
        <v>0</v>
      </c>
      <c r="N8" s="79">
        <f t="shared" ref="N8:N14" si="5">L8*M8</f>
        <v>0</v>
      </c>
      <c r="O8" s="79"/>
      <c r="P8" s="79">
        <f t="shared" si="1"/>
        <v>0</v>
      </c>
      <c r="Q8" s="79"/>
      <c r="R8" s="78">
        <v>1</v>
      </c>
      <c r="S8" s="79">
        <v>18185</v>
      </c>
      <c r="T8" s="79">
        <v>21821</v>
      </c>
    </row>
    <row r="9" spans="1:22">
      <c r="A9" s="73">
        <f t="shared" ref="A9:A14" si="6">A8</f>
        <v>3300</v>
      </c>
      <c r="B9" s="73">
        <f>IF(A9&lt;=175,1,0)</f>
        <v>0</v>
      </c>
      <c r="C9" s="73">
        <f>IF(A9&gt;=126,1,0)</f>
        <v>1</v>
      </c>
      <c r="D9" s="73">
        <f t="shared" si="2"/>
        <v>0</v>
      </c>
      <c r="E9" s="78">
        <v>2</v>
      </c>
      <c r="F9" s="73" t="s">
        <v>11</v>
      </c>
      <c r="G9" s="79">
        <f>IF(E4="ZONE A",S9,IF(E4="ZONE B",S20,IF(E4="ZONE C",S31,0)))</f>
        <v>26458</v>
      </c>
      <c r="H9" s="79">
        <f>IF(E4="ZONE A",T9,IF(E4="ZONE B",T20,IF(E4="ZONE C",T31,0)))</f>
        <v>31748</v>
      </c>
      <c r="I9" s="79">
        <f t="shared" si="3"/>
        <v>5290</v>
      </c>
      <c r="J9" s="79">
        <f t="shared" ref="J9:K12" si="7">J8</f>
        <v>1</v>
      </c>
      <c r="K9" s="79">
        <f t="shared" si="7"/>
        <v>0</v>
      </c>
      <c r="L9" s="79">
        <f t="shared" si="0"/>
        <v>26458</v>
      </c>
      <c r="M9" s="79">
        <f t="shared" si="4"/>
        <v>0</v>
      </c>
      <c r="N9" s="79">
        <f t="shared" si="5"/>
        <v>0</v>
      </c>
      <c r="O9" s="79"/>
      <c r="P9" s="79">
        <f t="shared" si="1"/>
        <v>0</v>
      </c>
      <c r="Q9" s="79"/>
      <c r="R9" s="78">
        <v>2</v>
      </c>
      <c r="S9" s="79">
        <v>28864</v>
      </c>
      <c r="T9" s="79">
        <v>34634</v>
      </c>
    </row>
    <row r="10" spans="1:22">
      <c r="A10" s="73">
        <f t="shared" si="6"/>
        <v>3300</v>
      </c>
      <c r="B10" s="73">
        <f>IF(A10&lt;=250,1,0)</f>
        <v>0</v>
      </c>
      <c r="C10" s="73">
        <f>IF(A10&gt;=176,1,0)</f>
        <v>1</v>
      </c>
      <c r="D10" s="73">
        <f t="shared" si="2"/>
        <v>0</v>
      </c>
      <c r="E10" s="78">
        <v>3</v>
      </c>
      <c r="F10" s="73" t="s">
        <v>12</v>
      </c>
      <c r="G10" s="79">
        <f>IF(E4="ZONE A",S10,IF(E4="ZONE B",S21,IF(E4="ZONE C",S32,0)))</f>
        <v>31958</v>
      </c>
      <c r="H10" s="79">
        <f>IF(E4="ZONE A",T10,IF(E4="ZONE B",T21,IF(E4="ZONE C",T32,0)))</f>
        <v>38342</v>
      </c>
      <c r="I10" s="79">
        <f t="shared" si="3"/>
        <v>6384</v>
      </c>
      <c r="J10" s="79">
        <f t="shared" si="7"/>
        <v>1</v>
      </c>
      <c r="K10" s="79">
        <f t="shared" si="7"/>
        <v>0</v>
      </c>
      <c r="L10" s="79">
        <f t="shared" si="0"/>
        <v>31958</v>
      </c>
      <c r="M10" s="79">
        <f t="shared" si="4"/>
        <v>0</v>
      </c>
      <c r="N10" s="79">
        <f t="shared" si="5"/>
        <v>0</v>
      </c>
      <c r="O10" s="79"/>
      <c r="P10" s="79">
        <f t="shared" si="1"/>
        <v>0</v>
      </c>
      <c r="Q10" s="79"/>
      <c r="R10" s="78">
        <v>3</v>
      </c>
      <c r="S10" s="79">
        <v>34864</v>
      </c>
      <c r="T10" s="79">
        <v>41827</v>
      </c>
    </row>
    <row r="11" spans="1:22">
      <c r="A11" s="73">
        <f t="shared" si="6"/>
        <v>3300</v>
      </c>
      <c r="B11" s="73">
        <f>IF(A11&lt;=350,1,0)</f>
        <v>0</v>
      </c>
      <c r="C11" s="73">
        <f>IF(A11&gt;=251,1,0)</f>
        <v>1</v>
      </c>
      <c r="D11" s="73">
        <f t="shared" si="2"/>
        <v>0</v>
      </c>
      <c r="E11" s="78">
        <v>4</v>
      </c>
      <c r="F11" s="73" t="s">
        <v>13</v>
      </c>
      <c r="G11" s="79">
        <f>IF(E4="ZONE A",S11,IF(E4="ZONE B",S22,IF(E4="ZONE C",S33,0)))</f>
        <v>36777</v>
      </c>
      <c r="H11" s="79">
        <f>IF(E4="ZONE A",T11,IF(E4="ZONE B",T22,IF(E4="ZONE C",T33,0)))</f>
        <v>44133</v>
      </c>
      <c r="I11" s="79">
        <f t="shared" si="3"/>
        <v>7356</v>
      </c>
      <c r="J11" s="79">
        <f t="shared" si="7"/>
        <v>1</v>
      </c>
      <c r="K11" s="79">
        <f t="shared" si="7"/>
        <v>0</v>
      </c>
      <c r="L11" s="79">
        <f t="shared" si="0"/>
        <v>36777</v>
      </c>
      <c r="M11" s="79">
        <f t="shared" si="4"/>
        <v>0</v>
      </c>
      <c r="N11" s="79">
        <f t="shared" si="5"/>
        <v>0</v>
      </c>
      <c r="O11" s="79"/>
      <c r="P11" s="79">
        <f t="shared" si="1"/>
        <v>0</v>
      </c>
      <c r="Q11" s="79"/>
      <c r="R11" s="78">
        <v>4</v>
      </c>
      <c r="S11" s="79">
        <v>40121</v>
      </c>
      <c r="T11" s="79">
        <v>48145</v>
      </c>
    </row>
    <row r="12" spans="1:22">
      <c r="A12" s="73">
        <f t="shared" si="6"/>
        <v>3300</v>
      </c>
      <c r="B12" s="73">
        <f>IF(A12&lt;=500,1,0)</f>
        <v>0</v>
      </c>
      <c r="C12" s="73">
        <f>IF(A12&gt;=351,1,0)</f>
        <v>1</v>
      </c>
      <c r="D12" s="73">
        <f t="shared" si="2"/>
        <v>0</v>
      </c>
      <c r="E12" s="78">
        <v>5</v>
      </c>
      <c r="F12" s="73" t="s">
        <v>14</v>
      </c>
      <c r="G12" s="79">
        <f>IF(E4="ZONE A",S12,IF(E4="ZONE B",S23,IF(E4="ZONE C",S34,0)))</f>
        <v>41872</v>
      </c>
      <c r="H12" s="79">
        <f>IF(E4="ZONE A",T12,IF(E4="ZONE B",T23,IF(E4="ZONE C",T34,0)))</f>
        <v>50246</v>
      </c>
      <c r="I12" s="79">
        <f t="shared" si="3"/>
        <v>8374</v>
      </c>
      <c r="J12" s="79">
        <f t="shared" si="7"/>
        <v>1</v>
      </c>
      <c r="K12" s="79">
        <f t="shared" si="7"/>
        <v>0</v>
      </c>
      <c r="L12" s="79">
        <f t="shared" si="0"/>
        <v>41872</v>
      </c>
      <c r="M12" s="79">
        <f t="shared" si="4"/>
        <v>0</v>
      </c>
      <c r="N12" s="79">
        <f t="shared" si="5"/>
        <v>0</v>
      </c>
      <c r="O12" s="79"/>
      <c r="P12" s="79">
        <f t="shared" si="1"/>
        <v>0</v>
      </c>
      <c r="Q12" s="79"/>
      <c r="R12" s="78">
        <v>5</v>
      </c>
      <c r="S12" s="79">
        <v>45678</v>
      </c>
      <c r="T12" s="79">
        <v>54814</v>
      </c>
    </row>
    <row r="13" spans="1:22">
      <c r="A13" s="73">
        <f t="shared" si="6"/>
        <v>3300</v>
      </c>
      <c r="B13" s="73">
        <f>IF(A13&lt;=625,1,0)</f>
        <v>0</v>
      </c>
      <c r="C13" s="73">
        <f>IF(A13&gt;=501,1,0)</f>
        <v>1</v>
      </c>
      <c r="D13" s="73">
        <f t="shared" si="2"/>
        <v>0</v>
      </c>
      <c r="E13" s="78">
        <v>6</v>
      </c>
      <c r="G13" s="79">
        <f>IF(E4="ZONE A",S13,IF(E4="ZONE B",S24,IF(E4="ZONE C",S35,0)))</f>
        <v>45760</v>
      </c>
      <c r="H13" s="79">
        <f>IF(E4="ZONE A",T13,IF(E4="ZONE B",T24,IF(E4="ZONE C",T35,0)))</f>
        <v>54912</v>
      </c>
      <c r="I13" s="79">
        <f t="shared" si="3"/>
        <v>9152</v>
      </c>
      <c r="J13" s="79">
        <f>J12</f>
        <v>1</v>
      </c>
      <c r="K13" s="79">
        <f>K12</f>
        <v>0</v>
      </c>
      <c r="L13" s="79">
        <f t="shared" si="0"/>
        <v>45760</v>
      </c>
      <c r="M13" s="79">
        <f t="shared" si="4"/>
        <v>0</v>
      </c>
      <c r="N13" s="79">
        <f t="shared" si="5"/>
        <v>0</v>
      </c>
      <c r="O13" s="80"/>
      <c r="P13" s="79">
        <f t="shared" si="1"/>
        <v>0</v>
      </c>
      <c r="R13" s="78">
        <v>6</v>
      </c>
      <c r="S13" s="79">
        <v>49920</v>
      </c>
      <c r="T13" s="79">
        <v>59904</v>
      </c>
    </row>
    <row r="14" spans="1:22">
      <c r="A14" s="73">
        <f t="shared" si="6"/>
        <v>3300</v>
      </c>
      <c r="B14" s="73">
        <f>IF(A14&lt;=99999999,1,0)</f>
        <v>1</v>
      </c>
      <c r="C14" s="73">
        <f>IF(A14&gt;=626,1,0)</f>
        <v>1</v>
      </c>
      <c r="D14" s="73">
        <f t="shared" si="2"/>
        <v>1</v>
      </c>
      <c r="E14" s="78" t="s">
        <v>29</v>
      </c>
      <c r="G14" s="79">
        <f>IF(E4="ZONE A",S14,IF(E4="ZONE B",S25,IF(E4="ZONE C",S36,0)))</f>
        <v>50794</v>
      </c>
      <c r="H14" s="79">
        <f>IF(E4="ZONE A",T14,IF(E4="ZONE B",T25,IF(E4="ZONE C",T36,0)))</f>
        <v>60952</v>
      </c>
      <c r="I14" s="79">
        <f t="shared" si="3"/>
        <v>10158</v>
      </c>
      <c r="J14" s="79">
        <f>J13</f>
        <v>1</v>
      </c>
      <c r="K14" s="79">
        <f>K13</f>
        <v>0</v>
      </c>
      <c r="L14" s="79">
        <f t="shared" si="0"/>
        <v>50794</v>
      </c>
      <c r="M14" s="79">
        <f t="shared" si="4"/>
        <v>1</v>
      </c>
      <c r="N14" s="79">
        <f t="shared" si="5"/>
        <v>50794</v>
      </c>
      <c r="O14" s="79"/>
      <c r="P14" s="79">
        <f t="shared" si="1"/>
        <v>10158</v>
      </c>
      <c r="R14" s="78" t="s">
        <v>29</v>
      </c>
      <c r="S14" s="79">
        <v>55411</v>
      </c>
      <c r="T14" s="79">
        <v>66493</v>
      </c>
    </row>
    <row r="15" spans="1:22">
      <c r="E15" s="78"/>
      <c r="G15" s="79"/>
      <c r="H15" s="79"/>
      <c r="I15" s="79"/>
      <c r="J15" s="79"/>
      <c r="K15" s="79"/>
      <c r="L15" s="79"/>
      <c r="M15" s="79"/>
      <c r="N15" s="79">
        <f>SUM(N7:N14)</f>
        <v>50794</v>
      </c>
      <c r="O15" s="79">
        <f>SUM(O7:O14)</f>
        <v>0</v>
      </c>
      <c r="P15" s="79">
        <f>SUM(P7:P14)</f>
        <v>10158</v>
      </c>
      <c r="R15" s="78"/>
    </row>
    <row r="16" spans="1:22">
      <c r="E16" s="78"/>
      <c r="F16" s="309">
        <f>IF(I6="SEMI-REMORQUE",1,0)*P15+IF(I6="SEMI-REMORQUE",0,1)*N15</f>
        <v>50794</v>
      </c>
      <c r="G16" s="308">
        <f>(F16*IF(CONTRATS!C24=0,0,1)*IF(CONTRATS!E24=0,1,0)*IF(CONTRATS!B24="NO",1,0)*IF(CONTRATS!E17="SCOOTER",0,1)+IF(CONTRATS!E17="SCOOTER",1,0)*J21)*IF(CONTRATS!E17="SCOOTER-REMORQUE",0,1)+IF(CONTRATS!E17="SCOOTER-REMORQUE",1,0)*J21</f>
        <v>50794</v>
      </c>
      <c r="H16" s="308"/>
      <c r="I16" s="79"/>
      <c r="J16" s="79"/>
      <c r="K16" s="79"/>
      <c r="L16" s="79"/>
      <c r="M16" s="79"/>
      <c r="N16" s="79"/>
      <c r="O16" s="79"/>
      <c r="P16" s="79"/>
      <c r="S16" s="73" t="s">
        <v>16</v>
      </c>
      <c r="U16" s="307" t="s">
        <v>314</v>
      </c>
      <c r="V16" s="307"/>
    </row>
    <row r="17" spans="1:22">
      <c r="E17" s="73">
        <f t="shared" ref="E17:E22" si="8">D8*E8</f>
        <v>0</v>
      </c>
      <c r="F17" s="309"/>
      <c r="G17" s="308"/>
      <c r="H17" s="308"/>
      <c r="I17" s="79"/>
      <c r="J17" s="79"/>
      <c r="K17" s="79"/>
      <c r="L17" s="79"/>
      <c r="M17" s="79"/>
      <c r="N17" s="79"/>
      <c r="O17" s="79"/>
      <c r="P17" s="79"/>
      <c r="R17" s="73" t="s">
        <v>0</v>
      </c>
      <c r="S17" s="73" t="str">
        <f>S6</f>
        <v xml:space="preserve">SANS REMORQUE </v>
      </c>
      <c r="T17" s="73" t="str">
        <f>T6</f>
        <v xml:space="preserve">AVEC REMORQUE </v>
      </c>
    </row>
    <row r="18" spans="1:22">
      <c r="E18" s="73">
        <f t="shared" si="8"/>
        <v>0</v>
      </c>
      <c r="I18" s="79"/>
      <c r="J18" s="79"/>
      <c r="K18" s="79"/>
      <c r="L18" s="79"/>
      <c r="M18" s="79"/>
      <c r="N18" s="79"/>
      <c r="O18" s="79"/>
      <c r="P18" s="79"/>
      <c r="R18" s="78" t="s">
        <v>28</v>
      </c>
      <c r="S18" s="79">
        <v>12410</v>
      </c>
      <c r="T18" s="79">
        <v>14891</v>
      </c>
      <c r="U18" s="73">
        <v>24434</v>
      </c>
      <c r="V18" s="73">
        <v>29322</v>
      </c>
    </row>
    <row r="19" spans="1:22">
      <c r="E19" s="73">
        <f t="shared" si="8"/>
        <v>0</v>
      </c>
      <c r="G19" s="307" t="s">
        <v>314</v>
      </c>
      <c r="H19" s="307"/>
      <c r="I19" s="79"/>
      <c r="J19" s="79"/>
      <c r="K19" s="79"/>
      <c r="L19" s="79"/>
      <c r="M19" s="79"/>
      <c r="N19" s="79"/>
      <c r="O19" s="79"/>
      <c r="P19" s="79"/>
      <c r="R19" s="78">
        <v>1</v>
      </c>
      <c r="S19" s="79">
        <v>17427</v>
      </c>
      <c r="T19" s="79">
        <v>20912</v>
      </c>
    </row>
    <row r="20" spans="1:22">
      <c r="E20" s="73">
        <f t="shared" si="8"/>
        <v>0</v>
      </c>
      <c r="G20" s="73" t="str">
        <f>G6</f>
        <v xml:space="preserve">SANS REMORQUE </v>
      </c>
      <c r="H20" s="73" t="str">
        <f>H6</f>
        <v xml:space="preserve">AVEC REMORQUE </v>
      </c>
      <c r="I20" s="73" t="str">
        <f>P6</f>
        <v>SEMI-REMORQUE</v>
      </c>
      <c r="P20" s="79"/>
      <c r="R20" s="78">
        <v>2</v>
      </c>
      <c r="S20" s="79">
        <v>27661</v>
      </c>
      <c r="T20" s="79">
        <v>33191</v>
      </c>
    </row>
    <row r="21" spans="1:22">
      <c r="E21" s="73">
        <f t="shared" si="8"/>
        <v>0</v>
      </c>
      <c r="G21" s="79">
        <f>IF(E4="ZONE A",U7,IF(E4="ZONE B",U18,IF(E4="ZONE C",U29,0)))</f>
        <v>23372</v>
      </c>
      <c r="H21" s="79">
        <f>IF(E4="ZONE A",V7,IF(E4="ZONE B",V18,IF(E4="ZONE C",V29,0)))</f>
        <v>28047</v>
      </c>
      <c r="I21" s="79">
        <f>H21-G21</f>
        <v>4675</v>
      </c>
      <c r="J21" s="73">
        <f>IF(F4="SANS REMORQUE",G21,H21)*IF(CONTRATS!E17="SCOOTER-REMORQUE",0,1)+IF(CONTRATS!E17="SCOOTER-REMORQUE",1,0)*I21</f>
        <v>23372</v>
      </c>
      <c r="R21" s="78">
        <v>3</v>
      </c>
      <c r="S21" s="79">
        <v>33411</v>
      </c>
      <c r="T21" s="79">
        <v>40084</v>
      </c>
    </row>
    <row r="22" spans="1:22">
      <c r="E22" s="73">
        <f t="shared" si="8"/>
        <v>0</v>
      </c>
      <c r="R22" s="78">
        <v>4</v>
      </c>
      <c r="S22" s="79">
        <v>38449</v>
      </c>
      <c r="T22" s="79">
        <v>46139</v>
      </c>
    </row>
    <row r="23" spans="1:22">
      <c r="E23" s="81">
        <f>E17+E18+E19+E20+E21+E22</f>
        <v>0</v>
      </c>
      <c r="R23" s="78">
        <v>5</v>
      </c>
      <c r="S23" s="79">
        <v>43775</v>
      </c>
      <c r="T23" s="79">
        <v>52530</v>
      </c>
    </row>
    <row r="24" spans="1:22">
      <c r="R24" s="78">
        <v>6</v>
      </c>
      <c r="S24" s="79">
        <v>47840</v>
      </c>
      <c r="T24" s="79">
        <v>57408</v>
      </c>
    </row>
    <row r="25" spans="1:22">
      <c r="R25" s="78" t="s">
        <v>29</v>
      </c>
      <c r="S25" s="79">
        <v>53102</v>
      </c>
      <c r="T25" s="79">
        <v>63723</v>
      </c>
    </row>
    <row r="26" spans="1:22">
      <c r="R26" s="78"/>
    </row>
    <row r="27" spans="1:22">
      <c r="A27" s="84"/>
      <c r="B27" s="84"/>
      <c r="C27" s="84"/>
      <c r="D27" s="84"/>
      <c r="E27" s="84"/>
      <c r="S27" s="73" t="s">
        <v>17</v>
      </c>
      <c r="U27" s="307" t="s">
        <v>314</v>
      </c>
      <c r="V27" s="307"/>
    </row>
    <row r="28" spans="1:22">
      <c r="A28" s="84"/>
      <c r="B28" s="84"/>
      <c r="C28" s="84"/>
      <c r="D28" s="84"/>
      <c r="E28" s="84"/>
      <c r="R28" s="73" t="s">
        <v>0</v>
      </c>
      <c r="S28" s="73" t="str">
        <f>S17</f>
        <v xml:space="preserve">SANS REMORQUE </v>
      </c>
      <c r="T28" s="73" t="str">
        <f>T17</f>
        <v xml:space="preserve">AVEC REMORQUE </v>
      </c>
    </row>
    <row r="29" spans="1:22">
      <c r="A29" s="84"/>
      <c r="B29" s="84"/>
      <c r="C29" s="84"/>
      <c r="D29" s="84"/>
      <c r="E29" s="84"/>
      <c r="R29" s="78" t="s">
        <v>28</v>
      </c>
      <c r="S29" s="79">
        <v>11870</v>
      </c>
      <c r="T29" s="79">
        <v>14244</v>
      </c>
      <c r="U29" s="73">
        <v>23372</v>
      </c>
      <c r="V29" s="73">
        <v>28047</v>
      </c>
    </row>
    <row r="30" spans="1:22">
      <c r="A30" s="84"/>
      <c r="B30" s="84"/>
      <c r="C30" s="84"/>
      <c r="D30" s="84"/>
      <c r="E30" s="84"/>
      <c r="R30" s="78">
        <v>1</v>
      </c>
      <c r="S30" s="79">
        <v>16669</v>
      </c>
      <c r="T30" s="79">
        <v>20002</v>
      </c>
    </row>
    <row r="31" spans="1:22">
      <c r="A31" s="84"/>
      <c r="B31" s="84"/>
      <c r="C31" s="84"/>
      <c r="D31" s="84"/>
      <c r="E31" s="84"/>
      <c r="R31" s="78">
        <v>2</v>
      </c>
      <c r="S31" s="79">
        <v>26458</v>
      </c>
      <c r="T31" s="79">
        <v>31748</v>
      </c>
    </row>
    <row r="32" spans="1:22">
      <c r="A32" s="84"/>
      <c r="B32" s="84"/>
      <c r="C32" s="84"/>
      <c r="D32" s="84"/>
      <c r="E32" s="84"/>
      <c r="R32" s="78">
        <v>3</v>
      </c>
      <c r="S32" s="79">
        <v>31958</v>
      </c>
      <c r="T32" s="79">
        <v>38342</v>
      </c>
    </row>
    <row r="33" spans="1:20">
      <c r="A33" s="84">
        <f>IF(B4="VEH.CAT.01",1,0)</f>
        <v>0</v>
      </c>
      <c r="B33" s="84">
        <f>IF(B4="VEH.CAT.02",1,0)+IF(B4="VEH.CAT.03",1,0)+IF(B4="VEH.CAT.04",1,0)</f>
        <v>0</v>
      </c>
      <c r="C33" s="84">
        <f>IF(B4="VEH.CAT.05",1,0)</f>
        <v>0</v>
      </c>
      <c r="D33" s="84"/>
      <c r="E33" s="84"/>
      <c r="R33" s="78">
        <v>4</v>
      </c>
      <c r="S33" s="79">
        <v>36777</v>
      </c>
      <c r="T33" s="79">
        <v>44133</v>
      </c>
    </row>
    <row r="34" spans="1:20">
      <c r="A34" s="86">
        <f>'CAT 71'!B59</f>
        <v>0</v>
      </c>
      <c r="B34" s="86">
        <f>'CAT 7234'!B59</f>
        <v>0</v>
      </c>
      <c r="C34" s="86">
        <f>G16</f>
        <v>50794</v>
      </c>
      <c r="D34" s="84"/>
      <c r="E34" s="84"/>
      <c r="R34" s="78">
        <v>5</v>
      </c>
      <c r="S34" s="79">
        <v>41872</v>
      </c>
      <c r="T34" s="79">
        <v>50246</v>
      </c>
    </row>
    <row r="35" spans="1:20">
      <c r="A35" s="84">
        <f>A33*A34</f>
        <v>0</v>
      </c>
      <c r="B35" s="84">
        <f>B33*B34</f>
        <v>0</v>
      </c>
      <c r="C35" s="84">
        <f>C33*C34</f>
        <v>0</v>
      </c>
      <c r="D35" s="84">
        <f>A35+B35+C35</f>
        <v>0</v>
      </c>
      <c r="E35" s="84"/>
      <c r="R35" s="78">
        <v>6</v>
      </c>
      <c r="S35" s="79">
        <v>45760</v>
      </c>
      <c r="T35" s="79">
        <v>54912</v>
      </c>
    </row>
    <row r="36" spans="1:20">
      <c r="A36" s="84"/>
      <c r="B36" s="84"/>
      <c r="C36" s="84"/>
      <c r="D36" s="84"/>
      <c r="E36" s="84"/>
      <c r="R36" s="78" t="s">
        <v>29</v>
      </c>
      <c r="S36" s="79">
        <v>50794</v>
      </c>
      <c r="T36" s="79">
        <v>60952</v>
      </c>
    </row>
    <row r="37" spans="1:20">
      <c r="A37" s="84"/>
      <c r="B37" s="84"/>
      <c r="C37" s="84"/>
      <c r="D37" s="84"/>
      <c r="E37" s="84"/>
      <c r="R37" s="78"/>
    </row>
    <row r="38" spans="1:20">
      <c r="A38" s="84"/>
      <c r="B38" s="84"/>
      <c r="C38" s="84"/>
      <c r="D38" s="84"/>
      <c r="E38" s="84"/>
    </row>
    <row r="39" spans="1:20">
      <c r="A39" s="84"/>
      <c r="B39" s="84"/>
      <c r="C39" s="84"/>
      <c r="D39" s="84"/>
      <c r="E39" s="84"/>
    </row>
    <row r="40" spans="1:20">
      <c r="A40" s="84"/>
      <c r="B40" s="84"/>
      <c r="C40" s="84"/>
      <c r="D40" s="84"/>
      <c r="E40" s="84"/>
    </row>
    <row r="41" spans="1:20">
      <c r="A41" s="84"/>
      <c r="B41" s="84"/>
      <c r="C41" s="84"/>
      <c r="D41" s="84"/>
      <c r="E41" s="84"/>
    </row>
    <row r="42" spans="1:20">
      <c r="A42" s="84"/>
      <c r="B42" s="84"/>
      <c r="C42" s="84"/>
      <c r="D42" s="84"/>
      <c r="E42" s="84"/>
    </row>
  </sheetData>
  <sheetProtection password="D373" sheet="1" objects="1" scenarios="1"/>
  <mergeCells count="7">
    <mergeCell ref="U27:V27"/>
    <mergeCell ref="U5:V5"/>
    <mergeCell ref="M6:O6"/>
    <mergeCell ref="F16:F17"/>
    <mergeCell ref="G16:H17"/>
    <mergeCell ref="U16:V16"/>
    <mergeCell ref="G19:H19"/>
  </mergeCells>
  <dataValidations count="2">
    <dataValidation type="list" allowBlank="1" showInputMessage="1" showErrorMessage="1" sqref="I4">
      <formula1>$O$2:$P$2</formula1>
    </dataValidation>
    <dataValidation type="list" allowBlank="1" showInputMessage="1" showErrorMessage="1" sqref="E4">
      <formula1>$S$1:$U$1</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V85"/>
  <sheetViews>
    <sheetView topLeftCell="AT1" workbookViewId="0">
      <selection sqref="A1:AS1048576"/>
    </sheetView>
  </sheetViews>
  <sheetFormatPr defaultColWidth="11.42578125" defaultRowHeight="15"/>
  <cols>
    <col min="1" max="1" width="0" hidden="1" customWidth="1"/>
    <col min="2" max="2" width="17.140625" hidden="1" customWidth="1"/>
    <col min="3" max="3" width="16.85546875" hidden="1" customWidth="1"/>
    <col min="4" max="4" width="22.28515625" hidden="1" customWidth="1"/>
    <col min="5" max="9" width="19.85546875" hidden="1" customWidth="1"/>
    <col min="10" max="17" width="16.85546875" hidden="1" customWidth="1"/>
    <col min="18" max="19" width="0" hidden="1" customWidth="1"/>
    <col min="20" max="21" width="16.85546875" hidden="1" customWidth="1"/>
    <col min="22" max="22" width="19.85546875" hidden="1" customWidth="1"/>
    <col min="23" max="45" width="0" hidden="1" customWidth="1"/>
  </cols>
  <sheetData>
    <row r="1" spans="1:22" s="73" customFormat="1">
      <c r="B1" s="73" t="s">
        <v>333</v>
      </c>
      <c r="C1" s="73">
        <f>CONTRATS!F20</f>
        <v>0</v>
      </c>
      <c r="E1" s="73" t="s">
        <v>332</v>
      </c>
      <c r="F1" s="78">
        <f>CONTRATS!F21</f>
        <v>2460</v>
      </c>
      <c r="T1" s="73" t="s">
        <v>15</v>
      </c>
      <c r="U1" s="73" t="s">
        <v>16</v>
      </c>
      <c r="V1" s="73" t="s">
        <v>17</v>
      </c>
    </row>
    <row r="2" spans="1:22" s="73" customFormat="1">
      <c r="G2" s="73" t="s">
        <v>0</v>
      </c>
      <c r="H2" s="73" t="s">
        <v>1</v>
      </c>
      <c r="J2" s="73" t="s">
        <v>20</v>
      </c>
      <c r="K2" s="73" t="s">
        <v>2</v>
      </c>
      <c r="L2" s="73" t="s">
        <v>24</v>
      </c>
      <c r="M2" s="73" t="s">
        <v>25</v>
      </c>
    </row>
    <row r="3" spans="1:22" s="73" customFormat="1">
      <c r="A3" s="94"/>
      <c r="B3" s="94"/>
      <c r="C3" s="100" t="s">
        <v>21</v>
      </c>
      <c r="D3" s="94" t="s">
        <v>22</v>
      </c>
      <c r="E3" s="94" t="s">
        <v>23</v>
      </c>
      <c r="F3" s="75"/>
    </row>
    <row r="4" spans="1:22" s="73" customFormat="1">
      <c r="A4" s="97" t="str">
        <f>'CAT 3'!A4</f>
        <v>ZONE C</v>
      </c>
      <c r="B4" s="97" t="str">
        <f>'CAT 3'!B4</f>
        <v>SANS REMORQUE</v>
      </c>
      <c r="C4" s="98">
        <f>'CAT 3'!C4</f>
        <v>19</v>
      </c>
      <c r="D4" s="97" t="str">
        <f>'CAT 3'!D4</f>
        <v>ESSENCE</v>
      </c>
      <c r="E4" s="98" t="str">
        <f>CONTRATS!B24</f>
        <v>NO</v>
      </c>
      <c r="F4" s="76"/>
      <c r="G4" s="73" t="str">
        <f>'CAT 3'!G4</f>
        <v>VT</v>
      </c>
      <c r="S4" s="73" t="s">
        <v>15</v>
      </c>
    </row>
    <row r="5" spans="1:22" s="73" customFormat="1"/>
    <row r="6" spans="1:22" s="73" customFormat="1">
      <c r="A6" s="73" t="s">
        <v>0</v>
      </c>
      <c r="B6" s="73" t="s">
        <v>1</v>
      </c>
      <c r="C6" s="73" t="str">
        <f>T6</f>
        <v>VEH.CAT.01</v>
      </c>
      <c r="D6" s="73" t="str">
        <f>U6</f>
        <v>VU&lt;3,5t</v>
      </c>
      <c r="E6" s="73" t="str">
        <f>V6</f>
        <v>VU&gt;=3,5t</v>
      </c>
      <c r="F6" s="77" t="s">
        <v>112</v>
      </c>
      <c r="K6" s="307" t="s">
        <v>18</v>
      </c>
      <c r="L6" s="307"/>
      <c r="M6" s="307"/>
      <c r="P6" s="77" t="s">
        <v>112</v>
      </c>
      <c r="R6" s="73" t="s">
        <v>0</v>
      </c>
      <c r="S6" s="73" t="s">
        <v>1</v>
      </c>
      <c r="T6" s="78" t="s">
        <v>304</v>
      </c>
      <c r="U6" s="78" t="s">
        <v>331</v>
      </c>
      <c r="V6" s="78" t="s">
        <v>330</v>
      </c>
    </row>
    <row r="7" spans="1:22" s="73" customFormat="1">
      <c r="A7" s="73" t="s">
        <v>9</v>
      </c>
      <c r="B7" s="73" t="s">
        <v>9</v>
      </c>
      <c r="C7" s="79">
        <f>IF(A4="ZONE A",T7,IF(A4="ZONE B",T18,IF(A4="ZONE C",T29,0)))</f>
        <v>82264</v>
      </c>
      <c r="D7" s="79">
        <f>IF(A4="ZONE A",U7,IF(A4="ZONE B",U18,IF(A4="ZONE C",U29,0)))</f>
        <v>92073</v>
      </c>
      <c r="E7" s="79">
        <f>IF(A4="ZONE A",V7,IF(A4="ZONE B",V18,IF(A4="ZONE C",V29,0)))</f>
        <v>147364</v>
      </c>
      <c r="F7" s="79"/>
      <c r="G7" s="79">
        <f>IF(C1="VEH.CAT.01",1,0)</f>
        <v>0</v>
      </c>
      <c r="H7" s="79">
        <f>IF(F1&lt;3500,1,0)*IF(C1="VEH.CAT.01",0,1)*H30</f>
        <v>0</v>
      </c>
      <c r="I7" s="79">
        <f>IF(F1&gt;=3500,1,0)*IF(C1="VEH.CAT.01",0,1)*H30</f>
        <v>0</v>
      </c>
      <c r="J7" s="79">
        <f t="shared" ref="J7:J12" si="0">C7*G7+D7*H7+I7*E7</f>
        <v>0</v>
      </c>
      <c r="K7" s="79">
        <f>IF(C4&gt;0,1,0)</f>
        <v>1</v>
      </c>
      <c r="L7" s="79">
        <f>IF(C4&lt;=2,1,0)</f>
        <v>0</v>
      </c>
      <c r="M7" s="79">
        <f t="shared" ref="M7:M12" si="1">K7*L7</f>
        <v>0</v>
      </c>
      <c r="N7" s="73">
        <f>M7*J7</f>
        <v>0</v>
      </c>
      <c r="O7" s="79">
        <v>0</v>
      </c>
      <c r="P7" s="79">
        <v>0</v>
      </c>
      <c r="Q7" s="79"/>
      <c r="R7" s="73" t="s">
        <v>9</v>
      </c>
      <c r="S7" s="73" t="s">
        <v>9</v>
      </c>
      <c r="T7" s="79">
        <v>86742</v>
      </c>
      <c r="U7" s="79">
        <v>100444</v>
      </c>
      <c r="V7" s="79">
        <v>160760</v>
      </c>
    </row>
    <row r="8" spans="1:22" s="73" customFormat="1">
      <c r="A8" s="73" t="s">
        <v>4</v>
      </c>
      <c r="B8" s="73" t="s">
        <v>10</v>
      </c>
      <c r="C8" s="79">
        <f>IF(A4="ZONE A",T8,IF(A4="ZONE B",T19,IF(A4="ZONE C",T30,0)))</f>
        <v>99948</v>
      </c>
      <c r="D8" s="79">
        <f>IF(A4="ZONE A",U8,IF(A4="ZONE B",U19,IF(A4="ZONE C",U30,0)))</f>
        <v>111540</v>
      </c>
      <c r="E8" s="79">
        <f>IF(A4="ZONE A",V8,IF(A4="ZONE B",V19,IF(A4="ZONE C",V30,0)))</f>
        <v>181720</v>
      </c>
      <c r="F8" s="79">
        <v>0</v>
      </c>
      <c r="G8" s="79">
        <f>G7</f>
        <v>0</v>
      </c>
      <c r="H8" s="79">
        <f>H7</f>
        <v>0</v>
      </c>
      <c r="I8" s="79">
        <f>I7</f>
        <v>0</v>
      </c>
      <c r="J8" s="79">
        <f t="shared" si="0"/>
        <v>0</v>
      </c>
      <c r="K8" s="79">
        <f>IF(C4&gt;2,1,0)</f>
        <v>1</v>
      </c>
      <c r="L8" s="79">
        <f>IF(C4&lt;7,1,0)</f>
        <v>0</v>
      </c>
      <c r="M8" s="79">
        <f t="shared" si="1"/>
        <v>0</v>
      </c>
      <c r="N8" s="73">
        <f t="shared" ref="N8:N19" si="2">M8*J8</f>
        <v>0</v>
      </c>
      <c r="O8" s="79">
        <v>0</v>
      </c>
      <c r="P8" s="79">
        <v>0</v>
      </c>
      <c r="Q8" s="79"/>
      <c r="R8" s="73" t="s">
        <v>4</v>
      </c>
      <c r="S8" s="73" t="s">
        <v>10</v>
      </c>
      <c r="T8" s="79">
        <v>109034</v>
      </c>
      <c r="U8" s="79">
        <v>121680</v>
      </c>
      <c r="V8" s="79">
        <v>198240</v>
      </c>
    </row>
    <row r="9" spans="1:22" s="73" customFormat="1">
      <c r="A9" s="73" t="s">
        <v>5</v>
      </c>
      <c r="B9" s="73" t="s">
        <v>11</v>
      </c>
      <c r="C9" s="79">
        <f>IF(A4="ZONE A",T9,IF(A4="ZONE B",T20,IF(A4="ZONE C",T31,0)))</f>
        <v>111062</v>
      </c>
      <c r="D9" s="79">
        <f>IF(A4="ZONE A",U9,IF(A4="ZONE B",U20,IF(A4="ZONE C",U31,0)))</f>
        <v>126796</v>
      </c>
      <c r="E9" s="79">
        <f>IF(A4="ZONE A",V9,IF(A4="ZONE B",V20,IF(A4="ZONE C",V31,0)))</f>
        <v>208249</v>
      </c>
      <c r="F9" s="79">
        <v>0</v>
      </c>
      <c r="G9" s="79">
        <f t="shared" ref="G9:I12" si="3">G8</f>
        <v>0</v>
      </c>
      <c r="H9" s="79">
        <f t="shared" si="3"/>
        <v>0</v>
      </c>
      <c r="I9" s="79">
        <f t="shared" si="3"/>
        <v>0</v>
      </c>
      <c r="J9" s="79">
        <f t="shared" si="0"/>
        <v>0</v>
      </c>
      <c r="K9" s="79">
        <f>IF(C4&gt;6,1,0)</f>
        <v>1</v>
      </c>
      <c r="L9" s="79">
        <f>IF(C4&lt;11,1,0)</f>
        <v>0</v>
      </c>
      <c r="M9" s="79">
        <f t="shared" si="1"/>
        <v>0</v>
      </c>
      <c r="N9" s="73">
        <f t="shared" si="2"/>
        <v>0</v>
      </c>
      <c r="O9" s="79">
        <v>0</v>
      </c>
      <c r="P9" s="79">
        <v>0</v>
      </c>
      <c r="Q9" s="79"/>
      <c r="R9" s="73" t="s">
        <v>5</v>
      </c>
      <c r="S9" s="73" t="s">
        <v>11</v>
      </c>
      <c r="T9" s="79">
        <v>121158</v>
      </c>
      <c r="U9" s="79">
        <v>138323</v>
      </c>
      <c r="V9" s="79">
        <v>227180</v>
      </c>
    </row>
    <row r="10" spans="1:22" s="73" customFormat="1">
      <c r="A10" s="73" t="s">
        <v>6</v>
      </c>
      <c r="B10" s="73" t="s">
        <v>12</v>
      </c>
      <c r="C10" s="79">
        <f>IF(A4="ZONE A",T10,IF(A4="ZONE B",T21,IF(A4="ZONE C",T32,0)))</f>
        <v>144938</v>
      </c>
      <c r="D10" s="79">
        <f>IF(A4="ZONE A",U10,IF(A4="ZONE B",U21,IF(A4="ZONE C",U32,0)))</f>
        <v>189934</v>
      </c>
      <c r="E10" s="79">
        <f>IF(A4="ZONE A",V10,IF(A4="ZONE B",V21,IF(A4="ZONE C",V32,0)))</f>
        <v>309466</v>
      </c>
      <c r="F10" s="79">
        <v>0</v>
      </c>
      <c r="G10" s="79">
        <f t="shared" si="3"/>
        <v>0</v>
      </c>
      <c r="H10" s="79">
        <f t="shared" si="3"/>
        <v>0</v>
      </c>
      <c r="I10" s="79">
        <f t="shared" si="3"/>
        <v>0</v>
      </c>
      <c r="J10" s="79">
        <f t="shared" si="0"/>
        <v>0</v>
      </c>
      <c r="K10" s="79">
        <f>IF(C4&gt;10,1,0)</f>
        <v>1</v>
      </c>
      <c r="L10" s="79">
        <f>IF(C4&lt;15,1,0)</f>
        <v>0</v>
      </c>
      <c r="M10" s="79">
        <f t="shared" si="1"/>
        <v>0</v>
      </c>
      <c r="N10" s="73">
        <f t="shared" si="2"/>
        <v>0</v>
      </c>
      <c r="O10" s="79">
        <v>0</v>
      </c>
      <c r="P10" s="79">
        <v>0</v>
      </c>
      <c r="Q10" s="79"/>
      <c r="R10" s="73" t="s">
        <v>6</v>
      </c>
      <c r="S10" s="73" t="s">
        <v>12</v>
      </c>
      <c r="T10" s="79">
        <v>158114</v>
      </c>
      <c r="U10" s="79">
        <v>207200</v>
      </c>
      <c r="V10" s="79">
        <v>334326</v>
      </c>
    </row>
    <row r="11" spans="1:22" s="73" customFormat="1">
      <c r="A11" s="73" t="s">
        <v>7</v>
      </c>
      <c r="B11" s="73" t="s">
        <v>13</v>
      </c>
      <c r="C11" s="79">
        <f>IF(A4="ZONE A",T11,IF(A4="ZONE B",T22,IF(A4="ZONE C",T33,0)))</f>
        <v>184533</v>
      </c>
      <c r="D11" s="79">
        <f>IF(A4="ZONE A",U11,IF(A4="ZONE B",U22,IF(A4="ZONE C",U33,0)))</f>
        <v>235178</v>
      </c>
      <c r="E11" s="79">
        <f>IF(A4="ZONE A",V11,IF(A4="ZONE B",V22,IF(A4="ZONE C",V33,0)))</f>
        <v>392066</v>
      </c>
      <c r="F11" s="79">
        <v>0</v>
      </c>
      <c r="G11" s="79">
        <f t="shared" si="3"/>
        <v>0</v>
      </c>
      <c r="H11" s="79">
        <f t="shared" si="3"/>
        <v>0</v>
      </c>
      <c r="I11" s="79">
        <f t="shared" si="3"/>
        <v>0</v>
      </c>
      <c r="J11" s="79">
        <f t="shared" si="0"/>
        <v>0</v>
      </c>
      <c r="K11" s="79">
        <f>IF(C4&gt;14,1,0)</f>
        <v>1</v>
      </c>
      <c r="L11" s="79">
        <f>IF(C4&lt;24,1,0)</f>
        <v>1</v>
      </c>
      <c r="M11" s="79">
        <f t="shared" si="1"/>
        <v>1</v>
      </c>
      <c r="N11" s="73">
        <f t="shared" si="2"/>
        <v>0</v>
      </c>
      <c r="O11" s="79">
        <v>0</v>
      </c>
      <c r="P11" s="79">
        <v>0</v>
      </c>
      <c r="Q11" s="79"/>
      <c r="R11" s="73" t="s">
        <v>38</v>
      </c>
      <c r="S11" s="73" t="s">
        <v>13</v>
      </c>
      <c r="T11" s="79">
        <v>201308</v>
      </c>
      <c r="U11" s="79">
        <v>256558</v>
      </c>
      <c r="V11" s="79">
        <v>427709</v>
      </c>
    </row>
    <row r="12" spans="1:22" s="73" customFormat="1">
      <c r="A12" s="73" t="s">
        <v>8</v>
      </c>
      <c r="B12" s="73" t="s">
        <v>14</v>
      </c>
      <c r="C12" s="79">
        <f>IF(A4="ZONE A",T12,IF(A4="ZONE B",T23,IF(A4="ZONE C",T34,0)))</f>
        <v>217592</v>
      </c>
      <c r="D12" s="79">
        <f>IF(A4="ZONE A",U12,IF(A4="ZONE B",U23,IF(A4="ZONE C",U34,0)))</f>
        <v>272008</v>
      </c>
      <c r="E12" s="79">
        <f>IF(A4="ZONE A",V12,IF(A4="ZONE B",V23,IF(A4="ZONE C",V34,0)))</f>
        <v>454928</v>
      </c>
      <c r="F12" s="79">
        <v>0</v>
      </c>
      <c r="G12" s="79">
        <f t="shared" si="3"/>
        <v>0</v>
      </c>
      <c r="H12" s="79">
        <f>H11</f>
        <v>0</v>
      </c>
      <c r="I12" s="79">
        <f>I11</f>
        <v>0</v>
      </c>
      <c r="J12" s="79">
        <f t="shared" si="0"/>
        <v>0</v>
      </c>
      <c r="K12" s="79">
        <f>IF(C4&gt;23,1,0)</f>
        <v>0</v>
      </c>
      <c r="L12" s="79">
        <f>IF(C4&lt;9999999999,1,0)</f>
        <v>1</v>
      </c>
      <c r="M12" s="79">
        <f t="shared" si="1"/>
        <v>0</v>
      </c>
      <c r="N12" s="73">
        <f t="shared" si="2"/>
        <v>0</v>
      </c>
      <c r="O12" s="79">
        <v>0</v>
      </c>
      <c r="P12" s="79">
        <v>0</v>
      </c>
      <c r="Q12" s="79"/>
      <c r="R12" s="73" t="s">
        <v>8</v>
      </c>
      <c r="S12" s="73" t="s">
        <v>14</v>
      </c>
      <c r="T12" s="79">
        <v>237373</v>
      </c>
      <c r="U12" s="79">
        <v>296736</v>
      </c>
      <c r="V12" s="79">
        <v>496285</v>
      </c>
    </row>
    <row r="13" spans="1:22" s="73" customFormat="1">
      <c r="K13" s="307" t="s">
        <v>19</v>
      </c>
      <c r="L13" s="307"/>
      <c r="M13" s="307"/>
      <c r="N13" s="73">
        <f>SUM(N7:N12)</f>
        <v>0</v>
      </c>
      <c r="O13" s="73">
        <f>SUM(O7:O12)</f>
        <v>0</v>
      </c>
      <c r="P13" s="79">
        <v>0</v>
      </c>
    </row>
    <row r="14" spans="1:22" s="73" customFormat="1">
      <c r="E14" s="79">
        <f t="shared" ref="E14:F19" si="4">E7</f>
        <v>147364</v>
      </c>
      <c r="F14" s="79">
        <f>F7</f>
        <v>0</v>
      </c>
      <c r="G14" s="79">
        <f>G12</f>
        <v>0</v>
      </c>
      <c r="H14" s="79">
        <f>H12</f>
        <v>0</v>
      </c>
      <c r="I14" s="79">
        <f>I12</f>
        <v>0</v>
      </c>
      <c r="J14" s="79">
        <f t="shared" ref="J14:J19" si="5">C7*G14+D7*H14+I14*E7</f>
        <v>0</v>
      </c>
      <c r="K14" s="79">
        <f>IF(C4&gt;0,1,0)</f>
        <v>1</v>
      </c>
      <c r="L14" s="79">
        <f>IF(C4&lt;=1,1,0)</f>
        <v>0</v>
      </c>
      <c r="M14" s="79">
        <f t="shared" ref="M14:M19" si="6">K14*L14</f>
        <v>0</v>
      </c>
      <c r="N14" s="73">
        <f t="shared" si="2"/>
        <v>0</v>
      </c>
      <c r="O14" s="79">
        <v>0</v>
      </c>
      <c r="P14" s="79">
        <v>0</v>
      </c>
    </row>
    <row r="15" spans="1:22" s="73" customFormat="1">
      <c r="E15" s="79">
        <f t="shared" si="4"/>
        <v>181720</v>
      </c>
      <c r="F15" s="79">
        <f t="shared" si="4"/>
        <v>0</v>
      </c>
      <c r="G15" s="79">
        <f>G14</f>
        <v>0</v>
      </c>
      <c r="H15" s="79">
        <f>H14</f>
        <v>0</v>
      </c>
      <c r="I15" s="79">
        <f>I14</f>
        <v>0</v>
      </c>
      <c r="J15" s="79">
        <f t="shared" si="5"/>
        <v>0</v>
      </c>
      <c r="K15" s="79">
        <f>IF(C4&gt;1,1,0)</f>
        <v>1</v>
      </c>
      <c r="L15" s="79">
        <f>IF(C4&lt;5,1,0)</f>
        <v>0</v>
      </c>
      <c r="M15" s="79">
        <f t="shared" si="6"/>
        <v>0</v>
      </c>
      <c r="N15" s="73">
        <f t="shared" si="2"/>
        <v>0</v>
      </c>
      <c r="O15" s="79">
        <v>0</v>
      </c>
      <c r="P15" s="79">
        <v>0</v>
      </c>
      <c r="S15" s="73" t="s">
        <v>16</v>
      </c>
    </row>
    <row r="16" spans="1:22" s="73" customFormat="1">
      <c r="A16" s="78" t="s">
        <v>300</v>
      </c>
      <c r="B16" s="307" t="s">
        <v>26</v>
      </c>
      <c r="C16" s="307"/>
      <c r="D16" s="99" t="s">
        <v>27</v>
      </c>
      <c r="E16" s="79">
        <f t="shared" si="4"/>
        <v>208249</v>
      </c>
      <c r="F16" s="79">
        <f t="shared" si="4"/>
        <v>0</v>
      </c>
      <c r="G16" s="79">
        <f t="shared" ref="G16:H19" si="7">G15</f>
        <v>0</v>
      </c>
      <c r="H16" s="79">
        <f t="shared" si="7"/>
        <v>0</v>
      </c>
      <c r="I16" s="79">
        <f>I14</f>
        <v>0</v>
      </c>
      <c r="J16" s="79">
        <f t="shared" si="5"/>
        <v>0</v>
      </c>
      <c r="K16" s="79">
        <f>IF(C4&gt;4,1,0)</f>
        <v>1</v>
      </c>
      <c r="L16" s="79">
        <f>IF(C4&lt;8,1,0)</f>
        <v>0</v>
      </c>
      <c r="M16" s="79">
        <f t="shared" si="6"/>
        <v>0</v>
      </c>
      <c r="N16" s="73">
        <f t="shared" si="2"/>
        <v>0</v>
      </c>
      <c r="O16" s="79">
        <v>0</v>
      </c>
      <c r="P16" s="79">
        <v>0</v>
      </c>
    </row>
    <row r="17" spans="1:22" s="73" customFormat="1">
      <c r="A17" s="308">
        <f>IF(D4="ESSENCE",P13,P20)</f>
        <v>0</v>
      </c>
      <c r="B17" s="308">
        <f>IF(D4="ESSENCE",N13,N20)</f>
        <v>0</v>
      </c>
      <c r="C17" s="308"/>
      <c r="D17" s="308">
        <v>0</v>
      </c>
      <c r="E17" s="79">
        <f t="shared" si="4"/>
        <v>309466</v>
      </c>
      <c r="F17" s="79">
        <f t="shared" si="4"/>
        <v>0</v>
      </c>
      <c r="G17" s="79">
        <f t="shared" si="7"/>
        <v>0</v>
      </c>
      <c r="H17" s="79">
        <f t="shared" si="7"/>
        <v>0</v>
      </c>
      <c r="I17" s="79">
        <f>I15</f>
        <v>0</v>
      </c>
      <c r="J17" s="79">
        <f t="shared" si="5"/>
        <v>0</v>
      </c>
      <c r="K17" s="79">
        <f>IF(C4&gt;7,1,0)</f>
        <v>1</v>
      </c>
      <c r="L17" s="79">
        <f>IF(C4&lt;11,1,0)</f>
        <v>0</v>
      </c>
      <c r="M17" s="79">
        <f t="shared" si="6"/>
        <v>0</v>
      </c>
      <c r="N17" s="73">
        <f t="shared" si="2"/>
        <v>0</v>
      </c>
      <c r="O17" s="79">
        <v>0</v>
      </c>
      <c r="P17" s="79">
        <v>0</v>
      </c>
      <c r="R17" s="73" t="s">
        <v>0</v>
      </c>
      <c r="S17" s="73" t="s">
        <v>1</v>
      </c>
      <c r="T17" s="73" t="str">
        <f>T6</f>
        <v>VEH.CAT.01</v>
      </c>
      <c r="U17" s="73" t="str">
        <f>U6</f>
        <v>VU&lt;3,5t</v>
      </c>
      <c r="V17" s="73" t="str">
        <f>V6</f>
        <v>VU&gt;=3,5t</v>
      </c>
    </row>
    <row r="18" spans="1:22" s="73" customFormat="1">
      <c r="A18" s="308"/>
      <c r="B18" s="308"/>
      <c r="C18" s="308"/>
      <c r="D18" s="308"/>
      <c r="E18" s="79">
        <f t="shared" si="4"/>
        <v>392066</v>
      </c>
      <c r="F18" s="79">
        <f t="shared" si="4"/>
        <v>0</v>
      </c>
      <c r="G18" s="79">
        <f t="shared" si="7"/>
        <v>0</v>
      </c>
      <c r="H18" s="79">
        <f t="shared" si="7"/>
        <v>0</v>
      </c>
      <c r="I18" s="79">
        <f>I16</f>
        <v>0</v>
      </c>
      <c r="J18" s="79">
        <f t="shared" si="5"/>
        <v>0</v>
      </c>
      <c r="K18" s="79">
        <f>IF(C4&gt;10,1,0)</f>
        <v>1</v>
      </c>
      <c r="L18" s="79">
        <f>IF(C4&lt;17,1,0)</f>
        <v>0</v>
      </c>
      <c r="M18" s="79">
        <f t="shared" si="6"/>
        <v>0</v>
      </c>
      <c r="N18" s="73">
        <f t="shared" si="2"/>
        <v>0</v>
      </c>
      <c r="O18" s="79">
        <v>0</v>
      </c>
      <c r="P18" s="79">
        <v>0</v>
      </c>
      <c r="R18" s="73" t="s">
        <v>9</v>
      </c>
      <c r="S18" s="73" t="s">
        <v>9</v>
      </c>
      <c r="T18" s="79">
        <v>86003</v>
      </c>
      <c r="U18" s="79">
        <v>96258</v>
      </c>
      <c r="V18" s="79">
        <v>154062</v>
      </c>
    </row>
    <row r="19" spans="1:22" s="73" customFormat="1">
      <c r="A19" s="308"/>
      <c r="B19" s="308"/>
      <c r="C19" s="308"/>
      <c r="D19" s="308"/>
      <c r="E19" s="79">
        <f t="shared" si="4"/>
        <v>454928</v>
      </c>
      <c r="F19" s="79">
        <f t="shared" si="4"/>
        <v>0</v>
      </c>
      <c r="G19" s="79">
        <f t="shared" si="7"/>
        <v>0</v>
      </c>
      <c r="H19" s="79">
        <f t="shared" si="7"/>
        <v>0</v>
      </c>
      <c r="I19" s="79">
        <f>I17</f>
        <v>0</v>
      </c>
      <c r="J19" s="79">
        <f t="shared" si="5"/>
        <v>0</v>
      </c>
      <c r="K19" s="79">
        <f>IF(C4&gt;16,1,0)</f>
        <v>1</v>
      </c>
      <c r="L19" s="79">
        <f>IF(C4&lt;9999999999,1,0)</f>
        <v>1</v>
      </c>
      <c r="M19" s="79">
        <f t="shared" si="6"/>
        <v>1</v>
      </c>
      <c r="N19" s="73">
        <f t="shared" si="2"/>
        <v>0</v>
      </c>
      <c r="O19" s="79">
        <v>0</v>
      </c>
      <c r="P19" s="79">
        <v>0</v>
      </c>
      <c r="R19" s="73" t="s">
        <v>4</v>
      </c>
      <c r="S19" s="73" t="s">
        <v>10</v>
      </c>
      <c r="T19" s="79">
        <v>104491</v>
      </c>
      <c r="U19" s="79">
        <v>116610</v>
      </c>
      <c r="V19" s="79">
        <v>189980</v>
      </c>
    </row>
    <row r="20" spans="1:22" s="73" customFormat="1">
      <c r="B20" s="308">
        <f>(A25+C25+D25)*IF(CONTRATS!C24=0,1,0)*IF(CONTRATS!E24=0,1,0)*IF(E4="YES",0,1)</f>
        <v>0</v>
      </c>
      <c r="C20" s="308"/>
      <c r="D20" s="308"/>
      <c r="N20" s="73">
        <f>SUM(N14:N19)</f>
        <v>0</v>
      </c>
      <c r="O20" s="73">
        <f>SUM(O14:O19)</f>
        <v>0</v>
      </c>
      <c r="P20" s="79">
        <v>0</v>
      </c>
      <c r="R20" s="73" t="s">
        <v>5</v>
      </c>
      <c r="S20" s="73" t="s">
        <v>11</v>
      </c>
      <c r="T20" s="79">
        <v>116110</v>
      </c>
      <c r="U20" s="79">
        <v>132559</v>
      </c>
      <c r="V20" s="79">
        <v>217715</v>
      </c>
    </row>
    <row r="21" spans="1:22" s="73" customFormat="1">
      <c r="B21" s="308"/>
      <c r="C21" s="308"/>
      <c r="D21" s="308"/>
      <c r="R21" s="73" t="s">
        <v>6</v>
      </c>
      <c r="S21" s="73" t="s">
        <v>12</v>
      </c>
      <c r="T21" s="79">
        <v>151526</v>
      </c>
      <c r="U21" s="79">
        <v>198567</v>
      </c>
      <c r="V21" s="79">
        <v>320396</v>
      </c>
    </row>
    <row r="22" spans="1:22" s="73" customFormat="1">
      <c r="B22" s="308"/>
      <c r="C22" s="308"/>
      <c r="D22" s="308"/>
      <c r="R22" s="73" t="s">
        <v>7</v>
      </c>
      <c r="S22" s="73" t="s">
        <v>13</v>
      </c>
      <c r="T22" s="79">
        <v>192921</v>
      </c>
      <c r="U22" s="79">
        <v>245868</v>
      </c>
      <c r="V22" s="79">
        <v>409888</v>
      </c>
    </row>
    <row r="23" spans="1:22" s="73" customFormat="1">
      <c r="R23" s="73" t="s">
        <v>8</v>
      </c>
      <c r="S23" s="73" t="s">
        <v>14</v>
      </c>
      <c r="T23" s="79">
        <v>227783</v>
      </c>
      <c r="U23" s="79">
        <v>284372</v>
      </c>
      <c r="V23" s="79">
        <v>475607</v>
      </c>
    </row>
    <row r="24" spans="1:22" s="73" customFormat="1">
      <c r="A24" s="73">
        <f>IF(G4="SEMI-REMORQUE",1,0)</f>
        <v>0</v>
      </c>
      <c r="C24" s="73">
        <f>IF(G4="SEMI-REMORQUE",0,1)</f>
        <v>1</v>
      </c>
      <c r="D24" s="73">
        <f>IF(E4="YES",1,0)</f>
        <v>0</v>
      </c>
    </row>
    <row r="25" spans="1:22" s="73" customFormat="1">
      <c r="A25" s="73">
        <f>A17*A24</f>
        <v>0</v>
      </c>
      <c r="C25" s="73">
        <f>C24*B17</f>
        <v>0</v>
      </c>
      <c r="D25" s="73">
        <f>D24*D17</f>
        <v>0</v>
      </c>
    </row>
    <row r="26" spans="1:22" s="73" customFormat="1">
      <c r="E26" s="78">
        <v>0</v>
      </c>
      <c r="F26" s="78" t="s">
        <v>304</v>
      </c>
      <c r="G26" s="78">
        <f>C1</f>
        <v>0</v>
      </c>
      <c r="H26" s="73">
        <f>IF(G26="VEH.CAT.02",1,0)</f>
        <v>0</v>
      </c>
      <c r="S26" s="73" t="s">
        <v>17</v>
      </c>
    </row>
    <row r="27" spans="1:22" s="73" customFormat="1">
      <c r="E27" s="78">
        <v>1</v>
      </c>
      <c r="F27" s="78" t="s">
        <v>305</v>
      </c>
      <c r="G27" s="78">
        <f>G26</f>
        <v>0</v>
      </c>
      <c r="H27" s="73">
        <f>IF(G27="VEH.CAT.03",1,0)</f>
        <v>0</v>
      </c>
    </row>
    <row r="28" spans="1:22" s="73" customFormat="1">
      <c r="E28" s="78">
        <v>1</v>
      </c>
      <c r="F28" s="78" t="s">
        <v>306</v>
      </c>
      <c r="G28" s="78">
        <f t="shared" ref="G28:G35" si="8">G27</f>
        <v>0</v>
      </c>
      <c r="H28" s="73">
        <f>IF(G28="VEH.CAT.09",1,0)</f>
        <v>0</v>
      </c>
      <c r="R28" s="73" t="s">
        <v>0</v>
      </c>
      <c r="S28" s="73" t="s">
        <v>1</v>
      </c>
      <c r="T28" s="73" t="str">
        <f>T17</f>
        <v>VEH.CAT.01</v>
      </c>
      <c r="U28" s="73" t="str">
        <f>U17</f>
        <v>VU&lt;3,5t</v>
      </c>
      <c r="V28" s="73" t="str">
        <f>V17</f>
        <v>VU&gt;=3,5t</v>
      </c>
    </row>
    <row r="29" spans="1:22" s="73" customFormat="1">
      <c r="E29" s="78">
        <v>0</v>
      </c>
      <c r="F29" s="78" t="s">
        <v>307</v>
      </c>
      <c r="G29" s="78">
        <f t="shared" si="8"/>
        <v>0</v>
      </c>
      <c r="H29" s="73">
        <f>IF(G29="VEH.CAT.10",1,0)</f>
        <v>0</v>
      </c>
      <c r="R29" s="73" t="s">
        <v>9</v>
      </c>
      <c r="S29" s="73" t="s">
        <v>9</v>
      </c>
      <c r="T29" s="79">
        <v>82264</v>
      </c>
      <c r="U29" s="79">
        <v>92073</v>
      </c>
      <c r="V29" s="79">
        <v>147364</v>
      </c>
    </row>
    <row r="30" spans="1:22" s="73" customFormat="1">
      <c r="E30" s="78">
        <v>0</v>
      </c>
      <c r="F30" s="78" t="s">
        <v>308</v>
      </c>
      <c r="G30" s="78">
        <f t="shared" si="8"/>
        <v>0</v>
      </c>
      <c r="H30" s="87">
        <f>H26+H27+H28+H29</f>
        <v>0</v>
      </c>
      <c r="R30" s="73" t="s">
        <v>4</v>
      </c>
      <c r="S30" s="73" t="s">
        <v>10</v>
      </c>
      <c r="T30" s="79">
        <v>99948</v>
      </c>
      <c r="U30" s="79">
        <v>111540</v>
      </c>
      <c r="V30" s="79">
        <v>181720</v>
      </c>
    </row>
    <row r="31" spans="1:22" s="73" customFormat="1">
      <c r="E31" s="78">
        <v>0</v>
      </c>
      <c r="F31" s="78" t="s">
        <v>309</v>
      </c>
      <c r="G31" s="78">
        <f t="shared" si="8"/>
        <v>0</v>
      </c>
      <c r="R31" s="73" t="s">
        <v>5</v>
      </c>
      <c r="S31" s="73" t="s">
        <v>11</v>
      </c>
      <c r="T31" s="79">
        <v>111062</v>
      </c>
      <c r="U31" s="79">
        <v>126796</v>
      </c>
      <c r="V31" s="79">
        <v>208249</v>
      </c>
    </row>
    <row r="32" spans="1:22" s="73" customFormat="1">
      <c r="E32" s="78">
        <v>0</v>
      </c>
      <c r="F32" s="78" t="s">
        <v>310</v>
      </c>
      <c r="G32" s="78">
        <f t="shared" si="8"/>
        <v>0</v>
      </c>
      <c r="R32" s="73" t="s">
        <v>6</v>
      </c>
      <c r="S32" s="73" t="s">
        <v>12</v>
      </c>
      <c r="T32" s="79">
        <v>144938</v>
      </c>
      <c r="U32" s="79">
        <v>189934</v>
      </c>
      <c r="V32" s="79">
        <v>309466</v>
      </c>
    </row>
    <row r="33" spans="5:22" s="73" customFormat="1">
      <c r="E33" s="78">
        <v>0</v>
      </c>
      <c r="F33" s="78" t="s">
        <v>311</v>
      </c>
      <c r="G33" s="78">
        <f t="shared" si="8"/>
        <v>0</v>
      </c>
      <c r="R33" s="73" t="s">
        <v>7</v>
      </c>
      <c r="S33" s="73" t="s">
        <v>13</v>
      </c>
      <c r="T33" s="79">
        <v>184533</v>
      </c>
      <c r="U33" s="79">
        <v>235178</v>
      </c>
      <c r="V33" s="79">
        <v>392066</v>
      </c>
    </row>
    <row r="34" spans="5:22" s="73" customFormat="1">
      <c r="E34" s="78">
        <v>1</v>
      </c>
      <c r="F34" s="78" t="s">
        <v>312</v>
      </c>
      <c r="G34" s="78">
        <f t="shared" si="8"/>
        <v>0</v>
      </c>
      <c r="R34" s="73" t="s">
        <v>8</v>
      </c>
      <c r="S34" s="73" t="s">
        <v>14</v>
      </c>
      <c r="T34" s="79">
        <v>217592</v>
      </c>
      <c r="U34" s="79">
        <v>272008</v>
      </c>
      <c r="V34" s="79">
        <v>454928</v>
      </c>
    </row>
    <row r="35" spans="5:22" s="73" customFormat="1">
      <c r="E35" s="78">
        <v>1</v>
      </c>
      <c r="F35" s="78" t="s">
        <v>313</v>
      </c>
      <c r="G35" s="78">
        <f t="shared" si="8"/>
        <v>0</v>
      </c>
    </row>
    <row r="36" spans="5:22" s="73" customFormat="1"/>
    <row r="37" spans="5:22" s="73" customFormat="1"/>
    <row r="38" spans="5:22" s="73" customFormat="1"/>
    <row r="39" spans="5:22" s="73" customFormat="1"/>
    <row r="40" spans="5:22" s="73" customFormat="1"/>
    <row r="41" spans="5:22" s="73" customFormat="1"/>
    <row r="42" spans="5:22" s="73" customFormat="1"/>
    <row r="43" spans="5:22" s="73" customFormat="1"/>
    <row r="44" spans="5:22" s="73" customFormat="1"/>
    <row r="45" spans="5:22" s="73" customFormat="1"/>
    <row r="46" spans="5:22" s="73" customFormat="1"/>
    <row r="47" spans="5:22" s="73" customFormat="1"/>
    <row r="48" spans="5:22" s="73" customFormat="1"/>
    <row r="49" s="73" customFormat="1"/>
    <row r="50" s="73" customFormat="1"/>
    <row r="51" s="73" customFormat="1"/>
    <row r="52" s="73" customFormat="1"/>
    <row r="53" s="73" customFormat="1"/>
    <row r="54" s="73" customFormat="1"/>
    <row r="55" s="73" customFormat="1"/>
    <row r="56" s="73" customFormat="1"/>
    <row r="57" s="73" customFormat="1"/>
    <row r="58" s="73" customFormat="1"/>
    <row r="59" s="73" customFormat="1"/>
    <row r="60" s="73" customFormat="1"/>
    <row r="61" s="73" customFormat="1"/>
    <row r="62" s="73" customFormat="1"/>
    <row r="63" s="73" customFormat="1"/>
    <row r="64" s="73" customFormat="1"/>
    <row r="65" s="73" customFormat="1"/>
    <row r="66" s="73" customFormat="1"/>
    <row r="67" s="73" customFormat="1"/>
    <row r="68" s="73" customFormat="1"/>
    <row r="69" s="73" customFormat="1"/>
    <row r="70" s="73" customFormat="1"/>
    <row r="71" s="73" customFormat="1"/>
    <row r="72" s="73" customFormat="1"/>
    <row r="73" s="73" customFormat="1"/>
    <row r="74" s="73" customFormat="1"/>
    <row r="75" s="73" customFormat="1"/>
    <row r="76" s="73" customFormat="1"/>
    <row r="77" s="73" customFormat="1"/>
    <row r="78" s="73" customFormat="1"/>
    <row r="79" s="73" customFormat="1"/>
    <row r="80" s="73" customFormat="1"/>
    <row r="81" s="73" customFormat="1"/>
    <row r="82" s="73" customFormat="1"/>
    <row r="83" s="73" customFormat="1"/>
    <row r="84" s="73" customFormat="1"/>
    <row r="85" s="73" customFormat="1"/>
  </sheetData>
  <sheetProtection password="D373" sheet="1" objects="1" scenarios="1"/>
  <mergeCells count="7">
    <mergeCell ref="B20:D22"/>
    <mergeCell ref="K6:M6"/>
    <mergeCell ref="K13:M13"/>
    <mergeCell ref="B16:C16"/>
    <mergeCell ref="A17:A19"/>
    <mergeCell ref="B17:C19"/>
    <mergeCell ref="D17:D19"/>
  </mergeCells>
  <dataValidations count="2">
    <dataValidation type="list" allowBlank="1" showInputMessage="1" showErrorMessage="1" sqref="A4">
      <formula1>$T$1:$V$1</formula1>
    </dataValidation>
    <dataValidation type="list" allowBlank="1" showInputMessage="1" showErrorMessage="1" sqref="E4:F4">
      <formula1>$L$2:$M$2</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U34"/>
  <sheetViews>
    <sheetView topLeftCell="AI1" workbookViewId="0">
      <selection sqref="A1:AH1048576"/>
    </sheetView>
  </sheetViews>
  <sheetFormatPr defaultColWidth="11.42578125" defaultRowHeight="15"/>
  <cols>
    <col min="1" max="1" width="0" style="73" hidden="1" customWidth="1"/>
    <col min="2" max="2" width="17.140625" style="73" hidden="1" customWidth="1"/>
    <col min="3" max="4" width="16.85546875" style="73" hidden="1" customWidth="1"/>
    <col min="5" max="8" width="19.85546875" style="73" hidden="1" customWidth="1"/>
    <col min="9" max="16" width="16.85546875" style="73" hidden="1" customWidth="1"/>
    <col min="17" max="18" width="0" style="73" hidden="1" customWidth="1"/>
    <col min="19" max="20" width="16.85546875" style="73" hidden="1" customWidth="1"/>
    <col min="21" max="21" width="19.85546875" style="73" hidden="1" customWidth="1"/>
    <col min="22" max="34" width="0" style="73" hidden="1" customWidth="1"/>
    <col min="35" max="16384" width="11.42578125" style="73"/>
  </cols>
  <sheetData>
    <row r="1" spans="1:21">
      <c r="S1" s="73" t="s">
        <v>15</v>
      </c>
      <c r="T1" s="73" t="s">
        <v>16</v>
      </c>
      <c r="U1" s="73" t="s">
        <v>17</v>
      </c>
    </row>
    <row r="2" spans="1:21">
      <c r="G2" s="73" t="s">
        <v>0</v>
      </c>
      <c r="H2" s="73" t="s">
        <v>1</v>
      </c>
      <c r="I2" s="73" t="s">
        <v>20</v>
      </c>
      <c r="J2" s="73" t="s">
        <v>2</v>
      </c>
      <c r="K2" s="73" t="s">
        <v>24</v>
      </c>
      <c r="L2" s="73" t="s">
        <v>25</v>
      </c>
    </row>
    <row r="3" spans="1:21">
      <c r="A3" s="94"/>
      <c r="B3" s="94"/>
      <c r="C3" s="100" t="s">
        <v>21</v>
      </c>
      <c r="D3" s="94" t="s">
        <v>22</v>
      </c>
      <c r="E3" s="94" t="s">
        <v>23</v>
      </c>
      <c r="F3" s="75"/>
    </row>
    <row r="4" spans="1:21">
      <c r="A4" s="97" t="str">
        <f>CONTRATS!DI9</f>
        <v>ZONE C</v>
      </c>
      <c r="B4" s="97" t="str">
        <f>CONTRATS!DL9</f>
        <v>SANS REMORQUE</v>
      </c>
      <c r="C4" s="98">
        <f>CONTRATS!B19</f>
        <v>19</v>
      </c>
      <c r="D4" s="97" t="str">
        <f>CONTRATS!D19</f>
        <v>ESSENCE</v>
      </c>
      <c r="E4" s="98" t="str">
        <f>CONTRATS!B24</f>
        <v>NO</v>
      </c>
      <c r="F4" s="76"/>
      <c r="G4" s="77" t="str">
        <f>CONTRATS!E17</f>
        <v>VT</v>
      </c>
      <c r="R4" s="73" t="s">
        <v>15</v>
      </c>
    </row>
    <row r="6" spans="1:21">
      <c r="A6" s="73" t="s">
        <v>0</v>
      </c>
      <c r="B6" s="73" t="s">
        <v>1</v>
      </c>
      <c r="C6" s="73" t="s">
        <v>3</v>
      </c>
      <c r="D6" s="73" t="s">
        <v>2</v>
      </c>
      <c r="E6" s="73" t="s">
        <v>23</v>
      </c>
      <c r="F6" s="77" t="s">
        <v>112</v>
      </c>
      <c r="J6" s="307" t="s">
        <v>18</v>
      </c>
      <c r="K6" s="307"/>
      <c r="L6" s="307"/>
      <c r="O6" s="77" t="s">
        <v>112</v>
      </c>
      <c r="Q6" s="73" t="s">
        <v>0</v>
      </c>
      <c r="R6" s="73" t="s">
        <v>1</v>
      </c>
      <c r="S6" s="73" t="s">
        <v>3</v>
      </c>
      <c r="T6" s="73" t="s">
        <v>2</v>
      </c>
      <c r="U6" s="73" t="s">
        <v>23</v>
      </c>
    </row>
    <row r="7" spans="1:21">
      <c r="A7" s="73" t="s">
        <v>9</v>
      </c>
      <c r="B7" s="73" t="s">
        <v>9</v>
      </c>
      <c r="C7" s="79">
        <f>IF(A4="ZONE A",S7,IF(A4="ZONE B",S18,IF(A4="ZONE C",S29,0)))</f>
        <v>86207</v>
      </c>
      <c r="D7" s="79">
        <f>IF(A4="ZONE A",T7,IF(A4="ZONE B",T18,IF(A4="ZONE C",T29,0)))</f>
        <v>112069</v>
      </c>
      <c r="E7" s="79">
        <f>IF(A4="ZONE A",U7,IF(A4="ZONE B",U18,IF(A4="ZONE C",U29,0)))</f>
        <v>14219</v>
      </c>
      <c r="F7" s="79">
        <f t="shared" ref="F7:F12" si="0">D7-C7</f>
        <v>25862</v>
      </c>
      <c r="G7" s="79">
        <f>IF(B4="SANS REMORQUE",1,0)</f>
        <v>1</v>
      </c>
      <c r="H7" s="79">
        <f>IF(B4="SANS REMORQUE",0,1)</f>
        <v>0</v>
      </c>
      <c r="I7" s="79">
        <f t="shared" ref="I7:I12" si="1">C7*G7+D7*H7</f>
        <v>86207</v>
      </c>
      <c r="J7" s="79">
        <f>IF(C4&gt;0,1,0)</f>
        <v>1</v>
      </c>
      <c r="K7" s="79">
        <f>IF(C4&lt;=2,1,0)</f>
        <v>0</v>
      </c>
      <c r="L7" s="79">
        <f t="shared" ref="L7:L12" si="2">J7*K7</f>
        <v>0</v>
      </c>
      <c r="M7" s="73">
        <f>L7*I7</f>
        <v>0</v>
      </c>
      <c r="N7" s="79">
        <f t="shared" ref="N7:N12" si="3">E7*L7</f>
        <v>0</v>
      </c>
      <c r="O7" s="79">
        <f>L7*F7</f>
        <v>0</v>
      </c>
      <c r="P7" s="79"/>
      <c r="Q7" s="73" t="s">
        <v>9</v>
      </c>
      <c r="R7" s="73" t="s">
        <v>9</v>
      </c>
      <c r="S7" s="79">
        <v>94044</v>
      </c>
      <c r="T7" s="79">
        <v>122257</v>
      </c>
      <c r="U7" s="79">
        <v>15511</v>
      </c>
    </row>
    <row r="8" spans="1:21">
      <c r="A8" s="73" t="s">
        <v>4</v>
      </c>
      <c r="B8" s="73" t="s">
        <v>10</v>
      </c>
      <c r="C8" s="79">
        <f>IF(A4="ZONE A",S8,IF(A4="ZONE B",S19,IF(A4="ZONE C",S30,0)))</f>
        <v>106374</v>
      </c>
      <c r="D8" s="79">
        <f>IF(A4="ZONE A",T8,IF(A4="ZONE B",T19,IF(A4="ZONE C",T30,0)))</f>
        <v>138287</v>
      </c>
      <c r="E8" s="79">
        <f>IF(A4="ZONE A",U8,IF(A4="ZONE B",U19,IF(A4="ZONE C",U30,0)))</f>
        <v>14219</v>
      </c>
      <c r="F8" s="79">
        <f t="shared" si="0"/>
        <v>31913</v>
      </c>
      <c r="G8" s="79">
        <f>G7</f>
        <v>1</v>
      </c>
      <c r="H8" s="79">
        <f>H7</f>
        <v>0</v>
      </c>
      <c r="I8" s="79">
        <f t="shared" si="1"/>
        <v>106374</v>
      </c>
      <c r="J8" s="79">
        <f>IF(C4&gt;2,1,0)</f>
        <v>1</v>
      </c>
      <c r="K8" s="79">
        <f>IF(C4&lt;7,1,0)</f>
        <v>0</v>
      </c>
      <c r="L8" s="79">
        <f t="shared" si="2"/>
        <v>0</v>
      </c>
      <c r="M8" s="73">
        <f t="shared" ref="M8:M19" si="4">L8*I8</f>
        <v>0</v>
      </c>
      <c r="N8" s="79">
        <f t="shared" si="3"/>
        <v>0</v>
      </c>
      <c r="O8" s="79">
        <f t="shared" ref="O8:O19" si="5">L8*F8</f>
        <v>0</v>
      </c>
      <c r="P8" s="79"/>
      <c r="Q8" s="73" t="s">
        <v>4</v>
      </c>
      <c r="R8" s="73" t="s">
        <v>10</v>
      </c>
      <c r="S8" s="79">
        <v>116045</v>
      </c>
      <c r="T8" s="79">
        <v>150858</v>
      </c>
      <c r="U8" s="79">
        <v>15511</v>
      </c>
    </row>
    <row r="9" spans="1:21">
      <c r="A9" s="73" t="s">
        <v>5</v>
      </c>
      <c r="B9" s="73" t="s">
        <v>11</v>
      </c>
      <c r="C9" s="79">
        <f>IF(A4="ZONE A",S9,IF(A4="ZONE B",S20,IF(A4="ZONE C",S31,0)))</f>
        <v>121825</v>
      </c>
      <c r="D9" s="79">
        <f>IF(A4="ZONE A",T9,IF(A4="ZONE B",T20,IF(A4="ZONE C",T31,0)))</f>
        <v>158374</v>
      </c>
      <c r="E9" s="79">
        <f>IF(A4="ZONE A",U9,IF(A4="ZONE B",U20,IF(A4="ZONE C",U31,0)))</f>
        <v>14219</v>
      </c>
      <c r="F9" s="79">
        <f t="shared" si="0"/>
        <v>36549</v>
      </c>
      <c r="G9" s="79">
        <f t="shared" ref="G9:H12" si="6">G8</f>
        <v>1</v>
      </c>
      <c r="H9" s="79">
        <f t="shared" si="6"/>
        <v>0</v>
      </c>
      <c r="I9" s="79">
        <f t="shared" si="1"/>
        <v>121825</v>
      </c>
      <c r="J9" s="79">
        <f>IF(C4&gt;6,1,0)</f>
        <v>1</v>
      </c>
      <c r="K9" s="79">
        <f>IF(C4&lt;11,1,0)</f>
        <v>0</v>
      </c>
      <c r="L9" s="79">
        <f t="shared" si="2"/>
        <v>0</v>
      </c>
      <c r="M9" s="73">
        <f t="shared" si="4"/>
        <v>0</v>
      </c>
      <c r="N9" s="79">
        <f t="shared" si="3"/>
        <v>0</v>
      </c>
      <c r="O9" s="79">
        <f t="shared" si="5"/>
        <v>0</v>
      </c>
      <c r="P9" s="79"/>
      <c r="Q9" s="73" t="s">
        <v>5</v>
      </c>
      <c r="R9" s="73" t="s">
        <v>11</v>
      </c>
      <c r="S9" s="79">
        <v>132900</v>
      </c>
      <c r="T9" s="79">
        <v>172771</v>
      </c>
      <c r="U9" s="79">
        <v>15511</v>
      </c>
    </row>
    <row r="10" spans="1:21">
      <c r="A10" s="73" t="s">
        <v>6</v>
      </c>
      <c r="B10" s="73" t="s">
        <v>12</v>
      </c>
      <c r="C10" s="79">
        <f>IF(A4="ZONE A",S10,IF(A4="ZONE B",S21,IF(A4="ZONE C",S32,0)))</f>
        <v>179925</v>
      </c>
      <c r="D10" s="79">
        <f>IF(A4="ZONE A",T10,IF(A4="ZONE B",T21,IF(A4="ZONE C",T32,0)))</f>
        <v>233903</v>
      </c>
      <c r="E10" s="79">
        <f>IF(A4="ZONE A",U10,IF(A4="ZONE B",U21,IF(A4="ZONE C",U32,0)))</f>
        <v>21463</v>
      </c>
      <c r="F10" s="79">
        <f t="shared" si="0"/>
        <v>53978</v>
      </c>
      <c r="G10" s="79">
        <f t="shared" si="6"/>
        <v>1</v>
      </c>
      <c r="H10" s="79">
        <f t="shared" si="6"/>
        <v>0</v>
      </c>
      <c r="I10" s="79">
        <f t="shared" si="1"/>
        <v>179925</v>
      </c>
      <c r="J10" s="79">
        <f>IF(C4&gt;10,1,0)</f>
        <v>1</v>
      </c>
      <c r="K10" s="79">
        <f>IF(C4&lt;15,1,0)</f>
        <v>0</v>
      </c>
      <c r="L10" s="79">
        <f t="shared" si="2"/>
        <v>0</v>
      </c>
      <c r="M10" s="73">
        <f t="shared" si="4"/>
        <v>0</v>
      </c>
      <c r="N10" s="79">
        <f t="shared" si="3"/>
        <v>0</v>
      </c>
      <c r="O10" s="79">
        <f t="shared" si="5"/>
        <v>0</v>
      </c>
      <c r="P10" s="79"/>
      <c r="Q10" s="73" t="s">
        <v>6</v>
      </c>
      <c r="R10" s="73" t="s">
        <v>12</v>
      </c>
      <c r="S10" s="79">
        <v>196282</v>
      </c>
      <c r="T10" s="79">
        <v>255167</v>
      </c>
      <c r="U10" s="79">
        <v>23414</v>
      </c>
    </row>
    <row r="11" spans="1:21">
      <c r="A11" s="73" t="s">
        <v>7</v>
      </c>
      <c r="B11" s="73" t="s">
        <v>13</v>
      </c>
      <c r="C11" s="79">
        <f>IF(A4="ZONE A",S11,IF(A4="ZONE B",S22,IF(A4="ZONE C",S33,0)))</f>
        <v>229359</v>
      </c>
      <c r="D11" s="79">
        <f>IF(A4="ZONE A",T11,IF(A4="ZONE B",T22,IF(A4="ZONE C",T33,0)))</f>
        <v>298166</v>
      </c>
      <c r="E11" s="79">
        <f>IF(A4="ZONE A",U11,IF(A4="ZONE B",U22,IF(A4="ZONE C",U33,0)))</f>
        <v>22750</v>
      </c>
      <c r="F11" s="79">
        <f t="shared" si="0"/>
        <v>68807</v>
      </c>
      <c r="G11" s="79">
        <f t="shared" si="6"/>
        <v>1</v>
      </c>
      <c r="H11" s="79">
        <f t="shared" si="6"/>
        <v>0</v>
      </c>
      <c r="I11" s="79">
        <f t="shared" si="1"/>
        <v>229359</v>
      </c>
      <c r="J11" s="79">
        <f>IF(C4&gt;14,1,0)</f>
        <v>1</v>
      </c>
      <c r="K11" s="79">
        <f>IF(C4&lt;24,1,0)</f>
        <v>1</v>
      </c>
      <c r="L11" s="79">
        <f t="shared" si="2"/>
        <v>1</v>
      </c>
      <c r="M11" s="73">
        <f t="shared" si="4"/>
        <v>229359</v>
      </c>
      <c r="N11" s="79">
        <f t="shared" si="3"/>
        <v>22750</v>
      </c>
      <c r="O11" s="79">
        <f t="shared" si="5"/>
        <v>68807</v>
      </c>
      <c r="P11" s="79"/>
      <c r="Q11" s="73" t="s">
        <v>38</v>
      </c>
      <c r="R11" s="73" t="s">
        <v>13</v>
      </c>
      <c r="S11" s="79">
        <v>250210</v>
      </c>
      <c r="T11" s="79">
        <v>325272</v>
      </c>
      <c r="U11" s="79">
        <v>24818</v>
      </c>
    </row>
    <row r="12" spans="1:21">
      <c r="A12" s="73" t="s">
        <v>8</v>
      </c>
      <c r="B12" s="73" t="s">
        <v>14</v>
      </c>
      <c r="C12" s="79">
        <f>IF(A4="ZONE A",S12,IF(A4="ZONE B",S23,IF(A4="ZONE C",S34,0)))</f>
        <v>266132</v>
      </c>
      <c r="D12" s="79">
        <f>IF(A4="ZONE A",T12,IF(A4="ZONE B",T23,IF(A4="ZONE C",T34,0)))</f>
        <v>345974</v>
      </c>
      <c r="E12" s="79">
        <f>IF(A4="ZONE A",U12,IF(A4="ZONE B",U23,IF(A4="ZONE C",U34,0)))</f>
        <v>22750</v>
      </c>
      <c r="F12" s="79">
        <f t="shared" si="0"/>
        <v>79842</v>
      </c>
      <c r="G12" s="79">
        <f t="shared" si="6"/>
        <v>1</v>
      </c>
      <c r="H12" s="79">
        <f t="shared" si="6"/>
        <v>0</v>
      </c>
      <c r="I12" s="79">
        <f t="shared" si="1"/>
        <v>266132</v>
      </c>
      <c r="J12" s="79">
        <f>IF(C4&gt;23,1,0)</f>
        <v>0</v>
      </c>
      <c r="K12" s="79">
        <f>IF(C4&lt;9999999999,1,0)</f>
        <v>1</v>
      </c>
      <c r="L12" s="79">
        <f t="shared" si="2"/>
        <v>0</v>
      </c>
      <c r="M12" s="73">
        <f t="shared" si="4"/>
        <v>0</v>
      </c>
      <c r="N12" s="79">
        <f t="shared" si="3"/>
        <v>0</v>
      </c>
      <c r="O12" s="79">
        <f t="shared" si="5"/>
        <v>0</v>
      </c>
      <c r="P12" s="79"/>
      <c r="Q12" s="73" t="s">
        <v>8</v>
      </c>
      <c r="R12" s="73" t="s">
        <v>14</v>
      </c>
      <c r="S12" s="79">
        <v>290326</v>
      </c>
      <c r="T12" s="79">
        <v>377426</v>
      </c>
      <c r="U12" s="79">
        <v>24818</v>
      </c>
    </row>
    <row r="13" spans="1:21">
      <c r="J13" s="307" t="s">
        <v>19</v>
      </c>
      <c r="K13" s="307"/>
      <c r="L13" s="307"/>
      <c r="M13" s="73">
        <f>SUM(M7:M12)</f>
        <v>229359</v>
      </c>
      <c r="N13" s="79">
        <f>SUM(N7:N12)</f>
        <v>22750</v>
      </c>
      <c r="O13" s="79">
        <f>SUM(O7:O12)</f>
        <v>68807</v>
      </c>
    </row>
    <row r="14" spans="1:21">
      <c r="E14" s="79">
        <f t="shared" ref="E14:F19" si="7">E7</f>
        <v>14219</v>
      </c>
      <c r="F14" s="79">
        <f>F7</f>
        <v>25862</v>
      </c>
      <c r="G14" s="79">
        <f>IF(B4="SANS REMORQUE",1,0)</f>
        <v>1</v>
      </c>
      <c r="H14" s="79">
        <f>IF(B4="SANS REMORQUE",0,1)</f>
        <v>0</v>
      </c>
      <c r="I14" s="79">
        <f t="shared" ref="I14:I19" si="8">C7*G14+D7*H14</f>
        <v>86207</v>
      </c>
      <c r="J14" s="79">
        <f>IF(C4&gt;0,1,0)</f>
        <v>1</v>
      </c>
      <c r="K14" s="79">
        <f>IF(C4&lt;=1,1,0)</f>
        <v>0</v>
      </c>
      <c r="L14" s="79">
        <f t="shared" ref="L14:L19" si="9">J14*K14</f>
        <v>0</v>
      </c>
      <c r="M14" s="73">
        <f t="shared" si="4"/>
        <v>0</v>
      </c>
      <c r="N14" s="79">
        <f t="shared" ref="N14:N19" si="10">E14*L14</f>
        <v>0</v>
      </c>
      <c r="O14" s="79">
        <f t="shared" si="5"/>
        <v>0</v>
      </c>
    </row>
    <row r="15" spans="1:21">
      <c r="E15" s="79">
        <f t="shared" si="7"/>
        <v>14219</v>
      </c>
      <c r="F15" s="79">
        <f t="shared" si="7"/>
        <v>31913</v>
      </c>
      <c r="G15" s="79">
        <f>G14</f>
        <v>1</v>
      </c>
      <c r="H15" s="79">
        <f>H14</f>
        <v>0</v>
      </c>
      <c r="I15" s="79">
        <f t="shared" si="8"/>
        <v>106374</v>
      </c>
      <c r="J15" s="79">
        <f>IF(C4&gt;1,1,0)</f>
        <v>1</v>
      </c>
      <c r="K15" s="79">
        <f>IF(C4&lt;5,1,0)</f>
        <v>0</v>
      </c>
      <c r="L15" s="79">
        <f t="shared" si="9"/>
        <v>0</v>
      </c>
      <c r="M15" s="73">
        <f t="shared" si="4"/>
        <v>0</v>
      </c>
      <c r="N15" s="79">
        <f t="shared" si="10"/>
        <v>0</v>
      </c>
      <c r="O15" s="79">
        <f t="shared" si="5"/>
        <v>0</v>
      </c>
      <c r="R15" s="73" t="s">
        <v>16</v>
      </c>
    </row>
    <row r="16" spans="1:21">
      <c r="A16" s="78" t="s">
        <v>300</v>
      </c>
      <c r="B16" s="307" t="s">
        <v>26</v>
      </c>
      <c r="C16" s="307"/>
      <c r="D16" s="99" t="s">
        <v>27</v>
      </c>
      <c r="E16" s="79">
        <f t="shared" si="7"/>
        <v>14219</v>
      </c>
      <c r="F16" s="79">
        <f t="shared" si="7"/>
        <v>36549</v>
      </c>
      <c r="G16" s="79">
        <f t="shared" ref="G16:H19" si="11">G15</f>
        <v>1</v>
      </c>
      <c r="H16" s="79">
        <f t="shared" si="11"/>
        <v>0</v>
      </c>
      <c r="I16" s="79">
        <f t="shared" si="8"/>
        <v>121825</v>
      </c>
      <c r="J16" s="79">
        <f>IF(C4&gt;4,1,0)</f>
        <v>1</v>
      </c>
      <c r="K16" s="79">
        <f>IF(C4&lt;8,1,0)</f>
        <v>0</v>
      </c>
      <c r="L16" s="79">
        <f>J16*K16</f>
        <v>0</v>
      </c>
      <c r="M16" s="73">
        <f t="shared" si="4"/>
        <v>0</v>
      </c>
      <c r="N16" s="79">
        <f t="shared" si="10"/>
        <v>0</v>
      </c>
      <c r="O16" s="79">
        <f>L16*F16</f>
        <v>0</v>
      </c>
    </row>
    <row r="17" spans="1:21">
      <c r="A17" s="308">
        <f>IF(D4="ESSENCE",O13,O20)</f>
        <v>68807</v>
      </c>
      <c r="B17" s="308">
        <f>IF(D4="ESSENCE",M13,M20)</f>
        <v>229359</v>
      </c>
      <c r="C17" s="308"/>
      <c r="D17" s="308">
        <f>IF(D4="ESSENCE",N13,N20)</f>
        <v>22750</v>
      </c>
      <c r="E17" s="79">
        <f t="shared" si="7"/>
        <v>21463</v>
      </c>
      <c r="F17" s="79">
        <f t="shared" si="7"/>
        <v>53978</v>
      </c>
      <c r="G17" s="79">
        <f t="shared" si="11"/>
        <v>1</v>
      </c>
      <c r="H17" s="79">
        <f t="shared" si="11"/>
        <v>0</v>
      </c>
      <c r="I17" s="79">
        <f t="shared" si="8"/>
        <v>179925</v>
      </c>
      <c r="J17" s="79">
        <f>IF(C4&gt;7,1,0)</f>
        <v>1</v>
      </c>
      <c r="K17" s="79">
        <f>IF(C4&lt;11,1,0)</f>
        <v>0</v>
      </c>
      <c r="L17" s="79">
        <f t="shared" si="9"/>
        <v>0</v>
      </c>
      <c r="M17" s="73">
        <f t="shared" si="4"/>
        <v>0</v>
      </c>
      <c r="N17" s="79">
        <f t="shared" si="10"/>
        <v>0</v>
      </c>
      <c r="O17" s="79">
        <f t="shared" si="5"/>
        <v>0</v>
      </c>
      <c r="Q17" s="73" t="s">
        <v>0</v>
      </c>
      <c r="R17" s="73" t="s">
        <v>1</v>
      </c>
      <c r="S17" s="73" t="str">
        <f>S6</f>
        <v xml:space="preserve">SANS REMORQUE </v>
      </c>
      <c r="T17" s="73" t="str">
        <f>T6</f>
        <v xml:space="preserve">AVEC REMORQUE </v>
      </c>
      <c r="U17" s="73" t="s">
        <v>23</v>
      </c>
    </row>
    <row r="18" spans="1:21">
      <c r="A18" s="308"/>
      <c r="B18" s="308"/>
      <c r="C18" s="308"/>
      <c r="D18" s="308"/>
      <c r="E18" s="79">
        <f t="shared" si="7"/>
        <v>22750</v>
      </c>
      <c r="F18" s="79">
        <f t="shared" si="7"/>
        <v>68807</v>
      </c>
      <c r="G18" s="79">
        <f t="shared" si="11"/>
        <v>1</v>
      </c>
      <c r="H18" s="79">
        <f t="shared" si="11"/>
        <v>0</v>
      </c>
      <c r="I18" s="79">
        <f t="shared" si="8"/>
        <v>229359</v>
      </c>
      <c r="J18" s="79">
        <f>IF(C4&gt;10,1,0)</f>
        <v>1</v>
      </c>
      <c r="K18" s="79">
        <f>IF(C4&lt;17,1,0)</f>
        <v>0</v>
      </c>
      <c r="L18" s="79">
        <f t="shared" si="9"/>
        <v>0</v>
      </c>
      <c r="M18" s="73">
        <f t="shared" si="4"/>
        <v>0</v>
      </c>
      <c r="N18" s="79">
        <f t="shared" si="10"/>
        <v>0</v>
      </c>
      <c r="O18" s="79">
        <f t="shared" si="5"/>
        <v>0</v>
      </c>
      <c r="Q18" s="73" t="s">
        <v>9</v>
      </c>
      <c r="R18" s="73" t="s">
        <v>9</v>
      </c>
      <c r="S18" s="79">
        <v>90126</v>
      </c>
      <c r="T18" s="79">
        <v>117163</v>
      </c>
      <c r="U18" s="79">
        <v>14865</v>
      </c>
    </row>
    <row r="19" spans="1:21">
      <c r="A19" s="308"/>
      <c r="B19" s="308"/>
      <c r="C19" s="308"/>
      <c r="D19" s="308"/>
      <c r="E19" s="79">
        <f t="shared" si="7"/>
        <v>22750</v>
      </c>
      <c r="F19" s="79">
        <f t="shared" si="7"/>
        <v>79842</v>
      </c>
      <c r="G19" s="79">
        <f t="shared" si="11"/>
        <v>1</v>
      </c>
      <c r="H19" s="79">
        <f t="shared" si="11"/>
        <v>0</v>
      </c>
      <c r="I19" s="79">
        <f t="shared" si="8"/>
        <v>266132</v>
      </c>
      <c r="J19" s="79">
        <f>IF(C4&gt;16,1,0)</f>
        <v>1</v>
      </c>
      <c r="K19" s="79">
        <f>IF(C4&lt;9999999999,1,0)</f>
        <v>1</v>
      </c>
      <c r="L19" s="79">
        <f t="shared" si="9"/>
        <v>1</v>
      </c>
      <c r="M19" s="73">
        <f t="shared" si="4"/>
        <v>266132</v>
      </c>
      <c r="N19" s="79">
        <f t="shared" si="10"/>
        <v>22750</v>
      </c>
      <c r="O19" s="79">
        <f t="shared" si="5"/>
        <v>79842</v>
      </c>
      <c r="Q19" s="73" t="s">
        <v>4</v>
      </c>
      <c r="R19" s="73" t="s">
        <v>10</v>
      </c>
      <c r="S19" s="79">
        <v>111210</v>
      </c>
      <c r="T19" s="79">
        <v>144572</v>
      </c>
      <c r="U19" s="79">
        <v>14865</v>
      </c>
    </row>
    <row r="20" spans="1:21">
      <c r="B20" s="308">
        <f>(A25+C25+D25)*IF(CONTRATS!C24=0,0,1)*IF(CONTRATS!E24=0,1,0)</f>
        <v>229359</v>
      </c>
      <c r="C20" s="308"/>
      <c r="D20" s="308"/>
      <c r="M20" s="73">
        <f>SUM(M14:M19)</f>
        <v>266132</v>
      </c>
      <c r="N20" s="73">
        <f>SUM(N14:N19)</f>
        <v>22750</v>
      </c>
      <c r="O20" s="79">
        <f>SUM(O14:O19)</f>
        <v>79842</v>
      </c>
      <c r="Q20" s="73" t="s">
        <v>5</v>
      </c>
      <c r="R20" s="73" t="s">
        <v>11</v>
      </c>
      <c r="S20" s="79">
        <v>127363</v>
      </c>
      <c r="T20" s="79">
        <v>165572</v>
      </c>
      <c r="U20" s="79">
        <v>14865</v>
      </c>
    </row>
    <row r="21" spans="1:21">
      <c r="B21" s="308"/>
      <c r="C21" s="308"/>
      <c r="D21" s="308"/>
      <c r="Q21" s="73" t="s">
        <v>6</v>
      </c>
      <c r="R21" s="73" t="s">
        <v>12</v>
      </c>
      <c r="S21" s="79">
        <v>188103</v>
      </c>
      <c r="T21" s="79">
        <v>244535</v>
      </c>
      <c r="U21" s="79">
        <v>22439</v>
      </c>
    </row>
    <row r="22" spans="1:21">
      <c r="B22" s="308"/>
      <c r="C22" s="308"/>
      <c r="D22" s="308"/>
      <c r="Q22" s="73" t="s">
        <v>7</v>
      </c>
      <c r="R22" s="73" t="s">
        <v>13</v>
      </c>
      <c r="S22" s="79">
        <v>239784</v>
      </c>
      <c r="T22" s="79">
        <v>311719</v>
      </c>
      <c r="U22" s="79">
        <v>23784</v>
      </c>
    </row>
    <row r="23" spans="1:21">
      <c r="Q23" s="73" t="s">
        <v>8</v>
      </c>
      <c r="R23" s="73" t="s">
        <v>14</v>
      </c>
      <c r="S23" s="79">
        <v>278229</v>
      </c>
      <c r="T23" s="79">
        <v>361700</v>
      </c>
      <c r="U23" s="79">
        <v>23784</v>
      </c>
    </row>
    <row r="24" spans="1:21">
      <c r="A24" s="73">
        <f>IF(G4="SEMI-REMORQUE",1,0)</f>
        <v>0</v>
      </c>
      <c r="C24" s="73">
        <f>IF(G4="SEMI-REMORQUE",0,1)</f>
        <v>1</v>
      </c>
      <c r="D24" s="73">
        <f>IF(E4="YES",1,0)</f>
        <v>0</v>
      </c>
    </row>
    <row r="25" spans="1:21">
      <c r="A25" s="73">
        <f>A17*A24</f>
        <v>0</v>
      </c>
      <c r="C25" s="73">
        <f>C24*B17</f>
        <v>229359</v>
      </c>
      <c r="D25" s="73">
        <f>D24*D17</f>
        <v>0</v>
      </c>
    </row>
    <row r="26" spans="1:21">
      <c r="R26" s="73" t="s">
        <v>17</v>
      </c>
    </row>
    <row r="28" spans="1:21">
      <c r="Q28" s="73" t="s">
        <v>0</v>
      </c>
      <c r="R28" s="73" t="s">
        <v>1</v>
      </c>
      <c r="S28" s="73" t="str">
        <f>S17</f>
        <v xml:space="preserve">SANS REMORQUE </v>
      </c>
      <c r="T28" s="73" t="str">
        <f>T17</f>
        <v xml:space="preserve">AVEC REMORQUE </v>
      </c>
      <c r="U28" s="73" t="s">
        <v>23</v>
      </c>
    </row>
    <row r="29" spans="1:21">
      <c r="Q29" s="73" t="s">
        <v>9</v>
      </c>
      <c r="R29" s="73" t="s">
        <v>9</v>
      </c>
      <c r="S29" s="79">
        <v>86207</v>
      </c>
      <c r="T29" s="79">
        <v>112069</v>
      </c>
      <c r="U29" s="79">
        <v>14219</v>
      </c>
    </row>
    <row r="30" spans="1:21">
      <c r="Q30" s="73" t="s">
        <v>4</v>
      </c>
      <c r="R30" s="73" t="s">
        <v>10</v>
      </c>
      <c r="S30" s="79">
        <v>106374</v>
      </c>
      <c r="T30" s="79">
        <v>138287</v>
      </c>
      <c r="U30" s="79">
        <v>14219</v>
      </c>
    </row>
    <row r="31" spans="1:21">
      <c r="Q31" s="73" t="s">
        <v>5</v>
      </c>
      <c r="R31" s="73" t="s">
        <v>11</v>
      </c>
      <c r="S31" s="79">
        <v>121825</v>
      </c>
      <c r="T31" s="79">
        <v>158374</v>
      </c>
      <c r="U31" s="79">
        <v>14219</v>
      </c>
    </row>
    <row r="32" spans="1:21">
      <c r="Q32" s="73" t="s">
        <v>6</v>
      </c>
      <c r="R32" s="73" t="s">
        <v>12</v>
      </c>
      <c r="S32" s="79">
        <v>179925</v>
      </c>
      <c r="T32" s="79">
        <v>233903</v>
      </c>
      <c r="U32" s="79">
        <v>21463</v>
      </c>
    </row>
    <row r="33" spans="17:21">
      <c r="Q33" s="73" t="s">
        <v>7</v>
      </c>
      <c r="R33" s="73" t="s">
        <v>13</v>
      </c>
      <c r="S33" s="79">
        <v>229359</v>
      </c>
      <c r="T33" s="79">
        <v>298166</v>
      </c>
      <c r="U33" s="79">
        <v>22750</v>
      </c>
    </row>
    <row r="34" spans="17:21">
      <c r="Q34" s="73" t="s">
        <v>8</v>
      </c>
      <c r="R34" s="73" t="s">
        <v>14</v>
      </c>
      <c r="S34" s="79">
        <v>266132</v>
      </c>
      <c r="T34" s="79">
        <v>345974</v>
      </c>
      <c r="U34" s="79">
        <v>22750</v>
      </c>
    </row>
  </sheetData>
  <sheetProtection password="D373" sheet="1" objects="1" scenarios="1"/>
  <mergeCells count="7">
    <mergeCell ref="A17:A19"/>
    <mergeCell ref="B20:D22"/>
    <mergeCell ref="J6:L6"/>
    <mergeCell ref="J13:L13"/>
    <mergeCell ref="B16:C16"/>
    <mergeCell ref="B17:C19"/>
    <mergeCell ref="D17:D19"/>
  </mergeCells>
  <dataValidations count="2">
    <dataValidation type="list" allowBlank="1" showInputMessage="1" showErrorMessage="1" sqref="A4">
      <formula1>$S$1:$U$1</formula1>
    </dataValidation>
    <dataValidation type="list" allowBlank="1" showInputMessage="1" showErrorMessage="1" sqref="E4:F4">
      <formula1>$K$2:$L$2</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O37"/>
  <sheetViews>
    <sheetView topLeftCell="AW1" workbookViewId="0">
      <selection sqref="A1:AV1048576"/>
    </sheetView>
  </sheetViews>
  <sheetFormatPr defaultColWidth="11.42578125" defaultRowHeight="15"/>
  <cols>
    <col min="1" max="5" width="11.42578125" style="73" hidden="1" customWidth="1"/>
    <col min="6" max="6" width="16.7109375" style="73" hidden="1" customWidth="1"/>
    <col min="7" max="8" width="16.85546875" style="73" hidden="1" customWidth="1"/>
    <col min="9" max="9" width="19.85546875" style="73" hidden="1" customWidth="1"/>
    <col min="10" max="17" width="16.85546875" style="73" hidden="1" customWidth="1"/>
    <col min="18" max="18" width="11.42578125" style="73" hidden="1" customWidth="1"/>
    <col min="19" max="20" width="16.85546875" style="73" hidden="1" customWidth="1"/>
    <col min="21" max="41" width="11.42578125" style="73" hidden="1" customWidth="1"/>
    <col min="42" max="48" width="0" style="73" hidden="1" customWidth="1"/>
    <col min="49" max="16384" width="11.42578125" style="73"/>
  </cols>
  <sheetData>
    <row r="1" spans="1:22">
      <c r="S1" s="73" t="s">
        <v>15</v>
      </c>
      <c r="T1" s="73" t="s">
        <v>16</v>
      </c>
      <c r="U1" s="73" t="s">
        <v>17</v>
      </c>
    </row>
    <row r="2" spans="1:22">
      <c r="G2" s="73">
        <f>'CAT 5B'!G2</f>
        <v>3300</v>
      </c>
      <c r="K2" s="73" t="s">
        <v>0</v>
      </c>
      <c r="L2" s="73" t="s">
        <v>1</v>
      </c>
      <c r="M2" s="73" t="s">
        <v>20</v>
      </c>
      <c r="N2" s="73" t="s">
        <v>2</v>
      </c>
    </row>
    <row r="3" spans="1:22">
      <c r="E3" s="74"/>
      <c r="F3" s="74"/>
      <c r="G3" s="74" t="s">
        <v>21</v>
      </c>
      <c r="H3" s="74" t="s">
        <v>22</v>
      </c>
      <c r="I3" s="75"/>
    </row>
    <row r="4" spans="1:22">
      <c r="E4" s="74" t="str">
        <f>'CAT 3'!A4</f>
        <v>ZONE C</v>
      </c>
      <c r="F4" s="74" t="str">
        <f>'CAT 3'!B4</f>
        <v>SANS REMORQUE</v>
      </c>
      <c r="G4" s="74">
        <f>'CAT 3'!C4</f>
        <v>19</v>
      </c>
      <c r="H4" s="74" t="str">
        <f>'CAT 3'!D4</f>
        <v>ESSENCE</v>
      </c>
      <c r="I4" s="76"/>
    </row>
    <row r="5" spans="1:22">
      <c r="S5" s="73" t="s">
        <v>15</v>
      </c>
      <c r="U5" s="307" t="s">
        <v>314</v>
      </c>
      <c r="V5" s="307"/>
    </row>
    <row r="6" spans="1:22">
      <c r="E6" s="73" t="s">
        <v>0</v>
      </c>
      <c r="F6" s="73" t="s">
        <v>1</v>
      </c>
      <c r="G6" s="73" t="s">
        <v>3</v>
      </c>
      <c r="H6" s="73" t="s">
        <v>2</v>
      </c>
      <c r="I6" s="166" t="str">
        <f>CONTRATS!E17</f>
        <v>VT</v>
      </c>
      <c r="M6" s="307" t="s">
        <v>18</v>
      </c>
      <c r="N6" s="307"/>
      <c r="O6" s="307"/>
      <c r="P6" s="166" t="s">
        <v>112</v>
      </c>
      <c r="R6" s="73" t="s">
        <v>0</v>
      </c>
      <c r="S6" s="73" t="s">
        <v>3</v>
      </c>
      <c r="T6" s="73" t="s">
        <v>2</v>
      </c>
    </row>
    <row r="7" spans="1:22">
      <c r="A7" s="73">
        <f>G2</f>
        <v>3300</v>
      </c>
      <c r="B7" s="73">
        <f>IF(A7&lt;=50,1,0)</f>
        <v>0</v>
      </c>
      <c r="C7" s="73">
        <f>IF(A7&gt;0,1,0)</f>
        <v>1</v>
      </c>
      <c r="D7" s="73">
        <f>B7*C7</f>
        <v>0</v>
      </c>
      <c r="E7" s="165" t="s">
        <v>28</v>
      </c>
      <c r="F7" s="73" t="s">
        <v>9</v>
      </c>
      <c r="G7" s="79">
        <f>IF(E4="ZONE A",S7,IF(E4="ZONE B",S18,IF(E4="ZONE C",S29,0)))</f>
        <v>7087</v>
      </c>
      <c r="H7" s="79">
        <f>IF(E4="ZONE A",T7,IF(E4="ZONE B",T18,IF(E4="ZONE C",T29,0)))</f>
        <v>8504</v>
      </c>
      <c r="I7" s="79">
        <f>H7-G7</f>
        <v>1417</v>
      </c>
      <c r="J7" s="79">
        <f>IF(F4="SANS REMORQUE",1,0)</f>
        <v>1</v>
      </c>
      <c r="K7" s="79">
        <f>IF(F4="SANS REMORQUE",0,1)</f>
        <v>0</v>
      </c>
      <c r="L7" s="79">
        <f t="shared" ref="L7:L14" si="0">G7*J7+H7*K7</f>
        <v>7087</v>
      </c>
      <c r="M7" s="79">
        <f>D7</f>
        <v>0</v>
      </c>
      <c r="N7" s="79">
        <f>L7*M7</f>
        <v>0</v>
      </c>
      <c r="O7" s="79"/>
      <c r="P7" s="79">
        <f t="shared" ref="P7:P14" si="1">M7*I7</f>
        <v>0</v>
      </c>
      <c r="Q7" s="79"/>
      <c r="R7" s="165" t="s">
        <v>28</v>
      </c>
      <c r="S7" s="79">
        <v>7732</v>
      </c>
      <c r="T7" s="79">
        <v>9277</v>
      </c>
      <c r="U7" s="73">
        <v>16110</v>
      </c>
      <c r="V7" s="73">
        <v>19332</v>
      </c>
    </row>
    <row r="8" spans="1:22">
      <c r="A8" s="73">
        <f>A7</f>
        <v>3300</v>
      </c>
      <c r="B8" s="73">
        <f>IF(A8&lt;=125,1,0)</f>
        <v>0</v>
      </c>
      <c r="C8" s="73">
        <f>IF(A8&gt;=51,1,0)</f>
        <v>1</v>
      </c>
      <c r="D8" s="73">
        <f t="shared" ref="D8:D14" si="2">B8*C8</f>
        <v>0</v>
      </c>
      <c r="E8" s="165">
        <v>1</v>
      </c>
      <c r="F8" s="73" t="s">
        <v>10</v>
      </c>
      <c r="G8" s="79">
        <f>IF(E4="ZONE A",S8,IF(E4="ZONE B",S19,IF(E4="ZONE C",S30,0)))</f>
        <v>9844</v>
      </c>
      <c r="H8" s="79">
        <f>IF(E4="ZONE A",T8,IF(E4="ZONE B",T19,IF(E4="ZONE C",T30,0)))</f>
        <v>11812</v>
      </c>
      <c r="I8" s="79">
        <f t="shared" ref="I8:I14" si="3">H8-G8</f>
        <v>1968</v>
      </c>
      <c r="J8" s="79">
        <f>J7</f>
        <v>1</v>
      </c>
      <c r="K8" s="79">
        <f>K7</f>
        <v>0</v>
      </c>
      <c r="L8" s="79">
        <f t="shared" si="0"/>
        <v>9844</v>
      </c>
      <c r="M8" s="79">
        <f t="shared" ref="M8:M14" si="4">D8</f>
        <v>0</v>
      </c>
      <c r="N8" s="79">
        <f t="shared" ref="N8:N14" si="5">L8*M8</f>
        <v>0</v>
      </c>
      <c r="O8" s="79"/>
      <c r="P8" s="79">
        <f t="shared" si="1"/>
        <v>0</v>
      </c>
      <c r="Q8" s="79"/>
      <c r="R8" s="165">
        <v>1</v>
      </c>
      <c r="S8" s="79">
        <v>10739</v>
      </c>
      <c r="T8" s="79">
        <v>12886</v>
      </c>
    </row>
    <row r="9" spans="1:22">
      <c r="A9" s="73">
        <f t="shared" ref="A9:A14" si="6">A8</f>
        <v>3300</v>
      </c>
      <c r="B9" s="73">
        <f>IF(A9&lt;=175,1,0)</f>
        <v>0</v>
      </c>
      <c r="C9" s="73">
        <f>IF(A9&gt;=126,1,0)</f>
        <v>1</v>
      </c>
      <c r="D9" s="73">
        <f t="shared" si="2"/>
        <v>0</v>
      </c>
      <c r="E9" s="165">
        <v>2</v>
      </c>
      <c r="F9" s="73" t="s">
        <v>11</v>
      </c>
      <c r="G9" s="79">
        <f>IF(E4="ZONE A",S9,IF(E4="ZONE B",S20,IF(E4="ZONE C",S31,0)))</f>
        <v>17031</v>
      </c>
      <c r="H9" s="79">
        <f>IF(E4="ZONE A",T9,IF(E4="ZONE B",T20,IF(E4="ZONE C",T31,0)))</f>
        <v>20437</v>
      </c>
      <c r="I9" s="79">
        <f t="shared" si="3"/>
        <v>3406</v>
      </c>
      <c r="J9" s="79">
        <f t="shared" ref="J9:K12" si="7">J8</f>
        <v>1</v>
      </c>
      <c r="K9" s="79">
        <f t="shared" si="7"/>
        <v>0</v>
      </c>
      <c r="L9" s="79">
        <f t="shared" si="0"/>
        <v>17031</v>
      </c>
      <c r="M9" s="79">
        <f t="shared" si="4"/>
        <v>0</v>
      </c>
      <c r="N9" s="79">
        <f t="shared" si="5"/>
        <v>0</v>
      </c>
      <c r="O9" s="79"/>
      <c r="P9" s="79">
        <f t="shared" si="1"/>
        <v>0</v>
      </c>
      <c r="Q9" s="79"/>
      <c r="R9" s="165">
        <v>2</v>
      </c>
      <c r="S9" s="79">
        <v>18580</v>
      </c>
      <c r="T9" s="79">
        <v>22295</v>
      </c>
    </row>
    <row r="10" spans="1:22">
      <c r="A10" s="73">
        <f t="shared" si="6"/>
        <v>3300</v>
      </c>
      <c r="B10" s="73">
        <f>IF(A10&lt;=250,1,0)</f>
        <v>0</v>
      </c>
      <c r="C10" s="73">
        <f>IF(A10&gt;=176,1,0)</f>
        <v>1</v>
      </c>
      <c r="D10" s="73">
        <f t="shared" si="2"/>
        <v>0</v>
      </c>
      <c r="E10" s="165">
        <v>3</v>
      </c>
      <c r="F10" s="73" t="s">
        <v>12</v>
      </c>
      <c r="G10" s="79">
        <f>IF(E4="ZONE A",S10,IF(E4="ZONE B",S21,IF(E4="ZONE C",S32,0)))</f>
        <v>21068</v>
      </c>
      <c r="H10" s="79">
        <f>IF(E4="ZONE A",T10,IF(E4="ZONE B",T21,IF(E4="ZONE C",T32,0)))</f>
        <v>25281</v>
      </c>
      <c r="I10" s="79">
        <f t="shared" si="3"/>
        <v>4213</v>
      </c>
      <c r="J10" s="79">
        <f t="shared" si="7"/>
        <v>1</v>
      </c>
      <c r="K10" s="79">
        <f t="shared" si="7"/>
        <v>0</v>
      </c>
      <c r="L10" s="79">
        <f t="shared" si="0"/>
        <v>21068</v>
      </c>
      <c r="M10" s="79">
        <f t="shared" si="4"/>
        <v>0</v>
      </c>
      <c r="N10" s="79">
        <f t="shared" si="5"/>
        <v>0</v>
      </c>
      <c r="O10" s="79"/>
      <c r="P10" s="79">
        <f t="shared" si="1"/>
        <v>0</v>
      </c>
      <c r="Q10" s="79"/>
      <c r="R10" s="165">
        <v>3</v>
      </c>
      <c r="S10" s="79">
        <v>22984</v>
      </c>
      <c r="T10" s="79">
        <v>27580</v>
      </c>
    </row>
    <row r="11" spans="1:22">
      <c r="A11" s="73">
        <f t="shared" si="6"/>
        <v>3300</v>
      </c>
      <c r="B11" s="73">
        <f>IF(A11&lt;=350,1,0)</f>
        <v>0</v>
      </c>
      <c r="C11" s="73">
        <f>IF(A11&gt;=251,1,0)</f>
        <v>1</v>
      </c>
      <c r="D11" s="73">
        <f t="shared" si="2"/>
        <v>0</v>
      </c>
      <c r="E11" s="165">
        <v>4</v>
      </c>
      <c r="F11" s="73" t="s">
        <v>13</v>
      </c>
      <c r="G11" s="79">
        <f>IF(E4="ZONE A",S11,IF(E4="ZONE B",S22,IF(E4="ZONE C",S33,0)))</f>
        <v>24613</v>
      </c>
      <c r="H11" s="79">
        <f>IF(E4="ZONE A",T11,IF(E4="ZONE B",T22,IF(E4="ZONE C",T33,0)))</f>
        <v>29535</v>
      </c>
      <c r="I11" s="79">
        <f t="shared" si="3"/>
        <v>4922</v>
      </c>
      <c r="J11" s="79">
        <f t="shared" si="7"/>
        <v>1</v>
      </c>
      <c r="K11" s="79">
        <f t="shared" si="7"/>
        <v>0</v>
      </c>
      <c r="L11" s="79">
        <f t="shared" si="0"/>
        <v>24613</v>
      </c>
      <c r="M11" s="79">
        <f t="shared" si="4"/>
        <v>0</v>
      </c>
      <c r="N11" s="79">
        <f t="shared" si="5"/>
        <v>0</v>
      </c>
      <c r="O11" s="79"/>
      <c r="P11" s="79">
        <f t="shared" si="1"/>
        <v>0</v>
      </c>
      <c r="Q11" s="79"/>
      <c r="R11" s="165">
        <v>4</v>
      </c>
      <c r="S11" s="79">
        <v>26850</v>
      </c>
      <c r="T11" s="79">
        <v>32220</v>
      </c>
    </row>
    <row r="12" spans="1:22">
      <c r="A12" s="73">
        <f t="shared" si="6"/>
        <v>3300</v>
      </c>
      <c r="B12" s="73">
        <f>IF(A12&lt;=500,1,0)</f>
        <v>0</v>
      </c>
      <c r="C12" s="73">
        <f>IF(A12&gt;=351,1,0)</f>
        <v>1</v>
      </c>
      <c r="D12" s="73">
        <f t="shared" si="2"/>
        <v>0</v>
      </c>
      <c r="E12" s="165">
        <v>5</v>
      </c>
      <c r="F12" s="73" t="s">
        <v>14</v>
      </c>
      <c r="G12" s="79">
        <f>IF(E4="ZONE A",S12,IF(E4="ZONE B",S23,IF(E4="ZONE C",S34,0)))</f>
        <v>28353</v>
      </c>
      <c r="H12" s="79">
        <f>IF(E4="ZONE A",T12,IF(E4="ZONE B",T23,IF(E4="ZONE C",T34,0)))</f>
        <v>34023</v>
      </c>
      <c r="I12" s="79">
        <f t="shared" si="3"/>
        <v>5670</v>
      </c>
      <c r="J12" s="79">
        <f t="shared" si="7"/>
        <v>1</v>
      </c>
      <c r="K12" s="79">
        <f t="shared" si="7"/>
        <v>0</v>
      </c>
      <c r="L12" s="79">
        <f t="shared" si="0"/>
        <v>28353</v>
      </c>
      <c r="M12" s="79">
        <f t="shared" si="4"/>
        <v>0</v>
      </c>
      <c r="N12" s="79">
        <f t="shared" si="5"/>
        <v>0</v>
      </c>
      <c r="O12" s="79"/>
      <c r="P12" s="79">
        <f t="shared" si="1"/>
        <v>0</v>
      </c>
      <c r="Q12" s="79"/>
      <c r="R12" s="165">
        <v>5</v>
      </c>
      <c r="S12" s="79">
        <v>30930</v>
      </c>
      <c r="T12" s="79">
        <v>37116</v>
      </c>
    </row>
    <row r="13" spans="1:22">
      <c r="A13" s="73">
        <f t="shared" si="6"/>
        <v>3300</v>
      </c>
      <c r="B13" s="73">
        <f>IF(A13&lt;=625,1,0)</f>
        <v>0</v>
      </c>
      <c r="C13" s="73">
        <f>IF(A13&gt;=501,1,0)</f>
        <v>1</v>
      </c>
      <c r="D13" s="73">
        <f t="shared" si="2"/>
        <v>0</v>
      </c>
      <c r="E13" s="165">
        <v>6</v>
      </c>
      <c r="G13" s="79">
        <f>IF(E4="ZONE A",S13,IF(E4="ZONE B",S24,IF(E4="ZONE C",S35,0)))</f>
        <v>31208</v>
      </c>
      <c r="H13" s="79">
        <f>IF(E4="ZONE A",T13,IF(E4="ZONE B",T24,IF(E4="ZONE C",T35,0)))</f>
        <v>37450</v>
      </c>
      <c r="I13" s="79">
        <f t="shared" si="3"/>
        <v>6242</v>
      </c>
      <c r="J13" s="79">
        <f>J12</f>
        <v>1</v>
      </c>
      <c r="K13" s="79">
        <f>K12</f>
        <v>0</v>
      </c>
      <c r="L13" s="79">
        <f t="shared" si="0"/>
        <v>31208</v>
      </c>
      <c r="M13" s="79">
        <f t="shared" si="4"/>
        <v>0</v>
      </c>
      <c r="N13" s="79">
        <f t="shared" si="5"/>
        <v>0</v>
      </c>
      <c r="O13" s="80"/>
      <c r="P13" s="79">
        <f t="shared" si="1"/>
        <v>0</v>
      </c>
      <c r="R13" s="165">
        <v>6</v>
      </c>
      <c r="S13" s="79">
        <v>34045</v>
      </c>
      <c r="T13" s="79">
        <v>40854</v>
      </c>
    </row>
    <row r="14" spans="1:22">
      <c r="A14" s="73">
        <f t="shared" si="6"/>
        <v>3300</v>
      </c>
      <c r="B14" s="73">
        <f>IF(A14&lt;=99999999,1,0)</f>
        <v>1</v>
      </c>
      <c r="C14" s="73">
        <f>IF(A14&gt;=626,1,0)</f>
        <v>1</v>
      </c>
      <c r="D14" s="73">
        <f t="shared" si="2"/>
        <v>1</v>
      </c>
      <c r="E14" s="165" t="s">
        <v>29</v>
      </c>
      <c r="G14" s="79">
        <f>IF(E4="ZONE A",S14,IF(E4="ZONE B",S25,IF(E4="ZONE C",S36,0)))</f>
        <v>34905</v>
      </c>
      <c r="H14" s="79">
        <f>IF(E4="ZONE A",T14,IF(E4="ZONE B",T25,IF(E4="ZONE C",T36,0)))</f>
        <v>41886</v>
      </c>
      <c r="I14" s="79">
        <f t="shared" si="3"/>
        <v>6981</v>
      </c>
      <c r="J14" s="79">
        <f>J13</f>
        <v>1</v>
      </c>
      <c r="K14" s="79">
        <f>K13</f>
        <v>0</v>
      </c>
      <c r="L14" s="79">
        <f t="shared" si="0"/>
        <v>34905</v>
      </c>
      <c r="M14" s="79">
        <f t="shared" si="4"/>
        <v>1</v>
      </c>
      <c r="N14" s="79">
        <f t="shared" si="5"/>
        <v>34905</v>
      </c>
      <c r="O14" s="79"/>
      <c r="P14" s="79">
        <f t="shared" si="1"/>
        <v>6981</v>
      </c>
      <c r="R14" s="165" t="s">
        <v>29</v>
      </c>
      <c r="S14" s="79">
        <v>38078</v>
      </c>
      <c r="T14" s="79">
        <v>45694</v>
      </c>
    </row>
    <row r="15" spans="1:22">
      <c r="E15" s="165"/>
      <c r="G15" s="79"/>
      <c r="H15" s="79"/>
      <c r="I15" s="79"/>
      <c r="J15" s="79"/>
      <c r="K15" s="79"/>
      <c r="L15" s="79"/>
      <c r="M15" s="79"/>
      <c r="N15" s="79">
        <f>SUM(N7:N14)</f>
        <v>34905</v>
      </c>
      <c r="O15" s="79">
        <f>SUM(O7:O14)</f>
        <v>0</v>
      </c>
      <c r="P15" s="79">
        <f>SUM(P7:P14)</f>
        <v>6981</v>
      </c>
      <c r="R15" s="165"/>
    </row>
    <row r="16" spans="1:22">
      <c r="E16" s="165"/>
      <c r="F16" s="309">
        <f>IF(I6="SEMI-REMORQUE",1,0)*P15+IF(I6="SEMI-REMORQUE",0,1)*N15</f>
        <v>34905</v>
      </c>
      <c r="G16" s="308">
        <f>(F16*IF(CONTRATS!C24=0,0,1)*IF(CONTRATS!E24=0,1,0)*IF(CONTRATS!B24="NO",1,0)*IF(CONTRATS!E17="SCOOTER",0,1)+IF(CONTRATS!E17="SCOOTER",1,0)*'CAT 5A'!J21)*IF(CONTRATS!E17="SCOOTER-REMORQUE",0,1)+IF(CONTRATS!E17="SCOOTER-REMORQUE",1,0)*'CAT 5A'!J21</f>
        <v>34905</v>
      </c>
      <c r="H16" s="308"/>
      <c r="I16" s="79"/>
      <c r="J16" s="79"/>
      <c r="K16" s="79"/>
      <c r="L16" s="79"/>
      <c r="M16" s="79"/>
      <c r="N16" s="79"/>
      <c r="O16" s="79"/>
      <c r="P16" s="79"/>
      <c r="S16" s="73" t="s">
        <v>16</v>
      </c>
      <c r="U16" s="307" t="s">
        <v>314</v>
      </c>
      <c r="V16" s="307"/>
    </row>
    <row r="17" spans="5:22">
      <c r="E17" s="73">
        <f t="shared" ref="E17:E22" si="8">D8*E8</f>
        <v>0</v>
      </c>
      <c r="F17" s="309"/>
      <c r="G17" s="308"/>
      <c r="H17" s="308"/>
      <c r="I17" s="79"/>
      <c r="J17" s="79"/>
      <c r="K17" s="79"/>
      <c r="L17" s="79"/>
      <c r="M17" s="79"/>
      <c r="N17" s="79"/>
      <c r="O17" s="79"/>
      <c r="P17" s="79"/>
      <c r="R17" s="73" t="s">
        <v>0</v>
      </c>
      <c r="S17" s="73" t="str">
        <f>S6</f>
        <v xml:space="preserve">SANS REMORQUE </v>
      </c>
      <c r="T17" s="73" t="str">
        <f>T6</f>
        <v xml:space="preserve">AVEC REMORQUE </v>
      </c>
    </row>
    <row r="18" spans="5:22">
      <c r="E18" s="73">
        <f>D9*E9</f>
        <v>0</v>
      </c>
      <c r="I18" s="79"/>
      <c r="J18" s="79"/>
      <c r="K18" s="79"/>
      <c r="L18" s="79"/>
      <c r="M18" s="79"/>
      <c r="N18" s="79"/>
      <c r="O18" s="79"/>
      <c r="P18" s="79"/>
      <c r="R18" s="165" t="s">
        <v>28</v>
      </c>
      <c r="S18" s="79">
        <v>7409</v>
      </c>
      <c r="T18" s="79">
        <v>8891</v>
      </c>
      <c r="U18" s="73">
        <v>15439</v>
      </c>
      <c r="V18" s="73">
        <v>18527</v>
      </c>
    </row>
    <row r="19" spans="5:22">
      <c r="E19" s="73">
        <f t="shared" si="8"/>
        <v>0</v>
      </c>
      <c r="G19" s="307" t="s">
        <v>314</v>
      </c>
      <c r="H19" s="307"/>
      <c r="I19" s="79"/>
      <c r="J19" s="79"/>
      <c r="K19" s="79"/>
      <c r="L19" s="79"/>
      <c r="M19" s="79"/>
      <c r="N19" s="79"/>
      <c r="O19" s="79"/>
      <c r="P19" s="79"/>
      <c r="R19" s="165">
        <v>1</v>
      </c>
      <c r="S19" s="79">
        <v>10291</v>
      </c>
      <c r="T19" s="79">
        <v>12349</v>
      </c>
    </row>
    <row r="20" spans="5:22">
      <c r="E20" s="73">
        <f t="shared" si="8"/>
        <v>0</v>
      </c>
      <c r="G20" s="73" t="str">
        <f>G6</f>
        <v xml:space="preserve">SANS REMORQUE </v>
      </c>
      <c r="H20" s="73" t="str">
        <f>H6</f>
        <v xml:space="preserve">AVEC REMORQUE </v>
      </c>
      <c r="I20" s="73" t="str">
        <f>P6</f>
        <v>SEMI-REMORQUE</v>
      </c>
      <c r="P20" s="79"/>
      <c r="R20" s="165">
        <v>2</v>
      </c>
      <c r="S20" s="79">
        <v>17805</v>
      </c>
      <c r="T20" s="79">
        <v>21366</v>
      </c>
    </row>
    <row r="21" spans="5:22">
      <c r="E21" s="73">
        <f t="shared" si="8"/>
        <v>0</v>
      </c>
      <c r="G21" s="79">
        <f>IF(E4="ZONE A",U7,IF(E4="ZONE B",U18,IF(E4="ZONE C",U29,0)))</f>
        <v>14768</v>
      </c>
      <c r="H21" s="79">
        <f>IF(E4="ZONE A",V7,IF(E4="ZONE B",V18,IF(E4="ZONE C",V29,0)))</f>
        <v>17721</v>
      </c>
      <c r="I21" s="79">
        <f>H21-G21</f>
        <v>2953</v>
      </c>
      <c r="J21" s="73">
        <f>IF(F4="SANS REMORQUE",G21,H21)*IF(CONTRATS!E17="SCOOTER-REMORQUE",0,1)+IF(CONTRATS!E17="SCOOTER-REMORQUE",1,0)*I21</f>
        <v>14768</v>
      </c>
      <c r="R21" s="165">
        <v>3</v>
      </c>
      <c r="S21" s="79">
        <v>22026</v>
      </c>
      <c r="T21" s="79">
        <v>26430</v>
      </c>
    </row>
    <row r="22" spans="5:22">
      <c r="E22" s="73">
        <f t="shared" si="8"/>
        <v>0</v>
      </c>
      <c r="R22" s="165">
        <v>4</v>
      </c>
      <c r="S22" s="79">
        <v>25731</v>
      </c>
      <c r="T22" s="79">
        <v>30878</v>
      </c>
    </row>
    <row r="23" spans="5:22">
      <c r="E23" s="81">
        <f>E17+E18+E19+E20+E21+E22</f>
        <v>0</v>
      </c>
      <c r="R23" s="165">
        <v>5</v>
      </c>
      <c r="S23" s="79">
        <v>29641</v>
      </c>
      <c r="T23" s="79">
        <v>35570</v>
      </c>
    </row>
    <row r="24" spans="5:22">
      <c r="R24" s="165">
        <v>6</v>
      </c>
      <c r="S24" s="79">
        <v>32627</v>
      </c>
      <c r="T24" s="79">
        <v>39152</v>
      </c>
    </row>
    <row r="25" spans="5:22">
      <c r="R25" s="165" t="s">
        <v>29</v>
      </c>
      <c r="S25" s="79">
        <v>36492</v>
      </c>
      <c r="T25" s="79">
        <v>43790</v>
      </c>
    </row>
    <row r="26" spans="5:22">
      <c r="R26" s="165"/>
    </row>
    <row r="27" spans="5:22">
      <c r="S27" s="73" t="s">
        <v>17</v>
      </c>
      <c r="U27" s="307" t="s">
        <v>314</v>
      </c>
      <c r="V27" s="307"/>
    </row>
    <row r="28" spans="5:22">
      <c r="R28" s="73" t="s">
        <v>0</v>
      </c>
      <c r="S28" s="73" t="str">
        <f>S17</f>
        <v xml:space="preserve">SANS REMORQUE </v>
      </c>
      <c r="T28" s="73" t="str">
        <f>T17</f>
        <v xml:space="preserve">AVEC REMORQUE </v>
      </c>
    </row>
    <row r="29" spans="5:22">
      <c r="R29" s="165" t="s">
        <v>28</v>
      </c>
      <c r="S29" s="79">
        <v>7087</v>
      </c>
      <c r="T29" s="79">
        <v>8504</v>
      </c>
      <c r="U29" s="73">
        <v>14768</v>
      </c>
      <c r="V29" s="73">
        <v>17721</v>
      </c>
    </row>
    <row r="30" spans="5:22">
      <c r="R30" s="165">
        <v>1</v>
      </c>
      <c r="S30" s="79">
        <v>9844</v>
      </c>
      <c r="T30" s="79">
        <v>11812</v>
      </c>
    </row>
    <row r="31" spans="5:22">
      <c r="R31" s="165">
        <v>2</v>
      </c>
      <c r="S31" s="79">
        <v>17031</v>
      </c>
      <c r="T31" s="79">
        <v>20437</v>
      </c>
    </row>
    <row r="32" spans="5:22">
      <c r="R32" s="165">
        <v>3</v>
      </c>
      <c r="S32" s="79">
        <v>21068</v>
      </c>
      <c r="T32" s="79">
        <v>25281</v>
      </c>
    </row>
    <row r="33" spans="18:20">
      <c r="R33" s="165">
        <v>4</v>
      </c>
      <c r="S33" s="79">
        <v>24613</v>
      </c>
      <c r="T33" s="79">
        <v>29535</v>
      </c>
    </row>
    <row r="34" spans="18:20">
      <c r="R34" s="165">
        <v>5</v>
      </c>
      <c r="S34" s="79">
        <v>28353</v>
      </c>
      <c r="T34" s="79">
        <v>34023</v>
      </c>
    </row>
    <row r="35" spans="18:20">
      <c r="R35" s="165">
        <v>6</v>
      </c>
      <c r="S35" s="79">
        <v>31208</v>
      </c>
      <c r="T35" s="79">
        <v>37450</v>
      </c>
    </row>
    <row r="36" spans="18:20">
      <c r="R36" s="165" t="s">
        <v>29</v>
      </c>
      <c r="S36" s="79">
        <v>34905</v>
      </c>
      <c r="T36" s="79">
        <v>41886</v>
      </c>
    </row>
    <row r="37" spans="18:20">
      <c r="R37" s="165"/>
    </row>
  </sheetData>
  <sheetProtection password="D373" sheet="1" objects="1" scenarios="1"/>
  <mergeCells count="7">
    <mergeCell ref="F16:F17"/>
    <mergeCell ref="U5:V5"/>
    <mergeCell ref="U16:V16"/>
    <mergeCell ref="U27:V27"/>
    <mergeCell ref="G19:H19"/>
    <mergeCell ref="M6:O6"/>
    <mergeCell ref="G16:H17"/>
  </mergeCells>
  <dataValidations count="2">
    <dataValidation type="list" allowBlank="1" showInputMessage="1" showErrorMessage="1" sqref="E4">
      <formula1>$S$1:$U$1</formula1>
    </dataValidation>
    <dataValidation type="list" allowBlank="1" showInputMessage="1" showErrorMessage="1" sqref="I4">
      <formula1>$O$2:$P$2</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V37"/>
  <sheetViews>
    <sheetView topLeftCell="AW1" workbookViewId="0">
      <selection sqref="A1:AV1048576"/>
    </sheetView>
  </sheetViews>
  <sheetFormatPr defaultColWidth="11.42578125" defaultRowHeight="15"/>
  <cols>
    <col min="1" max="4" width="0" style="73" hidden="1" customWidth="1"/>
    <col min="5" max="5" width="11.42578125" style="73" hidden="1" customWidth="1"/>
    <col min="6" max="6" width="16.7109375" style="73" hidden="1" customWidth="1"/>
    <col min="7" max="8" width="16.85546875" style="73" hidden="1" customWidth="1"/>
    <col min="9" max="9" width="19.85546875" style="73" hidden="1" customWidth="1"/>
    <col min="10" max="17" width="16.85546875" style="73" hidden="1" customWidth="1"/>
    <col min="18" max="18" width="0" style="73" hidden="1" customWidth="1"/>
    <col min="19" max="20" width="16.85546875" style="73" hidden="1" customWidth="1"/>
    <col min="21" max="48" width="0" style="73" hidden="1" customWidth="1"/>
    <col min="49" max="16384" width="11.42578125" style="73"/>
  </cols>
  <sheetData>
    <row r="1" spans="1:22">
      <c r="S1" s="73" t="s">
        <v>15</v>
      </c>
      <c r="T1" s="73" t="s">
        <v>16</v>
      </c>
      <c r="U1" s="73" t="s">
        <v>17</v>
      </c>
    </row>
    <row r="2" spans="1:22">
      <c r="G2" s="78">
        <f>CONTRATS!B20</f>
        <v>3300</v>
      </c>
      <c r="K2" s="73" t="s">
        <v>0</v>
      </c>
      <c r="L2" s="73" t="s">
        <v>1</v>
      </c>
      <c r="M2" s="73" t="s">
        <v>20</v>
      </c>
      <c r="N2" s="73" t="s">
        <v>2</v>
      </c>
    </row>
    <row r="3" spans="1:22">
      <c r="E3" s="74"/>
      <c r="F3" s="74"/>
      <c r="G3" s="74" t="s">
        <v>21</v>
      </c>
      <c r="H3" s="74" t="s">
        <v>22</v>
      </c>
      <c r="I3" s="75"/>
    </row>
    <row r="4" spans="1:22">
      <c r="E4" s="74" t="str">
        <f>'CAT 3'!A4</f>
        <v>ZONE C</v>
      </c>
      <c r="F4" s="74" t="str">
        <f>'CAT 3'!B4</f>
        <v>SANS REMORQUE</v>
      </c>
      <c r="G4" s="74">
        <f>'CAT 3'!C4</f>
        <v>19</v>
      </c>
      <c r="H4" s="74" t="str">
        <f>'CAT 3'!D4</f>
        <v>ESSENCE</v>
      </c>
      <c r="I4" s="76"/>
    </row>
    <row r="5" spans="1:22">
      <c r="S5" s="73" t="s">
        <v>15</v>
      </c>
      <c r="U5" s="307" t="s">
        <v>314</v>
      </c>
      <c r="V5" s="307"/>
    </row>
    <row r="6" spans="1:22">
      <c r="E6" s="73" t="s">
        <v>0</v>
      </c>
      <c r="F6" s="73" t="s">
        <v>1</v>
      </c>
      <c r="G6" s="73" t="s">
        <v>3</v>
      </c>
      <c r="H6" s="73" t="s">
        <v>2</v>
      </c>
      <c r="I6" s="77" t="str">
        <f>CONTRATS!E17</f>
        <v>VT</v>
      </c>
      <c r="M6" s="307" t="s">
        <v>18</v>
      </c>
      <c r="N6" s="307"/>
      <c r="O6" s="307"/>
      <c r="P6" s="77" t="s">
        <v>112</v>
      </c>
      <c r="R6" s="73" t="s">
        <v>0</v>
      </c>
      <c r="S6" s="73" t="s">
        <v>3</v>
      </c>
      <c r="T6" s="73" t="s">
        <v>2</v>
      </c>
    </row>
    <row r="7" spans="1:22">
      <c r="A7" s="73">
        <f>G2</f>
        <v>3300</v>
      </c>
      <c r="B7" s="73">
        <f>IF(A7&lt;=50,1,0)</f>
        <v>0</v>
      </c>
      <c r="C7" s="73">
        <f>IF(A7&gt;0,1,0)</f>
        <v>1</v>
      </c>
      <c r="D7" s="73">
        <f>B7*C7</f>
        <v>0</v>
      </c>
      <c r="E7" s="78" t="s">
        <v>28</v>
      </c>
      <c r="F7" s="73" t="s">
        <v>9</v>
      </c>
      <c r="G7" s="79">
        <f>IF(E4="ZONE A",S7,IF(E4="ZONE B",S18,IF(E4="ZONE C",S29,0)))</f>
        <v>8504</v>
      </c>
      <c r="H7" s="79">
        <f>IF(E4="ZONE A",T7,IF(E4="ZONE B",T18,IF(E4="ZONE C",T29,0)))</f>
        <v>10205</v>
      </c>
      <c r="I7" s="79">
        <f t="shared" ref="I7:I14" si="0">H7-G7</f>
        <v>1701</v>
      </c>
      <c r="J7" s="79">
        <f>IF(F4="SANS REMORQUE",1,0)</f>
        <v>1</v>
      </c>
      <c r="K7" s="79">
        <f>IF(F4="SANS REMORQUE",0,1)</f>
        <v>0</v>
      </c>
      <c r="L7" s="79">
        <f t="shared" ref="L7:L14" si="1">G7*J7+H7*K7</f>
        <v>8504</v>
      </c>
      <c r="M7" s="79">
        <f>D7</f>
        <v>0</v>
      </c>
      <c r="N7" s="79">
        <f>L7*M7</f>
        <v>0</v>
      </c>
      <c r="O7" s="79"/>
      <c r="P7" s="79">
        <f>M7*I7</f>
        <v>0</v>
      </c>
      <c r="Q7" s="79"/>
      <c r="R7" s="78" t="s">
        <v>28</v>
      </c>
      <c r="S7" s="79">
        <v>9277</v>
      </c>
      <c r="T7" s="79">
        <v>11132</v>
      </c>
      <c r="U7" s="73">
        <v>19332</v>
      </c>
      <c r="V7" s="73">
        <v>23198</v>
      </c>
    </row>
    <row r="8" spans="1:22">
      <c r="A8" s="73">
        <f>A7</f>
        <v>3300</v>
      </c>
      <c r="B8" s="73">
        <f>IF(A8&lt;=125,1,0)</f>
        <v>0</v>
      </c>
      <c r="C8" s="73">
        <f>IF(A8&gt;=51,1,0)</f>
        <v>1</v>
      </c>
      <c r="D8" s="73">
        <f t="shared" ref="D8:D14" si="2">B8*C8</f>
        <v>0</v>
      </c>
      <c r="E8" s="78">
        <v>1</v>
      </c>
      <c r="F8" s="73" t="s">
        <v>10</v>
      </c>
      <c r="G8" s="79">
        <f>IF(E4="ZONE A",S8,IF(E4="ZONE B",S19,IF(E4="ZONE C",S30,0)))</f>
        <v>11812</v>
      </c>
      <c r="H8" s="79">
        <f>IF(E4="ZONE A",T8,IF(E4="ZONE B",T19,IF(E4="ZONE C",T30,0)))</f>
        <v>14175</v>
      </c>
      <c r="I8" s="79">
        <f t="shared" si="0"/>
        <v>2363</v>
      </c>
      <c r="J8" s="79">
        <f>J7</f>
        <v>1</v>
      </c>
      <c r="K8" s="79">
        <f>K7</f>
        <v>0</v>
      </c>
      <c r="L8" s="79">
        <f t="shared" si="1"/>
        <v>11812</v>
      </c>
      <c r="M8" s="79">
        <f t="shared" ref="M8:M14" si="3">D8</f>
        <v>0</v>
      </c>
      <c r="N8" s="79">
        <f t="shared" ref="N8:N14" si="4">L8*M8</f>
        <v>0</v>
      </c>
      <c r="O8" s="79"/>
      <c r="P8" s="79">
        <f t="shared" ref="P8:P14" si="5">M8*I8</f>
        <v>0</v>
      </c>
      <c r="Q8" s="79"/>
      <c r="R8" s="78">
        <v>1</v>
      </c>
      <c r="S8" s="79">
        <v>12886</v>
      </c>
      <c r="T8" s="79">
        <v>15463</v>
      </c>
    </row>
    <row r="9" spans="1:22">
      <c r="A9" s="73">
        <f t="shared" ref="A9:A14" si="6">A8</f>
        <v>3300</v>
      </c>
      <c r="B9" s="73">
        <f>IF(A9&lt;=175,1,0)</f>
        <v>0</v>
      </c>
      <c r="C9" s="73">
        <f>IF(A9&gt;=126,1,0)</f>
        <v>1</v>
      </c>
      <c r="D9" s="73">
        <f t="shared" si="2"/>
        <v>0</v>
      </c>
      <c r="E9" s="78">
        <v>2</v>
      </c>
      <c r="F9" s="73" t="s">
        <v>11</v>
      </c>
      <c r="G9" s="79">
        <f>IF(E4="ZONE A",S9,IF(E4="ZONE B",S20,IF(E4="ZONE C",S31,0)))</f>
        <v>20437</v>
      </c>
      <c r="H9" s="79">
        <f>IF(E4="ZONE A",T9,IF(E4="ZONE B",T20,IF(E4="ZONE C",T31,0)))</f>
        <v>24525</v>
      </c>
      <c r="I9" s="79">
        <f t="shared" si="0"/>
        <v>4088</v>
      </c>
      <c r="J9" s="79">
        <f t="shared" ref="J9:K14" si="7">J8</f>
        <v>1</v>
      </c>
      <c r="K9" s="79">
        <f t="shared" si="7"/>
        <v>0</v>
      </c>
      <c r="L9" s="79">
        <f t="shared" si="1"/>
        <v>20437</v>
      </c>
      <c r="M9" s="79">
        <f t="shared" si="3"/>
        <v>0</v>
      </c>
      <c r="N9" s="79">
        <f t="shared" si="4"/>
        <v>0</v>
      </c>
      <c r="O9" s="79"/>
      <c r="P9" s="79">
        <f t="shared" si="5"/>
        <v>0</v>
      </c>
      <c r="Q9" s="79"/>
      <c r="R9" s="78">
        <v>2</v>
      </c>
      <c r="S9" s="79">
        <v>22295</v>
      </c>
      <c r="T9" s="79">
        <v>26754</v>
      </c>
    </row>
    <row r="10" spans="1:22">
      <c r="A10" s="73">
        <f t="shared" si="6"/>
        <v>3300</v>
      </c>
      <c r="B10" s="73">
        <f>IF(A10&lt;=250,1,0)</f>
        <v>0</v>
      </c>
      <c r="C10" s="73">
        <f>IF(A10&gt;=176,1,0)</f>
        <v>1</v>
      </c>
      <c r="D10" s="73">
        <f t="shared" si="2"/>
        <v>0</v>
      </c>
      <c r="E10" s="78">
        <v>3</v>
      </c>
      <c r="F10" s="73" t="s">
        <v>12</v>
      </c>
      <c r="G10" s="79">
        <f>IF(E4="ZONE A",S10,IF(E4="ZONE B",S21,IF(E4="ZONE C",S32,0)))</f>
        <v>25281</v>
      </c>
      <c r="H10" s="79">
        <f>IF(E4="ZONE A",T10,IF(E4="ZONE B",T21,IF(E4="ZONE C",T32,0)))</f>
        <v>30338</v>
      </c>
      <c r="I10" s="79">
        <f t="shared" si="0"/>
        <v>5057</v>
      </c>
      <c r="J10" s="79">
        <f t="shared" si="7"/>
        <v>1</v>
      </c>
      <c r="K10" s="79">
        <f t="shared" si="7"/>
        <v>0</v>
      </c>
      <c r="L10" s="79">
        <f t="shared" si="1"/>
        <v>25281</v>
      </c>
      <c r="M10" s="79">
        <f t="shared" si="3"/>
        <v>0</v>
      </c>
      <c r="N10" s="79">
        <f t="shared" si="4"/>
        <v>0</v>
      </c>
      <c r="O10" s="79"/>
      <c r="P10" s="79">
        <f t="shared" si="5"/>
        <v>0</v>
      </c>
      <c r="Q10" s="79"/>
      <c r="R10" s="78">
        <v>3</v>
      </c>
      <c r="S10" s="79">
        <v>27580</v>
      </c>
      <c r="T10" s="79">
        <v>33096</v>
      </c>
    </row>
    <row r="11" spans="1:22">
      <c r="A11" s="73">
        <f t="shared" si="6"/>
        <v>3300</v>
      </c>
      <c r="B11" s="73">
        <f>IF(A11&lt;=350,1,0)</f>
        <v>0</v>
      </c>
      <c r="C11" s="73">
        <f>IF(A11&gt;=251,1,0)</f>
        <v>1</v>
      </c>
      <c r="D11" s="73">
        <f t="shared" si="2"/>
        <v>0</v>
      </c>
      <c r="E11" s="78">
        <v>4</v>
      </c>
      <c r="F11" s="73" t="s">
        <v>13</v>
      </c>
      <c r="G11" s="79">
        <f>IF(E4="ZONE A",S11,IF(E4="ZONE B",S22,IF(E4="ZONE C",S33,0)))</f>
        <v>29535</v>
      </c>
      <c r="H11" s="79">
        <f>IF(E4="ZONE A",T11,IF(E4="ZONE B",T22,IF(E4="ZONE C",T33,0)))</f>
        <v>35442</v>
      </c>
      <c r="I11" s="79">
        <f t="shared" si="0"/>
        <v>5907</v>
      </c>
      <c r="J11" s="79">
        <f t="shared" si="7"/>
        <v>1</v>
      </c>
      <c r="K11" s="79">
        <f t="shared" si="7"/>
        <v>0</v>
      </c>
      <c r="L11" s="79">
        <f t="shared" si="1"/>
        <v>29535</v>
      </c>
      <c r="M11" s="79">
        <f t="shared" si="3"/>
        <v>0</v>
      </c>
      <c r="N11" s="79">
        <f>L11*M11</f>
        <v>0</v>
      </c>
      <c r="O11" s="79"/>
      <c r="P11" s="79">
        <f t="shared" si="5"/>
        <v>0</v>
      </c>
      <c r="Q11" s="79"/>
      <c r="R11" s="78">
        <v>4</v>
      </c>
      <c r="S11" s="79">
        <v>32220</v>
      </c>
      <c r="T11" s="79">
        <v>38664</v>
      </c>
    </row>
    <row r="12" spans="1:22">
      <c r="A12" s="73">
        <f t="shared" si="6"/>
        <v>3300</v>
      </c>
      <c r="B12" s="73">
        <f>IF(A12&lt;=500,1,0)</f>
        <v>0</v>
      </c>
      <c r="C12" s="73">
        <f>IF(A12&gt;=351,1,0)</f>
        <v>1</v>
      </c>
      <c r="D12" s="73">
        <f t="shared" si="2"/>
        <v>0</v>
      </c>
      <c r="E12" s="78">
        <v>5</v>
      </c>
      <c r="F12" s="73" t="s">
        <v>14</v>
      </c>
      <c r="G12" s="79">
        <f>IF(E4="ZONE A",S12,IF(E4="ZONE B",S23,IF(E4="ZONE C",S34,0)))</f>
        <v>34023</v>
      </c>
      <c r="H12" s="79">
        <f>IF(E4="ZONE A",T12,IF(E4="ZONE B",T23,IF(E4="ZONE C",T34,0)))</f>
        <v>40828</v>
      </c>
      <c r="I12" s="79">
        <f t="shared" si="0"/>
        <v>6805</v>
      </c>
      <c r="J12" s="79">
        <f t="shared" si="7"/>
        <v>1</v>
      </c>
      <c r="K12" s="79">
        <f t="shared" si="7"/>
        <v>0</v>
      </c>
      <c r="L12" s="79">
        <f t="shared" si="1"/>
        <v>34023</v>
      </c>
      <c r="M12" s="79">
        <f t="shared" si="3"/>
        <v>0</v>
      </c>
      <c r="N12" s="79">
        <f t="shared" si="4"/>
        <v>0</v>
      </c>
      <c r="O12" s="79"/>
      <c r="P12" s="79">
        <f t="shared" si="5"/>
        <v>0</v>
      </c>
      <c r="Q12" s="79"/>
      <c r="R12" s="78">
        <v>5</v>
      </c>
      <c r="S12" s="79">
        <v>37116</v>
      </c>
      <c r="T12" s="79">
        <v>44539</v>
      </c>
    </row>
    <row r="13" spans="1:22">
      <c r="A13" s="73">
        <f t="shared" si="6"/>
        <v>3300</v>
      </c>
      <c r="B13" s="73">
        <f>IF(A13&lt;=625,1,0)</f>
        <v>0</v>
      </c>
      <c r="C13" s="73">
        <f>IF(A13&gt;=501,1,0)</f>
        <v>1</v>
      </c>
      <c r="D13" s="73">
        <f t="shared" si="2"/>
        <v>0</v>
      </c>
      <c r="E13" s="78">
        <v>6</v>
      </c>
      <c r="G13" s="79">
        <f>IF(E4="ZONE A",S13,IF(E4="ZONE B",S24,IF(E4="ZONE C",S35,0)))</f>
        <v>37450</v>
      </c>
      <c r="H13" s="79">
        <f>IF(E4="ZONE A",T13,IF(E4="ZONE B",T24,IF(E4="ZONE C",T35,0)))</f>
        <v>44939</v>
      </c>
      <c r="I13" s="79">
        <f t="shared" si="0"/>
        <v>7489</v>
      </c>
      <c r="J13" s="79">
        <f t="shared" si="7"/>
        <v>1</v>
      </c>
      <c r="K13" s="79">
        <f t="shared" si="7"/>
        <v>0</v>
      </c>
      <c r="L13" s="79">
        <f t="shared" si="1"/>
        <v>37450</v>
      </c>
      <c r="M13" s="79">
        <f t="shared" si="3"/>
        <v>0</v>
      </c>
      <c r="N13" s="79">
        <f t="shared" si="4"/>
        <v>0</v>
      </c>
      <c r="O13" s="80"/>
      <c r="P13" s="79">
        <f t="shared" si="5"/>
        <v>0</v>
      </c>
      <c r="R13" s="78">
        <v>6</v>
      </c>
      <c r="S13" s="79">
        <v>40854</v>
      </c>
      <c r="T13" s="79">
        <v>49025</v>
      </c>
    </row>
    <row r="14" spans="1:22">
      <c r="A14" s="73">
        <f t="shared" si="6"/>
        <v>3300</v>
      </c>
      <c r="B14" s="73">
        <f>IF(A14&lt;=99999999,1,0)</f>
        <v>1</v>
      </c>
      <c r="C14" s="73">
        <f>IF(A14&gt;=626,1,0)</f>
        <v>1</v>
      </c>
      <c r="D14" s="73">
        <f t="shared" si="2"/>
        <v>1</v>
      </c>
      <c r="E14" s="78" t="s">
        <v>29</v>
      </c>
      <c r="G14" s="79">
        <f>IF(E4="ZONE A",S14,IF(E4="ZONE B",S25,IF(E4="ZONE C",S36,0)))</f>
        <v>41886</v>
      </c>
      <c r="H14" s="79">
        <f>IF(E4="ZONE A",T14,IF(E4="ZONE B",T25,IF(E4="ZONE C",T36,0)))</f>
        <v>50263</v>
      </c>
      <c r="I14" s="79">
        <f t="shared" si="0"/>
        <v>8377</v>
      </c>
      <c r="J14" s="79">
        <f t="shared" si="7"/>
        <v>1</v>
      </c>
      <c r="K14" s="79">
        <f t="shared" si="7"/>
        <v>0</v>
      </c>
      <c r="L14" s="79">
        <f t="shared" si="1"/>
        <v>41886</v>
      </c>
      <c r="M14" s="79">
        <f t="shared" si="3"/>
        <v>1</v>
      </c>
      <c r="N14" s="79">
        <f t="shared" si="4"/>
        <v>41886</v>
      </c>
      <c r="O14" s="79"/>
      <c r="P14" s="79">
        <f t="shared" si="5"/>
        <v>8377</v>
      </c>
      <c r="R14" s="78" t="s">
        <v>29</v>
      </c>
      <c r="S14" s="79">
        <v>45694</v>
      </c>
      <c r="T14" s="79">
        <v>54833</v>
      </c>
    </row>
    <row r="15" spans="1:22">
      <c r="E15" s="78"/>
      <c r="G15" s="79"/>
      <c r="H15" s="79"/>
      <c r="I15" s="79"/>
      <c r="J15" s="79"/>
      <c r="K15" s="79"/>
      <c r="L15" s="79"/>
      <c r="M15" s="79"/>
      <c r="N15" s="79">
        <f>SUM(N7:N14)</f>
        <v>41886</v>
      </c>
      <c r="O15" s="79"/>
      <c r="P15" s="79">
        <f>SUM(P7:P14)</f>
        <v>8377</v>
      </c>
      <c r="R15" s="78"/>
    </row>
    <row r="16" spans="1:22">
      <c r="E16" s="78"/>
      <c r="F16" s="309">
        <f>IF(I6="SEMI-REMORQUE",1,0)*P15+IF(I6="SEMI-REMORQUE",0,1)*N15</f>
        <v>41886</v>
      </c>
      <c r="G16" s="308">
        <f>(F16*IF(CONTRATS!C24=0,0,1)*IF(CONTRATS!E24=0,1,0)*IF(CONTRATS!B24="NO",1,0)*IF(CONTRATS!E17="SCOOTER",0,1)+IF(CONTRATS!E17="SCOOTER",1,0)*'CAT 5B'!J21)*IF(CONTRATS!E17="SCOOTER-REMORQUE",0,1)+IF(CONTRATS!E17="SCOOTER-REMORQUE",1,0)*'CAT 5B'!J21</f>
        <v>41886</v>
      </c>
      <c r="H16" s="308"/>
      <c r="I16" s="79"/>
      <c r="J16" s="79"/>
      <c r="K16" s="79"/>
      <c r="L16" s="79"/>
      <c r="M16" s="79"/>
      <c r="N16" s="79"/>
      <c r="O16" s="79"/>
      <c r="P16" s="79"/>
      <c r="S16" s="73" t="s">
        <v>16</v>
      </c>
      <c r="U16" s="307" t="s">
        <v>314</v>
      </c>
      <c r="V16" s="307"/>
    </row>
    <row r="17" spans="6:22">
      <c r="F17" s="309"/>
      <c r="G17" s="308"/>
      <c r="H17" s="308"/>
      <c r="I17" s="79"/>
      <c r="J17" s="79"/>
      <c r="K17" s="79"/>
      <c r="L17" s="79"/>
      <c r="M17" s="79"/>
      <c r="N17" s="79"/>
      <c r="O17" s="79"/>
      <c r="P17" s="79"/>
      <c r="R17" s="73" t="s">
        <v>0</v>
      </c>
      <c r="S17" s="73" t="str">
        <f>S6</f>
        <v xml:space="preserve">SANS REMORQUE </v>
      </c>
      <c r="T17" s="73" t="str">
        <f>T6</f>
        <v xml:space="preserve">AVEC REMORQUE </v>
      </c>
    </row>
    <row r="18" spans="6:22">
      <c r="I18" s="79"/>
      <c r="J18" s="79"/>
      <c r="K18" s="79"/>
      <c r="L18" s="79"/>
      <c r="M18" s="79"/>
      <c r="N18" s="79"/>
      <c r="O18" s="79"/>
      <c r="P18" s="79"/>
      <c r="R18" s="78" t="s">
        <v>28</v>
      </c>
      <c r="S18" s="79">
        <v>8891</v>
      </c>
      <c r="T18" s="79">
        <v>10669</v>
      </c>
      <c r="U18" s="73">
        <v>18527</v>
      </c>
      <c r="V18" s="73">
        <v>22232</v>
      </c>
    </row>
    <row r="19" spans="6:22">
      <c r="G19" s="307" t="s">
        <v>314</v>
      </c>
      <c r="H19" s="307"/>
      <c r="I19" s="79"/>
      <c r="J19" s="79"/>
      <c r="K19" s="79"/>
      <c r="L19" s="79"/>
      <c r="M19" s="79"/>
      <c r="N19" s="79"/>
      <c r="O19" s="79"/>
      <c r="P19" s="79"/>
      <c r="R19" s="78">
        <v>1</v>
      </c>
      <c r="S19" s="79">
        <v>12349</v>
      </c>
      <c r="T19" s="79">
        <v>14819</v>
      </c>
    </row>
    <row r="20" spans="6:22">
      <c r="G20" s="73" t="str">
        <f>G6</f>
        <v xml:space="preserve">SANS REMORQUE </v>
      </c>
      <c r="H20" s="73" t="str">
        <f>H6</f>
        <v xml:space="preserve">AVEC REMORQUE </v>
      </c>
      <c r="I20" s="73" t="str">
        <f>P6</f>
        <v>SEMI-REMORQUE</v>
      </c>
      <c r="P20" s="79"/>
      <c r="R20" s="78">
        <v>2</v>
      </c>
      <c r="S20" s="79">
        <v>21366</v>
      </c>
      <c r="T20" s="79">
        <v>25639</v>
      </c>
    </row>
    <row r="21" spans="6:22">
      <c r="G21" s="79">
        <f>IF(E4="ZONE A",U7,IF(E4="ZONE B",U18,IF(E4="ZONE C",U29,0)))</f>
        <v>17721</v>
      </c>
      <c r="H21" s="79">
        <f>IF(E4="ZONE A",V7,IF(E4="ZONE B",V18,IF(E4="ZONE C",V29,0)))</f>
        <v>21265</v>
      </c>
      <c r="I21" s="79">
        <f>H21-G21</f>
        <v>3544</v>
      </c>
      <c r="J21" s="73">
        <f>IF(F4="SANS REMORQUE",G21,H21)*IF(CONTRATS!E17="SCOOTER-REMORQUE",0,1)+IF(CONTRATS!E17="SCOOTER-REMORQUE",1,0)*I21</f>
        <v>17721</v>
      </c>
      <c r="R21" s="78">
        <v>3</v>
      </c>
      <c r="S21" s="79">
        <v>26430</v>
      </c>
      <c r="T21" s="79">
        <v>31717</v>
      </c>
    </row>
    <row r="22" spans="6:22">
      <c r="R22" s="78">
        <v>4</v>
      </c>
      <c r="S22" s="79">
        <v>30878</v>
      </c>
      <c r="T22" s="79">
        <v>37053</v>
      </c>
    </row>
    <row r="23" spans="6:22">
      <c r="R23" s="78">
        <v>5</v>
      </c>
      <c r="S23" s="79">
        <v>35570</v>
      </c>
      <c r="T23" s="79">
        <v>42683</v>
      </c>
    </row>
    <row r="24" spans="6:22">
      <c r="R24" s="78">
        <v>6</v>
      </c>
      <c r="S24" s="79">
        <v>39152</v>
      </c>
      <c r="T24" s="79">
        <v>46982</v>
      </c>
    </row>
    <row r="25" spans="6:22">
      <c r="R25" s="78" t="s">
        <v>29</v>
      </c>
      <c r="S25" s="79">
        <v>43790</v>
      </c>
      <c r="T25" s="79">
        <v>52548</v>
      </c>
    </row>
    <row r="26" spans="6:22">
      <c r="R26" s="78"/>
    </row>
    <row r="27" spans="6:22">
      <c r="S27" s="73" t="s">
        <v>17</v>
      </c>
      <c r="U27" s="307" t="s">
        <v>314</v>
      </c>
      <c r="V27" s="307"/>
    </row>
    <row r="28" spans="6:22">
      <c r="R28" s="73" t="s">
        <v>0</v>
      </c>
      <c r="S28" s="73" t="str">
        <f>S17</f>
        <v xml:space="preserve">SANS REMORQUE </v>
      </c>
      <c r="T28" s="73" t="str">
        <f>T17</f>
        <v xml:space="preserve">AVEC REMORQUE </v>
      </c>
    </row>
    <row r="29" spans="6:22">
      <c r="R29" s="78" t="s">
        <v>28</v>
      </c>
      <c r="S29" s="79">
        <v>8504</v>
      </c>
      <c r="T29" s="79">
        <v>10205</v>
      </c>
      <c r="U29" s="73">
        <v>17721</v>
      </c>
      <c r="V29" s="73">
        <v>21265</v>
      </c>
    </row>
    <row r="30" spans="6:22">
      <c r="R30" s="78">
        <v>1</v>
      </c>
      <c r="S30" s="79">
        <v>11812</v>
      </c>
      <c r="T30" s="79">
        <v>14175</v>
      </c>
    </row>
    <row r="31" spans="6:22">
      <c r="R31" s="78">
        <v>2</v>
      </c>
      <c r="S31" s="79">
        <v>20437</v>
      </c>
      <c r="T31" s="79">
        <v>24525</v>
      </c>
    </row>
    <row r="32" spans="6:22">
      <c r="R32" s="78">
        <v>3</v>
      </c>
      <c r="S32" s="79">
        <v>25281</v>
      </c>
      <c r="T32" s="79">
        <v>30338</v>
      </c>
    </row>
    <row r="33" spans="18:20">
      <c r="R33" s="78">
        <v>4</v>
      </c>
      <c r="S33" s="79">
        <v>29535</v>
      </c>
      <c r="T33" s="79">
        <v>35442</v>
      </c>
    </row>
    <row r="34" spans="18:20">
      <c r="R34" s="78">
        <v>5</v>
      </c>
      <c r="S34" s="79">
        <v>34023</v>
      </c>
      <c r="T34" s="79">
        <v>40828</v>
      </c>
    </row>
    <row r="35" spans="18:20">
      <c r="R35" s="78">
        <v>6</v>
      </c>
      <c r="S35" s="79">
        <v>37450</v>
      </c>
      <c r="T35" s="79">
        <v>44939</v>
      </c>
    </row>
    <row r="36" spans="18:20">
      <c r="R36" s="78" t="s">
        <v>29</v>
      </c>
      <c r="S36" s="79">
        <v>41886</v>
      </c>
      <c r="T36" s="79">
        <v>50263</v>
      </c>
    </row>
    <row r="37" spans="18:20">
      <c r="R37" s="78"/>
    </row>
  </sheetData>
  <sheetProtection password="D373" sheet="1" objects="1" scenarios="1"/>
  <mergeCells count="7">
    <mergeCell ref="F16:F17"/>
    <mergeCell ref="U5:V5"/>
    <mergeCell ref="U16:V16"/>
    <mergeCell ref="U27:V27"/>
    <mergeCell ref="G19:H19"/>
    <mergeCell ref="M6:O6"/>
    <mergeCell ref="G16:H17"/>
  </mergeCells>
  <dataValidations count="2">
    <dataValidation type="list" allowBlank="1" showInputMessage="1" showErrorMessage="1" sqref="E4">
      <formula1>$S$1:$U$1</formula1>
    </dataValidation>
    <dataValidation type="list" allowBlank="1" showInputMessage="1" showErrorMessage="1" sqref="I4">
      <formula1>$O$2:$P$2</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4:F18"/>
  <sheetViews>
    <sheetView workbookViewId="0">
      <selection activeCell="C12" sqref="C12"/>
    </sheetView>
  </sheetViews>
  <sheetFormatPr defaultColWidth="11.42578125" defaultRowHeight="15"/>
  <cols>
    <col min="1" max="1" width="8" style="73" customWidth="1"/>
    <col min="2" max="2" width="11.28515625" style="78" customWidth="1"/>
    <col min="3" max="3" width="9.7109375" style="73" customWidth="1"/>
    <col min="4" max="5" width="13.7109375" style="73" customWidth="1"/>
    <col min="6" max="6" width="18.85546875" style="73" customWidth="1"/>
    <col min="7" max="7" width="19" style="73" customWidth="1"/>
    <col min="8" max="8" width="24.140625" style="73" customWidth="1"/>
    <col min="9" max="9" width="19.28515625" style="73" customWidth="1"/>
    <col min="10" max="10" width="18.7109375" style="73" customWidth="1"/>
    <col min="11" max="11" width="21.5703125" style="73" customWidth="1"/>
    <col min="12" max="12" width="24.85546875" style="73" customWidth="1"/>
    <col min="13" max="13" width="23" style="73" customWidth="1"/>
    <col min="14" max="14" width="25.85546875" style="73" customWidth="1"/>
    <col min="15" max="15" width="20.5703125" style="73" customWidth="1"/>
    <col min="16" max="16" width="25.7109375" style="73" customWidth="1"/>
    <col min="17" max="17" width="22.42578125" style="73" customWidth="1"/>
    <col min="18" max="18" width="26.85546875" style="73" customWidth="1"/>
    <col min="19" max="19" width="25.7109375" style="73" customWidth="1"/>
    <col min="20" max="20" width="22.85546875" style="73" customWidth="1"/>
    <col min="21" max="21" width="27.140625" style="73" customWidth="1"/>
    <col min="22" max="22" width="27.5703125" style="73" customWidth="1"/>
    <col min="23" max="23" width="22.85546875" style="73" customWidth="1"/>
    <col min="24" max="24" width="25.28515625" style="73" customWidth="1"/>
    <col min="25" max="25" width="28.28515625" style="73" customWidth="1"/>
    <col min="26" max="26" width="32.5703125" style="73" customWidth="1"/>
    <col min="27" max="27" width="14.7109375" style="73" customWidth="1"/>
    <col min="28" max="28" width="18.42578125" style="73" customWidth="1"/>
    <col min="29" max="29" width="24.85546875" style="73" customWidth="1"/>
    <col min="30" max="30" width="29.85546875" style="73" customWidth="1"/>
    <col min="31" max="31" width="30.140625" style="73" customWidth="1"/>
    <col min="32" max="32" width="21.5703125" style="73" customWidth="1"/>
    <col min="33" max="33" width="25.42578125" style="73" customWidth="1"/>
    <col min="34" max="34" width="20.7109375" style="73" customWidth="1"/>
    <col min="35" max="35" width="17.140625" style="73" customWidth="1"/>
    <col min="36" max="36" width="14.7109375" style="73" customWidth="1"/>
    <col min="37" max="37" width="16.5703125" style="73" customWidth="1"/>
    <col min="38" max="38" width="15.85546875" style="73" customWidth="1"/>
    <col min="39" max="39" width="23.140625" style="73" customWidth="1"/>
    <col min="40" max="40" width="27" style="73" customWidth="1"/>
    <col min="41" max="41" width="22.85546875" style="73" customWidth="1"/>
    <col min="42" max="42" width="22.28515625" style="73" customWidth="1"/>
    <col min="43" max="43" width="19.5703125" style="73" customWidth="1"/>
    <col min="44" max="44" width="23.42578125" style="73" customWidth="1"/>
    <col min="45" max="45" width="24.42578125" style="73" customWidth="1"/>
    <col min="46" max="46" width="25" style="73" customWidth="1"/>
    <col min="47" max="47" width="24.140625" style="73" customWidth="1"/>
    <col min="48" max="48" width="23.140625" style="73" customWidth="1"/>
    <col min="49" max="49" width="29.7109375" style="73" customWidth="1"/>
    <col min="50" max="50" width="27" style="73" customWidth="1"/>
    <col min="51" max="51" width="40.7109375" style="73" customWidth="1"/>
    <col min="52" max="52" width="35.5703125" style="73" customWidth="1"/>
    <col min="53" max="53" width="23.85546875" style="73" customWidth="1"/>
    <col min="54" max="54" width="25.28515625" style="73" customWidth="1"/>
    <col min="55" max="55" width="28.5703125" style="73" customWidth="1"/>
    <col min="56" max="56" width="28.85546875" style="73" customWidth="1"/>
    <col min="57" max="57" width="30.7109375" style="73" customWidth="1"/>
    <col min="58" max="58" width="34.28515625" style="73" customWidth="1"/>
    <col min="59" max="60" width="40" style="73" customWidth="1"/>
    <col min="61" max="61" width="44" style="73" customWidth="1"/>
    <col min="62" max="62" width="52.42578125" style="73" customWidth="1"/>
    <col min="63" max="63" width="24" style="73" customWidth="1"/>
    <col min="64" max="64" width="41.5703125" style="73" customWidth="1"/>
    <col min="65" max="65" width="22" style="73" customWidth="1"/>
    <col min="66" max="66" width="29" style="73" customWidth="1"/>
    <col min="67" max="67" width="32.42578125" style="73" customWidth="1"/>
    <col min="68" max="68" width="52.140625" style="73" customWidth="1"/>
    <col min="69" max="69" width="64.5703125" style="73" customWidth="1"/>
    <col min="70" max="70" width="77.85546875" style="73" customWidth="1"/>
    <col min="71" max="71" width="98.85546875" style="73" customWidth="1"/>
    <col min="72" max="72" width="6.28515625" style="73" customWidth="1"/>
    <col min="73" max="73" width="9.5703125" style="73" customWidth="1"/>
    <col min="74" max="74" width="6.5703125" style="73" customWidth="1"/>
    <col min="75" max="16384" width="11.42578125" style="73"/>
  </cols>
  <sheetData>
    <row r="4" spans="2:6">
      <c r="B4" s="88" t="s">
        <v>30</v>
      </c>
      <c r="C4" s="84"/>
      <c r="D4" s="84"/>
      <c r="E4" s="84"/>
      <c r="F4" s="84"/>
    </row>
    <row r="5" spans="2:6">
      <c r="B5" s="88">
        <v>1</v>
      </c>
      <c r="C5" s="86">
        <f>'CAT 1'!C16</f>
        <v>107951</v>
      </c>
      <c r="D5" s="84">
        <f>IF(CONTRATS!E18=B5,1,0)</f>
        <v>1</v>
      </c>
      <c r="E5" s="84">
        <f>IF(CONTRATS!D19=0,0,1)</f>
        <v>1</v>
      </c>
      <c r="F5" s="84">
        <f>C5*D5*E5</f>
        <v>107951</v>
      </c>
    </row>
    <row r="6" spans="2:6">
      <c r="B6" s="88">
        <v>2</v>
      </c>
      <c r="C6" s="86">
        <f>'CAT 2'!B20*IF(CONTRATS!F21&gt;=3500,0,1)+IF(CONTRATS!F21&gt;=3500,1,0)*C7</f>
        <v>137579</v>
      </c>
      <c r="D6" s="84">
        <f>IF(CONTRATS!E18=B6,1,0)</f>
        <v>0</v>
      </c>
      <c r="E6" s="84">
        <f>E5</f>
        <v>1</v>
      </c>
      <c r="F6" s="84">
        <f t="shared" ref="F6:F17" si="0">C6*D6*E6</f>
        <v>0</v>
      </c>
    </row>
    <row r="7" spans="2:6">
      <c r="B7" s="88">
        <v>3</v>
      </c>
      <c r="C7" s="86">
        <f>'CAT 3'!B20</f>
        <v>229359</v>
      </c>
      <c r="D7" s="84">
        <f>IF(CONTRATS!E18=B7,1,0)</f>
        <v>0</v>
      </c>
      <c r="E7" s="84">
        <f t="shared" ref="E7:E17" si="1">E6</f>
        <v>1</v>
      </c>
      <c r="F7" s="84">
        <f t="shared" si="0"/>
        <v>0</v>
      </c>
    </row>
    <row r="8" spans="2:6">
      <c r="B8" s="88" t="s">
        <v>33</v>
      </c>
      <c r="C8" s="86">
        <f>'CAT 4A'!D31</f>
        <v>0</v>
      </c>
      <c r="D8" s="84">
        <f>IF(CONTRATS!E18=B8,1,0)</f>
        <v>0</v>
      </c>
      <c r="E8" s="84">
        <f t="shared" si="1"/>
        <v>1</v>
      </c>
      <c r="F8" s="84">
        <f t="shared" si="0"/>
        <v>0</v>
      </c>
    </row>
    <row r="9" spans="2:6">
      <c r="B9" s="88" t="s">
        <v>34</v>
      </c>
      <c r="C9" s="86">
        <f>'CAT 4B'!H48</f>
        <v>0</v>
      </c>
      <c r="D9" s="84">
        <f>IF(CONTRATS!E18=B9,1,0)</f>
        <v>0</v>
      </c>
      <c r="E9" s="84">
        <f t="shared" si="1"/>
        <v>1</v>
      </c>
      <c r="F9" s="84">
        <f t="shared" si="0"/>
        <v>0</v>
      </c>
    </row>
    <row r="10" spans="2:6">
      <c r="B10" s="88" t="s">
        <v>35</v>
      </c>
      <c r="C10" s="86">
        <f>'CAT 4C'!B20</f>
        <v>0</v>
      </c>
      <c r="D10" s="84">
        <f>IF(CONTRATS!E18=B10,1,0)</f>
        <v>0</v>
      </c>
      <c r="E10" s="84">
        <f t="shared" si="1"/>
        <v>1</v>
      </c>
      <c r="F10" s="84">
        <f t="shared" si="0"/>
        <v>0</v>
      </c>
    </row>
    <row r="11" spans="2:6">
      <c r="B11" s="88" t="s">
        <v>31</v>
      </c>
      <c r="C11" s="86">
        <f>'CAT 5A'!G16</f>
        <v>34905</v>
      </c>
      <c r="D11" s="84">
        <f>IF(CONTRATS!E18=B11,1,0)*IF(CONTRATS!D19="ESSENCE",1,0)</f>
        <v>0</v>
      </c>
      <c r="E11" s="84">
        <f t="shared" si="1"/>
        <v>1</v>
      </c>
      <c r="F11" s="84">
        <f t="shared" si="0"/>
        <v>0</v>
      </c>
    </row>
    <row r="12" spans="2:6">
      <c r="B12" s="88" t="s">
        <v>32</v>
      </c>
      <c r="C12" s="86">
        <f>'CAT 5B'!G16</f>
        <v>41886</v>
      </c>
      <c r="D12" s="84">
        <f>IF(CONTRATS!E18=B12,1,0)*IF(CONTRATS!D19="ESSENCE",1,0)</f>
        <v>0</v>
      </c>
      <c r="E12" s="84">
        <f t="shared" si="1"/>
        <v>1</v>
      </c>
      <c r="F12" s="84">
        <f t="shared" si="0"/>
        <v>0</v>
      </c>
    </row>
    <row r="13" spans="2:6">
      <c r="B13" s="88">
        <v>6</v>
      </c>
      <c r="C13" s="89">
        <f>'CAT6123'!E26</f>
        <v>0</v>
      </c>
      <c r="D13" s="84">
        <f>IF(CONTRATS!E18=B13,1,0)</f>
        <v>0</v>
      </c>
      <c r="E13" s="84">
        <f t="shared" si="1"/>
        <v>1</v>
      </c>
      <c r="F13" s="84">
        <f t="shared" si="0"/>
        <v>0</v>
      </c>
    </row>
    <row r="14" spans="2:6">
      <c r="B14" s="88">
        <v>7</v>
      </c>
      <c r="C14" s="89">
        <f>'CAT 75'!D35</f>
        <v>0</v>
      </c>
      <c r="D14" s="84">
        <f>IF(CONTRATS!E18=B14,1,0)</f>
        <v>0</v>
      </c>
      <c r="E14" s="84">
        <f t="shared" si="1"/>
        <v>1</v>
      </c>
      <c r="F14" s="84">
        <f t="shared" si="0"/>
        <v>0</v>
      </c>
    </row>
    <row r="15" spans="2:6">
      <c r="B15" s="88">
        <v>8</v>
      </c>
      <c r="C15" s="103">
        <f>'CAT 08'!B20</f>
        <v>0</v>
      </c>
      <c r="D15" s="84">
        <f>IF(CONTRATS!E18=B15,1,0)</f>
        <v>0</v>
      </c>
      <c r="E15" s="84">
        <f t="shared" si="1"/>
        <v>1</v>
      </c>
      <c r="F15" s="84">
        <f t="shared" si="0"/>
        <v>0</v>
      </c>
    </row>
    <row r="16" spans="2:6">
      <c r="B16" s="88">
        <v>9</v>
      </c>
      <c r="C16" s="86">
        <f>'CAT 9'!B59</f>
        <v>0</v>
      </c>
      <c r="D16" s="84">
        <f>IF(CONTRATS!E18=B16,1,0)</f>
        <v>0</v>
      </c>
      <c r="E16" s="84">
        <f t="shared" si="1"/>
        <v>1</v>
      </c>
      <c r="F16" s="84">
        <f t="shared" si="0"/>
        <v>0</v>
      </c>
    </row>
    <row r="17" spans="2:6">
      <c r="B17" s="88">
        <v>10</v>
      </c>
      <c r="C17" s="86">
        <f>'CAT 10'!B20</f>
        <v>92266</v>
      </c>
      <c r="D17" s="84">
        <f>IF(CONTRATS!E18=B17,1,0)</f>
        <v>0</v>
      </c>
      <c r="E17" s="84">
        <f t="shared" si="1"/>
        <v>1</v>
      </c>
      <c r="F17" s="84">
        <f t="shared" si="0"/>
        <v>0</v>
      </c>
    </row>
    <row r="18" spans="2:6">
      <c r="F18" s="79">
        <f>SUM(F5:F17)</f>
        <v>107951</v>
      </c>
    </row>
  </sheetData>
  <sheetProtection password="D373"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U85"/>
  <sheetViews>
    <sheetView topLeftCell="AP1" workbookViewId="0">
      <selection sqref="A1:AO1048576"/>
    </sheetView>
  </sheetViews>
  <sheetFormatPr defaultColWidth="11.42578125" defaultRowHeight="15"/>
  <cols>
    <col min="1" max="1" width="0" hidden="1" customWidth="1"/>
    <col min="2" max="2" width="17.140625" hidden="1" customWidth="1"/>
    <col min="3" max="3" width="16.85546875" hidden="1" customWidth="1"/>
    <col min="4" max="4" width="22.28515625" hidden="1" customWidth="1"/>
    <col min="5" max="8" width="19.85546875" hidden="1" customWidth="1"/>
    <col min="9" max="16" width="16.85546875" hidden="1" customWidth="1"/>
    <col min="17" max="18" width="0" hidden="1" customWidth="1"/>
    <col min="19" max="20" width="16.85546875" hidden="1" customWidth="1"/>
    <col min="21" max="21" width="19.85546875" hidden="1" customWidth="1"/>
    <col min="22" max="41" width="0" hidden="1" customWidth="1"/>
  </cols>
  <sheetData>
    <row r="1" spans="1:21" s="73" customFormat="1">
      <c r="S1" s="73" t="s">
        <v>15</v>
      </c>
      <c r="T1" s="73" t="s">
        <v>16</v>
      </c>
      <c r="U1" s="73" t="s">
        <v>17</v>
      </c>
    </row>
    <row r="2" spans="1:21" s="73" customFormat="1">
      <c r="G2" s="73" t="s">
        <v>0</v>
      </c>
      <c r="H2" s="73" t="s">
        <v>1</v>
      </c>
      <c r="I2" s="73" t="s">
        <v>20</v>
      </c>
      <c r="J2" s="73" t="s">
        <v>2</v>
      </c>
      <c r="K2" s="73" t="s">
        <v>24</v>
      </c>
      <c r="L2" s="73" t="s">
        <v>25</v>
      </c>
    </row>
    <row r="3" spans="1:21" s="73" customFormat="1">
      <c r="A3" s="94"/>
      <c r="B3" s="94"/>
      <c r="C3" s="100" t="s">
        <v>21</v>
      </c>
      <c r="D3" s="94" t="s">
        <v>22</v>
      </c>
      <c r="E3" s="94" t="s">
        <v>23</v>
      </c>
      <c r="F3" s="75"/>
    </row>
    <row r="4" spans="1:21" s="73" customFormat="1">
      <c r="A4" s="97" t="str">
        <f>'CAT 3'!A4</f>
        <v>ZONE C</v>
      </c>
      <c r="B4" s="97" t="str">
        <f>'CAT 3'!B4</f>
        <v>SANS REMORQUE</v>
      </c>
      <c r="C4" s="98">
        <f>'CAT 3'!C4</f>
        <v>19</v>
      </c>
      <c r="D4" s="97" t="str">
        <f>'CAT 3'!D4</f>
        <v>ESSENCE</v>
      </c>
      <c r="E4" s="98" t="str">
        <f>[1]CONTRATS!$B$21</f>
        <v>NO</v>
      </c>
      <c r="F4" s="76"/>
      <c r="G4" s="73" t="str">
        <f>'CAT 3'!G4</f>
        <v>VT</v>
      </c>
      <c r="R4" s="73" t="s">
        <v>15</v>
      </c>
    </row>
    <row r="5" spans="1:21" s="73" customFormat="1"/>
    <row r="6" spans="1:21" s="73" customFormat="1">
      <c r="A6" s="73" t="s">
        <v>0</v>
      </c>
      <c r="B6" s="73" t="s">
        <v>1</v>
      </c>
      <c r="C6" s="73" t="s">
        <v>3</v>
      </c>
      <c r="D6" s="73" t="s">
        <v>2</v>
      </c>
      <c r="E6" s="73" t="s">
        <v>23</v>
      </c>
      <c r="F6" s="77" t="s">
        <v>112</v>
      </c>
      <c r="J6" s="307" t="s">
        <v>18</v>
      </c>
      <c r="K6" s="307"/>
      <c r="L6" s="307"/>
      <c r="O6" s="77" t="s">
        <v>112</v>
      </c>
      <c r="Q6" s="73" t="s">
        <v>0</v>
      </c>
      <c r="R6" s="73" t="s">
        <v>1</v>
      </c>
      <c r="S6" s="73" t="s">
        <v>3</v>
      </c>
      <c r="T6" s="73" t="s">
        <v>2</v>
      </c>
      <c r="U6" s="73" t="s">
        <v>23</v>
      </c>
    </row>
    <row r="7" spans="1:21" s="73" customFormat="1">
      <c r="A7" s="73" t="s">
        <v>9</v>
      </c>
      <c r="B7" s="73" t="s">
        <v>9</v>
      </c>
      <c r="C7" s="79">
        <f>IF(A4="ZONE A",S7,IF(A4="ZONE B",S18,IF(A4="ZONE C",S29,0)))</f>
        <v>41131</v>
      </c>
      <c r="D7" s="79">
        <f>IF(A4="ZONE A",T7,IF(A4="ZONE B",T18,IF(A4="ZONE C",T29,0)))</f>
        <v>41131</v>
      </c>
      <c r="E7" s="79">
        <f>IF(A4="ZONE A",U7,IF(A4="ZONE B",U18,IF(A4="ZONE C",U29,0)))</f>
        <v>0</v>
      </c>
      <c r="F7" s="79">
        <f t="shared" ref="F7:F12" si="0">D7-C7</f>
        <v>0</v>
      </c>
      <c r="G7" s="79">
        <f>IF(B4="SANS REMORQUE",1,0)</f>
        <v>1</v>
      </c>
      <c r="H7" s="79">
        <f>IF(B4="SANS REMORQUE",0,1)</f>
        <v>0</v>
      </c>
      <c r="I7" s="79">
        <f t="shared" ref="I7:I12" si="1">C7*G7+D7*H7</f>
        <v>41131</v>
      </c>
      <c r="J7" s="79">
        <f>IF(C4&gt;0,1,0)</f>
        <v>1</v>
      </c>
      <c r="K7" s="79">
        <f>IF(C4&lt;=2,1,0)</f>
        <v>0</v>
      </c>
      <c r="L7" s="79">
        <f t="shared" ref="L7:L12" si="2">J7*K7</f>
        <v>0</v>
      </c>
      <c r="M7" s="73">
        <f>L7*I7</f>
        <v>0</v>
      </c>
      <c r="N7" s="79">
        <f>E7*L7</f>
        <v>0</v>
      </c>
      <c r="O7" s="79">
        <f>L7*F7</f>
        <v>0</v>
      </c>
      <c r="P7" s="79"/>
      <c r="Q7" s="73" t="s">
        <v>9</v>
      </c>
      <c r="R7" s="73" t="s">
        <v>9</v>
      </c>
      <c r="S7" s="79">
        <v>44870</v>
      </c>
      <c r="T7" s="79">
        <f t="shared" ref="T7:T12" si="3">S7</f>
        <v>44870</v>
      </c>
      <c r="U7" s="79">
        <v>0</v>
      </c>
    </row>
    <row r="8" spans="1:21" s="73" customFormat="1">
      <c r="A8" s="73" t="s">
        <v>4</v>
      </c>
      <c r="B8" s="73" t="s">
        <v>10</v>
      </c>
      <c r="C8" s="79">
        <f>IF(A4="ZONE A",S8,IF(A4="ZONE B",S19,IF(A4="ZONE C",S30,0)))</f>
        <v>49973</v>
      </c>
      <c r="D8" s="79">
        <f>IF(A4="ZONE A",T8,IF(A4="ZONE B",T19,IF(A4="ZONE C",T30,0)))</f>
        <v>49973</v>
      </c>
      <c r="E8" s="79">
        <f>IF(A4="ZONE A",U8,IF(A4="ZONE B",U19,IF(A4="ZONE C",U30,0)))</f>
        <v>0</v>
      </c>
      <c r="F8" s="79">
        <f t="shared" si="0"/>
        <v>0</v>
      </c>
      <c r="G8" s="79">
        <f>G7</f>
        <v>1</v>
      </c>
      <c r="H8" s="79">
        <f>H7</f>
        <v>0</v>
      </c>
      <c r="I8" s="79">
        <f t="shared" si="1"/>
        <v>49973</v>
      </c>
      <c r="J8" s="79">
        <f>IF(C4&gt;2,1,0)</f>
        <v>1</v>
      </c>
      <c r="K8" s="79">
        <f>IF(C4&lt;7,1,0)</f>
        <v>0</v>
      </c>
      <c r="L8" s="79">
        <f t="shared" si="2"/>
        <v>0</v>
      </c>
      <c r="M8" s="73">
        <f t="shared" ref="M8:M19" si="4">L8*I8</f>
        <v>0</v>
      </c>
      <c r="N8" s="79">
        <f t="shared" ref="N8:N19" si="5">E8*L8</f>
        <v>0</v>
      </c>
      <c r="O8" s="79">
        <f t="shared" ref="O8:O19" si="6">L8*F8</f>
        <v>0</v>
      </c>
      <c r="P8" s="79"/>
      <c r="Q8" s="73" t="s">
        <v>4</v>
      </c>
      <c r="R8" s="73" t="s">
        <v>10</v>
      </c>
      <c r="S8" s="79">
        <v>54516</v>
      </c>
      <c r="T8" s="79">
        <f t="shared" si="3"/>
        <v>54516</v>
      </c>
      <c r="U8" s="79">
        <v>0</v>
      </c>
    </row>
    <row r="9" spans="1:21" s="73" customFormat="1">
      <c r="A9" s="73" t="s">
        <v>5</v>
      </c>
      <c r="B9" s="73" t="s">
        <v>11</v>
      </c>
      <c r="C9" s="79">
        <f>IF(A4="ZONE A",S9,IF(A4="ZONE B",S20,IF(A4="ZONE C",S31,0)))</f>
        <v>55530</v>
      </c>
      <c r="D9" s="79">
        <f>IF(A4="ZONE A",T9,IF(A4="ZONE B",T20,IF(A4="ZONE C",T31,0)))</f>
        <v>55530</v>
      </c>
      <c r="E9" s="79">
        <f>IF(A4="ZONE A",U9,IF(A4="ZONE B",U20,IF(A4="ZONE C",U31,0)))</f>
        <v>0</v>
      </c>
      <c r="F9" s="79">
        <f t="shared" si="0"/>
        <v>0</v>
      </c>
      <c r="G9" s="79">
        <f t="shared" ref="G9:H12" si="7">G8</f>
        <v>1</v>
      </c>
      <c r="H9" s="79">
        <f t="shared" si="7"/>
        <v>0</v>
      </c>
      <c r="I9" s="79">
        <f t="shared" si="1"/>
        <v>55530</v>
      </c>
      <c r="J9" s="79">
        <f>IF(C4&gt;6,1,0)</f>
        <v>1</v>
      </c>
      <c r="K9" s="79">
        <f>IF(C4&lt;11,1,0)</f>
        <v>0</v>
      </c>
      <c r="L9" s="79">
        <f t="shared" si="2"/>
        <v>0</v>
      </c>
      <c r="M9" s="73">
        <f t="shared" si="4"/>
        <v>0</v>
      </c>
      <c r="N9" s="79">
        <f t="shared" si="5"/>
        <v>0</v>
      </c>
      <c r="O9" s="79">
        <f t="shared" si="6"/>
        <v>0</v>
      </c>
      <c r="P9" s="79"/>
      <c r="Q9" s="73" t="s">
        <v>5</v>
      </c>
      <c r="R9" s="73" t="s">
        <v>11</v>
      </c>
      <c r="S9" s="79">
        <v>60578</v>
      </c>
      <c r="T9" s="79">
        <f t="shared" si="3"/>
        <v>60578</v>
      </c>
      <c r="U9" s="79">
        <v>0</v>
      </c>
    </row>
    <row r="10" spans="1:21" s="73" customFormat="1">
      <c r="A10" s="73" t="s">
        <v>6</v>
      </c>
      <c r="B10" s="73" t="s">
        <v>12</v>
      </c>
      <c r="C10" s="79">
        <f>IF(A4="ZONE A",S10,IF(A4="ZONE B",S21,IF(A4="ZONE C",S32,0)))</f>
        <v>72469</v>
      </c>
      <c r="D10" s="79">
        <f>IF(A4="ZONE A",T10,IF(A4="ZONE B",T21,IF(A4="ZONE C",T32,0)))</f>
        <v>72469</v>
      </c>
      <c r="E10" s="79">
        <f>IF(A4="ZONE A",U10,IF(A4="ZONE B",U21,IF(A4="ZONE C",U32,0)))</f>
        <v>0</v>
      </c>
      <c r="F10" s="79">
        <f t="shared" si="0"/>
        <v>0</v>
      </c>
      <c r="G10" s="79">
        <f t="shared" si="7"/>
        <v>1</v>
      </c>
      <c r="H10" s="79">
        <f t="shared" si="7"/>
        <v>0</v>
      </c>
      <c r="I10" s="79">
        <f t="shared" si="1"/>
        <v>72469</v>
      </c>
      <c r="J10" s="79">
        <f>IF(C4&gt;10,1,0)</f>
        <v>1</v>
      </c>
      <c r="K10" s="79">
        <f>IF(C4&lt;15,1,0)</f>
        <v>0</v>
      </c>
      <c r="L10" s="79">
        <f t="shared" si="2"/>
        <v>0</v>
      </c>
      <c r="M10" s="73">
        <f t="shared" si="4"/>
        <v>0</v>
      </c>
      <c r="N10" s="79">
        <f t="shared" si="5"/>
        <v>0</v>
      </c>
      <c r="O10" s="79">
        <f t="shared" si="6"/>
        <v>0</v>
      </c>
      <c r="P10" s="79"/>
      <c r="Q10" s="73" t="s">
        <v>6</v>
      </c>
      <c r="R10" s="73" t="s">
        <v>12</v>
      </c>
      <c r="S10" s="79">
        <v>79057</v>
      </c>
      <c r="T10" s="79">
        <f t="shared" si="3"/>
        <v>79057</v>
      </c>
      <c r="U10" s="79">
        <v>0</v>
      </c>
    </row>
    <row r="11" spans="1:21" s="73" customFormat="1">
      <c r="A11" s="73" t="s">
        <v>7</v>
      </c>
      <c r="B11" s="73" t="s">
        <v>13</v>
      </c>
      <c r="C11" s="79">
        <f>IF(A4="ZONE A",S11,IF(A4="ZONE B",S22,IF(A4="ZONE C",S33,0)))</f>
        <v>92266</v>
      </c>
      <c r="D11" s="79">
        <f>IF(A4="ZONE A",T11,IF(A4="ZONE B",T22,IF(A4="ZONE C",T33,0)))</f>
        <v>92266</v>
      </c>
      <c r="E11" s="79">
        <f>IF(A4="ZONE A",U11,IF(A4="ZONE B",U22,IF(A4="ZONE C",U33,0)))</f>
        <v>0</v>
      </c>
      <c r="F11" s="79">
        <f t="shared" si="0"/>
        <v>0</v>
      </c>
      <c r="G11" s="79">
        <f t="shared" si="7"/>
        <v>1</v>
      </c>
      <c r="H11" s="79">
        <f t="shared" si="7"/>
        <v>0</v>
      </c>
      <c r="I11" s="79">
        <f t="shared" si="1"/>
        <v>92266</v>
      </c>
      <c r="J11" s="79">
        <f>IF(C4&gt;14,1,0)</f>
        <v>1</v>
      </c>
      <c r="K11" s="79">
        <f>IF(C4&lt;24,1,0)</f>
        <v>1</v>
      </c>
      <c r="L11" s="79">
        <f t="shared" si="2"/>
        <v>1</v>
      </c>
      <c r="M11" s="73">
        <f t="shared" si="4"/>
        <v>92266</v>
      </c>
      <c r="N11" s="79">
        <f t="shared" si="5"/>
        <v>0</v>
      </c>
      <c r="O11" s="79">
        <f t="shared" si="6"/>
        <v>0</v>
      </c>
      <c r="P11" s="79"/>
      <c r="Q11" s="73" t="s">
        <v>38</v>
      </c>
      <c r="R11" s="73" t="s">
        <v>13</v>
      </c>
      <c r="S11" s="79">
        <v>100654</v>
      </c>
      <c r="T11" s="79">
        <f t="shared" si="3"/>
        <v>100654</v>
      </c>
      <c r="U11" s="79">
        <v>0</v>
      </c>
    </row>
    <row r="12" spans="1:21" s="73" customFormat="1">
      <c r="A12" s="73" t="s">
        <v>8</v>
      </c>
      <c r="B12" s="73" t="s">
        <v>14</v>
      </c>
      <c r="C12" s="79">
        <f>IF(A4="ZONE A",S12,IF(A4="ZONE B",S23,IF(A4="ZONE C",S34,0)))</f>
        <v>108796</v>
      </c>
      <c r="D12" s="79">
        <f>IF(A4="ZONE A",T12,IF(A4="ZONE B",T23,IF(A4="ZONE C",T34,0)))</f>
        <v>108796</v>
      </c>
      <c r="E12" s="79">
        <f>IF(A4="ZONE A",U12,IF(A4="ZONE B",U23,IF(A4="ZONE C",U34,0)))</f>
        <v>0</v>
      </c>
      <c r="F12" s="79">
        <f t="shared" si="0"/>
        <v>0</v>
      </c>
      <c r="G12" s="79">
        <f t="shared" si="7"/>
        <v>1</v>
      </c>
      <c r="H12" s="79">
        <f t="shared" si="7"/>
        <v>0</v>
      </c>
      <c r="I12" s="79">
        <f t="shared" si="1"/>
        <v>108796</v>
      </c>
      <c r="J12" s="79">
        <f>IF(C4&gt;23,1,0)</f>
        <v>0</v>
      </c>
      <c r="K12" s="79">
        <f>IF(C4&lt;9999999999,1,0)</f>
        <v>1</v>
      </c>
      <c r="L12" s="79">
        <f t="shared" si="2"/>
        <v>0</v>
      </c>
      <c r="M12" s="73">
        <f t="shared" si="4"/>
        <v>0</v>
      </c>
      <c r="N12" s="79">
        <f>E12*L12</f>
        <v>0</v>
      </c>
      <c r="O12" s="79">
        <f t="shared" si="6"/>
        <v>0</v>
      </c>
      <c r="P12" s="79"/>
      <c r="Q12" s="73" t="s">
        <v>8</v>
      </c>
      <c r="R12" s="73" t="s">
        <v>14</v>
      </c>
      <c r="S12" s="79">
        <v>118686</v>
      </c>
      <c r="T12" s="79">
        <f t="shared" si="3"/>
        <v>118686</v>
      </c>
      <c r="U12" s="79">
        <v>0</v>
      </c>
    </row>
    <row r="13" spans="1:21" s="73" customFormat="1">
      <c r="J13" s="307" t="s">
        <v>19</v>
      </c>
      <c r="K13" s="307"/>
      <c r="L13" s="307"/>
      <c r="M13" s="73">
        <f>SUM(M7:M12)</f>
        <v>92266</v>
      </c>
      <c r="N13" s="73">
        <f>SUM(N7:N12)</f>
        <v>0</v>
      </c>
      <c r="O13" s="79">
        <f>SUM(O7:O12)</f>
        <v>0</v>
      </c>
    </row>
    <row r="14" spans="1:21" s="73" customFormat="1">
      <c r="E14" s="79">
        <f t="shared" ref="E14:F19" si="8">E7</f>
        <v>0</v>
      </c>
      <c r="F14" s="79">
        <f>F7</f>
        <v>0</v>
      </c>
      <c r="G14" s="79">
        <f>IF(B4="SANS REMORQUE",1,0)</f>
        <v>1</v>
      </c>
      <c r="H14" s="79">
        <f>IF(B4="SANS REMORQUE",0,1)</f>
        <v>0</v>
      </c>
      <c r="I14" s="79">
        <f t="shared" ref="I14:I19" si="9">C7*G14+D7*H14</f>
        <v>41131</v>
      </c>
      <c r="J14" s="79">
        <f>IF(C4&gt;0,1,0)</f>
        <v>1</v>
      </c>
      <c r="K14" s="79">
        <f>IF(C4&lt;=1,1,0)</f>
        <v>0</v>
      </c>
      <c r="L14" s="79">
        <f t="shared" ref="L14:L19" si="10">J14*K14</f>
        <v>0</v>
      </c>
      <c r="M14" s="73">
        <f t="shared" si="4"/>
        <v>0</v>
      </c>
      <c r="N14" s="79">
        <f t="shared" si="5"/>
        <v>0</v>
      </c>
      <c r="O14" s="79">
        <f t="shared" si="6"/>
        <v>0</v>
      </c>
    </row>
    <row r="15" spans="1:21" s="73" customFormat="1">
      <c r="E15" s="79">
        <f t="shared" si="8"/>
        <v>0</v>
      </c>
      <c r="F15" s="79">
        <f t="shared" si="8"/>
        <v>0</v>
      </c>
      <c r="G15" s="79">
        <f>G14</f>
        <v>1</v>
      </c>
      <c r="H15" s="79">
        <f>H14</f>
        <v>0</v>
      </c>
      <c r="I15" s="79">
        <f t="shared" si="9"/>
        <v>49973</v>
      </c>
      <c r="J15" s="79">
        <f>IF(C4&gt;1,1,0)</f>
        <v>1</v>
      </c>
      <c r="K15" s="79">
        <f>IF(C4&lt;5,1,0)</f>
        <v>0</v>
      </c>
      <c r="L15" s="79">
        <f t="shared" si="10"/>
        <v>0</v>
      </c>
      <c r="M15" s="73">
        <f t="shared" si="4"/>
        <v>0</v>
      </c>
      <c r="N15" s="79">
        <f t="shared" si="5"/>
        <v>0</v>
      </c>
      <c r="O15" s="79">
        <f t="shared" si="6"/>
        <v>0</v>
      </c>
      <c r="R15" s="73" t="s">
        <v>16</v>
      </c>
    </row>
    <row r="16" spans="1:21" s="73" customFormat="1">
      <c r="A16" s="78" t="s">
        <v>300</v>
      </c>
      <c r="B16" s="307" t="s">
        <v>26</v>
      </c>
      <c r="C16" s="307"/>
      <c r="D16" s="99" t="s">
        <v>27</v>
      </c>
      <c r="E16" s="79">
        <f t="shared" si="8"/>
        <v>0</v>
      </c>
      <c r="F16" s="79">
        <f t="shared" si="8"/>
        <v>0</v>
      </c>
      <c r="G16" s="79">
        <f t="shared" ref="G16:H19" si="11">G15</f>
        <v>1</v>
      </c>
      <c r="H16" s="79">
        <f t="shared" si="11"/>
        <v>0</v>
      </c>
      <c r="I16" s="79">
        <f t="shared" si="9"/>
        <v>55530</v>
      </c>
      <c r="J16" s="79">
        <f>IF(C4&gt;4,1,0)</f>
        <v>1</v>
      </c>
      <c r="K16" s="79">
        <f>IF(C4&lt;8,1,0)</f>
        <v>0</v>
      </c>
      <c r="L16" s="79">
        <f t="shared" si="10"/>
        <v>0</v>
      </c>
      <c r="M16" s="73">
        <f t="shared" si="4"/>
        <v>0</v>
      </c>
      <c r="N16" s="79">
        <f t="shared" si="5"/>
        <v>0</v>
      </c>
      <c r="O16" s="79">
        <f>L16*F16</f>
        <v>0</v>
      </c>
    </row>
    <row r="17" spans="1:21" s="73" customFormat="1">
      <c r="A17" s="308">
        <f>IF(D4="ESSENCE",O13,O20)</f>
        <v>0</v>
      </c>
      <c r="B17" s="308">
        <f>IF(D4="ESSENCE",M13,M20)</f>
        <v>92266</v>
      </c>
      <c r="C17" s="308"/>
      <c r="D17" s="308">
        <f>IF(D4="ESSENCE",N13,N20)</f>
        <v>0</v>
      </c>
      <c r="E17" s="79">
        <f t="shared" si="8"/>
        <v>0</v>
      </c>
      <c r="F17" s="79">
        <f t="shared" si="8"/>
        <v>0</v>
      </c>
      <c r="G17" s="79">
        <f t="shared" si="11"/>
        <v>1</v>
      </c>
      <c r="H17" s="79">
        <f t="shared" si="11"/>
        <v>0</v>
      </c>
      <c r="I17" s="79">
        <f t="shared" si="9"/>
        <v>72469</v>
      </c>
      <c r="J17" s="79">
        <f>IF(C4&gt;7,1,0)</f>
        <v>1</v>
      </c>
      <c r="K17" s="79">
        <f>IF(C4&lt;11,1,0)</f>
        <v>0</v>
      </c>
      <c r="L17" s="79">
        <f t="shared" si="10"/>
        <v>0</v>
      </c>
      <c r="M17" s="73">
        <f t="shared" si="4"/>
        <v>0</v>
      </c>
      <c r="N17" s="79">
        <f t="shared" si="5"/>
        <v>0</v>
      </c>
      <c r="O17" s="79">
        <f t="shared" si="6"/>
        <v>0</v>
      </c>
      <c r="Q17" s="73" t="s">
        <v>0</v>
      </c>
      <c r="R17" s="73" t="s">
        <v>1</v>
      </c>
      <c r="S17" s="73" t="str">
        <f>S6</f>
        <v xml:space="preserve">SANS REMORQUE </v>
      </c>
      <c r="T17" s="73" t="str">
        <f>T6</f>
        <v xml:space="preserve">AVEC REMORQUE </v>
      </c>
      <c r="U17" s="73" t="s">
        <v>23</v>
      </c>
    </row>
    <row r="18" spans="1:21" s="73" customFormat="1">
      <c r="A18" s="308"/>
      <c r="B18" s="308"/>
      <c r="C18" s="308"/>
      <c r="D18" s="308"/>
      <c r="E18" s="79">
        <f t="shared" si="8"/>
        <v>0</v>
      </c>
      <c r="F18" s="79">
        <f t="shared" si="8"/>
        <v>0</v>
      </c>
      <c r="G18" s="79">
        <f t="shared" si="11"/>
        <v>1</v>
      </c>
      <c r="H18" s="79">
        <f t="shared" si="11"/>
        <v>0</v>
      </c>
      <c r="I18" s="79">
        <f t="shared" si="9"/>
        <v>92266</v>
      </c>
      <c r="J18" s="79">
        <f>IF(C4&gt;10,1,0)</f>
        <v>1</v>
      </c>
      <c r="K18" s="79">
        <f>IF(C4&lt;17,1,0)</f>
        <v>0</v>
      </c>
      <c r="L18" s="79">
        <f t="shared" si="10"/>
        <v>0</v>
      </c>
      <c r="M18" s="73">
        <f t="shared" si="4"/>
        <v>0</v>
      </c>
      <c r="N18" s="79">
        <f t="shared" si="5"/>
        <v>0</v>
      </c>
      <c r="O18" s="79">
        <f t="shared" si="6"/>
        <v>0</v>
      </c>
      <c r="Q18" s="73" t="s">
        <v>9</v>
      </c>
      <c r="R18" s="73" t="s">
        <v>9</v>
      </c>
      <c r="S18" s="79">
        <v>43001</v>
      </c>
      <c r="T18" s="79">
        <f t="shared" ref="T18:T23" si="12">S18</f>
        <v>43001</v>
      </c>
      <c r="U18" s="79">
        <v>0</v>
      </c>
    </row>
    <row r="19" spans="1:21" s="73" customFormat="1">
      <c r="A19" s="308"/>
      <c r="B19" s="308"/>
      <c r="C19" s="308"/>
      <c r="D19" s="308"/>
      <c r="E19" s="79">
        <f t="shared" si="8"/>
        <v>0</v>
      </c>
      <c r="F19" s="79">
        <f t="shared" si="8"/>
        <v>0</v>
      </c>
      <c r="G19" s="79">
        <f t="shared" si="11"/>
        <v>1</v>
      </c>
      <c r="H19" s="79">
        <f t="shared" si="11"/>
        <v>0</v>
      </c>
      <c r="I19" s="79">
        <f t="shared" si="9"/>
        <v>108796</v>
      </c>
      <c r="J19" s="79">
        <f>IF(C4&gt;16,1,0)</f>
        <v>1</v>
      </c>
      <c r="K19" s="79">
        <f>IF(C4&lt;9999999999,1,0)</f>
        <v>1</v>
      </c>
      <c r="L19" s="79">
        <f t="shared" si="10"/>
        <v>1</v>
      </c>
      <c r="M19" s="73">
        <f t="shared" si="4"/>
        <v>108796</v>
      </c>
      <c r="N19" s="79">
        <f t="shared" si="5"/>
        <v>0</v>
      </c>
      <c r="O19" s="79">
        <f t="shared" si="6"/>
        <v>0</v>
      </c>
      <c r="Q19" s="73" t="s">
        <v>4</v>
      </c>
      <c r="R19" s="73" t="s">
        <v>10</v>
      </c>
      <c r="S19" s="79">
        <v>52245</v>
      </c>
      <c r="T19" s="79">
        <f t="shared" si="12"/>
        <v>52245</v>
      </c>
      <c r="U19" s="79">
        <v>0</v>
      </c>
    </row>
    <row r="20" spans="1:21" s="73" customFormat="1">
      <c r="B20" s="308">
        <f>(A25+C25+D25)*IF(CONTRATS!C24=0,0,1)*IF(CONTRATS!E24=0,1,0)</f>
        <v>92266</v>
      </c>
      <c r="C20" s="308"/>
      <c r="D20" s="308"/>
      <c r="M20" s="73">
        <f>SUM(M14:M19)</f>
        <v>108796</v>
      </c>
      <c r="N20" s="73">
        <f>SUM(N14:N19)</f>
        <v>0</v>
      </c>
      <c r="O20" s="79">
        <f>SUM(O14:O19)</f>
        <v>0</v>
      </c>
      <c r="Q20" s="73" t="s">
        <v>5</v>
      </c>
      <c r="R20" s="73" t="s">
        <v>11</v>
      </c>
      <c r="S20" s="79">
        <v>58054</v>
      </c>
      <c r="T20" s="79">
        <f t="shared" si="12"/>
        <v>58054</v>
      </c>
      <c r="U20" s="79">
        <v>0</v>
      </c>
    </row>
    <row r="21" spans="1:21" s="73" customFormat="1">
      <c r="B21" s="308"/>
      <c r="C21" s="308"/>
      <c r="D21" s="308"/>
      <c r="Q21" s="73" t="s">
        <v>6</v>
      </c>
      <c r="R21" s="73" t="s">
        <v>12</v>
      </c>
      <c r="S21" s="79">
        <v>75763</v>
      </c>
      <c r="T21" s="79">
        <f t="shared" si="12"/>
        <v>75763</v>
      </c>
      <c r="U21" s="79">
        <v>0</v>
      </c>
    </row>
    <row r="22" spans="1:21" s="73" customFormat="1">
      <c r="B22" s="308"/>
      <c r="C22" s="308"/>
      <c r="D22" s="308"/>
      <c r="Q22" s="73" t="s">
        <v>7</v>
      </c>
      <c r="R22" s="73" t="s">
        <v>13</v>
      </c>
      <c r="S22" s="79">
        <v>96460</v>
      </c>
      <c r="T22" s="79">
        <f t="shared" si="12"/>
        <v>96460</v>
      </c>
      <c r="U22" s="79">
        <v>0</v>
      </c>
    </row>
    <row r="23" spans="1:21" s="73" customFormat="1">
      <c r="Q23" s="73" t="s">
        <v>8</v>
      </c>
      <c r="R23" s="73" t="s">
        <v>14</v>
      </c>
      <c r="S23" s="79">
        <v>113741</v>
      </c>
      <c r="T23" s="79">
        <f t="shared" si="12"/>
        <v>113741</v>
      </c>
      <c r="U23" s="79">
        <v>0</v>
      </c>
    </row>
    <row r="24" spans="1:21" s="73" customFormat="1">
      <c r="A24" s="73">
        <f>IF(G4="SEMI-REMORQUE",1,0)</f>
        <v>0</v>
      </c>
      <c r="C24" s="73">
        <f>IF(G4="SEMI-REMORQUE",0,1)</f>
        <v>1</v>
      </c>
      <c r="D24" s="73">
        <f>IF(E4="YES",1,0)</f>
        <v>0</v>
      </c>
    </row>
    <row r="25" spans="1:21" s="73" customFormat="1">
      <c r="A25" s="73">
        <f>A17*A24</f>
        <v>0</v>
      </c>
      <c r="C25" s="73">
        <f>C24*B17</f>
        <v>92266</v>
      </c>
      <c r="D25" s="73">
        <f>D24*D17</f>
        <v>0</v>
      </c>
    </row>
    <row r="26" spans="1:21" s="73" customFormat="1">
      <c r="R26" s="73" t="s">
        <v>17</v>
      </c>
    </row>
    <row r="27" spans="1:21" s="73" customFormat="1"/>
    <row r="28" spans="1:21" s="73" customFormat="1">
      <c r="Q28" s="73" t="s">
        <v>0</v>
      </c>
      <c r="R28" s="73" t="s">
        <v>1</v>
      </c>
      <c r="S28" s="73" t="str">
        <f>S17</f>
        <v xml:space="preserve">SANS REMORQUE </v>
      </c>
      <c r="T28" s="73" t="str">
        <f>T17</f>
        <v xml:space="preserve">AVEC REMORQUE </v>
      </c>
      <c r="U28" s="73" t="s">
        <v>23</v>
      </c>
    </row>
    <row r="29" spans="1:21" s="73" customFormat="1">
      <c r="Q29" s="73" t="s">
        <v>9</v>
      </c>
      <c r="R29" s="73" t="s">
        <v>9</v>
      </c>
      <c r="S29" s="79">
        <v>41131</v>
      </c>
      <c r="T29" s="79">
        <f t="shared" ref="T29:T34" si="13">S29</f>
        <v>41131</v>
      </c>
      <c r="U29" s="79">
        <v>0</v>
      </c>
    </row>
    <row r="30" spans="1:21" s="73" customFormat="1">
      <c r="Q30" s="73" t="s">
        <v>4</v>
      </c>
      <c r="R30" s="73" t="s">
        <v>10</v>
      </c>
      <c r="S30" s="79">
        <v>49973</v>
      </c>
      <c r="T30" s="79">
        <f t="shared" si="13"/>
        <v>49973</v>
      </c>
      <c r="U30" s="79">
        <v>0</v>
      </c>
    </row>
    <row r="31" spans="1:21" s="73" customFormat="1">
      <c r="Q31" s="73" t="s">
        <v>5</v>
      </c>
      <c r="R31" s="73" t="s">
        <v>11</v>
      </c>
      <c r="S31" s="79">
        <v>55530</v>
      </c>
      <c r="T31" s="79">
        <f t="shared" si="13"/>
        <v>55530</v>
      </c>
      <c r="U31" s="79">
        <v>0</v>
      </c>
    </row>
    <row r="32" spans="1:21" s="73" customFormat="1">
      <c r="Q32" s="73" t="s">
        <v>6</v>
      </c>
      <c r="R32" s="73" t="s">
        <v>12</v>
      </c>
      <c r="S32" s="79">
        <v>72469</v>
      </c>
      <c r="T32" s="79">
        <f t="shared" si="13"/>
        <v>72469</v>
      </c>
      <c r="U32" s="79">
        <v>0</v>
      </c>
    </row>
    <row r="33" spans="17:21" s="73" customFormat="1">
      <c r="Q33" s="73" t="s">
        <v>7</v>
      </c>
      <c r="R33" s="73" t="s">
        <v>13</v>
      </c>
      <c r="S33" s="79">
        <v>92266</v>
      </c>
      <c r="T33" s="79">
        <f t="shared" si="13"/>
        <v>92266</v>
      </c>
      <c r="U33" s="79">
        <v>0</v>
      </c>
    </row>
    <row r="34" spans="17:21" s="73" customFormat="1">
      <c r="Q34" s="73" t="s">
        <v>8</v>
      </c>
      <c r="R34" s="73" t="s">
        <v>14</v>
      </c>
      <c r="S34" s="79">
        <v>108796</v>
      </c>
      <c r="T34" s="79">
        <f t="shared" si="13"/>
        <v>108796</v>
      </c>
      <c r="U34" s="79">
        <v>0</v>
      </c>
    </row>
    <row r="35" spans="17:21" s="73" customFormat="1"/>
    <row r="36" spans="17:21" s="73" customFormat="1"/>
    <row r="37" spans="17:21" s="73" customFormat="1"/>
    <row r="38" spans="17:21" s="73" customFormat="1"/>
    <row r="39" spans="17:21" s="73" customFormat="1"/>
    <row r="40" spans="17:21" s="73" customFormat="1"/>
    <row r="41" spans="17:21" s="73" customFormat="1"/>
    <row r="42" spans="17:21" s="73" customFormat="1"/>
    <row r="43" spans="17:21" s="73" customFormat="1"/>
    <row r="44" spans="17:21" s="73" customFormat="1"/>
    <row r="45" spans="17:21" s="73" customFormat="1"/>
    <row r="46" spans="17:21" s="73" customFormat="1"/>
    <row r="47" spans="17:21" s="73" customFormat="1"/>
    <row r="48" spans="17:21" s="73" customFormat="1"/>
    <row r="49" s="73" customFormat="1"/>
    <row r="50" s="73" customFormat="1"/>
    <row r="51" s="73" customFormat="1"/>
    <row r="52" s="73" customFormat="1"/>
    <row r="53" s="73" customFormat="1"/>
    <row r="54" s="73" customFormat="1"/>
    <row r="55" s="73" customFormat="1"/>
    <row r="56" s="73" customFormat="1"/>
    <row r="57" s="73" customFormat="1"/>
    <row r="58" s="73" customFormat="1"/>
    <row r="59" s="73" customFormat="1"/>
    <row r="60" s="73" customFormat="1"/>
    <row r="61" s="73" customFormat="1"/>
    <row r="62" s="73" customFormat="1"/>
    <row r="63" s="73" customFormat="1"/>
    <row r="64" s="73" customFormat="1"/>
    <row r="65" s="73" customFormat="1"/>
    <row r="66" s="73" customFormat="1"/>
    <row r="67" s="73" customFormat="1"/>
    <row r="68" s="73" customFormat="1"/>
    <row r="69" s="73" customFormat="1"/>
    <row r="70" s="73" customFormat="1"/>
    <row r="71" s="73" customFormat="1"/>
    <row r="72" s="73" customFormat="1"/>
    <row r="73" s="73" customFormat="1"/>
    <row r="74" s="73" customFormat="1"/>
    <row r="75" s="73" customFormat="1"/>
    <row r="76" s="73" customFormat="1"/>
    <row r="77" s="73" customFormat="1"/>
    <row r="78" s="73" customFormat="1"/>
    <row r="79" s="73" customFormat="1"/>
    <row r="80" s="73" customFormat="1"/>
    <row r="81" s="73" customFormat="1"/>
    <row r="82" s="73" customFormat="1"/>
    <row r="83" s="73" customFormat="1"/>
    <row r="84" s="73" customFormat="1"/>
    <row r="85" s="73" customFormat="1"/>
  </sheetData>
  <sheetProtection password="D373" sheet="1" objects="1" scenarios="1"/>
  <mergeCells count="7">
    <mergeCell ref="A17:A19"/>
    <mergeCell ref="B20:D22"/>
    <mergeCell ref="J6:L6"/>
    <mergeCell ref="J13:L13"/>
    <mergeCell ref="B16:C16"/>
    <mergeCell ref="B17:C19"/>
    <mergeCell ref="D17:D19"/>
  </mergeCells>
  <dataValidations count="2">
    <dataValidation type="list" allowBlank="1" showInputMessage="1" showErrorMessage="1" sqref="E4:F4">
      <formula1>$K$2:$L$2</formula1>
    </dataValidation>
    <dataValidation type="list" allowBlank="1" showInputMessage="1" showErrorMessage="1" sqref="A4">
      <formula1>$S$1:$U$1</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Y155"/>
  <sheetViews>
    <sheetView topLeftCell="AT22" workbookViewId="0">
      <selection activeCell="A22" sqref="A1:AS1048576"/>
    </sheetView>
  </sheetViews>
  <sheetFormatPr defaultColWidth="11.42578125" defaultRowHeight="15"/>
  <cols>
    <col min="1" max="1" width="0" hidden="1" customWidth="1"/>
    <col min="2" max="2" width="17.140625" hidden="1" customWidth="1"/>
    <col min="3" max="4" width="16.85546875" hidden="1" customWidth="1"/>
    <col min="5" max="8" width="19.85546875" hidden="1" customWidth="1"/>
    <col min="9" max="16" width="16.85546875" hidden="1" customWidth="1"/>
    <col min="17" max="18" width="0" hidden="1" customWidth="1"/>
    <col min="19" max="20" width="16.85546875" hidden="1" customWidth="1"/>
    <col min="21" max="21" width="19.85546875" hidden="1" customWidth="1"/>
    <col min="22" max="22" width="0" hidden="1" customWidth="1"/>
    <col min="23" max="24" width="16.85546875" hidden="1" customWidth="1"/>
    <col min="25" max="25" width="19.85546875" hidden="1" customWidth="1"/>
    <col min="26" max="45" width="0" hidden="1" customWidth="1"/>
  </cols>
  <sheetData>
    <row r="1" spans="1:25" s="73" customFormat="1" ht="15.75" thickBot="1">
      <c r="S1" s="73" t="s">
        <v>15</v>
      </c>
      <c r="T1" s="73" t="s">
        <v>16</v>
      </c>
      <c r="U1" s="73" t="s">
        <v>17</v>
      </c>
    </row>
    <row r="2" spans="1:25" s="73" customFormat="1" ht="15.75" thickBot="1">
      <c r="B2" s="310" t="str">
        <f>IF([1]CONTRATS!$E$21="ENGINS PORTUAIRES ET DE MANUTENTION","ENGINS PORTUAIRES ET DE MANUTENTION","ENGINS PORTUAIRES ET DE MANUTENTION")</f>
        <v>ENGINS PORTUAIRES ET DE MANUTENTION</v>
      </c>
      <c r="C2" s="311"/>
      <c r="D2" s="312"/>
      <c r="G2" s="73" t="s">
        <v>0</v>
      </c>
      <c r="H2" s="73" t="s">
        <v>1</v>
      </c>
      <c r="I2" s="73" t="s">
        <v>20</v>
      </c>
      <c r="J2" s="73" t="s">
        <v>2</v>
      </c>
      <c r="K2" s="73" t="s">
        <v>24</v>
      </c>
      <c r="L2" s="73" t="s">
        <v>25</v>
      </c>
    </row>
    <row r="3" spans="1:25" s="73" customFormat="1">
      <c r="A3" s="94"/>
      <c r="B3" s="95"/>
      <c r="C3" s="96" t="s">
        <v>21</v>
      </c>
      <c r="D3" s="95" t="s">
        <v>22</v>
      </c>
      <c r="E3" s="94" t="s">
        <v>23</v>
      </c>
      <c r="F3" s="75"/>
    </row>
    <row r="4" spans="1:25" s="73" customFormat="1">
      <c r="A4" s="97" t="str">
        <f>A28</f>
        <v>ZONE C</v>
      </c>
      <c r="B4" s="97" t="str">
        <f>B28</f>
        <v>SANS REMORQUE</v>
      </c>
      <c r="C4" s="98">
        <f>C28</f>
        <v>19</v>
      </c>
      <c r="D4" s="97" t="str">
        <f>D28</f>
        <v>ESSENCE</v>
      </c>
      <c r="E4" s="98" t="str">
        <f>E28</f>
        <v>NO</v>
      </c>
      <c r="F4" s="76"/>
      <c r="G4" s="76" t="str">
        <f>'CAT 3'!G4</f>
        <v>VT</v>
      </c>
      <c r="R4" s="73" t="s">
        <v>15</v>
      </c>
    </row>
    <row r="5" spans="1:25" s="73" customFormat="1">
      <c r="S5" s="307" t="s">
        <v>36</v>
      </c>
      <c r="T5" s="307"/>
      <c r="U5" s="307"/>
      <c r="W5" s="307" t="s">
        <v>37</v>
      </c>
      <c r="X5" s="307"/>
      <c r="Y5" s="307"/>
    </row>
    <row r="6" spans="1:25" s="73" customFormat="1">
      <c r="A6" s="73" t="s">
        <v>0</v>
      </c>
      <c r="B6" s="73" t="s">
        <v>1</v>
      </c>
      <c r="C6" s="73" t="s">
        <v>3</v>
      </c>
      <c r="D6" s="73" t="s">
        <v>2</v>
      </c>
      <c r="E6" s="73" t="s">
        <v>23</v>
      </c>
      <c r="F6" s="77" t="s">
        <v>112</v>
      </c>
      <c r="J6" s="307" t="s">
        <v>18</v>
      </c>
      <c r="K6" s="307"/>
      <c r="L6" s="307"/>
      <c r="O6" s="77" t="s">
        <v>112</v>
      </c>
      <c r="Q6" s="73" t="s">
        <v>0</v>
      </c>
      <c r="R6" s="73" t="s">
        <v>1</v>
      </c>
      <c r="S6" s="73" t="s">
        <v>3</v>
      </c>
      <c r="T6" s="73" t="s">
        <v>2</v>
      </c>
      <c r="U6" s="73" t="s">
        <v>23</v>
      </c>
      <c r="W6" s="73" t="s">
        <v>3</v>
      </c>
      <c r="X6" s="73" t="s">
        <v>2</v>
      </c>
      <c r="Y6" s="73" t="s">
        <v>23</v>
      </c>
    </row>
    <row r="7" spans="1:25" s="73" customFormat="1">
      <c r="A7" s="73" t="s">
        <v>9</v>
      </c>
      <c r="B7" s="73" t="s">
        <v>9</v>
      </c>
      <c r="C7" s="79">
        <f>IF(A4="ZONE A",S7,IF(A4="ZONE B",S18,IF(A4="ZONE C",S29,0)))</f>
        <v>73681</v>
      </c>
      <c r="D7" s="79">
        <f>IF(A4="ZONE A",T7,IF(A4="ZONE B",T18,IF(A4="ZONE C",T29,0)))</f>
        <v>95786</v>
      </c>
      <c r="E7" s="79">
        <f>IF(A4="ZONE A",U7,IF(A4="ZONE B",U18,IF(A4="ZONE C",U29,0)))</f>
        <v>0</v>
      </c>
      <c r="F7" s="79">
        <f t="shared" ref="F7:F12" si="0">D7-C7</f>
        <v>22105</v>
      </c>
      <c r="G7" s="79">
        <f>IF(B4="SANS REMORQUE",1,0)</f>
        <v>1</v>
      </c>
      <c r="H7" s="79">
        <f>IF(B4="SANS REMORQUE",0,1)</f>
        <v>0</v>
      </c>
      <c r="I7" s="79">
        <f t="shared" ref="I7:I12" si="1">C7*G7+D7*H7</f>
        <v>73681</v>
      </c>
      <c r="J7" s="79">
        <f>IF(C4&gt;0,1,0)</f>
        <v>1</v>
      </c>
      <c r="K7" s="79">
        <f>IF(C4&lt;=2,1,0)</f>
        <v>0</v>
      </c>
      <c r="L7" s="79">
        <f t="shared" ref="L7:L12" si="2">J7*K7</f>
        <v>0</v>
      </c>
      <c r="M7" s="73">
        <f>L7*I7</f>
        <v>0</v>
      </c>
      <c r="N7" s="79">
        <f t="shared" ref="N7:N12" si="3">E7*L7</f>
        <v>0</v>
      </c>
      <c r="O7" s="79">
        <f>L7*F7</f>
        <v>0</v>
      </c>
      <c r="P7" s="79"/>
      <c r="Q7" s="73" t="s">
        <v>9</v>
      </c>
      <c r="R7" s="73" t="s">
        <v>9</v>
      </c>
      <c r="S7" s="79">
        <v>80380</v>
      </c>
      <c r="T7" s="79">
        <v>104494</v>
      </c>
      <c r="U7" s="79">
        <v>0</v>
      </c>
      <c r="W7" s="79">
        <v>50222</v>
      </c>
      <c r="X7" s="79">
        <v>60266</v>
      </c>
      <c r="Y7" s="79">
        <v>0</v>
      </c>
    </row>
    <row r="8" spans="1:25" s="73" customFormat="1">
      <c r="A8" s="73" t="s">
        <v>4</v>
      </c>
      <c r="B8" s="73" t="s">
        <v>10</v>
      </c>
      <c r="C8" s="79">
        <f>IF(A4="ZONE A",S8,IF(A4="ZONE B",S19,IF(A4="ZONE C",S30,0)))</f>
        <v>90918</v>
      </c>
      <c r="D8" s="79">
        <f>IF(A4="ZONE A",T8,IF(A4="ZONE B",T19,IF(A4="ZONE C",T30,0)))</f>
        <v>118194</v>
      </c>
      <c r="E8" s="79">
        <f>IF(A4="ZONE A",U8,IF(A4="ZONE B",U19,IF(A4="ZONE C",U30,0)))</f>
        <v>0</v>
      </c>
      <c r="F8" s="79">
        <f t="shared" si="0"/>
        <v>27276</v>
      </c>
      <c r="G8" s="79">
        <f>G7</f>
        <v>1</v>
      </c>
      <c r="H8" s="79">
        <f>H7</f>
        <v>0</v>
      </c>
      <c r="I8" s="79">
        <f t="shared" si="1"/>
        <v>90918</v>
      </c>
      <c r="J8" s="79">
        <f>IF(C4&gt;2,1,0)</f>
        <v>1</v>
      </c>
      <c r="K8" s="79">
        <f>IF(C4&lt;7,1,0)</f>
        <v>0</v>
      </c>
      <c r="L8" s="79">
        <f t="shared" si="2"/>
        <v>0</v>
      </c>
      <c r="M8" s="73">
        <f t="shared" ref="M8:M19" si="4">L8*I8</f>
        <v>0</v>
      </c>
      <c r="N8" s="79">
        <f t="shared" si="3"/>
        <v>0</v>
      </c>
      <c r="O8" s="79">
        <f t="shared" ref="O8:O19" si="5">L8*F8</f>
        <v>0</v>
      </c>
      <c r="P8" s="79"/>
      <c r="Q8" s="73" t="s">
        <v>4</v>
      </c>
      <c r="R8" s="73" t="s">
        <v>10</v>
      </c>
      <c r="S8" s="79">
        <v>99184</v>
      </c>
      <c r="T8" s="79">
        <v>128939</v>
      </c>
      <c r="U8" s="79">
        <v>0</v>
      </c>
      <c r="W8" s="79">
        <v>60840</v>
      </c>
      <c r="X8" s="79">
        <v>73008</v>
      </c>
      <c r="Y8" s="79">
        <v>0</v>
      </c>
    </row>
    <row r="9" spans="1:25" s="73" customFormat="1">
      <c r="A9" s="73" t="s">
        <v>5</v>
      </c>
      <c r="B9" s="73" t="s">
        <v>11</v>
      </c>
      <c r="C9" s="79">
        <f>IF(A4="ZONE A",S9,IF(A4="ZONE B",S20,IF(A4="ZONE C",S31,0)))</f>
        <v>104124</v>
      </c>
      <c r="D9" s="79">
        <f>IF(A4="ZONE A",T9,IF(A4="ZONE B",T20,IF(A4="ZONE C",T31,0)))</f>
        <v>135631</v>
      </c>
      <c r="E9" s="79">
        <f>IF(A4="ZONE A",U9,IF(A4="ZONE B",U20,IF(A4="ZONE C",U31,0)))</f>
        <v>0</v>
      </c>
      <c r="F9" s="79">
        <f t="shared" si="0"/>
        <v>31507</v>
      </c>
      <c r="G9" s="79">
        <f t="shared" ref="G9:H12" si="6">G8</f>
        <v>1</v>
      </c>
      <c r="H9" s="79">
        <f t="shared" si="6"/>
        <v>0</v>
      </c>
      <c r="I9" s="79">
        <f t="shared" si="1"/>
        <v>104124</v>
      </c>
      <c r="J9" s="79">
        <f>IF(C4&gt;6,1,0)</f>
        <v>1</v>
      </c>
      <c r="K9" s="79">
        <f>IF(C4&lt;11,1,0)</f>
        <v>0</v>
      </c>
      <c r="L9" s="79">
        <f t="shared" si="2"/>
        <v>0</v>
      </c>
      <c r="M9" s="73">
        <f t="shared" si="4"/>
        <v>0</v>
      </c>
      <c r="N9" s="79">
        <f t="shared" si="3"/>
        <v>0</v>
      </c>
      <c r="O9" s="79">
        <f t="shared" si="5"/>
        <v>0</v>
      </c>
      <c r="P9" s="79"/>
      <c r="Q9" s="73" t="s">
        <v>5</v>
      </c>
      <c r="R9" s="73" t="s">
        <v>11</v>
      </c>
      <c r="S9" s="79">
        <v>113590</v>
      </c>
      <c r="T9" s="79">
        <v>147666</v>
      </c>
      <c r="U9" s="79">
        <v>0</v>
      </c>
      <c r="W9" s="79">
        <v>69162</v>
      </c>
      <c r="X9" s="79">
        <v>82944</v>
      </c>
      <c r="Y9" s="79">
        <v>0</v>
      </c>
    </row>
    <row r="10" spans="1:25" s="73" customFormat="1">
      <c r="A10" s="73" t="s">
        <v>6</v>
      </c>
      <c r="B10" s="73" t="s">
        <v>12</v>
      </c>
      <c r="C10" s="79">
        <f>IF(A4="ZONE A",S10,IF(A4="ZONE B",S21,IF(A4="ZONE C",S32,0)))</f>
        <v>153782</v>
      </c>
      <c r="D10" s="79">
        <f>IF(A4="ZONE A",T10,IF(A4="ZONE B",T21,IF(A4="ZONE C",T32,0)))</f>
        <v>199917</v>
      </c>
      <c r="E10" s="79">
        <f>IF(A4="ZONE A",U10,IF(A4="ZONE B",U21,IF(A4="ZONE C",U32,0)))</f>
        <v>0</v>
      </c>
      <c r="F10" s="79">
        <f t="shared" si="0"/>
        <v>46135</v>
      </c>
      <c r="G10" s="79">
        <f t="shared" si="6"/>
        <v>1</v>
      </c>
      <c r="H10" s="79">
        <f t="shared" si="6"/>
        <v>0</v>
      </c>
      <c r="I10" s="79">
        <f t="shared" si="1"/>
        <v>153782</v>
      </c>
      <c r="J10" s="79">
        <f>IF(C4&gt;10,1,0)</f>
        <v>1</v>
      </c>
      <c r="K10" s="79">
        <f>IF(C4&lt;15,1,0)</f>
        <v>0</v>
      </c>
      <c r="L10" s="79">
        <f t="shared" si="2"/>
        <v>0</v>
      </c>
      <c r="M10" s="73">
        <f t="shared" si="4"/>
        <v>0</v>
      </c>
      <c r="N10" s="79">
        <f t="shared" si="3"/>
        <v>0</v>
      </c>
      <c r="O10" s="79">
        <f t="shared" si="5"/>
        <v>0</v>
      </c>
      <c r="P10" s="79"/>
      <c r="Q10" s="73" t="s">
        <v>6</v>
      </c>
      <c r="R10" s="73" t="s">
        <v>12</v>
      </c>
      <c r="S10" s="79">
        <v>167762</v>
      </c>
      <c r="T10" s="79">
        <v>218011</v>
      </c>
      <c r="U10" s="79">
        <v>0</v>
      </c>
      <c r="W10" s="79">
        <v>103600</v>
      </c>
      <c r="X10" s="79">
        <v>124320</v>
      </c>
      <c r="Y10" s="79">
        <v>0</v>
      </c>
    </row>
    <row r="11" spans="1:25" s="73" customFormat="1">
      <c r="A11" s="73" t="s">
        <v>7</v>
      </c>
      <c r="B11" s="73" t="s">
        <v>13</v>
      </c>
      <c r="C11" s="79">
        <f>IF(A4="ZONE A",S11,IF(A4="ZONE B",S22,IF(A4="ZONE C",S33,0)))</f>
        <v>196033</v>
      </c>
      <c r="D11" s="79">
        <f>IF(A4="ZONE A",T11,IF(A4="ZONE B",T22,IF(A4="ZONE C",T33,0)))</f>
        <v>254844</v>
      </c>
      <c r="E11" s="79">
        <f>IF(A4="ZONE A",U11,IF(A4="ZONE B",U22,IF(A4="ZONE C",U33,0)))</f>
        <v>0</v>
      </c>
      <c r="F11" s="79">
        <f t="shared" si="0"/>
        <v>58811</v>
      </c>
      <c r="G11" s="79">
        <f t="shared" si="6"/>
        <v>1</v>
      </c>
      <c r="H11" s="79">
        <f t="shared" si="6"/>
        <v>0</v>
      </c>
      <c r="I11" s="79">
        <f t="shared" si="1"/>
        <v>196033</v>
      </c>
      <c r="J11" s="79">
        <f>IF(C4&gt;14,1,0)</f>
        <v>1</v>
      </c>
      <c r="K11" s="79">
        <f>IF(C4&lt;24,1,0)</f>
        <v>1</v>
      </c>
      <c r="L11" s="79">
        <f t="shared" si="2"/>
        <v>1</v>
      </c>
      <c r="M11" s="73">
        <f t="shared" si="4"/>
        <v>196033</v>
      </c>
      <c r="N11" s="79">
        <f t="shared" si="3"/>
        <v>0</v>
      </c>
      <c r="O11" s="79">
        <f t="shared" si="5"/>
        <v>58811</v>
      </c>
      <c r="P11" s="79"/>
      <c r="Q11" s="73" t="s">
        <v>38</v>
      </c>
      <c r="R11" s="73" t="s">
        <v>13</v>
      </c>
      <c r="S11" s="79">
        <v>213854</v>
      </c>
      <c r="T11" s="79">
        <v>278011</v>
      </c>
      <c r="U11" s="79">
        <v>0</v>
      </c>
      <c r="W11" s="79">
        <v>125639</v>
      </c>
      <c r="X11" s="79">
        <v>150767</v>
      </c>
      <c r="Y11" s="79">
        <v>0</v>
      </c>
    </row>
    <row r="12" spans="1:25" s="73" customFormat="1">
      <c r="A12" s="73" t="s">
        <v>8</v>
      </c>
      <c r="B12" s="73" t="s">
        <v>14</v>
      </c>
      <c r="C12" s="79">
        <f>IF(A4="ZONE A",S12,IF(A4="ZONE B",S23,IF(A4="ZONE C",S34,0)))</f>
        <v>227465</v>
      </c>
      <c r="D12" s="79">
        <f>IF(A4="ZONE A",T12,IF(A4="ZONE B",T23,IF(A4="ZONE C",T34,0)))</f>
        <v>295704</v>
      </c>
      <c r="E12" s="79">
        <f>IF(A4="ZONE A",U12,IF(A4="ZONE B",U23,IF(A4="ZONE C",U34,0)))</f>
        <v>0</v>
      </c>
      <c r="F12" s="79">
        <f t="shared" si="0"/>
        <v>68239</v>
      </c>
      <c r="G12" s="79">
        <f t="shared" si="6"/>
        <v>1</v>
      </c>
      <c r="H12" s="79">
        <f t="shared" si="6"/>
        <v>0</v>
      </c>
      <c r="I12" s="79">
        <f t="shared" si="1"/>
        <v>227465</v>
      </c>
      <c r="J12" s="79">
        <f>IF(C4&gt;23,1,0)</f>
        <v>0</v>
      </c>
      <c r="K12" s="79">
        <f>IF(C4&lt;9999999999,1,0)</f>
        <v>1</v>
      </c>
      <c r="L12" s="79">
        <f t="shared" si="2"/>
        <v>0</v>
      </c>
      <c r="M12" s="73">
        <f t="shared" si="4"/>
        <v>0</v>
      </c>
      <c r="N12" s="79">
        <f t="shared" si="3"/>
        <v>0</v>
      </c>
      <c r="O12" s="79">
        <f t="shared" si="5"/>
        <v>0</v>
      </c>
      <c r="P12" s="79"/>
      <c r="Q12" s="73" t="s">
        <v>8</v>
      </c>
      <c r="R12" s="73" t="s">
        <v>14</v>
      </c>
      <c r="S12" s="79">
        <v>248143</v>
      </c>
      <c r="T12" s="79">
        <v>322586</v>
      </c>
      <c r="U12" s="79">
        <v>0</v>
      </c>
      <c r="W12" s="79">
        <v>148368</v>
      </c>
      <c r="X12" s="79">
        <v>178042</v>
      </c>
      <c r="Y12" s="79">
        <v>0</v>
      </c>
    </row>
    <row r="13" spans="1:25" s="73" customFormat="1">
      <c r="J13" s="307" t="s">
        <v>19</v>
      </c>
      <c r="K13" s="307"/>
      <c r="L13" s="307"/>
      <c r="M13" s="73">
        <f>SUM(M7:M12)</f>
        <v>196033</v>
      </c>
      <c r="N13" s="73">
        <f>SUM(N7:N12)</f>
        <v>0</v>
      </c>
      <c r="O13" s="79">
        <f>SUM(O7:O12)</f>
        <v>58811</v>
      </c>
    </row>
    <row r="14" spans="1:25" s="73" customFormat="1">
      <c r="E14" s="79">
        <f t="shared" ref="E14:F19" si="7">E7</f>
        <v>0</v>
      </c>
      <c r="F14" s="79">
        <f>F7</f>
        <v>22105</v>
      </c>
      <c r="G14" s="79">
        <f>IF(B4="SANS REMORQUE",1,0)</f>
        <v>1</v>
      </c>
      <c r="H14" s="79">
        <f>IF(B4="SANS REMORQUE",0,1)</f>
        <v>0</v>
      </c>
      <c r="I14" s="79">
        <f t="shared" ref="I14:I19" si="8">C7*G14+D7*H14</f>
        <v>73681</v>
      </c>
      <c r="J14" s="79">
        <f>IF(C4&gt;0,1,0)</f>
        <v>1</v>
      </c>
      <c r="K14" s="79">
        <f>IF(C4&lt;=1,1,0)</f>
        <v>0</v>
      </c>
      <c r="L14" s="79">
        <f t="shared" ref="L14:L19" si="9">J14*K14</f>
        <v>0</v>
      </c>
      <c r="M14" s="73">
        <f t="shared" si="4"/>
        <v>0</v>
      </c>
      <c r="N14" s="79">
        <f t="shared" ref="N14:N19" si="10">E14*L14</f>
        <v>0</v>
      </c>
      <c r="O14" s="79">
        <f t="shared" si="5"/>
        <v>0</v>
      </c>
    </row>
    <row r="15" spans="1:25" s="73" customFormat="1">
      <c r="E15" s="79">
        <f t="shared" si="7"/>
        <v>0</v>
      </c>
      <c r="F15" s="79">
        <f t="shared" si="7"/>
        <v>27276</v>
      </c>
      <c r="G15" s="79">
        <f>G14</f>
        <v>1</v>
      </c>
      <c r="H15" s="79">
        <f>H14</f>
        <v>0</v>
      </c>
      <c r="I15" s="79">
        <f t="shared" si="8"/>
        <v>90918</v>
      </c>
      <c r="J15" s="79">
        <f>IF(C4&gt;1,1,0)</f>
        <v>1</v>
      </c>
      <c r="K15" s="79">
        <f>IF(C4&lt;5,1,0)</f>
        <v>0</v>
      </c>
      <c r="L15" s="79">
        <f t="shared" si="9"/>
        <v>0</v>
      </c>
      <c r="M15" s="73">
        <f t="shared" si="4"/>
        <v>0</v>
      </c>
      <c r="N15" s="79">
        <f t="shared" si="10"/>
        <v>0</v>
      </c>
      <c r="O15" s="79">
        <f t="shared" si="5"/>
        <v>0</v>
      </c>
      <c r="R15" s="73" t="s">
        <v>16</v>
      </c>
    </row>
    <row r="16" spans="1:25" s="73" customFormat="1">
      <c r="A16" s="78" t="s">
        <v>300</v>
      </c>
      <c r="B16" s="307" t="s">
        <v>26</v>
      </c>
      <c r="C16" s="307"/>
      <c r="D16" s="99" t="s">
        <v>27</v>
      </c>
      <c r="E16" s="79">
        <f t="shared" si="7"/>
        <v>0</v>
      </c>
      <c r="F16" s="79">
        <f t="shared" si="7"/>
        <v>31507</v>
      </c>
      <c r="G16" s="79">
        <f t="shared" ref="G16:H19" si="11">G15</f>
        <v>1</v>
      </c>
      <c r="H16" s="79">
        <f t="shared" si="11"/>
        <v>0</v>
      </c>
      <c r="I16" s="79">
        <f t="shared" si="8"/>
        <v>104124</v>
      </c>
      <c r="J16" s="79">
        <f>IF(C4&gt;4,1,0)</f>
        <v>1</v>
      </c>
      <c r="K16" s="79">
        <f>IF(C4&lt;8,1,0)</f>
        <v>0</v>
      </c>
      <c r="L16" s="79">
        <f t="shared" si="9"/>
        <v>0</v>
      </c>
      <c r="M16" s="73">
        <f t="shared" si="4"/>
        <v>0</v>
      </c>
      <c r="N16" s="79">
        <f t="shared" si="10"/>
        <v>0</v>
      </c>
      <c r="O16" s="79">
        <f>L16*F16</f>
        <v>0</v>
      </c>
      <c r="S16" s="307" t="s">
        <v>36</v>
      </c>
      <c r="T16" s="307"/>
      <c r="U16" s="307"/>
      <c r="W16" s="307" t="s">
        <v>37</v>
      </c>
      <c r="X16" s="307"/>
      <c r="Y16" s="307"/>
    </row>
    <row r="17" spans="1:25" s="73" customFormat="1">
      <c r="A17" s="308">
        <f>IF(D4="ESSENCE",O13,O20)</f>
        <v>58811</v>
      </c>
      <c r="B17" s="308">
        <f>IF(D4="ESSENCE",M13,M20)</f>
        <v>196033</v>
      </c>
      <c r="C17" s="308"/>
      <c r="D17" s="308">
        <f>IF(D4="ESSENCE",N13,N20)</f>
        <v>0</v>
      </c>
      <c r="E17" s="79">
        <f t="shared" si="7"/>
        <v>0</v>
      </c>
      <c r="F17" s="79">
        <f t="shared" si="7"/>
        <v>46135</v>
      </c>
      <c r="G17" s="79">
        <f t="shared" si="11"/>
        <v>1</v>
      </c>
      <c r="H17" s="79">
        <f t="shared" si="11"/>
        <v>0</v>
      </c>
      <c r="I17" s="79">
        <f t="shared" si="8"/>
        <v>153782</v>
      </c>
      <c r="J17" s="79">
        <f>IF(C4&gt;7,1,0)</f>
        <v>1</v>
      </c>
      <c r="K17" s="79">
        <f>IF(C4&lt;11,1,0)</f>
        <v>0</v>
      </c>
      <c r="L17" s="79">
        <f t="shared" si="9"/>
        <v>0</v>
      </c>
      <c r="M17" s="73">
        <f t="shared" si="4"/>
        <v>0</v>
      </c>
      <c r="N17" s="79">
        <f t="shared" si="10"/>
        <v>0</v>
      </c>
      <c r="O17" s="79">
        <f t="shared" si="5"/>
        <v>0</v>
      </c>
      <c r="Q17" s="73" t="s">
        <v>0</v>
      </c>
      <c r="R17" s="73" t="s">
        <v>1</v>
      </c>
      <c r="S17" s="73" t="str">
        <f>S6</f>
        <v xml:space="preserve">SANS REMORQUE </v>
      </c>
      <c r="T17" s="73" t="str">
        <f>T6</f>
        <v xml:space="preserve">AVEC REMORQUE </v>
      </c>
      <c r="U17" s="73" t="s">
        <v>23</v>
      </c>
      <c r="W17" s="73" t="str">
        <f>W6</f>
        <v xml:space="preserve">SANS REMORQUE </v>
      </c>
      <c r="X17" s="73" t="str">
        <f>X6</f>
        <v xml:space="preserve">AVEC REMORQUE </v>
      </c>
      <c r="Y17" s="73" t="s">
        <v>23</v>
      </c>
    </row>
    <row r="18" spans="1:25" s="73" customFormat="1">
      <c r="A18" s="308"/>
      <c r="B18" s="308"/>
      <c r="C18" s="308"/>
      <c r="D18" s="308"/>
      <c r="E18" s="79">
        <f t="shared" si="7"/>
        <v>0</v>
      </c>
      <c r="F18" s="79">
        <f t="shared" si="7"/>
        <v>58811</v>
      </c>
      <c r="G18" s="79">
        <f t="shared" si="11"/>
        <v>1</v>
      </c>
      <c r="H18" s="79">
        <f t="shared" si="11"/>
        <v>0</v>
      </c>
      <c r="I18" s="79">
        <f t="shared" si="8"/>
        <v>196033</v>
      </c>
      <c r="J18" s="79">
        <f>IF(C4&gt;10,1,0)</f>
        <v>1</v>
      </c>
      <c r="K18" s="79">
        <f>IF(C4&lt;17,1,0)</f>
        <v>0</v>
      </c>
      <c r="L18" s="79">
        <f t="shared" si="9"/>
        <v>0</v>
      </c>
      <c r="M18" s="73">
        <f t="shared" si="4"/>
        <v>0</v>
      </c>
      <c r="N18" s="79">
        <f t="shared" si="10"/>
        <v>0</v>
      </c>
      <c r="O18" s="79">
        <f t="shared" si="5"/>
        <v>0</v>
      </c>
      <c r="Q18" s="73" t="s">
        <v>9</v>
      </c>
      <c r="R18" s="73" t="s">
        <v>9</v>
      </c>
      <c r="S18" s="79">
        <v>77030</v>
      </c>
      <c r="T18" s="79">
        <v>100140</v>
      </c>
      <c r="U18" s="79">
        <v>0</v>
      </c>
      <c r="W18" s="79">
        <v>48130</v>
      </c>
      <c r="X18" s="79">
        <v>57755</v>
      </c>
      <c r="Y18" s="79">
        <v>0</v>
      </c>
    </row>
    <row r="19" spans="1:25" s="73" customFormat="1">
      <c r="A19" s="308"/>
      <c r="B19" s="308"/>
      <c r="C19" s="308"/>
      <c r="D19" s="308"/>
      <c r="E19" s="79">
        <f t="shared" si="7"/>
        <v>0</v>
      </c>
      <c r="F19" s="79">
        <f t="shared" si="7"/>
        <v>68239</v>
      </c>
      <c r="G19" s="79">
        <f t="shared" si="11"/>
        <v>1</v>
      </c>
      <c r="H19" s="79">
        <f t="shared" si="11"/>
        <v>0</v>
      </c>
      <c r="I19" s="79">
        <f t="shared" si="8"/>
        <v>227465</v>
      </c>
      <c r="J19" s="79">
        <f>IF(C4&gt;16,1,0)</f>
        <v>1</v>
      </c>
      <c r="K19" s="79">
        <f>IF(C4&lt;9999999999,1,0)</f>
        <v>1</v>
      </c>
      <c r="L19" s="79">
        <f t="shared" si="9"/>
        <v>1</v>
      </c>
      <c r="M19" s="73">
        <f t="shared" si="4"/>
        <v>227465</v>
      </c>
      <c r="N19" s="79">
        <f t="shared" si="10"/>
        <v>0</v>
      </c>
      <c r="O19" s="79">
        <f t="shared" si="5"/>
        <v>68239</v>
      </c>
      <c r="Q19" s="73" t="s">
        <v>4</v>
      </c>
      <c r="R19" s="73" t="s">
        <v>10</v>
      </c>
      <c r="S19" s="79">
        <v>95051</v>
      </c>
      <c r="T19" s="79">
        <v>123566</v>
      </c>
      <c r="U19" s="79">
        <v>0</v>
      </c>
      <c r="W19" s="79">
        <v>58305</v>
      </c>
      <c r="X19" s="79">
        <v>69966</v>
      </c>
      <c r="Y19" s="79">
        <v>0</v>
      </c>
    </row>
    <row r="20" spans="1:25" s="73" customFormat="1">
      <c r="B20" s="308">
        <f>(A25+C25+D25)</f>
        <v>196033</v>
      </c>
      <c r="C20" s="308"/>
      <c r="D20" s="308"/>
      <c r="E20" s="313">
        <f>IF(CONTRATS!E24="ENGINS PORTUAIRES ET DE MANUTENTION",1,0)</f>
        <v>0</v>
      </c>
      <c r="G20" s="308">
        <f>B20*E20</f>
        <v>0</v>
      </c>
      <c r="M20" s="73">
        <f>SUM(M14:M19)</f>
        <v>227465</v>
      </c>
      <c r="N20" s="73">
        <f>SUM(N14:N19)</f>
        <v>0</v>
      </c>
      <c r="O20" s="79">
        <f>SUM(O14:O19)</f>
        <v>68239</v>
      </c>
      <c r="Q20" s="73" t="s">
        <v>5</v>
      </c>
      <c r="R20" s="73" t="s">
        <v>11</v>
      </c>
      <c r="S20" s="79">
        <v>108857</v>
      </c>
      <c r="T20" s="79">
        <v>141513</v>
      </c>
      <c r="U20" s="79">
        <v>0</v>
      </c>
      <c r="W20" s="79">
        <v>66280</v>
      </c>
      <c r="X20" s="79">
        <v>79536</v>
      </c>
      <c r="Y20" s="79">
        <v>0</v>
      </c>
    </row>
    <row r="21" spans="1:25" s="73" customFormat="1">
      <c r="B21" s="308"/>
      <c r="C21" s="308"/>
      <c r="D21" s="308"/>
      <c r="E21" s="309"/>
      <c r="G21" s="308"/>
      <c r="Q21" s="73" t="s">
        <v>6</v>
      </c>
      <c r="R21" s="73" t="s">
        <v>12</v>
      </c>
      <c r="S21" s="79">
        <v>160772</v>
      </c>
      <c r="T21" s="79">
        <v>209004</v>
      </c>
      <c r="U21" s="79">
        <v>0</v>
      </c>
      <c r="W21" s="79">
        <v>99283</v>
      </c>
      <c r="X21" s="79">
        <v>119140</v>
      </c>
      <c r="Y21" s="79">
        <v>0</v>
      </c>
    </row>
    <row r="22" spans="1:25" s="73" customFormat="1">
      <c r="B22" s="308"/>
      <c r="C22" s="308"/>
      <c r="D22" s="308"/>
      <c r="E22" s="309"/>
      <c r="G22" s="308"/>
      <c r="Q22" s="73" t="s">
        <v>38</v>
      </c>
      <c r="R22" s="73" t="s">
        <v>13</v>
      </c>
      <c r="S22" s="79">
        <v>204944</v>
      </c>
      <c r="T22" s="79">
        <v>266427</v>
      </c>
      <c r="U22" s="79">
        <v>0</v>
      </c>
      <c r="W22" s="79">
        <v>120404</v>
      </c>
      <c r="X22" s="79">
        <v>144485</v>
      </c>
      <c r="Y22" s="79">
        <v>0</v>
      </c>
    </row>
    <row r="23" spans="1:25" s="73" customFormat="1">
      <c r="Q23" s="73" t="s">
        <v>8</v>
      </c>
      <c r="R23" s="73" t="s">
        <v>14</v>
      </c>
      <c r="S23" s="79">
        <v>237804</v>
      </c>
      <c r="T23" s="79">
        <v>309145</v>
      </c>
      <c r="U23" s="79">
        <v>0</v>
      </c>
      <c r="W23" s="79">
        <v>142186</v>
      </c>
      <c r="X23" s="79">
        <v>170623</v>
      </c>
      <c r="Y23" s="79">
        <v>0</v>
      </c>
    </row>
    <row r="24" spans="1:25" s="73" customFormat="1">
      <c r="A24" s="73">
        <f>IF(G4="SEMI-REMORQUE",1,0)</f>
        <v>0</v>
      </c>
      <c r="C24" s="73">
        <f>IF(G4="SEMI-REMORQUE",0,1)</f>
        <v>1</v>
      </c>
      <c r="D24" s="73">
        <f>IF(E4="YES",1,0)</f>
        <v>0</v>
      </c>
    </row>
    <row r="25" spans="1:25" s="73" customFormat="1" ht="15.75" thickBot="1">
      <c r="A25" s="79">
        <f>A17*A24</f>
        <v>0</v>
      </c>
      <c r="C25" s="73">
        <f>C24*B17</f>
        <v>196033</v>
      </c>
      <c r="D25" s="73">
        <f>D24*D17</f>
        <v>0</v>
      </c>
    </row>
    <row r="26" spans="1:25" s="73" customFormat="1" ht="15.75" thickBot="1">
      <c r="B26" s="310" t="s">
        <v>37</v>
      </c>
      <c r="C26" s="311"/>
      <c r="D26" s="312"/>
      <c r="G26" s="73" t="s">
        <v>0</v>
      </c>
      <c r="H26" s="73" t="s">
        <v>1</v>
      </c>
      <c r="I26" s="73" t="s">
        <v>20</v>
      </c>
      <c r="J26" s="73" t="s">
        <v>2</v>
      </c>
      <c r="K26" s="73" t="s">
        <v>24</v>
      </c>
      <c r="L26" s="73" t="s">
        <v>25</v>
      </c>
      <c r="R26" s="73" t="s">
        <v>17</v>
      </c>
    </row>
    <row r="27" spans="1:25" s="73" customFormat="1">
      <c r="A27" s="94"/>
      <c r="B27" s="95"/>
      <c r="C27" s="96" t="s">
        <v>21</v>
      </c>
      <c r="D27" s="95" t="s">
        <v>22</v>
      </c>
      <c r="E27" s="94" t="s">
        <v>23</v>
      </c>
      <c r="S27" s="307" t="s">
        <v>36</v>
      </c>
      <c r="T27" s="307"/>
      <c r="U27" s="307"/>
      <c r="W27" s="307" t="s">
        <v>37</v>
      </c>
      <c r="X27" s="307"/>
      <c r="Y27" s="307"/>
    </row>
    <row r="28" spans="1:25" s="73" customFormat="1">
      <c r="A28" s="97" t="str">
        <f>'CAT 3'!A4</f>
        <v>ZONE C</v>
      </c>
      <c r="B28" s="97" t="str">
        <f>'CAT 3'!B4</f>
        <v>SANS REMORQUE</v>
      </c>
      <c r="C28" s="98">
        <f>'CAT 3'!C4</f>
        <v>19</v>
      </c>
      <c r="D28" s="97" t="str">
        <f>'CAT 3'!D4</f>
        <v>ESSENCE</v>
      </c>
      <c r="E28" s="98" t="str">
        <f>[1]CONTRATS!$B$21</f>
        <v>NO</v>
      </c>
      <c r="G28" s="73" t="str">
        <f>G4</f>
        <v>VT</v>
      </c>
      <c r="Q28" s="73" t="s">
        <v>0</v>
      </c>
      <c r="R28" s="73" t="s">
        <v>1</v>
      </c>
      <c r="S28" s="73" t="str">
        <f>S17</f>
        <v xml:space="preserve">SANS REMORQUE </v>
      </c>
      <c r="T28" s="73" t="str">
        <f>T17</f>
        <v xml:space="preserve">AVEC REMORQUE </v>
      </c>
      <c r="U28" s="73" t="s">
        <v>23</v>
      </c>
      <c r="W28" s="73" t="str">
        <f>W17</f>
        <v xml:space="preserve">SANS REMORQUE </v>
      </c>
      <c r="X28" s="73" t="str">
        <f>X17</f>
        <v xml:space="preserve">AVEC REMORQUE </v>
      </c>
      <c r="Y28" s="73" t="s">
        <v>23</v>
      </c>
    </row>
    <row r="29" spans="1:25" s="73" customFormat="1">
      <c r="Q29" s="73" t="s">
        <v>9</v>
      </c>
      <c r="R29" s="73" t="s">
        <v>9</v>
      </c>
      <c r="S29" s="79">
        <v>73681</v>
      </c>
      <c r="T29" s="79">
        <v>95786</v>
      </c>
      <c r="U29" s="79">
        <v>0</v>
      </c>
      <c r="W29" s="79">
        <v>46037</v>
      </c>
      <c r="X29" s="79">
        <v>55244</v>
      </c>
      <c r="Y29" s="79">
        <v>0</v>
      </c>
    </row>
    <row r="30" spans="1:25" s="73" customFormat="1">
      <c r="A30" s="73" t="s">
        <v>0</v>
      </c>
      <c r="B30" s="73" t="s">
        <v>1</v>
      </c>
      <c r="C30" s="73" t="s">
        <v>3</v>
      </c>
      <c r="D30" s="73" t="s">
        <v>2</v>
      </c>
      <c r="E30" s="73" t="s">
        <v>23</v>
      </c>
      <c r="F30" s="77" t="s">
        <v>112</v>
      </c>
      <c r="J30" s="307" t="s">
        <v>18</v>
      </c>
      <c r="K30" s="307"/>
      <c r="L30" s="307"/>
      <c r="O30" s="77" t="s">
        <v>112</v>
      </c>
      <c r="Q30" s="73" t="s">
        <v>4</v>
      </c>
      <c r="R30" s="73" t="s">
        <v>10</v>
      </c>
      <c r="S30" s="79">
        <v>90918</v>
      </c>
      <c r="T30" s="79">
        <v>118194</v>
      </c>
      <c r="U30" s="79">
        <v>0</v>
      </c>
      <c r="W30" s="79">
        <v>55770</v>
      </c>
      <c r="X30" s="79">
        <v>66924</v>
      </c>
      <c r="Y30" s="79">
        <v>0</v>
      </c>
    </row>
    <row r="31" spans="1:25" s="73" customFormat="1">
      <c r="A31" s="73" t="s">
        <v>9</v>
      </c>
      <c r="B31" s="73" t="s">
        <v>9</v>
      </c>
      <c r="C31" s="79">
        <f>IF(A28="ZONE A",W7,IF(A28="ZONE B",W18,IF(A28="ZONE C",W29,0)))</f>
        <v>46037</v>
      </c>
      <c r="D31" s="79">
        <f>IF(A28="ZONE A",X7,IF(A28="ZONE B",X18,IF(A28="ZONE C",X29,0)))</f>
        <v>55244</v>
      </c>
      <c r="E31" s="79">
        <f>IF(A28="ZONE A",U31,IF(A28="ZONE B",U42,IF(A28="ZONE C",U53,0)))</f>
        <v>0</v>
      </c>
      <c r="F31" s="79">
        <f t="shared" ref="F31:F36" si="12">D31-C31</f>
        <v>9207</v>
      </c>
      <c r="G31" s="79">
        <f>IF(B28="SANS REMORQUE",1,0)</f>
        <v>1</v>
      </c>
      <c r="H31" s="79">
        <f>IF(B28="SANS REMORQUE",0,1)</f>
        <v>0</v>
      </c>
      <c r="I31" s="79">
        <f t="shared" ref="I31:I36" si="13">C31*G31+D31*H31</f>
        <v>46037</v>
      </c>
      <c r="J31" s="79">
        <f>IF(C28&gt;0,1,0)</f>
        <v>1</v>
      </c>
      <c r="K31" s="79">
        <f>IF(C28&lt;=2,1,0)</f>
        <v>0</v>
      </c>
      <c r="L31" s="79">
        <f t="shared" ref="L31:L36" si="14">J31*K31</f>
        <v>0</v>
      </c>
      <c r="M31" s="73">
        <f t="shared" ref="M31:M36" si="15">L31*I31</f>
        <v>0</v>
      </c>
      <c r="N31" s="79">
        <f t="shared" ref="N31:N36" si="16">E31*L31</f>
        <v>0</v>
      </c>
      <c r="O31" s="79">
        <f>L31*F31</f>
        <v>0</v>
      </c>
      <c r="Q31" s="73" t="s">
        <v>5</v>
      </c>
      <c r="R31" s="73" t="s">
        <v>11</v>
      </c>
      <c r="S31" s="79">
        <v>104124</v>
      </c>
      <c r="T31" s="79">
        <v>135631</v>
      </c>
      <c r="U31" s="79">
        <v>0</v>
      </c>
      <c r="W31" s="79">
        <v>63399</v>
      </c>
      <c r="X31" s="79">
        <v>76078</v>
      </c>
      <c r="Y31" s="79">
        <v>0</v>
      </c>
    </row>
    <row r="32" spans="1:25" s="73" customFormat="1">
      <c r="A32" s="73" t="s">
        <v>4</v>
      </c>
      <c r="B32" s="73" t="s">
        <v>10</v>
      </c>
      <c r="C32" s="79">
        <f>IF(A28="ZONE A",W8,IF(A28="ZONE B",W19,IF(A28="ZONE C",W30,0)))</f>
        <v>55770</v>
      </c>
      <c r="D32" s="79">
        <f>IF(A28="ZONE A",X8,IF(A28="ZONE B",X19,IF(A28="ZONE C",X30,0)))</f>
        <v>66924</v>
      </c>
      <c r="E32" s="79">
        <f>IF(A28="ZONE A",U32,IF(A28="ZONE B",U43,IF(A28="ZONE C",U54,0)))</f>
        <v>0</v>
      </c>
      <c r="F32" s="79">
        <f t="shared" si="12"/>
        <v>11154</v>
      </c>
      <c r="G32" s="79">
        <f t="shared" ref="G32:H36" si="17">G31</f>
        <v>1</v>
      </c>
      <c r="H32" s="79">
        <f t="shared" si="17"/>
        <v>0</v>
      </c>
      <c r="I32" s="79">
        <f t="shared" si="13"/>
        <v>55770</v>
      </c>
      <c r="J32" s="79">
        <f>IF(C28&gt;2,1,0)</f>
        <v>1</v>
      </c>
      <c r="K32" s="79">
        <f>IF(C28&lt;7,1,0)</f>
        <v>0</v>
      </c>
      <c r="L32" s="79">
        <f t="shared" si="14"/>
        <v>0</v>
      </c>
      <c r="M32" s="73">
        <f t="shared" si="15"/>
        <v>0</v>
      </c>
      <c r="N32" s="79">
        <f t="shared" si="16"/>
        <v>0</v>
      </c>
      <c r="O32" s="79">
        <f t="shared" ref="O32:O43" si="18">L32*F32</f>
        <v>0</v>
      </c>
      <c r="Q32" s="73" t="s">
        <v>6</v>
      </c>
      <c r="R32" s="73" t="s">
        <v>12</v>
      </c>
      <c r="S32" s="79">
        <v>153782</v>
      </c>
      <c r="T32" s="79">
        <v>199917</v>
      </c>
      <c r="U32" s="79">
        <v>0</v>
      </c>
      <c r="W32" s="79">
        <v>94966</v>
      </c>
      <c r="X32" s="79">
        <v>113960</v>
      </c>
      <c r="Y32" s="79">
        <v>0</v>
      </c>
    </row>
    <row r="33" spans="1:25" s="73" customFormat="1">
      <c r="A33" s="73" t="s">
        <v>5</v>
      </c>
      <c r="B33" s="73" t="s">
        <v>11</v>
      </c>
      <c r="C33" s="79">
        <f>IF(A28="ZONE A",W9,IF(A28="ZONE B",W20,IF(A28="ZONE C",W31,0)))</f>
        <v>63399</v>
      </c>
      <c r="D33" s="79">
        <f>IF(A28="ZONE A",X9,IF(A28="ZONE B",X20,IF(A28="ZONE C",X31,0)))</f>
        <v>76078</v>
      </c>
      <c r="E33" s="79">
        <f>IF(A28="ZONE A",U33,IF(A28="ZONE B",U44,IF(A28="ZONE C",U55,0)))</f>
        <v>0</v>
      </c>
      <c r="F33" s="79">
        <f t="shared" si="12"/>
        <v>12679</v>
      </c>
      <c r="G33" s="79">
        <f t="shared" si="17"/>
        <v>1</v>
      </c>
      <c r="H33" s="79">
        <f t="shared" si="17"/>
        <v>0</v>
      </c>
      <c r="I33" s="79">
        <f t="shared" si="13"/>
        <v>63399</v>
      </c>
      <c r="J33" s="79">
        <f>IF(C28&gt;6,1,0)</f>
        <v>1</v>
      </c>
      <c r="K33" s="79">
        <f>IF(C28&lt;11,1,0)</f>
        <v>0</v>
      </c>
      <c r="L33" s="79">
        <f t="shared" si="14"/>
        <v>0</v>
      </c>
      <c r="M33" s="73">
        <f t="shared" si="15"/>
        <v>0</v>
      </c>
      <c r="N33" s="79">
        <f t="shared" si="16"/>
        <v>0</v>
      </c>
      <c r="O33" s="79">
        <f t="shared" si="18"/>
        <v>0</v>
      </c>
      <c r="Q33" s="73" t="s">
        <v>7</v>
      </c>
      <c r="R33" s="73" t="s">
        <v>13</v>
      </c>
      <c r="S33" s="79">
        <v>196033</v>
      </c>
      <c r="T33" s="79">
        <v>254844</v>
      </c>
      <c r="U33" s="79">
        <v>0</v>
      </c>
      <c r="W33" s="79">
        <v>115169</v>
      </c>
      <c r="X33" s="79">
        <v>138203</v>
      </c>
      <c r="Y33" s="79">
        <v>0</v>
      </c>
    </row>
    <row r="34" spans="1:25" s="73" customFormat="1">
      <c r="A34" s="73" t="s">
        <v>6</v>
      </c>
      <c r="B34" s="73" t="s">
        <v>12</v>
      </c>
      <c r="C34" s="79">
        <f>IF(A28="ZONE A",W10,IF(A28="ZONE B",W21,IF(A28="ZONE C",W32,0)))</f>
        <v>94966</v>
      </c>
      <c r="D34" s="79">
        <f>IF(A28="ZONE A",X10,IF(A28="ZONE B",X21,IF(A28="ZONE C",X32,0)))</f>
        <v>113960</v>
      </c>
      <c r="E34" s="79">
        <f>IF(A28="ZONE A",U34,IF(A28="ZONE B",U45,IF(A28="ZONE C",U56,0)))</f>
        <v>0</v>
      </c>
      <c r="F34" s="79">
        <f t="shared" si="12"/>
        <v>18994</v>
      </c>
      <c r="G34" s="79">
        <f t="shared" si="17"/>
        <v>1</v>
      </c>
      <c r="H34" s="79">
        <f t="shared" si="17"/>
        <v>0</v>
      </c>
      <c r="I34" s="79">
        <f t="shared" si="13"/>
        <v>94966</v>
      </c>
      <c r="J34" s="79">
        <f>IF(C28&gt;10,1,0)</f>
        <v>1</v>
      </c>
      <c r="K34" s="79">
        <f>IF(C28&lt;15,1,0)</f>
        <v>0</v>
      </c>
      <c r="L34" s="79">
        <f t="shared" si="14"/>
        <v>0</v>
      </c>
      <c r="M34" s="73">
        <f t="shared" si="15"/>
        <v>0</v>
      </c>
      <c r="N34" s="79">
        <f t="shared" si="16"/>
        <v>0</v>
      </c>
      <c r="O34" s="79">
        <f t="shared" si="18"/>
        <v>0</v>
      </c>
      <c r="Q34" s="73" t="s">
        <v>8</v>
      </c>
      <c r="R34" s="73" t="s">
        <v>14</v>
      </c>
      <c r="S34" s="79">
        <v>227465</v>
      </c>
      <c r="T34" s="79">
        <v>295704</v>
      </c>
      <c r="U34" s="79">
        <v>0</v>
      </c>
      <c r="W34" s="79">
        <v>136004</v>
      </c>
      <c r="X34" s="79">
        <v>163205</v>
      </c>
      <c r="Y34" s="79">
        <v>0</v>
      </c>
    </row>
    <row r="35" spans="1:25" s="73" customFormat="1">
      <c r="A35" s="73" t="s">
        <v>7</v>
      </c>
      <c r="B35" s="73" t="s">
        <v>13</v>
      </c>
      <c r="C35" s="79">
        <f>IF(A28="ZONE A",W11,IF(A28="ZONE B",W22,IF(A28="ZONE C",W33,0)))</f>
        <v>115169</v>
      </c>
      <c r="D35" s="79">
        <f>IF(A28="ZONE A",X11,IF(A28="ZONE B",X22,IF(A28="ZONE C",X33,0)))</f>
        <v>138203</v>
      </c>
      <c r="E35" s="79">
        <f>IF(A28="ZONE A",U35,IF(A28="ZONE B",U46,IF(A28="ZONE C",U57,0)))</f>
        <v>0</v>
      </c>
      <c r="F35" s="79">
        <f t="shared" si="12"/>
        <v>23034</v>
      </c>
      <c r="G35" s="79">
        <f t="shared" si="17"/>
        <v>1</v>
      </c>
      <c r="H35" s="79">
        <f t="shared" si="17"/>
        <v>0</v>
      </c>
      <c r="I35" s="79">
        <f t="shared" si="13"/>
        <v>115169</v>
      </c>
      <c r="J35" s="79">
        <f>IF(C28&gt;14,1,0)</f>
        <v>1</v>
      </c>
      <c r="K35" s="79">
        <f>IF(C28&lt;24,1,0)</f>
        <v>1</v>
      </c>
      <c r="L35" s="79">
        <f t="shared" si="14"/>
        <v>1</v>
      </c>
      <c r="M35" s="73">
        <f t="shared" si="15"/>
        <v>115169</v>
      </c>
      <c r="N35" s="79">
        <f t="shared" si="16"/>
        <v>0</v>
      </c>
      <c r="O35" s="79">
        <f t="shared" si="18"/>
        <v>23034</v>
      </c>
    </row>
    <row r="36" spans="1:25" s="73" customFormat="1">
      <c r="A36" s="73" t="s">
        <v>8</v>
      </c>
      <c r="B36" s="73" t="s">
        <v>14</v>
      </c>
      <c r="C36" s="79">
        <f>IF(A28="ZONE A",W12,IF(A28="ZONE B",W23,IF(A28="ZONE C",W34,0)))</f>
        <v>136004</v>
      </c>
      <c r="D36" s="79">
        <f>IF(A28="ZONE A",X12,IF(A28="ZONE B",X23,IF(A28="ZONE C",X34,0)))</f>
        <v>163205</v>
      </c>
      <c r="E36" s="79">
        <f>IF(A28="ZONE A",U36,IF(A28="ZONE B",U47,IF(A28="ZONE C",U58,0)))</f>
        <v>0</v>
      </c>
      <c r="F36" s="79">
        <f t="shared" si="12"/>
        <v>27201</v>
      </c>
      <c r="G36" s="79">
        <f t="shared" si="17"/>
        <v>1</v>
      </c>
      <c r="H36" s="79">
        <f t="shared" si="17"/>
        <v>0</v>
      </c>
      <c r="I36" s="79">
        <f t="shared" si="13"/>
        <v>136004</v>
      </c>
      <c r="J36" s="79">
        <f>IF(C28&gt;23,1,0)</f>
        <v>0</v>
      </c>
      <c r="K36" s="79">
        <f>IF(C28&lt;9999999999,1,0)</f>
        <v>1</v>
      </c>
      <c r="L36" s="79">
        <f t="shared" si="14"/>
        <v>0</v>
      </c>
      <c r="M36" s="73">
        <f t="shared" si="15"/>
        <v>0</v>
      </c>
      <c r="N36" s="79">
        <f t="shared" si="16"/>
        <v>0</v>
      </c>
      <c r="O36" s="79">
        <f t="shared" si="18"/>
        <v>0</v>
      </c>
    </row>
    <row r="37" spans="1:25" s="73" customFormat="1">
      <c r="J37" s="307" t="s">
        <v>19</v>
      </c>
      <c r="K37" s="307"/>
      <c r="L37" s="307"/>
      <c r="M37" s="73">
        <f>SUM(M31:M36)</f>
        <v>115169</v>
      </c>
      <c r="N37" s="73">
        <f>SUM(N31:N36)</f>
        <v>0</v>
      </c>
      <c r="O37" s="79">
        <f>SUM(O31:O36)</f>
        <v>23034</v>
      </c>
    </row>
    <row r="38" spans="1:25" s="73" customFormat="1">
      <c r="E38" s="79">
        <f t="shared" ref="E38:F43" si="19">E31</f>
        <v>0</v>
      </c>
      <c r="F38" s="79">
        <f>F31</f>
        <v>9207</v>
      </c>
      <c r="G38" s="79">
        <f>IF(B28="SANS REMORQUE",1,0)</f>
        <v>1</v>
      </c>
      <c r="H38" s="79">
        <f>IF(B28="SANS REMORQUE",0,1)</f>
        <v>0</v>
      </c>
      <c r="I38" s="79">
        <f t="shared" ref="I38:I43" si="20">C31*G38+D31*H38</f>
        <v>46037</v>
      </c>
      <c r="J38" s="79">
        <f>IF(C28&gt;0,1,0)</f>
        <v>1</v>
      </c>
      <c r="K38" s="79">
        <f>IF(C28&lt;=1,1,0)</f>
        <v>0</v>
      </c>
      <c r="L38" s="79">
        <f t="shared" ref="L38:L43" si="21">J38*K38</f>
        <v>0</v>
      </c>
      <c r="M38" s="73">
        <f t="shared" ref="M38:M43" si="22">L38*I38</f>
        <v>0</v>
      </c>
      <c r="N38" s="79">
        <f t="shared" ref="N38:N43" si="23">E38*L38</f>
        <v>0</v>
      </c>
      <c r="O38" s="79">
        <f t="shared" si="18"/>
        <v>0</v>
      </c>
    </row>
    <row r="39" spans="1:25" s="73" customFormat="1">
      <c r="E39" s="79">
        <f t="shared" si="19"/>
        <v>0</v>
      </c>
      <c r="F39" s="79">
        <f t="shared" si="19"/>
        <v>11154</v>
      </c>
      <c r="G39" s="79">
        <f t="shared" ref="G39:H43" si="24">G38</f>
        <v>1</v>
      </c>
      <c r="H39" s="79">
        <f t="shared" si="24"/>
        <v>0</v>
      </c>
      <c r="I39" s="79">
        <f t="shared" si="20"/>
        <v>55770</v>
      </c>
      <c r="J39" s="79">
        <f>IF(C28&gt;1,1,0)</f>
        <v>1</v>
      </c>
      <c r="K39" s="79">
        <f>IF(C28&lt;5,1,0)</f>
        <v>0</v>
      </c>
      <c r="L39" s="79">
        <f t="shared" si="21"/>
        <v>0</v>
      </c>
      <c r="M39" s="73">
        <f t="shared" si="22"/>
        <v>0</v>
      </c>
      <c r="N39" s="79">
        <f t="shared" si="23"/>
        <v>0</v>
      </c>
      <c r="O39" s="79">
        <f t="shared" si="18"/>
        <v>0</v>
      </c>
    </row>
    <row r="40" spans="1:25" s="73" customFormat="1">
      <c r="A40" s="78" t="s">
        <v>300</v>
      </c>
      <c r="B40" s="307" t="s">
        <v>26</v>
      </c>
      <c r="C40" s="307"/>
      <c r="D40" s="99" t="s">
        <v>27</v>
      </c>
      <c r="E40" s="79">
        <f t="shared" si="19"/>
        <v>0</v>
      </c>
      <c r="F40" s="79">
        <f t="shared" si="19"/>
        <v>12679</v>
      </c>
      <c r="G40" s="79">
        <f t="shared" si="24"/>
        <v>1</v>
      </c>
      <c r="H40" s="79">
        <f t="shared" si="24"/>
        <v>0</v>
      </c>
      <c r="I40" s="79">
        <f t="shared" si="20"/>
        <v>63399</v>
      </c>
      <c r="J40" s="79">
        <f>IF(C28&gt;4,1,0)</f>
        <v>1</v>
      </c>
      <c r="K40" s="79">
        <f>IF(C28&lt;8,1,0)</f>
        <v>0</v>
      </c>
      <c r="L40" s="79">
        <f t="shared" si="21"/>
        <v>0</v>
      </c>
      <c r="M40" s="73">
        <f t="shared" si="22"/>
        <v>0</v>
      </c>
      <c r="N40" s="79">
        <f t="shared" si="23"/>
        <v>0</v>
      </c>
      <c r="O40" s="79">
        <f>L40*F40</f>
        <v>0</v>
      </c>
    </row>
    <row r="41" spans="1:25" s="73" customFormat="1">
      <c r="A41" s="308">
        <f>IF(D28="ESSENCE",O37,O44)</f>
        <v>23034</v>
      </c>
      <c r="B41" s="308">
        <f>IF(D28="ESSENCE",M37,M44)</f>
        <v>115169</v>
      </c>
      <c r="C41" s="308"/>
      <c r="D41" s="308">
        <f>IF(D28="ESSENCE",N37,N44)</f>
        <v>0</v>
      </c>
      <c r="E41" s="79">
        <f t="shared" si="19"/>
        <v>0</v>
      </c>
      <c r="F41" s="79">
        <f t="shared" si="19"/>
        <v>18994</v>
      </c>
      <c r="G41" s="79">
        <f t="shared" si="24"/>
        <v>1</v>
      </c>
      <c r="H41" s="79">
        <f t="shared" si="24"/>
        <v>0</v>
      </c>
      <c r="I41" s="79">
        <f t="shared" si="20"/>
        <v>94966</v>
      </c>
      <c r="J41" s="79">
        <f>IF(C28&gt;7,1,0)</f>
        <v>1</v>
      </c>
      <c r="K41" s="79">
        <f>IF(C28&lt;11,1,0)</f>
        <v>0</v>
      </c>
      <c r="L41" s="79">
        <f t="shared" si="21"/>
        <v>0</v>
      </c>
      <c r="M41" s="73">
        <f t="shared" si="22"/>
        <v>0</v>
      </c>
      <c r="N41" s="79">
        <f t="shared" si="23"/>
        <v>0</v>
      </c>
      <c r="O41" s="79">
        <f t="shared" si="18"/>
        <v>0</v>
      </c>
    </row>
    <row r="42" spans="1:25" s="73" customFormat="1">
      <c r="A42" s="308"/>
      <c r="B42" s="308"/>
      <c r="C42" s="308"/>
      <c r="D42" s="308"/>
      <c r="E42" s="79">
        <f t="shared" si="19"/>
        <v>0</v>
      </c>
      <c r="F42" s="79">
        <f t="shared" si="19"/>
        <v>23034</v>
      </c>
      <c r="G42" s="79">
        <f t="shared" si="24"/>
        <v>1</v>
      </c>
      <c r="H42" s="79">
        <f t="shared" si="24"/>
        <v>0</v>
      </c>
      <c r="I42" s="79">
        <f t="shared" si="20"/>
        <v>115169</v>
      </c>
      <c r="J42" s="79">
        <f>IF(C28&gt;10,1,0)</f>
        <v>1</v>
      </c>
      <c r="K42" s="79">
        <f>IF(C28&lt;17,1,0)</f>
        <v>0</v>
      </c>
      <c r="L42" s="79">
        <f t="shared" si="21"/>
        <v>0</v>
      </c>
      <c r="M42" s="73">
        <f t="shared" si="22"/>
        <v>0</v>
      </c>
      <c r="N42" s="79">
        <f t="shared" si="23"/>
        <v>0</v>
      </c>
      <c r="O42" s="79">
        <f t="shared" si="18"/>
        <v>0</v>
      </c>
    </row>
    <row r="43" spans="1:25" s="73" customFormat="1">
      <c r="A43" s="308"/>
      <c r="B43" s="308"/>
      <c r="C43" s="308"/>
      <c r="D43" s="308"/>
      <c r="E43" s="79">
        <f t="shared" si="19"/>
        <v>0</v>
      </c>
      <c r="F43" s="79">
        <f t="shared" si="19"/>
        <v>27201</v>
      </c>
      <c r="G43" s="79">
        <f t="shared" si="24"/>
        <v>1</v>
      </c>
      <c r="H43" s="79">
        <f t="shared" si="24"/>
        <v>0</v>
      </c>
      <c r="I43" s="79">
        <f t="shared" si="20"/>
        <v>136004</v>
      </c>
      <c r="J43" s="79">
        <f>IF(C28&gt;16,1,0)</f>
        <v>1</v>
      </c>
      <c r="K43" s="79">
        <f>IF(C28&lt;9999999999,1,0)</f>
        <v>1</v>
      </c>
      <c r="L43" s="79">
        <f t="shared" si="21"/>
        <v>1</v>
      </c>
      <c r="M43" s="73">
        <f t="shared" si="22"/>
        <v>136004</v>
      </c>
      <c r="N43" s="79">
        <f t="shared" si="23"/>
        <v>0</v>
      </c>
      <c r="O43" s="79">
        <f t="shared" si="18"/>
        <v>27201</v>
      </c>
    </row>
    <row r="44" spans="1:25" s="73" customFormat="1">
      <c r="B44" s="308">
        <f>(A49+C49+D49)</f>
        <v>115169</v>
      </c>
      <c r="C44" s="308"/>
      <c r="D44" s="308"/>
      <c r="E44" s="313">
        <f>IF(CONTRATS!E24="ENGINS PORTUAIRES ET DE MANUTENTION",0,1)</f>
        <v>1</v>
      </c>
      <c r="G44" s="308">
        <f>B44*E44</f>
        <v>115169</v>
      </c>
      <c r="M44" s="73">
        <f>SUM(M38:M43)</f>
        <v>136004</v>
      </c>
      <c r="N44" s="73">
        <f>SUM(N38:N43)</f>
        <v>0</v>
      </c>
      <c r="O44" s="79">
        <f>SUM(O38:O43)</f>
        <v>27201</v>
      </c>
    </row>
    <row r="45" spans="1:25" s="73" customFormat="1">
      <c r="B45" s="308"/>
      <c r="C45" s="308"/>
      <c r="D45" s="308"/>
      <c r="E45" s="309"/>
      <c r="G45" s="308"/>
    </row>
    <row r="46" spans="1:25" s="73" customFormat="1">
      <c r="B46" s="308"/>
      <c r="C46" s="308"/>
      <c r="D46" s="308"/>
      <c r="E46" s="309"/>
      <c r="G46" s="308"/>
    </row>
    <row r="47" spans="1:25" s="73" customFormat="1"/>
    <row r="48" spans="1:25" s="73" customFormat="1">
      <c r="A48" s="73">
        <f>IF(G28="SEMI-REMORQUE",1,0)</f>
        <v>0</v>
      </c>
      <c r="C48" s="73">
        <f>IF(G28="SEMI-REMORQUE",0,1)</f>
        <v>1</v>
      </c>
      <c r="D48" s="73">
        <f>IF(E28="YES",1,0)</f>
        <v>0</v>
      </c>
    </row>
    <row r="49" spans="1:4" s="73" customFormat="1">
      <c r="A49" s="73">
        <f>A41*A48</f>
        <v>0</v>
      </c>
      <c r="C49" s="73">
        <f>C48*B41</f>
        <v>115169</v>
      </c>
      <c r="D49" s="73">
        <f>D48*D41</f>
        <v>0</v>
      </c>
    </row>
    <row r="50" spans="1:4" s="73" customFormat="1"/>
    <row r="51" spans="1:4" s="73" customFormat="1"/>
    <row r="52" spans="1:4" s="73" customFormat="1"/>
    <row r="53" spans="1:4" s="73" customFormat="1"/>
    <row r="54" spans="1:4" s="73" customFormat="1"/>
    <row r="55" spans="1:4" s="73" customFormat="1"/>
    <row r="56" spans="1:4" s="73" customFormat="1"/>
    <row r="57" spans="1:4" s="73" customFormat="1"/>
    <row r="58" spans="1:4" s="73" customFormat="1"/>
    <row r="59" spans="1:4" s="73" customFormat="1">
      <c r="B59" s="308">
        <f>(G20+G44)*IF(CONTRATS!C24=0,0,1)*IF(CONTRATS!E24=0,0,1)*IF(CONTRATS!B24="NO",1,0)</f>
        <v>0</v>
      </c>
      <c r="C59" s="309"/>
      <c r="D59" s="309"/>
    </row>
    <row r="60" spans="1:4" s="73" customFormat="1">
      <c r="B60" s="309"/>
      <c r="C60" s="309"/>
      <c r="D60" s="309"/>
    </row>
    <row r="61" spans="1:4" s="73" customFormat="1">
      <c r="B61" s="309"/>
      <c r="C61" s="309"/>
      <c r="D61" s="309"/>
    </row>
    <row r="62" spans="1:4" s="73" customFormat="1">
      <c r="B62" s="309"/>
      <c r="C62" s="309"/>
      <c r="D62" s="309"/>
    </row>
    <row r="63" spans="1:4" s="73" customFormat="1"/>
    <row r="64" spans="1:4" s="73" customFormat="1"/>
    <row r="65" s="73" customFormat="1"/>
    <row r="66" s="73" customFormat="1"/>
    <row r="67" s="73" customFormat="1"/>
    <row r="68" s="73" customFormat="1"/>
    <row r="69" s="73" customFormat="1"/>
    <row r="70" s="73" customFormat="1"/>
    <row r="71" s="73" customFormat="1"/>
    <row r="72" s="73" customFormat="1"/>
    <row r="73" s="73" customFormat="1"/>
    <row r="74" s="73" customFormat="1"/>
    <row r="75" s="73" customFormat="1"/>
    <row r="76" s="73" customFormat="1"/>
    <row r="77" s="73" customFormat="1"/>
    <row r="78" s="73" customFormat="1"/>
    <row r="79" s="73" customFormat="1"/>
    <row r="80" s="73" customFormat="1"/>
    <row r="81" s="73" customFormat="1"/>
    <row r="82" s="73" customFormat="1"/>
    <row r="83" s="73" customFormat="1"/>
    <row r="84" s="73" customFormat="1"/>
    <row r="85" s="73" customFormat="1"/>
    <row r="86" s="73" customFormat="1"/>
    <row r="87" s="73" customFormat="1"/>
    <row r="88" s="73" customFormat="1"/>
    <row r="89" s="73" customFormat="1"/>
    <row r="90" s="73" customFormat="1"/>
    <row r="91" s="73" customFormat="1"/>
    <row r="92" s="73" customFormat="1"/>
    <row r="93" s="73" customFormat="1"/>
    <row r="94" s="73" customFormat="1"/>
    <row r="95" s="73" customFormat="1"/>
    <row r="96" s="73" customFormat="1"/>
    <row r="97" s="73" customFormat="1"/>
    <row r="98" s="73" customFormat="1"/>
    <row r="99" s="73" customFormat="1"/>
    <row r="100" s="73" customFormat="1"/>
    <row r="101" s="73" customFormat="1"/>
    <row r="102" s="73" customFormat="1"/>
    <row r="103" s="73" customFormat="1"/>
    <row r="104" s="73" customFormat="1"/>
    <row r="105" s="73" customFormat="1"/>
    <row r="106" s="73" customFormat="1"/>
    <row r="107" s="73" customFormat="1"/>
    <row r="108" s="73" customFormat="1"/>
    <row r="109" s="73" customFormat="1"/>
    <row r="110" s="73" customFormat="1"/>
    <row r="111" s="73" customFormat="1"/>
    <row r="112" s="73" customFormat="1"/>
    <row r="113" s="73" customFormat="1"/>
    <row r="114" s="73" customFormat="1"/>
    <row r="115" s="73" customFormat="1"/>
    <row r="116" s="73" customFormat="1"/>
    <row r="117" s="73" customFormat="1"/>
    <row r="118" s="73" customFormat="1"/>
    <row r="119" s="73" customFormat="1"/>
    <row r="120" s="73" customFormat="1"/>
    <row r="121" s="73" customFormat="1"/>
    <row r="122" s="73" customFormat="1"/>
    <row r="123" s="73" customFormat="1"/>
    <row r="124" s="73" customFormat="1"/>
    <row r="125" s="73" customFormat="1"/>
    <row r="126" s="73" customFormat="1"/>
    <row r="127" s="73" customFormat="1"/>
    <row r="128" s="73" customFormat="1"/>
    <row r="129" s="73" customFormat="1"/>
    <row r="130" s="73" customFormat="1"/>
    <row r="131" s="73" customFormat="1"/>
    <row r="132" s="73" customFormat="1"/>
    <row r="133" s="73" customFormat="1"/>
    <row r="134" s="73" customFormat="1"/>
    <row r="135" s="73" customFormat="1"/>
    <row r="136" s="73" customFormat="1"/>
    <row r="137" s="73" customFormat="1"/>
    <row r="138" s="73" customFormat="1"/>
    <row r="139" s="73" customFormat="1"/>
    <row r="140" s="73" customFormat="1"/>
    <row r="141" s="73" customFormat="1"/>
    <row r="142" s="73" customFormat="1"/>
    <row r="143" s="73" customFormat="1"/>
    <row r="144" s="73" customFormat="1"/>
    <row r="145" s="73" customFormat="1"/>
    <row r="146" s="73" customFormat="1"/>
    <row r="147" s="73" customFormat="1"/>
    <row r="148" s="73" customFormat="1"/>
    <row r="149" s="73" customFormat="1"/>
    <row r="150" s="73" customFormat="1"/>
    <row r="151" s="73" customFormat="1"/>
    <row r="152" s="73" customFormat="1"/>
    <row r="153" s="73" customFormat="1"/>
    <row r="154" s="73" customFormat="1"/>
    <row r="155" s="73" customFormat="1"/>
  </sheetData>
  <sheetProtection password="D373" sheet="1" objects="1" scenarios="1"/>
  <mergeCells count="27">
    <mergeCell ref="B59:D62"/>
    <mergeCell ref="B44:D46"/>
    <mergeCell ref="E20:E22"/>
    <mergeCell ref="E44:E46"/>
    <mergeCell ref="G20:G22"/>
    <mergeCell ref="G44:G46"/>
    <mergeCell ref="J30:L30"/>
    <mergeCell ref="J37:L37"/>
    <mergeCell ref="B40:C40"/>
    <mergeCell ref="B41:C43"/>
    <mergeCell ref="D41:D43"/>
    <mergeCell ref="A17:A19"/>
    <mergeCell ref="A41:A43"/>
    <mergeCell ref="B2:D2"/>
    <mergeCell ref="S5:U5"/>
    <mergeCell ref="W5:Y5"/>
    <mergeCell ref="S16:U16"/>
    <mergeCell ref="W16:Y16"/>
    <mergeCell ref="S27:U27"/>
    <mergeCell ref="W27:Y27"/>
    <mergeCell ref="J6:L6"/>
    <mergeCell ref="J13:L13"/>
    <mergeCell ref="B16:C16"/>
    <mergeCell ref="B17:C19"/>
    <mergeCell ref="D17:D19"/>
    <mergeCell ref="B20:D22"/>
    <mergeCell ref="B26:D26"/>
  </mergeCells>
  <dataValidations count="2">
    <dataValidation type="list" allowBlank="1" showInputMessage="1" showErrorMessage="1" sqref="E28 E4:F4">
      <formula1>$K$2:$L$2</formula1>
    </dataValidation>
    <dataValidation type="list" allowBlank="1" showInputMessage="1" showErrorMessage="1" sqref="A4 A28">
      <formula1>$S$1:$U$1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A180"/>
  <sheetViews>
    <sheetView workbookViewId="0">
      <selection activeCell="F4" sqref="F4"/>
    </sheetView>
  </sheetViews>
  <sheetFormatPr defaultColWidth="11.42578125" defaultRowHeight="15"/>
  <cols>
    <col min="1" max="1" width="14.5703125" customWidth="1"/>
    <col min="2" max="2" width="16.42578125" customWidth="1"/>
    <col min="3" max="3" width="19.140625" customWidth="1"/>
    <col min="4" max="4" width="18.28515625" customWidth="1"/>
    <col min="5" max="5" width="15.42578125" customWidth="1"/>
    <col min="6" max="6" width="19" customWidth="1"/>
    <col min="7" max="7" width="15.42578125" customWidth="1"/>
    <col min="8" max="8" width="15" customWidth="1"/>
    <col min="9" max="9" width="22.5703125" customWidth="1"/>
    <col min="10" max="11" width="24.5703125" customWidth="1"/>
    <col min="12" max="12" width="18.140625" customWidth="1"/>
    <col min="13" max="13" width="15.28515625" customWidth="1"/>
    <col min="14" max="14" width="19.85546875" customWidth="1"/>
    <col min="15" max="15" width="22.85546875" customWidth="1"/>
    <col min="16" max="16" width="20.7109375" customWidth="1"/>
    <col min="17" max="17" width="18.5703125" customWidth="1"/>
    <col min="18" max="18" width="21.140625" customWidth="1"/>
    <col min="19" max="19" width="14.5703125" customWidth="1"/>
    <col min="20" max="20" width="14.140625" customWidth="1"/>
    <col min="21" max="21" width="13.42578125" customWidth="1"/>
    <col min="22" max="22" width="11.85546875" customWidth="1"/>
    <col min="23" max="23" width="16.5703125" customWidth="1"/>
    <col min="24" max="24" width="13.28515625" customWidth="1"/>
    <col min="25" max="25" width="14.7109375" customWidth="1"/>
    <col min="26" max="26" width="13.7109375" customWidth="1"/>
    <col min="27" max="27" width="14.7109375" customWidth="1"/>
    <col min="28" max="28" width="17.140625" customWidth="1"/>
    <col min="29" max="29" width="24" customWidth="1"/>
    <col min="30" max="30" width="30" customWidth="1"/>
    <col min="31" max="31" width="17.7109375" customWidth="1"/>
    <col min="32" max="32" width="19.42578125" customWidth="1"/>
    <col min="33" max="33" width="27.140625" customWidth="1"/>
    <col min="34" max="34" width="21.140625" customWidth="1"/>
    <col min="35" max="35" width="27.140625" customWidth="1"/>
    <col min="36" max="36" width="19.42578125" customWidth="1"/>
    <col min="37" max="37" width="22.28515625" customWidth="1"/>
    <col min="38" max="38" width="20.85546875" customWidth="1"/>
    <col min="39" max="39" width="22.28515625" customWidth="1"/>
    <col min="40" max="40" width="20.5703125" customWidth="1"/>
    <col min="41" max="41" width="24.7109375" customWidth="1"/>
    <col min="42" max="42" width="22.140625" customWidth="1"/>
    <col min="43" max="43" width="26.42578125" customWidth="1"/>
    <col min="44" max="44" width="20.5703125" customWidth="1"/>
    <col min="45" max="45" width="12" customWidth="1"/>
  </cols>
  <sheetData>
    <row r="1" spans="1:27" s="73" customFormat="1"/>
    <row r="2" spans="1:27" s="73" customFormat="1"/>
    <row r="3" spans="1:27" s="73" customFormat="1">
      <c r="B3" s="94"/>
      <c r="C3" s="95"/>
      <c r="D3" s="96" t="s">
        <v>21</v>
      </c>
      <c r="E3" s="95" t="s">
        <v>22</v>
      </c>
      <c r="F3" s="73" t="s">
        <v>40</v>
      </c>
    </row>
    <row r="4" spans="1:27" s="73" customFormat="1">
      <c r="B4" s="97" t="str">
        <f>'CAT 3'!A4</f>
        <v>ZONE C</v>
      </c>
      <c r="C4" s="97" t="str">
        <f>'CAT 3'!B4</f>
        <v>SANS REMORQUE</v>
      </c>
      <c r="D4" s="98">
        <f>'CAT 3'!C4</f>
        <v>19</v>
      </c>
      <c r="E4" s="97" t="str">
        <f>'CAT 3'!D4</f>
        <v>ESSENCE</v>
      </c>
      <c r="F4" s="98">
        <f>CONTRATS!J21</f>
        <v>5</v>
      </c>
      <c r="U4" s="73" t="s">
        <v>15</v>
      </c>
    </row>
    <row r="5" spans="1:27" s="73" customFormat="1"/>
    <row r="6" spans="1:27" s="73" customFormat="1">
      <c r="B6" s="73" t="s">
        <v>0</v>
      </c>
      <c r="C6" s="73" t="s">
        <v>9</v>
      </c>
      <c r="D6" s="73" t="s">
        <v>4</v>
      </c>
      <c r="E6" s="73" t="s">
        <v>5</v>
      </c>
      <c r="F6" s="73" t="s">
        <v>6</v>
      </c>
      <c r="G6" s="73" t="s">
        <v>38</v>
      </c>
      <c r="H6" s="73" t="s">
        <v>8</v>
      </c>
      <c r="U6" s="73" t="s">
        <v>0</v>
      </c>
      <c r="V6" s="73" t="s">
        <v>9</v>
      </c>
      <c r="W6" s="73" t="s">
        <v>4</v>
      </c>
      <c r="X6" s="73" t="s">
        <v>5</v>
      </c>
      <c r="Y6" s="73" t="s">
        <v>6</v>
      </c>
      <c r="Z6" s="73" t="s">
        <v>38</v>
      </c>
      <c r="AA6" s="73" t="s">
        <v>8</v>
      </c>
    </row>
    <row r="7" spans="1:27" s="73" customFormat="1">
      <c r="A7" s="73" t="s">
        <v>39</v>
      </c>
      <c r="B7" s="73" t="s">
        <v>1</v>
      </c>
      <c r="C7" s="73" t="s">
        <v>9</v>
      </c>
      <c r="D7" s="73" t="s">
        <v>10</v>
      </c>
      <c r="E7" s="73" t="s">
        <v>11</v>
      </c>
      <c r="F7" s="73" t="s">
        <v>12</v>
      </c>
      <c r="G7" s="73" t="s">
        <v>13</v>
      </c>
      <c r="H7" s="73" t="s">
        <v>14</v>
      </c>
      <c r="T7" s="73" t="s">
        <v>39</v>
      </c>
      <c r="U7" s="73" t="s">
        <v>1</v>
      </c>
      <c r="V7" s="73" t="s">
        <v>9</v>
      </c>
      <c r="W7" s="73" t="s">
        <v>10</v>
      </c>
      <c r="X7" s="73" t="s">
        <v>11</v>
      </c>
      <c r="Y7" s="73" t="s">
        <v>12</v>
      </c>
      <c r="Z7" s="73" t="s">
        <v>13</v>
      </c>
      <c r="AA7" s="73" t="s">
        <v>14</v>
      </c>
    </row>
    <row r="8" spans="1:27" s="73" customFormat="1">
      <c r="A8" s="78">
        <v>3</v>
      </c>
      <c r="B8" s="79">
        <f t="shared" ref="B8:B14" si="0">IF(ABS(A8-I8)=0,1,0)</f>
        <v>0</v>
      </c>
      <c r="C8" s="79">
        <f>IF(B4="ZONE A",V8,IF(B4="ZONE B",V21,IF(B4="ZONE C",V33,0)))</f>
        <v>109957</v>
      </c>
      <c r="D8" s="79">
        <f>IF(B4="ZONE A",W8,IF(B4="ZONE B",W21,IF(B4="ZONE C",W33,0)))</f>
        <v>0</v>
      </c>
      <c r="E8" s="79">
        <f>IF(B4="ZONE A",X8,IF(B4="ZONE B",X21,IF(B4="ZONE C",X33,0)))</f>
        <v>0</v>
      </c>
      <c r="F8" s="79">
        <f>IF(B4="ZONE A",Y8,IF(B4="ZONE B",Y21,IF(B4="ZONE C",Y33,0)))</f>
        <v>0</v>
      </c>
      <c r="G8" s="79">
        <f>IF(B4="ZONE A",Z8,IF(B4="ZONE B",Z21,IF(B4="ZONE C",Z33,0)))</f>
        <v>0</v>
      </c>
      <c r="H8" s="79">
        <f>IF(B4="ZONE A",AA8,IF(B4="ZONE B",AA21,IF(B4="ZONE C",AA33,0)))</f>
        <v>0</v>
      </c>
      <c r="I8" s="101">
        <f>F4</f>
        <v>5</v>
      </c>
      <c r="J8" s="79">
        <f>C8*B8</f>
        <v>0</v>
      </c>
      <c r="K8" s="79">
        <f>D8*B8</f>
        <v>0</v>
      </c>
      <c r="L8" s="79">
        <f>E8*B8</f>
        <v>0</v>
      </c>
      <c r="M8" s="79">
        <f>F8*B8</f>
        <v>0</v>
      </c>
      <c r="N8" s="79">
        <f>G8*B8</f>
        <v>0</v>
      </c>
      <c r="O8" s="79">
        <f>H8*B8</f>
        <v>0</v>
      </c>
      <c r="T8" s="78">
        <v>2</v>
      </c>
      <c r="V8" s="79">
        <v>119953</v>
      </c>
      <c r="W8" s="79"/>
      <c r="X8" s="79"/>
      <c r="Y8" s="79"/>
      <c r="Z8" s="79"/>
      <c r="AA8" s="79"/>
    </row>
    <row r="9" spans="1:27" s="73" customFormat="1">
      <c r="A9" s="78">
        <v>4</v>
      </c>
      <c r="B9" s="79">
        <f t="shared" si="0"/>
        <v>0</v>
      </c>
      <c r="C9" s="79">
        <f>IF(B4="ZONE A",V9,IF(B4="ZONE B",V22,IF(B4="ZONE C",V34,0)))</f>
        <v>125230</v>
      </c>
      <c r="D9" s="79">
        <f>IF(B4="ZONE A",W9,IF(B4="ZONE B",W22,IF(B4="ZONE C",W34,0)))</f>
        <v>151749</v>
      </c>
      <c r="E9" s="79">
        <f>IF(B4="ZONE A",X9,IF(B4="ZONE B",X22,IF(B4="ZONE C",X34,0)))</f>
        <v>169044</v>
      </c>
      <c r="F9" s="79">
        <f>IF(B4="ZONE A",Y9,IF(B4="ZONE B",Y22,IF(B4="ZONE C",Y34,0)))</f>
        <v>0</v>
      </c>
      <c r="G9" s="79">
        <f>IF(B4="ZONE A",Z9,IF(B4="ZONE B",Z22,IF(B4="ZONE C",Z34,0)))</f>
        <v>0</v>
      </c>
      <c r="H9" s="79">
        <f>IF(B4="ZONE A",AA9,IF(B4="ZONE B",AA22,IF(B4="ZONE C",AA34,0)))</f>
        <v>0</v>
      </c>
      <c r="I9" s="101">
        <f t="shared" ref="I9:I14" si="1">I8</f>
        <v>5</v>
      </c>
      <c r="J9" s="79">
        <f t="shared" ref="J9:J14" si="2">C9*B9</f>
        <v>0</v>
      </c>
      <c r="K9" s="79">
        <f t="shared" ref="K9:K14" si="3">D9*B9</f>
        <v>0</v>
      </c>
      <c r="L9" s="79">
        <f t="shared" ref="L9:L14" si="4">E9*B9</f>
        <v>0</v>
      </c>
      <c r="M9" s="79">
        <f t="shared" ref="M9:M14" si="5">F9*B9</f>
        <v>0</v>
      </c>
      <c r="N9" s="79">
        <f t="shared" ref="N9:N14" si="6">G9*B9</f>
        <v>0</v>
      </c>
      <c r="O9" s="79">
        <f t="shared" ref="O9:O14" si="7">H9*B9</f>
        <v>0</v>
      </c>
      <c r="T9" s="78">
        <v>3</v>
      </c>
      <c r="V9" s="79">
        <v>136614</v>
      </c>
      <c r="W9" s="79">
        <v>165545</v>
      </c>
      <c r="X9" s="79">
        <v>184411</v>
      </c>
      <c r="Y9" s="79"/>
      <c r="Z9" s="79"/>
      <c r="AA9" s="79"/>
    </row>
    <row r="10" spans="1:27" s="73" customFormat="1">
      <c r="A10" s="78">
        <v>5</v>
      </c>
      <c r="B10" s="79">
        <f t="shared" si="0"/>
        <v>1</v>
      </c>
      <c r="C10" s="79">
        <f>IF(B4="ZONE A",V10,IF(B4="ZONE B",V23,IF(B4="ZONE C",V35,0)))</f>
        <v>146610</v>
      </c>
      <c r="D10" s="79">
        <f>IF(B4="ZONE A",W10,IF(B4="ZONE B",W23,IF(B4="ZONE C",W35,0)))</f>
        <v>177658</v>
      </c>
      <c r="E10" s="79">
        <f>IF(B4="ZONE A",X10,IF(B4="ZONE B",X23,IF(B4="ZONE C",X35,0)))</f>
        <v>197905</v>
      </c>
      <c r="F10" s="79">
        <f>IF(B4="ZONE A",Y10,IF(B4="ZONE B",Y23,IF(B4="ZONE C",Y35,0)))</f>
        <v>258286</v>
      </c>
      <c r="G10" s="79">
        <f>IF(B4="ZONE A",Z10,IF(B4="ZONE B",Z23,IF(B4="ZONE C",Z35,0)))</f>
        <v>344207</v>
      </c>
      <c r="H10" s="79">
        <f>IF(B4="ZONE A",AA10,IF(B4="ZONE B",AA23,IF(B4="ZONE C",AA35,0)))</f>
        <v>387740</v>
      </c>
      <c r="I10" s="101">
        <f t="shared" si="1"/>
        <v>5</v>
      </c>
      <c r="J10" s="79">
        <f t="shared" si="2"/>
        <v>146610</v>
      </c>
      <c r="K10" s="79">
        <f t="shared" si="3"/>
        <v>177658</v>
      </c>
      <c r="L10" s="79">
        <f t="shared" si="4"/>
        <v>197905</v>
      </c>
      <c r="M10" s="79">
        <f t="shared" si="5"/>
        <v>258286</v>
      </c>
      <c r="N10" s="79">
        <f t="shared" si="6"/>
        <v>344207</v>
      </c>
      <c r="O10" s="79">
        <f t="shared" si="7"/>
        <v>387740</v>
      </c>
      <c r="T10" s="78">
        <v>4</v>
      </c>
      <c r="V10" s="79">
        <v>159938</v>
      </c>
      <c r="W10" s="79">
        <v>193808</v>
      </c>
      <c r="X10" s="79">
        <v>215897</v>
      </c>
      <c r="Y10" s="79">
        <v>281766</v>
      </c>
      <c r="Z10" s="79">
        <v>375498</v>
      </c>
      <c r="AA10" s="79">
        <v>422989</v>
      </c>
    </row>
    <row r="11" spans="1:27" s="73" customFormat="1">
      <c r="A11" s="78">
        <v>6</v>
      </c>
      <c r="B11" s="79">
        <f t="shared" si="0"/>
        <v>0</v>
      </c>
      <c r="C11" s="79">
        <f>IF(B4="ZONE A",V11,IF(B4="ZONE B",V24,IF(B4="ZONE C",V36,0)))</f>
        <v>0</v>
      </c>
      <c r="D11" s="79">
        <f>IF(B4="ZONE A",W11,IF(B4="ZONE B",W24,IF(B4="ZONE C",W36,0)))</f>
        <v>203564</v>
      </c>
      <c r="E11" s="79">
        <f>IF(B4="ZONE A",X11,IF(B4="ZONE B",X24,IF(B4="ZONE C",X36,0)))</f>
        <v>226767</v>
      </c>
      <c r="F11" s="79">
        <f>IF(B4="ZONE A",Y11,IF(B4="ZONE B",Y24,IF(B4="ZONE C",Y36,0)))</f>
        <v>295952</v>
      </c>
      <c r="G11" s="79">
        <f>IF(B4="ZONE A",Z11,IF(B4="ZONE B",Z24,IF(B4="ZONE C",Z36,0)))</f>
        <v>394514</v>
      </c>
      <c r="H11" s="79">
        <f>IF(B4="ZONE A",AA11,IF(B4="ZONE B",AA24,IF(B4="ZONE C",AA36,0)))</f>
        <v>444281</v>
      </c>
      <c r="I11" s="101">
        <f t="shared" si="1"/>
        <v>5</v>
      </c>
      <c r="J11" s="79">
        <f t="shared" si="2"/>
        <v>0</v>
      </c>
      <c r="K11" s="79">
        <f t="shared" si="3"/>
        <v>0</v>
      </c>
      <c r="L11" s="79">
        <f t="shared" si="4"/>
        <v>0</v>
      </c>
      <c r="M11" s="79">
        <f t="shared" si="5"/>
        <v>0</v>
      </c>
      <c r="N11" s="79">
        <f t="shared" si="6"/>
        <v>0</v>
      </c>
      <c r="O11" s="79">
        <f t="shared" si="7"/>
        <v>0</v>
      </c>
      <c r="T11" s="78">
        <v>5</v>
      </c>
      <c r="V11" s="79"/>
      <c r="W11" s="79">
        <v>222070</v>
      </c>
      <c r="X11" s="79">
        <v>247382</v>
      </c>
      <c r="Y11" s="79">
        <v>322856</v>
      </c>
      <c r="Z11" s="79">
        <v>430379</v>
      </c>
      <c r="AA11" s="79">
        <v>484670</v>
      </c>
    </row>
    <row r="12" spans="1:27" s="73" customFormat="1">
      <c r="A12" s="78">
        <v>7</v>
      </c>
      <c r="B12" s="79">
        <f t="shared" si="0"/>
        <v>0</v>
      </c>
      <c r="C12" s="79">
        <f>IF(B4="ZONE A",V12,IF(B4="ZONE B",V25,IF(B4="ZONE C",V37,0)))</f>
        <v>0</v>
      </c>
      <c r="D12" s="79">
        <f>IF(B4="ZONE A",W12,IF(B4="ZONE B",W25,IF(B4="ZONE C",W37,0)))</f>
        <v>229472</v>
      </c>
      <c r="E12" s="79">
        <f>IF(B4="ZONE A",X12,IF(B4="ZONE B",X25,IF(B4="ZONE C",X37,0)))</f>
        <v>255628</v>
      </c>
      <c r="F12" s="79">
        <f>IF(B4="ZONE A",Y12,IF(B4="ZONE B",Y25,IF(B4="ZONE C",Y37,0)))</f>
        <v>333616</v>
      </c>
      <c r="G12" s="79">
        <f>IF(B4="ZONE A",Z12,IF(B4="ZONE B",Z25,IF(B4="ZONE C",Z37,0)))</f>
        <v>444600</v>
      </c>
      <c r="H12" s="79">
        <f>IF(B4="ZONE A",AA12,IF(B4="ZONE B",AA25,IF(B4="ZONE C",AA37,0)))</f>
        <v>500827</v>
      </c>
      <c r="I12" s="101">
        <f t="shared" si="1"/>
        <v>5</v>
      </c>
      <c r="J12" s="79">
        <f t="shared" si="2"/>
        <v>0</v>
      </c>
      <c r="K12" s="79">
        <f t="shared" si="3"/>
        <v>0</v>
      </c>
      <c r="L12" s="79">
        <f t="shared" si="4"/>
        <v>0</v>
      </c>
      <c r="M12" s="79">
        <f t="shared" si="5"/>
        <v>0</v>
      </c>
      <c r="N12" s="79">
        <f t="shared" si="6"/>
        <v>0</v>
      </c>
      <c r="O12" s="79">
        <f t="shared" si="7"/>
        <v>0</v>
      </c>
      <c r="T12" s="78">
        <v>6</v>
      </c>
      <c r="V12" s="79"/>
      <c r="W12" s="79">
        <v>250333</v>
      </c>
      <c r="X12" s="79">
        <v>278867</v>
      </c>
      <c r="Y12" s="79">
        <v>363944</v>
      </c>
      <c r="Z12" s="79">
        <v>485018</v>
      </c>
      <c r="AA12" s="79">
        <v>546356</v>
      </c>
    </row>
    <row r="13" spans="1:27" s="73" customFormat="1">
      <c r="A13" s="78">
        <v>8</v>
      </c>
      <c r="B13" s="79">
        <f t="shared" si="0"/>
        <v>0</v>
      </c>
      <c r="C13" s="79">
        <f>IF(B4="ZONE A",V13,IF(B4="ZONE B",V26,IF(B4="ZONE C",V38,0)))</f>
        <v>0</v>
      </c>
      <c r="D13" s="79">
        <f>IF(B4="ZONE A",W13,IF(B4="ZONE B",W26,IF(B4="ZONE C",W38,0)))</f>
        <v>255379</v>
      </c>
      <c r="E13" s="79">
        <f>IF(B4="ZONE A",X13,IF(B4="ZONE B",X26,IF(B4="ZONE C",X38,0)))</f>
        <v>284489</v>
      </c>
      <c r="F13" s="79">
        <f>IF(B4="ZONE A",Y13,IF(B4="ZONE B",Y26,IF(B4="ZONE C",Y38,0)))</f>
        <v>371285</v>
      </c>
      <c r="G13" s="79">
        <f>IF(B4="ZONE A",Z13,IF(B4="ZONE B",Z26,IF(B4="ZONE C",Z38,0)))</f>
        <v>494798</v>
      </c>
      <c r="H13" s="79">
        <f>IF(B4="ZONE A",AA13,IF(B4="ZONE B",AA26,IF(B4="ZONE C",AA38,0)))</f>
        <v>557371</v>
      </c>
      <c r="I13" s="101">
        <f t="shared" si="1"/>
        <v>5</v>
      </c>
      <c r="J13" s="79">
        <f t="shared" si="2"/>
        <v>0</v>
      </c>
      <c r="K13" s="79">
        <f t="shared" si="3"/>
        <v>0</v>
      </c>
      <c r="L13" s="79">
        <f t="shared" si="4"/>
        <v>0</v>
      </c>
      <c r="M13" s="79">
        <f t="shared" si="5"/>
        <v>0</v>
      </c>
      <c r="N13" s="79">
        <f t="shared" si="6"/>
        <v>0</v>
      </c>
      <c r="O13" s="79">
        <f t="shared" si="7"/>
        <v>0</v>
      </c>
      <c r="T13" s="78">
        <v>7</v>
      </c>
      <c r="V13" s="79"/>
      <c r="W13" s="79">
        <v>278596</v>
      </c>
      <c r="X13" s="79">
        <v>310351</v>
      </c>
      <c r="Y13" s="79">
        <v>405038</v>
      </c>
      <c r="Z13" s="79">
        <v>539779</v>
      </c>
      <c r="AA13" s="79">
        <v>608041</v>
      </c>
    </row>
    <row r="14" spans="1:27" s="73" customFormat="1">
      <c r="A14" s="78">
        <v>9</v>
      </c>
      <c r="B14" s="79">
        <f t="shared" si="0"/>
        <v>0</v>
      </c>
      <c r="C14" s="79">
        <f>IF(B4="ZONE A",V14,IF(B4="ZONE B",V27,IF(B4="ZONE C",V39,0)))</f>
        <v>0</v>
      </c>
      <c r="D14" s="79">
        <f>IF(B4="ZONE A",W14,IF(B4="ZONE B",W27,IF(B4="ZONE C",W39,0)))</f>
        <v>281288</v>
      </c>
      <c r="E14" s="79">
        <f>IF(B4="ZONE A",X14,IF(B4="ZONE B",X27,IF(B4="ZONE C",X39,0)))</f>
        <v>313352</v>
      </c>
      <c r="F14" s="79">
        <f>IF(B4="ZONE A",Y14,IF(B4="ZONE B",Y27,IF(B4="ZONE C",Y39,0)))</f>
        <v>408953</v>
      </c>
      <c r="G14" s="79">
        <f>IF(B4="ZONE A",Z14,IF(B4="ZONE B",Z27,IF(B4="ZONE C",Z39,0)))</f>
        <v>544987</v>
      </c>
      <c r="H14" s="79">
        <f>IF(B4="ZONE A",AA14,IF(B4="ZONE B",AA27,IF(B4="ZONE C",AA39,0)))</f>
        <v>611717</v>
      </c>
      <c r="I14" s="101">
        <f t="shared" si="1"/>
        <v>5</v>
      </c>
      <c r="J14" s="79">
        <f t="shared" si="2"/>
        <v>0</v>
      </c>
      <c r="K14" s="79">
        <f t="shared" si="3"/>
        <v>0</v>
      </c>
      <c r="L14" s="79">
        <f t="shared" si="4"/>
        <v>0</v>
      </c>
      <c r="M14" s="79">
        <f t="shared" si="5"/>
        <v>0</v>
      </c>
      <c r="N14" s="79">
        <f t="shared" si="6"/>
        <v>0</v>
      </c>
      <c r="O14" s="79">
        <f t="shared" si="7"/>
        <v>0</v>
      </c>
      <c r="T14" s="78">
        <v>8</v>
      </c>
      <c r="V14" s="79"/>
      <c r="W14" s="79">
        <v>306859</v>
      </c>
      <c r="X14" s="79">
        <v>341838</v>
      </c>
      <c r="Y14" s="79">
        <v>446130</v>
      </c>
      <c r="Z14" s="79">
        <v>594532</v>
      </c>
      <c r="AA14" s="79">
        <v>667327</v>
      </c>
    </row>
    <row r="15" spans="1:27" s="73" customFormat="1">
      <c r="B15" s="79"/>
      <c r="C15" s="79"/>
      <c r="D15" s="79"/>
      <c r="E15" s="79"/>
      <c r="F15" s="79"/>
      <c r="G15" s="79"/>
      <c r="H15" s="79"/>
      <c r="J15" s="79">
        <f t="shared" ref="J15:O15" si="8">SUM(J8:J14)</f>
        <v>146610</v>
      </c>
      <c r="K15" s="79">
        <f t="shared" si="8"/>
        <v>177658</v>
      </c>
      <c r="L15" s="79">
        <f t="shared" si="8"/>
        <v>197905</v>
      </c>
      <c r="M15" s="79">
        <f t="shared" si="8"/>
        <v>258286</v>
      </c>
      <c r="N15" s="79">
        <f t="shared" si="8"/>
        <v>344207</v>
      </c>
      <c r="O15" s="79">
        <f t="shared" si="8"/>
        <v>387740</v>
      </c>
    </row>
    <row r="16" spans="1:27" s="73" customFormat="1">
      <c r="C16" s="307" t="s">
        <v>18</v>
      </c>
      <c r="D16" s="307"/>
      <c r="E16" s="307"/>
      <c r="F16" s="307"/>
      <c r="G16" s="307"/>
      <c r="H16" s="307"/>
    </row>
    <row r="17" spans="3:27" s="73" customFormat="1">
      <c r="C17" s="79">
        <f>IF(D4&gt;0,1,0)</f>
        <v>1</v>
      </c>
      <c r="D17" s="79">
        <f>IF(D4&gt;2,1,0)</f>
        <v>1</v>
      </c>
      <c r="E17" s="79">
        <f>IF(D4&gt;6,1,0)</f>
        <v>1</v>
      </c>
      <c r="F17" s="79">
        <f>IF(D4&gt;10,1,0)</f>
        <v>1</v>
      </c>
      <c r="G17" s="79">
        <f>IF(D4&gt;14,1,0)</f>
        <v>1</v>
      </c>
      <c r="H17" s="79">
        <f>IF(D4&gt;23,1,0)</f>
        <v>0</v>
      </c>
      <c r="U17" s="73" t="s">
        <v>16</v>
      </c>
    </row>
    <row r="18" spans="3:27" s="73" customFormat="1">
      <c r="C18" s="79">
        <f>IF(D4&lt;=2,1,0)</f>
        <v>0</v>
      </c>
      <c r="D18" s="79">
        <f>IF(D4&lt;7,1,0)</f>
        <v>0</v>
      </c>
      <c r="E18" s="79">
        <f>IF(D4&lt;11,1,0)</f>
        <v>0</v>
      </c>
      <c r="F18" s="79">
        <f>IF(D4&lt;15,1,0)</f>
        <v>0</v>
      </c>
      <c r="G18" s="79">
        <f>IF(D4&lt;24,1,0)</f>
        <v>1</v>
      </c>
      <c r="H18" s="79">
        <f>IF(D4&lt;9999999999,1,0)</f>
        <v>1</v>
      </c>
    </row>
    <row r="19" spans="3:27" s="73" customFormat="1">
      <c r="C19" s="79">
        <f t="shared" ref="C19:H19" si="9">C17*C18</f>
        <v>0</v>
      </c>
      <c r="D19" s="79">
        <f t="shared" si="9"/>
        <v>0</v>
      </c>
      <c r="E19" s="79">
        <f t="shared" si="9"/>
        <v>0</v>
      </c>
      <c r="F19" s="79">
        <f t="shared" si="9"/>
        <v>0</v>
      </c>
      <c r="G19" s="79">
        <f t="shared" si="9"/>
        <v>1</v>
      </c>
      <c r="H19" s="79">
        <f t="shared" si="9"/>
        <v>0</v>
      </c>
      <c r="U19" s="73" t="s">
        <v>0</v>
      </c>
      <c r="V19" s="73" t="s">
        <v>9</v>
      </c>
      <c r="W19" s="73" t="s">
        <v>4</v>
      </c>
      <c r="X19" s="73" t="s">
        <v>5</v>
      </c>
      <c r="Y19" s="73" t="s">
        <v>6</v>
      </c>
      <c r="Z19" s="73" t="s">
        <v>38</v>
      </c>
      <c r="AA19" s="73" t="s">
        <v>8</v>
      </c>
    </row>
    <row r="20" spans="3:27" s="73" customFormat="1">
      <c r="C20" s="79">
        <f t="shared" ref="C20:H20" si="10">J15</f>
        <v>146610</v>
      </c>
      <c r="D20" s="79">
        <f t="shared" si="10"/>
        <v>177658</v>
      </c>
      <c r="E20" s="79">
        <f t="shared" si="10"/>
        <v>197905</v>
      </c>
      <c r="F20" s="79">
        <f t="shared" si="10"/>
        <v>258286</v>
      </c>
      <c r="G20" s="79">
        <f t="shared" si="10"/>
        <v>344207</v>
      </c>
      <c r="H20" s="79">
        <f t="shared" si="10"/>
        <v>387740</v>
      </c>
      <c r="T20" s="73" t="s">
        <v>39</v>
      </c>
      <c r="U20" s="73" t="s">
        <v>1</v>
      </c>
      <c r="V20" s="73" t="s">
        <v>9</v>
      </c>
      <c r="W20" s="73" t="s">
        <v>10</v>
      </c>
      <c r="X20" s="73" t="s">
        <v>11</v>
      </c>
      <c r="Y20" s="73" t="s">
        <v>12</v>
      </c>
      <c r="Z20" s="73" t="s">
        <v>13</v>
      </c>
      <c r="AA20" s="73" t="s">
        <v>14</v>
      </c>
    </row>
    <row r="21" spans="3:27" s="73" customFormat="1">
      <c r="C21" s="79">
        <f t="shared" ref="C21:H21" si="11">C19*C20</f>
        <v>0</v>
      </c>
      <c r="D21" s="79">
        <f t="shared" si="11"/>
        <v>0</v>
      </c>
      <c r="E21" s="79">
        <f t="shared" si="11"/>
        <v>0</v>
      </c>
      <c r="F21" s="79">
        <f t="shared" si="11"/>
        <v>0</v>
      </c>
      <c r="G21" s="79">
        <f t="shared" si="11"/>
        <v>344207</v>
      </c>
      <c r="H21" s="79">
        <f t="shared" si="11"/>
        <v>0</v>
      </c>
      <c r="I21" s="79">
        <f>SUM(C21:H21)</f>
        <v>344207</v>
      </c>
      <c r="J21" s="79">
        <f>IF(E4="ESSENCE",1,0)</f>
        <v>1</v>
      </c>
      <c r="T21" s="78">
        <v>2</v>
      </c>
      <c r="U21" s="79"/>
      <c r="V21" s="79">
        <v>114955</v>
      </c>
      <c r="W21" s="79"/>
      <c r="X21" s="79"/>
      <c r="Y21" s="79"/>
      <c r="Z21" s="79"/>
      <c r="AA21" s="79"/>
    </row>
    <row r="22" spans="3:27" s="73" customFormat="1">
      <c r="I22" s="308">
        <f>I21*J21</f>
        <v>344207</v>
      </c>
      <c r="J22" s="308"/>
      <c r="T22" s="78">
        <v>3</v>
      </c>
      <c r="U22" s="79"/>
      <c r="V22" s="79">
        <v>130922</v>
      </c>
      <c r="W22" s="79">
        <v>158647</v>
      </c>
      <c r="X22" s="79">
        <v>176727</v>
      </c>
      <c r="Y22" s="79"/>
      <c r="Z22" s="79"/>
      <c r="AA22" s="79"/>
    </row>
    <row r="23" spans="3:27" s="73" customFormat="1">
      <c r="C23" s="307" t="s">
        <v>19</v>
      </c>
      <c r="D23" s="307"/>
      <c r="E23" s="307"/>
      <c r="F23" s="307"/>
      <c r="G23" s="307"/>
      <c r="H23" s="307"/>
      <c r="I23" s="308"/>
      <c r="J23" s="308"/>
      <c r="T23" s="78">
        <v>4</v>
      </c>
      <c r="U23" s="79"/>
      <c r="V23" s="79">
        <v>153274</v>
      </c>
      <c r="W23" s="79">
        <v>185733</v>
      </c>
      <c r="X23" s="79">
        <v>206901</v>
      </c>
      <c r="Y23" s="79">
        <v>270026</v>
      </c>
      <c r="Z23" s="79">
        <v>359852</v>
      </c>
      <c r="AA23" s="79">
        <v>405365</v>
      </c>
    </row>
    <row r="24" spans="3:27" s="73" customFormat="1">
      <c r="C24" s="79">
        <f>IF(D4&gt;0,1,0)</f>
        <v>1</v>
      </c>
      <c r="D24" s="79">
        <f>IF(D4&gt;1,1,0)</f>
        <v>1</v>
      </c>
      <c r="E24" s="79">
        <f>IF(D4&gt;4,1,0)</f>
        <v>1</v>
      </c>
      <c r="F24" s="79">
        <f>IF(D4&gt;7,1,0)</f>
        <v>1</v>
      </c>
      <c r="G24" s="79">
        <f>IF(D4&gt;10,1,0)</f>
        <v>1</v>
      </c>
      <c r="H24" s="79">
        <f>IF(D4&gt;16,1,0)</f>
        <v>1</v>
      </c>
      <c r="T24" s="78">
        <v>5</v>
      </c>
      <c r="U24" s="79"/>
      <c r="V24" s="79"/>
      <c r="W24" s="79">
        <v>212817</v>
      </c>
      <c r="X24" s="79">
        <v>237075</v>
      </c>
      <c r="Y24" s="79">
        <v>309404</v>
      </c>
      <c r="Z24" s="79">
        <v>412446</v>
      </c>
      <c r="AA24" s="79">
        <v>464476</v>
      </c>
    </row>
    <row r="25" spans="3:27" s="73" customFormat="1">
      <c r="C25" s="79">
        <f>IF(D4&lt;=1,1,0)</f>
        <v>0</v>
      </c>
      <c r="D25" s="79">
        <f>IF(D4&lt;5,1,0)</f>
        <v>0</v>
      </c>
      <c r="E25" s="79">
        <f>IF(D4&lt;8,1,0)</f>
        <v>0</v>
      </c>
      <c r="F25" s="79">
        <f>IF(D4&lt;11,1,0)</f>
        <v>0</v>
      </c>
      <c r="G25" s="79">
        <f>IF(D4&lt;17,1,0)</f>
        <v>0</v>
      </c>
      <c r="H25" s="79">
        <f>IF(D4&lt;9999999999,1,0)</f>
        <v>1</v>
      </c>
      <c r="T25" s="78">
        <v>6</v>
      </c>
      <c r="U25" s="79"/>
      <c r="V25" s="79"/>
      <c r="W25" s="79">
        <v>239903</v>
      </c>
      <c r="X25" s="79">
        <v>267247</v>
      </c>
      <c r="Y25" s="79">
        <v>348780</v>
      </c>
      <c r="Z25" s="79">
        <v>464809</v>
      </c>
      <c r="AA25" s="79">
        <v>523592</v>
      </c>
    </row>
    <row r="26" spans="3:27" s="73" customFormat="1">
      <c r="C26" s="79">
        <f t="shared" ref="C26:H26" si="12">C24*C25</f>
        <v>0</v>
      </c>
      <c r="D26" s="79">
        <f t="shared" si="12"/>
        <v>0</v>
      </c>
      <c r="E26" s="79">
        <f t="shared" si="12"/>
        <v>0</v>
      </c>
      <c r="F26" s="79">
        <f t="shared" si="12"/>
        <v>0</v>
      </c>
      <c r="G26" s="79">
        <f t="shared" si="12"/>
        <v>0</v>
      </c>
      <c r="H26" s="79">
        <f t="shared" si="12"/>
        <v>1</v>
      </c>
      <c r="M26" s="73">
        <f>C26*I26</f>
        <v>0</v>
      </c>
      <c r="T26" s="78">
        <v>7</v>
      </c>
      <c r="U26" s="79"/>
      <c r="V26" s="79"/>
      <c r="W26" s="79">
        <v>266987</v>
      </c>
      <c r="X26" s="79">
        <v>297420</v>
      </c>
      <c r="Y26" s="79">
        <v>388162</v>
      </c>
      <c r="Z26" s="79">
        <v>517288</v>
      </c>
      <c r="AA26" s="79">
        <v>582706</v>
      </c>
    </row>
    <row r="27" spans="3:27" s="73" customFormat="1">
      <c r="C27" s="79">
        <f t="shared" ref="C27:H27" si="13">+C20</f>
        <v>146610</v>
      </c>
      <c r="D27" s="79">
        <f t="shared" si="13"/>
        <v>177658</v>
      </c>
      <c r="E27" s="79">
        <f t="shared" si="13"/>
        <v>197905</v>
      </c>
      <c r="F27" s="79">
        <f t="shared" si="13"/>
        <v>258286</v>
      </c>
      <c r="G27" s="79">
        <f t="shared" si="13"/>
        <v>344207</v>
      </c>
      <c r="H27" s="79">
        <f t="shared" si="13"/>
        <v>387740</v>
      </c>
      <c r="M27" s="73">
        <f>D26*I27</f>
        <v>0</v>
      </c>
      <c r="T27" s="78">
        <v>8</v>
      </c>
      <c r="U27" s="79"/>
      <c r="V27" s="79"/>
      <c r="W27" s="79">
        <v>294073</v>
      </c>
      <c r="X27" s="79">
        <v>327595</v>
      </c>
      <c r="Y27" s="79">
        <v>427541</v>
      </c>
      <c r="Z27" s="79">
        <v>569759</v>
      </c>
      <c r="AA27" s="79">
        <v>639522</v>
      </c>
    </row>
    <row r="28" spans="3:27" s="73" customFormat="1">
      <c r="C28" s="73">
        <f t="shared" ref="C28:H28" si="14">C27*C26</f>
        <v>0</v>
      </c>
      <c r="D28" s="73">
        <f t="shared" si="14"/>
        <v>0</v>
      </c>
      <c r="E28" s="73">
        <f t="shared" si="14"/>
        <v>0</v>
      </c>
      <c r="F28" s="73">
        <f t="shared" si="14"/>
        <v>0</v>
      </c>
      <c r="G28" s="73">
        <f t="shared" si="14"/>
        <v>0</v>
      </c>
      <c r="H28" s="73">
        <f t="shared" si="14"/>
        <v>387740</v>
      </c>
      <c r="I28" s="79">
        <f>SUM(C28:H28)</f>
        <v>387740</v>
      </c>
      <c r="J28" s="79">
        <f>IF(E4="ESSENCE",0,1)</f>
        <v>0</v>
      </c>
      <c r="M28" s="73">
        <f>E26*I28</f>
        <v>0</v>
      </c>
      <c r="U28" s="79"/>
      <c r="V28" s="79"/>
      <c r="W28" s="79"/>
      <c r="X28" s="79"/>
      <c r="Y28" s="79"/>
      <c r="Z28" s="79"/>
      <c r="AA28" s="79"/>
    </row>
    <row r="29" spans="3:27" s="73" customFormat="1">
      <c r="I29" s="308">
        <f>I28*J28</f>
        <v>0</v>
      </c>
      <c r="J29" s="308"/>
      <c r="M29" s="73">
        <f>F26*I29</f>
        <v>0</v>
      </c>
      <c r="U29" s="73" t="s">
        <v>17</v>
      </c>
    </row>
    <row r="30" spans="3:27" s="73" customFormat="1">
      <c r="I30" s="308"/>
      <c r="J30" s="308"/>
      <c r="M30" s="73">
        <f>G26*I30</f>
        <v>0</v>
      </c>
    </row>
    <row r="31" spans="3:27" s="73" customFormat="1">
      <c r="D31" s="308">
        <f>(I22+I29)*IF(CONTRATS!C24=0,1,0)*IF(CONTRATS!E24=0,1,0)*IF(CONTRATS!B24="NO",1,0)</f>
        <v>0</v>
      </c>
      <c r="E31" s="308"/>
      <c r="F31" s="308"/>
      <c r="G31" s="308"/>
      <c r="H31" s="308"/>
      <c r="M31" s="73">
        <f>H26*I31</f>
        <v>0</v>
      </c>
      <c r="U31" s="73" t="s">
        <v>0</v>
      </c>
      <c r="V31" s="73" t="s">
        <v>9</v>
      </c>
      <c r="W31" s="73" t="s">
        <v>4</v>
      </c>
      <c r="X31" s="73" t="s">
        <v>5</v>
      </c>
      <c r="Y31" s="73" t="s">
        <v>6</v>
      </c>
      <c r="Z31" s="73" t="s">
        <v>38</v>
      </c>
      <c r="AA31" s="73" t="s">
        <v>8</v>
      </c>
    </row>
    <row r="32" spans="3:27" s="73" customFormat="1">
      <c r="D32" s="308"/>
      <c r="E32" s="308"/>
      <c r="F32" s="308"/>
      <c r="G32" s="308"/>
      <c r="H32" s="308"/>
      <c r="T32" s="73" t="s">
        <v>39</v>
      </c>
      <c r="U32" s="73" t="s">
        <v>1</v>
      </c>
      <c r="V32" s="73" t="s">
        <v>9</v>
      </c>
      <c r="W32" s="73" t="s">
        <v>10</v>
      </c>
      <c r="X32" s="73" t="s">
        <v>11</v>
      </c>
      <c r="Y32" s="73" t="s">
        <v>12</v>
      </c>
      <c r="Z32" s="73" t="s">
        <v>13</v>
      </c>
      <c r="AA32" s="73" t="s">
        <v>14</v>
      </c>
    </row>
    <row r="33" spans="4:27" s="73" customFormat="1">
      <c r="D33" s="308"/>
      <c r="E33" s="308"/>
      <c r="F33" s="308"/>
      <c r="G33" s="308"/>
      <c r="H33" s="308"/>
      <c r="T33" s="78">
        <v>2</v>
      </c>
      <c r="U33" s="79"/>
      <c r="V33" s="79">
        <v>109957</v>
      </c>
      <c r="W33" s="79"/>
      <c r="X33" s="79"/>
      <c r="Y33" s="79"/>
      <c r="Z33" s="79"/>
      <c r="AA33" s="79"/>
    </row>
    <row r="34" spans="4:27" s="73" customFormat="1">
      <c r="T34" s="78">
        <v>3</v>
      </c>
      <c r="U34" s="79"/>
      <c r="V34" s="79">
        <v>125230</v>
      </c>
      <c r="W34" s="79">
        <v>151749</v>
      </c>
      <c r="X34" s="79">
        <v>169044</v>
      </c>
      <c r="Y34" s="79"/>
      <c r="Z34" s="79"/>
      <c r="AA34" s="79"/>
    </row>
    <row r="35" spans="4:27" s="73" customFormat="1">
      <c r="T35" s="78">
        <v>4</v>
      </c>
      <c r="U35" s="79"/>
      <c r="V35" s="79">
        <v>146610</v>
      </c>
      <c r="W35" s="79">
        <v>177658</v>
      </c>
      <c r="X35" s="79">
        <v>197905</v>
      </c>
      <c r="Y35" s="79">
        <v>258286</v>
      </c>
      <c r="Z35" s="79">
        <v>344207</v>
      </c>
      <c r="AA35" s="79">
        <v>387740</v>
      </c>
    </row>
    <row r="36" spans="4:27" s="73" customFormat="1">
      <c r="T36" s="78">
        <v>5</v>
      </c>
      <c r="U36" s="79"/>
      <c r="V36" s="79"/>
      <c r="W36" s="79">
        <v>203564</v>
      </c>
      <c r="X36" s="79">
        <v>226767</v>
      </c>
      <c r="Y36" s="79">
        <v>295952</v>
      </c>
      <c r="Z36" s="79">
        <v>394514</v>
      </c>
      <c r="AA36" s="79">
        <v>444281</v>
      </c>
    </row>
    <row r="37" spans="4:27" s="73" customFormat="1">
      <c r="T37" s="78">
        <v>6</v>
      </c>
      <c r="U37" s="79"/>
      <c r="V37" s="79"/>
      <c r="W37" s="79">
        <v>229472</v>
      </c>
      <c r="X37" s="79">
        <v>255628</v>
      </c>
      <c r="Y37" s="79">
        <v>333616</v>
      </c>
      <c r="Z37" s="79">
        <v>444600</v>
      </c>
      <c r="AA37" s="79">
        <v>500827</v>
      </c>
    </row>
    <row r="38" spans="4:27" s="73" customFormat="1">
      <c r="T38" s="78">
        <v>7</v>
      </c>
      <c r="U38" s="79"/>
      <c r="V38" s="79"/>
      <c r="W38" s="79">
        <v>255379</v>
      </c>
      <c r="X38" s="79">
        <v>284489</v>
      </c>
      <c r="Y38" s="79">
        <v>371285</v>
      </c>
      <c r="Z38" s="79">
        <v>494798</v>
      </c>
      <c r="AA38" s="79">
        <v>557371</v>
      </c>
    </row>
    <row r="39" spans="4:27" s="73" customFormat="1">
      <c r="T39" s="78">
        <v>8</v>
      </c>
      <c r="U39" s="79"/>
      <c r="V39" s="79"/>
      <c r="W39" s="79">
        <v>281288</v>
      </c>
      <c r="X39" s="79">
        <v>313352</v>
      </c>
      <c r="Y39" s="79">
        <v>408953</v>
      </c>
      <c r="Z39" s="79">
        <v>544987</v>
      </c>
      <c r="AA39" s="79">
        <v>611717</v>
      </c>
    </row>
    <row r="40" spans="4:27" s="73" customFormat="1">
      <c r="U40" s="79"/>
      <c r="V40" s="79"/>
      <c r="W40" s="79"/>
      <c r="X40" s="79"/>
      <c r="Y40" s="79"/>
      <c r="Z40" s="79"/>
      <c r="AA40" s="79"/>
    </row>
    <row r="41" spans="4:27" s="73" customFormat="1"/>
    <row r="42" spans="4:27" s="73" customFormat="1"/>
    <row r="43" spans="4:27" s="73" customFormat="1"/>
    <row r="44" spans="4:27" s="73" customFormat="1"/>
    <row r="45" spans="4:27" s="73" customFormat="1"/>
    <row r="46" spans="4:27" s="73" customFormat="1"/>
    <row r="47" spans="4:27" s="73" customFormat="1"/>
    <row r="48" spans="4:27" s="73" customFormat="1"/>
    <row r="49" s="73" customFormat="1"/>
    <row r="50" s="73" customFormat="1"/>
    <row r="51" s="73" customFormat="1"/>
    <row r="52" s="73" customFormat="1"/>
    <row r="53" s="73" customFormat="1"/>
    <row r="54" s="73" customFormat="1"/>
    <row r="55" s="73" customFormat="1"/>
    <row r="56" s="73" customFormat="1"/>
    <row r="57" s="73" customFormat="1"/>
    <row r="58" s="73" customFormat="1"/>
    <row r="59" s="73" customFormat="1"/>
    <row r="60" s="73" customFormat="1"/>
    <row r="61" s="73" customFormat="1"/>
    <row r="62" s="73" customFormat="1"/>
    <row r="63" s="73" customFormat="1"/>
    <row r="64" s="73" customFormat="1"/>
    <row r="65" s="73" customFormat="1"/>
    <row r="66" s="73" customFormat="1"/>
    <row r="67" s="73" customFormat="1"/>
    <row r="68" s="73" customFormat="1"/>
    <row r="69" s="73" customFormat="1"/>
    <row r="70" s="73" customFormat="1"/>
    <row r="71" s="73" customFormat="1"/>
    <row r="72" s="73" customFormat="1"/>
    <row r="73" s="73" customFormat="1"/>
    <row r="74" s="73" customFormat="1"/>
    <row r="75" s="73" customFormat="1"/>
    <row r="76" s="73" customFormat="1"/>
    <row r="77" s="73" customFormat="1"/>
    <row r="78" s="73" customFormat="1"/>
    <row r="79" s="73" customFormat="1"/>
    <row r="80" s="73" customFormat="1"/>
    <row r="81" s="73" customFormat="1"/>
    <row r="82" s="73" customFormat="1"/>
    <row r="83" s="73" customFormat="1"/>
    <row r="84" s="73" customFormat="1"/>
    <row r="85" s="73" customFormat="1"/>
    <row r="86" s="73" customFormat="1"/>
    <row r="87" s="73" customFormat="1"/>
    <row r="88" s="73" customFormat="1"/>
    <row r="89" s="73" customFormat="1"/>
    <row r="90" s="73" customFormat="1"/>
    <row r="91" s="73" customFormat="1"/>
    <row r="92" s="73" customFormat="1"/>
    <row r="93" s="73" customFormat="1"/>
    <row r="94" s="73" customFormat="1"/>
    <row r="95" s="73" customFormat="1"/>
    <row r="96" s="73" customFormat="1"/>
    <row r="97" s="73" customFormat="1"/>
    <row r="98" s="73" customFormat="1"/>
    <row r="99" s="73" customFormat="1"/>
    <row r="100" s="73" customFormat="1"/>
    <row r="101" s="73" customFormat="1"/>
    <row r="102" s="73" customFormat="1"/>
    <row r="103" s="73" customFormat="1"/>
    <row r="104" s="73" customFormat="1"/>
    <row r="105" s="73" customFormat="1"/>
    <row r="106" s="73" customFormat="1"/>
    <row r="107" s="73" customFormat="1"/>
    <row r="108" s="73" customFormat="1"/>
    <row r="109" s="73" customFormat="1"/>
    <row r="110" s="73" customFormat="1"/>
    <row r="111" s="73" customFormat="1"/>
    <row r="112" s="73" customFormat="1"/>
    <row r="113" s="73" customFormat="1"/>
    <row r="114" s="73" customFormat="1"/>
    <row r="115" s="73" customFormat="1"/>
    <row r="116" s="73" customFormat="1"/>
    <row r="117" s="73" customFormat="1"/>
    <row r="118" s="73" customFormat="1"/>
    <row r="119" s="73" customFormat="1"/>
    <row r="120" s="73" customFormat="1"/>
    <row r="121" s="73" customFormat="1"/>
    <row r="122" s="73" customFormat="1"/>
    <row r="123" s="73" customFormat="1"/>
    <row r="124" s="73" customFormat="1"/>
    <row r="125" s="73" customFormat="1"/>
    <row r="126" s="73" customFormat="1"/>
    <row r="127" s="73" customFormat="1"/>
    <row r="128" s="73" customFormat="1"/>
    <row r="129" s="73" customFormat="1"/>
    <row r="130" s="73" customFormat="1"/>
    <row r="131" s="73" customFormat="1"/>
    <row r="132" s="73" customFormat="1"/>
    <row r="133" s="73" customFormat="1"/>
    <row r="134" s="73" customFormat="1"/>
    <row r="135" s="73" customFormat="1"/>
    <row r="136" s="73" customFormat="1"/>
    <row r="137" s="73" customFormat="1"/>
    <row r="138" s="73" customFormat="1"/>
    <row r="139" s="73" customFormat="1"/>
    <row r="140" s="73" customFormat="1"/>
    <row r="141" s="73" customFormat="1"/>
    <row r="142" s="73" customFormat="1"/>
    <row r="143" s="73" customFormat="1"/>
    <row r="144" s="73" customFormat="1"/>
    <row r="145" s="73" customFormat="1"/>
    <row r="146" s="73" customFormat="1"/>
    <row r="147" s="73" customFormat="1"/>
    <row r="148" s="73" customFormat="1"/>
    <row r="149" s="73" customFormat="1"/>
    <row r="150" s="73" customFormat="1"/>
    <row r="151" s="73" customFormat="1"/>
    <row r="152" s="73" customFormat="1"/>
    <row r="153" s="73" customFormat="1"/>
    <row r="154" s="73" customFormat="1"/>
    <row r="155" s="73" customFormat="1"/>
    <row r="156" s="73" customFormat="1"/>
    <row r="157" s="73" customFormat="1"/>
    <row r="158" s="73" customFormat="1"/>
    <row r="159" s="73" customFormat="1"/>
    <row r="160" s="73" customFormat="1"/>
    <row r="161" s="73" customFormat="1"/>
    <row r="162" s="73" customFormat="1"/>
    <row r="163" s="73" customFormat="1"/>
    <row r="164" s="73" customFormat="1"/>
    <row r="165" s="73" customFormat="1"/>
    <row r="166" s="73" customFormat="1"/>
    <row r="167" s="73" customFormat="1"/>
    <row r="168" s="73" customFormat="1"/>
    <row r="169" s="73" customFormat="1"/>
    <row r="170" s="73" customFormat="1"/>
    <row r="171" s="73" customFormat="1"/>
    <row r="172" s="73" customFormat="1"/>
    <row r="173" s="73" customFormat="1"/>
    <row r="174" s="73" customFormat="1"/>
    <row r="175" s="73" customFormat="1"/>
    <row r="176" s="73" customFormat="1"/>
    <row r="177" s="73" customFormat="1"/>
    <row r="178" s="73" customFormat="1"/>
    <row r="179" s="73" customFormat="1"/>
    <row r="180" s="73" customFormat="1"/>
  </sheetData>
  <sheetProtection password="D373" sheet="1" objects="1" scenarios="1"/>
  <mergeCells count="5">
    <mergeCell ref="C23:H23"/>
    <mergeCell ref="C16:H16"/>
    <mergeCell ref="D31:H33"/>
    <mergeCell ref="I22:J23"/>
    <mergeCell ref="I29:J30"/>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24</vt:i4>
      </vt:variant>
      <vt:variant>
        <vt:lpstr>Charts</vt:lpstr>
      </vt:variant>
      <vt:variant>
        <vt:i4>1</vt:i4>
      </vt:variant>
      <vt:variant>
        <vt:lpstr>Named Ranges</vt:lpstr>
      </vt:variant>
      <vt:variant>
        <vt:i4>6</vt:i4>
      </vt:variant>
    </vt:vector>
  </HeadingPairs>
  <TitlesOfParts>
    <vt:vector size="31" baseType="lpstr">
      <vt:lpstr>CAT 1</vt:lpstr>
      <vt:lpstr>CAT 2</vt:lpstr>
      <vt:lpstr>CAT 3</vt:lpstr>
      <vt:lpstr>CAT 5A</vt:lpstr>
      <vt:lpstr>CAT 5B</vt:lpstr>
      <vt:lpstr>recap</vt:lpstr>
      <vt:lpstr>CAT 10</vt:lpstr>
      <vt:lpstr>CAT 9</vt:lpstr>
      <vt:lpstr>CAT 4A</vt:lpstr>
      <vt:lpstr>CAT 4B</vt:lpstr>
      <vt:lpstr>CAT 4C</vt:lpstr>
      <vt:lpstr>CONTRATS</vt:lpstr>
      <vt:lpstr>Reçu Caisse</vt:lpstr>
      <vt:lpstr>Att Pers (DTA)</vt:lpstr>
      <vt:lpstr>Att Pers</vt:lpstr>
      <vt:lpstr>carte rose</vt:lpstr>
      <vt:lpstr>Carte Rose Mo</vt:lpstr>
      <vt:lpstr>Att Taxi</vt:lpstr>
      <vt:lpstr>CAT 65</vt:lpstr>
      <vt:lpstr>CAT6123</vt:lpstr>
      <vt:lpstr>CAT 71</vt:lpstr>
      <vt:lpstr>CAT 7234</vt:lpstr>
      <vt:lpstr>CAT 75</vt:lpstr>
      <vt:lpstr>CAT 08</vt:lpstr>
      <vt:lpstr>Chart1</vt:lpstr>
      <vt:lpstr>'Att Pers'!Print_Area</vt:lpstr>
      <vt:lpstr>'Att Pers (DTA)'!Print_Area</vt:lpstr>
      <vt:lpstr>'Att Taxi'!Print_Area</vt:lpstr>
      <vt:lpstr>'carte rose'!Print_Area</vt:lpstr>
      <vt:lpstr>CONTRATS!Print_Area</vt:lpstr>
      <vt:lpstr>'Reçu Caisse'!Print_Area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SWEET</dc:creator>
  <cp:lastModifiedBy>orion</cp:lastModifiedBy>
  <cp:lastPrinted>2023-09-23T10:19:47Z</cp:lastPrinted>
  <dcterms:created xsi:type="dcterms:W3CDTF">2017-03-31T10:53:27Z</dcterms:created>
  <dcterms:modified xsi:type="dcterms:W3CDTF">2023-09-23T10:45:22Z</dcterms:modified>
</cp:coreProperties>
</file>