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75" windowWidth="18915" windowHeight="11820"/>
  </bookViews>
  <sheets>
    <sheet name="Tabelle1" sheetId="1" r:id="rId1"/>
    <sheet name="Tabelle2" sheetId="2" r:id="rId2"/>
    <sheet name="Tabelle3" sheetId="3" r:id="rId3"/>
  </sheets>
  <definedNames>
    <definedName name="alpha">Tabelle1!$B$2</definedName>
    <definedName name="beta">Tabelle1!$B$3</definedName>
    <definedName name="pwm_soll">Tabelle1!$J$4</definedName>
    <definedName name="r_25">Tabelle1!$B$5</definedName>
    <definedName name="r_pull">Tabelle1!$B$4</definedName>
    <definedName name="res">Tabelle1!$B$6</definedName>
    <definedName name="shutdown_adc">Tabelle1!$K$6</definedName>
    <definedName name="target_adc">Tabelle1!$K$5</definedName>
  </definedNames>
  <calcPr calcId="144315"/>
</workbook>
</file>

<file path=xl/calcChain.xml><?xml version="1.0" encoding="utf-8"?>
<calcChain xmlns="http://schemas.openxmlformats.org/spreadsheetml/2006/main">
  <c r="K6" i="1" l="1"/>
  <c r="K5" i="1"/>
  <c r="K11" i="1" l="1"/>
  <c r="K13" i="1"/>
  <c r="K10" i="1"/>
  <c r="K12" i="1"/>
  <c r="J10" i="1"/>
  <c r="J21" i="1"/>
  <c r="K21" i="1" s="1"/>
  <c r="J17" i="1"/>
  <c r="K17" i="1" s="1"/>
  <c r="J15" i="1"/>
  <c r="K15" i="1" s="1"/>
  <c r="J13" i="1"/>
  <c r="J11" i="1"/>
  <c r="N10" i="1"/>
  <c r="N17" i="1"/>
  <c r="N13" i="1"/>
  <c r="N11" i="1"/>
  <c r="J22" i="1"/>
  <c r="K22" i="1" s="1"/>
  <c r="J20" i="1"/>
  <c r="K20" i="1" s="1"/>
  <c r="J18" i="1"/>
  <c r="K18" i="1" s="1"/>
  <c r="J16" i="1"/>
  <c r="K16" i="1" s="1"/>
  <c r="J14" i="1"/>
  <c r="K14" i="1" s="1"/>
  <c r="J12" i="1"/>
  <c r="M6" i="1"/>
  <c r="N20" i="1"/>
  <c r="N12" i="1"/>
  <c r="I11" i="1"/>
  <c r="I12" i="1"/>
  <c r="I13" i="1"/>
  <c r="I14" i="1"/>
  <c r="I15" i="1"/>
  <c r="I16" i="1"/>
  <c r="I17" i="1"/>
  <c r="I18" i="1"/>
  <c r="I19" i="1"/>
  <c r="J19" i="1" s="1"/>
  <c r="K19" i="1" s="1"/>
  <c r="I20" i="1"/>
  <c r="I21" i="1"/>
  <c r="I22" i="1"/>
  <c r="I10" i="1"/>
  <c r="C10" i="1"/>
  <c r="F10" i="1"/>
  <c r="E10" i="1"/>
  <c r="N16" i="1" l="1"/>
  <c r="N21" i="1"/>
  <c r="N14" i="1"/>
  <c r="N18" i="1"/>
  <c r="N22" i="1"/>
  <c r="N15" i="1"/>
  <c r="N19" i="1"/>
  <c r="L15" i="1"/>
  <c r="L13" i="1"/>
  <c r="L11" i="1"/>
  <c r="L22" i="1"/>
  <c r="L20" i="1"/>
  <c r="L18" i="1"/>
  <c r="L16" i="1"/>
  <c r="L14" i="1"/>
  <c r="L12" i="1"/>
  <c r="L10" i="1"/>
  <c r="L21" i="1"/>
  <c r="L19" i="1"/>
  <c r="L17" i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10" i="1"/>
  <c r="D4" i="1"/>
  <c r="C4" i="1"/>
</calcChain>
</file>

<file path=xl/sharedStrings.xml><?xml version="1.0" encoding="utf-8"?>
<sst xmlns="http://schemas.openxmlformats.org/spreadsheetml/2006/main" count="29" uniqueCount="24">
  <si>
    <t>alpha</t>
  </si>
  <si>
    <t>beta</t>
  </si>
  <si>
    <t>T</t>
  </si>
  <si>
    <t>ADC</t>
  </si>
  <si>
    <t>R</t>
  </si>
  <si>
    <t>R(25)</t>
  </si>
  <si>
    <t>R(Pullup)</t>
  </si>
  <si>
    <t>min</t>
  </si>
  <si>
    <t>max</t>
  </si>
  <si>
    <t>dT</t>
  </si>
  <si>
    <t>k</t>
  </si>
  <si>
    <t>p</t>
  </si>
  <si>
    <t>solve[a==r1/(r1+r2)*1024,r1]</t>
  </si>
  <si>
    <t>r1=-a*r2/(a-1024)</t>
  </si>
  <si>
    <t>T --&gt; ADC</t>
  </si>
  <si>
    <t>ADC --&gt; T</t>
  </si>
  <si>
    <t>Resolution</t>
  </si>
  <si>
    <t>Regulation</t>
  </si>
  <si>
    <t>pwm_out</t>
  </si>
  <si>
    <t>pwm_out=pwm-dt^p*k</t>
  </si>
  <si>
    <t>pwm</t>
  </si>
  <si>
    <t>temp_target</t>
  </si>
  <si>
    <t>%</t>
  </si>
  <si>
    <t>shutdown_temp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</si>
</sst>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0.0"/>
    <numFmt numFmtId="166" formatCode="#,##0.0\ \°\C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11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0" xfId="0" applyBorder="1" applyAlignment="1">
      <alignment horizontal="center"/>
    </xf>
    <xf numFmtId="0" fontId="0" fillId="0" borderId="4" xfId="0" applyBorder="1"/>
    <xf numFmtId="165" fontId="0" fillId="0" borderId="5" xfId="0" applyNumberFormat="1" applyBorder="1"/>
    <xf numFmtId="0" fontId="0" fillId="0" borderId="6" xfId="0" applyBorder="1"/>
    <xf numFmtId="43" fontId="0" fillId="0" borderId="7" xfId="0" applyNumberFormat="1" applyBorder="1"/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1" xfId="0" applyBorder="1"/>
    <xf numFmtId="11" fontId="0" fillId="0" borderId="2" xfId="0" applyNumberFormat="1" applyBorder="1"/>
    <xf numFmtId="11" fontId="0" fillId="0" borderId="0" xfId="0" applyNumberFormat="1" applyBorder="1"/>
    <xf numFmtId="0" fontId="0" fillId="3" borderId="4" xfId="0" applyFill="1" applyBorder="1"/>
    <xf numFmtId="0" fontId="0" fillId="2" borderId="4" xfId="0" applyFill="1" applyBorder="1"/>
    <xf numFmtId="11" fontId="0" fillId="0" borderId="7" xfId="0" applyNumberFormat="1" applyBorder="1"/>
    <xf numFmtId="43" fontId="0" fillId="0" borderId="8" xfId="1" applyFont="1" applyBorder="1"/>
    <xf numFmtId="11" fontId="0" fillId="3" borderId="0" xfId="0" applyNumberFormat="1" applyFill="1" applyBorder="1"/>
    <xf numFmtId="165" fontId="0" fillId="0" borderId="0" xfId="0" applyNumberFormat="1" applyBorder="1"/>
    <xf numFmtId="0" fontId="0" fillId="0" borderId="11" xfId="0" applyBorder="1"/>
    <xf numFmtId="164" fontId="0" fillId="0" borderId="3" xfId="1" applyNumberFormat="1" applyFont="1" applyBorder="1"/>
    <xf numFmtId="164" fontId="0" fillId="0" borderId="5" xfId="1" applyNumberFormat="1" applyFont="1" applyBorder="1"/>
    <xf numFmtId="164" fontId="0" fillId="3" borderId="5" xfId="1" applyNumberFormat="1" applyFont="1" applyFill="1" applyBorder="1"/>
    <xf numFmtId="164" fontId="0" fillId="0" borderId="0" xfId="1" applyNumberFormat="1" applyFont="1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9" fontId="0" fillId="0" borderId="3" xfId="2" applyFont="1" applyBorder="1"/>
    <xf numFmtId="164" fontId="0" fillId="0" borderId="4" xfId="1" applyNumberFormat="1" applyFont="1" applyBorder="1"/>
    <xf numFmtId="9" fontId="0" fillId="0" borderId="5" xfId="2" applyFont="1" applyBorder="1"/>
    <xf numFmtId="164" fontId="0" fillId="0" borderId="0" xfId="0" applyNumberFormat="1"/>
    <xf numFmtId="9" fontId="0" fillId="0" borderId="0" xfId="2" applyFont="1"/>
    <xf numFmtId="166" fontId="0" fillId="0" borderId="0" xfId="1" applyNumberFormat="1" applyFont="1"/>
    <xf numFmtId="0" fontId="0" fillId="0" borderId="0" xfId="0" applyAlignment="1">
      <alignment horizontal="right"/>
    </xf>
    <xf numFmtId="0" fontId="0" fillId="0" borderId="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Dezimal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F17" sqref="F17"/>
    </sheetView>
  </sheetViews>
  <sheetFormatPr baseColWidth="10" defaultRowHeight="15" x14ac:dyDescent="0.25"/>
  <cols>
    <col min="11" max="11" width="12.28515625" bestFit="1" customWidth="1"/>
  </cols>
  <sheetData>
    <row r="1" spans="1:15" x14ac:dyDescent="0.25">
      <c r="C1" s="4" t="s">
        <v>7</v>
      </c>
      <c r="D1" s="4" t="s">
        <v>8</v>
      </c>
      <c r="F1" t="s">
        <v>12</v>
      </c>
      <c r="I1" t="s">
        <v>19</v>
      </c>
    </row>
    <row r="2" spans="1:15" x14ac:dyDescent="0.25">
      <c r="A2" t="s">
        <v>0</v>
      </c>
      <c r="B2" s="1">
        <v>7.8799999999999999E-3</v>
      </c>
      <c r="F2" t="s">
        <v>13</v>
      </c>
      <c r="I2" t="s">
        <v>11</v>
      </c>
      <c r="J2">
        <v>1</v>
      </c>
    </row>
    <row r="3" spans="1:15" x14ac:dyDescent="0.25">
      <c r="A3" t="s">
        <v>1</v>
      </c>
      <c r="B3" s="1">
        <v>1.9369999999999999E-5</v>
      </c>
      <c r="I3" t="s">
        <v>10</v>
      </c>
      <c r="J3">
        <v>4</v>
      </c>
    </row>
    <row r="4" spans="1:15" x14ac:dyDescent="0.25">
      <c r="A4" t="s">
        <v>6</v>
      </c>
      <c r="B4" s="1">
        <v>4700</v>
      </c>
      <c r="C4" s="1">
        <f>B4*0.99</f>
        <v>4653</v>
      </c>
      <c r="D4" s="1">
        <f>B4*1.01</f>
        <v>4747</v>
      </c>
      <c r="I4" t="s">
        <v>20</v>
      </c>
      <c r="J4">
        <v>255</v>
      </c>
    </row>
    <row r="5" spans="1:15" x14ac:dyDescent="0.25">
      <c r="A5" t="s">
        <v>5</v>
      </c>
      <c r="B5" s="1">
        <v>1970</v>
      </c>
      <c r="C5">
        <v>1950</v>
      </c>
      <c r="D5">
        <v>1990</v>
      </c>
      <c r="I5" s="39" t="s">
        <v>21</v>
      </c>
      <c r="J5" s="38">
        <v>50</v>
      </c>
      <c r="K5" s="5">
        <f>(r_25*(1+alpha*($J5-25)+beta*POWER($J5-25,2)))/(r_25*(1+alpha*($J5-25)+beta*POWER($J5-25,2))+r_pull)*res</f>
        <v>344.41213746280602</v>
      </c>
    </row>
    <row r="6" spans="1:15" x14ac:dyDescent="0.25">
      <c r="A6" t="s">
        <v>16</v>
      </c>
      <c r="B6" s="5">
        <v>1024</v>
      </c>
      <c r="I6" s="39" t="s">
        <v>23</v>
      </c>
      <c r="J6" s="38">
        <v>69</v>
      </c>
      <c r="K6" s="5">
        <f>(r_25*(1+alpha*($J6-25)+beta*POWER($J6-25,2)))/(r_25*(1+alpha*($J6-25)+beta*POWER($J6-25,2))+r_pull)*res</f>
        <v>375.97849600787805</v>
      </c>
      <c r="M6">
        <f>shutdown_adc-target_adc</f>
        <v>31.566358545072035</v>
      </c>
      <c r="N6">
        <v>32</v>
      </c>
    </row>
    <row r="8" spans="1:15" x14ac:dyDescent="0.25">
      <c r="A8" s="41" t="s">
        <v>14</v>
      </c>
      <c r="B8" s="42"/>
      <c r="C8" s="43"/>
      <c r="D8" s="41" t="s">
        <v>15</v>
      </c>
      <c r="E8" s="42"/>
      <c r="F8" s="43"/>
      <c r="G8" s="6"/>
      <c r="H8" s="41" t="s">
        <v>17</v>
      </c>
      <c r="I8" s="42"/>
      <c r="J8" s="42"/>
      <c r="K8" s="43"/>
      <c r="L8" s="26"/>
    </row>
    <row r="9" spans="1:15" x14ac:dyDescent="0.25">
      <c r="A9" s="12" t="s">
        <v>2</v>
      </c>
      <c r="B9" s="13" t="s">
        <v>4</v>
      </c>
      <c r="C9" s="14" t="s">
        <v>3</v>
      </c>
      <c r="D9" s="12" t="s">
        <v>3</v>
      </c>
      <c r="E9" s="13" t="s">
        <v>4</v>
      </c>
      <c r="F9" s="14" t="s">
        <v>2</v>
      </c>
      <c r="G9" s="6"/>
      <c r="H9" s="12" t="s">
        <v>2</v>
      </c>
      <c r="I9" s="13" t="s">
        <v>3</v>
      </c>
      <c r="J9" s="6" t="s">
        <v>9</v>
      </c>
      <c r="K9" s="40" t="s">
        <v>18</v>
      </c>
      <c r="L9" s="14" t="s">
        <v>22</v>
      </c>
    </row>
    <row r="10" spans="1:15" x14ac:dyDescent="0.25">
      <c r="A10" s="17">
        <v>25</v>
      </c>
      <c r="B10" s="18">
        <f t="shared" ref="B10:B22" si="0">r_25*(1+alpha*($A10-25)+beta*POWER($A10-25,2))</f>
        <v>1970</v>
      </c>
      <c r="C10" s="27">
        <f>(r_25*(1+alpha*($A10-25)+beta*POWER($A10-25,2)))/(r_25*(1+alpha*($A10-25)+beta*POWER($A10-25,2))+r_pull)*res</f>
        <v>302.44077961019491</v>
      </c>
      <c r="D10" s="15">
        <v>353</v>
      </c>
      <c r="E10" s="18">
        <f>-D10*r_pull/(D10-res)</f>
        <v>2472.5782414307005</v>
      </c>
      <c r="F10" s="8">
        <f>(25+(SQRT(alpha^2-4*beta+4*beta*((-D10*r_pull/(D10-res))/r_25))-alpha)/(2*beta))</f>
        <v>55.141831517094559</v>
      </c>
      <c r="G10" s="25"/>
      <c r="H10" s="31">
        <v>25</v>
      </c>
      <c r="I10" s="32">
        <f t="shared" ref="I10:I22" si="1">(r_25*(1+alpha*($H10-25)+beta*POWER($H10-25,2)))/(r_25*(1+alpha*($H10-25)+beta*POWER($H10-25,2))+r_pull)*res</f>
        <v>302.44077961019491</v>
      </c>
      <c r="J10" s="30">
        <f>IF(I10&gt;$K$5,(I10-$K$5),0)</f>
        <v>0</v>
      </c>
      <c r="K10" s="30">
        <f>IF(I10&gt;target_adc,pwm_soll-pwm_soll*J10/$N$6,$J$4)</f>
        <v>255</v>
      </c>
      <c r="L10" s="33">
        <f t="shared" ref="L10:L22" si="2">K10/$J$4</f>
        <v>1</v>
      </c>
      <c r="N10" s="30">
        <f t="shared" ref="N10:N22" si="3">IF(I10&gt;target_adc,(pwm_soll-pwm_soll*J10/($N$6)),$J$4)</f>
        <v>255</v>
      </c>
      <c r="O10" s="36"/>
    </row>
    <row r="11" spans="1:15" x14ac:dyDescent="0.25">
      <c r="A11" s="7">
        <v>30</v>
      </c>
      <c r="B11" s="19">
        <f t="shared" si="0"/>
        <v>2048.5719724999999</v>
      </c>
      <c r="C11" s="28">
        <f t="shared" ref="C11:C22" si="4">B11/(B11+r_pull)*res</f>
        <v>310.84171709039293</v>
      </c>
      <c r="D11" s="16"/>
      <c r="E11" s="10"/>
      <c r="F11" s="11"/>
      <c r="G11" s="15"/>
      <c r="H11" s="34">
        <v>30</v>
      </c>
      <c r="I11" s="30">
        <f t="shared" si="1"/>
        <v>310.84171709039293</v>
      </c>
      <c r="J11" s="30">
        <f t="shared" ref="J11:J22" si="5">IF(I11&gt;$K$5,(I11-$K$5),0)</f>
        <v>0</v>
      </c>
      <c r="K11" s="30">
        <f>IF(I11&gt;target_adc,pwm_soll-pwm_soll*J11/$N$6,$J$4)</f>
        <v>255</v>
      </c>
      <c r="L11" s="35">
        <f t="shared" si="2"/>
        <v>1</v>
      </c>
      <c r="N11" s="30">
        <f t="shared" si="3"/>
        <v>255</v>
      </c>
      <c r="O11" s="36"/>
    </row>
    <row r="12" spans="1:15" x14ac:dyDescent="0.25">
      <c r="A12" s="7">
        <v>35</v>
      </c>
      <c r="B12" s="19">
        <f t="shared" si="0"/>
        <v>2129.0518900000002</v>
      </c>
      <c r="C12" s="28">
        <f t="shared" si="4"/>
        <v>319.24623951861639</v>
      </c>
      <c r="E12" s="3"/>
      <c r="H12" s="34">
        <v>35</v>
      </c>
      <c r="I12" s="30">
        <f t="shared" si="1"/>
        <v>319.24623951861639</v>
      </c>
      <c r="J12" s="30">
        <f t="shared" si="5"/>
        <v>0</v>
      </c>
      <c r="K12" s="30">
        <f>IF(I12&gt;target_adc,pwm_soll-pwm_soll*J12/$N$6,$J$4)</f>
        <v>255</v>
      </c>
      <c r="L12" s="35">
        <f t="shared" si="2"/>
        <v>1</v>
      </c>
      <c r="N12" s="30">
        <f t="shared" si="3"/>
        <v>255</v>
      </c>
      <c r="O12" s="36"/>
    </row>
    <row r="13" spans="1:15" x14ac:dyDescent="0.25">
      <c r="A13" s="7">
        <v>40</v>
      </c>
      <c r="B13" s="19">
        <f t="shared" si="0"/>
        <v>2211.4397524999999</v>
      </c>
      <c r="C13" s="28">
        <f t="shared" si="4"/>
        <v>327.64726130194242</v>
      </c>
      <c r="E13" s="3"/>
      <c r="H13" s="34">
        <v>40</v>
      </c>
      <c r="I13" s="30">
        <f t="shared" si="1"/>
        <v>327.64726130194242</v>
      </c>
      <c r="J13" s="30">
        <f t="shared" si="5"/>
        <v>0</v>
      </c>
      <c r="K13" s="30">
        <f>IF(I13&gt;target_adc,pwm_soll-pwm_soll*J13/$N$6,$J$4)</f>
        <v>255</v>
      </c>
      <c r="L13" s="35">
        <f t="shared" si="2"/>
        <v>1</v>
      </c>
      <c r="N13" s="30">
        <f t="shared" si="3"/>
        <v>255</v>
      </c>
      <c r="O13" s="36"/>
    </row>
    <row r="14" spans="1:15" x14ac:dyDescent="0.25">
      <c r="A14" s="7">
        <v>45</v>
      </c>
      <c r="B14" s="19">
        <f t="shared" si="0"/>
        <v>2295.7355600000001</v>
      </c>
      <c r="C14" s="28">
        <f t="shared" si="4"/>
        <v>336.0380324953278</v>
      </c>
      <c r="E14" s="3"/>
      <c r="H14" s="34">
        <v>45</v>
      </c>
      <c r="I14" s="30">
        <f t="shared" si="1"/>
        <v>336.0380324953278</v>
      </c>
      <c r="J14" s="30">
        <f t="shared" si="5"/>
        <v>0</v>
      </c>
      <c r="K14" s="30">
        <f>IF(I14&gt;target_adc,pwm_soll-pwm_soll*J14/$N$6,$J$4)</f>
        <v>255</v>
      </c>
      <c r="L14" s="35">
        <f t="shared" si="2"/>
        <v>1</v>
      </c>
      <c r="N14" s="30">
        <f t="shared" si="3"/>
        <v>255</v>
      </c>
      <c r="O14" s="36"/>
    </row>
    <row r="15" spans="1:15" x14ac:dyDescent="0.25">
      <c r="A15" s="20">
        <v>50</v>
      </c>
      <c r="B15" s="24">
        <f t="shared" si="0"/>
        <v>2381.9393125000001</v>
      </c>
      <c r="C15" s="29">
        <f t="shared" si="4"/>
        <v>344.41213746280602</v>
      </c>
      <c r="E15" s="3"/>
      <c r="H15" s="34">
        <v>50</v>
      </c>
      <c r="I15" s="30">
        <f t="shared" si="1"/>
        <v>344.41213746280602</v>
      </c>
      <c r="J15" s="30">
        <f t="shared" si="5"/>
        <v>0</v>
      </c>
      <c r="K15" s="30">
        <f>IF(I15&gt;target_adc,pwm_soll-pwm_soll*J15/$N$6,$J$4)</f>
        <v>255</v>
      </c>
      <c r="L15" s="35">
        <f t="shared" si="2"/>
        <v>1</v>
      </c>
      <c r="N15" s="30">
        <f t="shared" si="3"/>
        <v>255</v>
      </c>
      <c r="O15" s="37"/>
    </row>
    <row r="16" spans="1:15" x14ac:dyDescent="0.25">
      <c r="A16" s="7">
        <v>55</v>
      </c>
      <c r="B16" s="19">
        <f t="shared" si="0"/>
        <v>2470.0510100000001</v>
      </c>
      <c r="C16" s="28">
        <f t="shared" si="4"/>
        <v>352.76349229766498</v>
      </c>
      <c r="H16" s="34">
        <v>55</v>
      </c>
      <c r="I16" s="30">
        <f t="shared" si="1"/>
        <v>352.76349229766498</v>
      </c>
      <c r="J16" s="30">
        <f t="shared" si="5"/>
        <v>8.3513548348589666</v>
      </c>
      <c r="K16" s="30">
        <f>IF(I16&gt;target_adc,pwm_soll-pwm_soll*J16/$N$6,$J$4)</f>
        <v>188.45014115971762</v>
      </c>
      <c r="L16" s="35">
        <f t="shared" si="2"/>
        <v>0.73902016141065729</v>
      </c>
      <c r="N16" s="30">
        <f t="shared" si="3"/>
        <v>188.45014115971762</v>
      </c>
      <c r="O16" s="5"/>
    </row>
    <row r="17" spans="1:15" x14ac:dyDescent="0.25">
      <c r="A17" s="7">
        <v>60</v>
      </c>
      <c r="B17" s="19">
        <f t="shared" si="0"/>
        <v>2560.0706525000001</v>
      </c>
      <c r="C17" s="28">
        <f t="shared" si="4"/>
        <v>361.0863411167058</v>
      </c>
      <c r="H17" s="34">
        <v>60</v>
      </c>
      <c r="I17" s="30">
        <f t="shared" si="1"/>
        <v>361.0863411167058</v>
      </c>
      <c r="J17" s="30">
        <f t="shared" si="5"/>
        <v>16.674203653899781</v>
      </c>
      <c r="K17" s="30">
        <f>IF(I17&gt;target_adc,pwm_soll-pwm_soll*J17/$N$6,$J$4)</f>
        <v>122.12743963298612</v>
      </c>
      <c r="L17" s="35">
        <f t="shared" si="2"/>
        <v>0.47893113581563185</v>
      </c>
      <c r="N17" s="30">
        <f t="shared" si="3"/>
        <v>122.12743963298612</v>
      </c>
      <c r="O17" s="5"/>
    </row>
    <row r="18" spans="1:15" x14ac:dyDescent="0.25">
      <c r="A18" s="7">
        <v>65</v>
      </c>
      <c r="B18" s="19">
        <f t="shared" si="0"/>
        <v>2651.9982399999999</v>
      </c>
      <c r="C18" s="28">
        <f t="shared" si="4"/>
        <v>369.37525134119181</v>
      </c>
      <c r="H18" s="34">
        <v>65</v>
      </c>
      <c r="I18" s="30">
        <f t="shared" si="1"/>
        <v>369.37525134119181</v>
      </c>
      <c r="J18" s="30">
        <f t="shared" si="5"/>
        <v>24.963113878385798</v>
      </c>
      <c r="K18" s="30">
        <f>IF(I18&gt;target_adc,pwm_soll-pwm_soll*J18/$N$6,$J$4)</f>
        <v>56.075186281613185</v>
      </c>
      <c r="L18" s="35">
        <f t="shared" si="2"/>
        <v>0.21990269130044388</v>
      </c>
      <c r="N18" s="30">
        <f t="shared" si="3"/>
        <v>56.075186281613185</v>
      </c>
      <c r="O18" s="5"/>
    </row>
    <row r="19" spans="1:15" x14ac:dyDescent="0.25">
      <c r="A19" s="7">
        <v>70</v>
      </c>
      <c r="B19" s="19">
        <f t="shared" si="0"/>
        <v>2745.8337725000001</v>
      </c>
      <c r="C19" s="28">
        <f t="shared" si="4"/>
        <v>377.62510807381847</v>
      </c>
      <c r="H19" s="34">
        <v>70</v>
      </c>
      <c r="I19" s="30">
        <f t="shared" si="1"/>
        <v>377.62510807381847</v>
      </c>
      <c r="J19" s="30">
        <f t="shared" si="5"/>
        <v>33.212970611012452</v>
      </c>
      <c r="K19" s="30">
        <f>IF(I19&gt;target_adc,pwm_soll-pwm_soll*J19/$N$6,$J$4)</f>
        <v>-9.6658595565054952</v>
      </c>
      <c r="L19" s="35">
        <f t="shared" si="2"/>
        <v>-3.7905331594139197E-2</v>
      </c>
      <c r="N19" s="30">
        <f t="shared" si="3"/>
        <v>-9.6658595565054952</v>
      </c>
      <c r="O19" s="5"/>
    </row>
    <row r="20" spans="1:15" x14ac:dyDescent="0.25">
      <c r="A20" s="7">
        <v>75</v>
      </c>
      <c r="B20" s="19">
        <f t="shared" si="0"/>
        <v>2841.5772500000003</v>
      </c>
      <c r="C20" s="28">
        <f t="shared" si="4"/>
        <v>385.83110767711094</v>
      </c>
      <c r="H20" s="34">
        <v>75</v>
      </c>
      <c r="I20" s="30">
        <f t="shared" si="1"/>
        <v>385.83110767711094</v>
      </c>
      <c r="J20" s="30">
        <f t="shared" si="5"/>
        <v>41.41897021430492</v>
      </c>
      <c r="K20" s="30">
        <f>IF(I20&gt;target_adc,pwm_soll-pwm_soll*J20/$N$6,$J$4)</f>
        <v>-75.057418895242336</v>
      </c>
      <c r="L20" s="35">
        <f t="shared" si="2"/>
        <v>-0.29434281919702876</v>
      </c>
      <c r="N20" s="30">
        <f t="shared" si="3"/>
        <v>-75.057418895242336</v>
      </c>
      <c r="O20" s="5"/>
    </row>
    <row r="21" spans="1:15" x14ac:dyDescent="0.25">
      <c r="A21" s="7">
        <v>80</v>
      </c>
      <c r="B21" s="19">
        <f t="shared" si="0"/>
        <v>2939.2286725000004</v>
      </c>
      <c r="C21" s="28">
        <f t="shared" si="4"/>
        <v>393.9887506541977</v>
      </c>
      <c r="H21" s="34">
        <v>80</v>
      </c>
      <c r="I21" s="30">
        <f t="shared" si="1"/>
        <v>393.9887506541977</v>
      </c>
      <c r="J21" s="30">
        <f t="shared" si="5"/>
        <v>49.576613191391687</v>
      </c>
      <c r="K21" s="30">
        <f>IF(I21&gt;target_adc,pwm_soll-pwm_soll*J21/$N$6,$J$4)</f>
        <v>-140.06363636890251</v>
      </c>
      <c r="L21" s="35">
        <f t="shared" si="2"/>
        <v>-0.5492691622309902</v>
      </c>
      <c r="N21" s="30">
        <f t="shared" si="3"/>
        <v>-140.06363636890251</v>
      </c>
      <c r="O21" s="37"/>
    </row>
    <row r="22" spans="1:15" x14ac:dyDescent="0.25">
      <c r="A22" s="21">
        <v>85</v>
      </c>
      <c r="B22" s="19">
        <f t="shared" si="0"/>
        <v>3038.7880399999995</v>
      </c>
      <c r="C22" s="28">
        <f t="shared" si="4"/>
        <v>402.09383392803193</v>
      </c>
      <c r="H22" s="34">
        <v>85</v>
      </c>
      <c r="I22" s="30">
        <f t="shared" si="1"/>
        <v>402.09383392803193</v>
      </c>
      <c r="J22" s="30">
        <f t="shared" si="5"/>
        <v>57.681696465225912</v>
      </c>
      <c r="K22" s="30">
        <f>IF(I22&gt;target_adc,pwm_soll-pwm_soll*J22/$N$6,$J$4)</f>
        <v>-204.65101870726897</v>
      </c>
      <c r="L22" s="35">
        <f t="shared" si="2"/>
        <v>-0.80255301453830974</v>
      </c>
      <c r="N22" s="30">
        <f t="shared" si="3"/>
        <v>-204.65101870726897</v>
      </c>
      <c r="O22" s="37"/>
    </row>
    <row r="23" spans="1:15" x14ac:dyDescent="0.25">
      <c r="A23" s="9"/>
      <c r="B23" s="22"/>
      <c r="C23" s="23"/>
      <c r="H23" s="9"/>
      <c r="I23" s="16"/>
      <c r="J23" s="16"/>
      <c r="K23" s="16"/>
      <c r="L23" s="11"/>
    </row>
    <row r="24" spans="1:15" x14ac:dyDescent="0.25">
      <c r="B24" s="1"/>
      <c r="C24" s="2"/>
    </row>
    <row r="25" spans="1:15" x14ac:dyDescent="0.25">
      <c r="B25" s="1"/>
      <c r="C25" s="2"/>
    </row>
    <row r="26" spans="1:15" x14ac:dyDescent="0.25">
      <c r="B26" s="1"/>
      <c r="C26" s="2"/>
    </row>
    <row r="27" spans="1:15" x14ac:dyDescent="0.25">
      <c r="B27" s="1"/>
      <c r="C27" s="2"/>
    </row>
    <row r="28" spans="1:15" x14ac:dyDescent="0.25">
      <c r="B28" s="1"/>
      <c r="C28" s="2"/>
    </row>
    <row r="29" spans="1:15" x14ac:dyDescent="0.25">
      <c r="B29" s="1"/>
      <c r="C29" s="2"/>
    </row>
    <row r="30" spans="1:15" x14ac:dyDescent="0.25">
      <c r="B30" s="1"/>
      <c r="C30" s="2"/>
    </row>
    <row r="31" spans="1:15" x14ac:dyDescent="0.25">
      <c r="B31" s="1"/>
      <c r="C31" s="2"/>
    </row>
  </sheetData>
  <mergeCells count="3">
    <mergeCell ref="A8:C8"/>
    <mergeCell ref="D8:F8"/>
    <mergeCell ref="H8:K8"/>
  </mergeCell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8</vt:i4>
      </vt:variant>
    </vt:vector>
  </HeadingPairs>
  <TitlesOfParts>
    <vt:vector size="11" baseType="lpstr">
      <vt:lpstr>Tabelle1</vt:lpstr>
      <vt:lpstr>Tabelle2</vt:lpstr>
      <vt:lpstr>Tabelle3</vt:lpstr>
      <vt:lpstr>alpha</vt:lpstr>
      <vt:lpstr>beta</vt:lpstr>
      <vt:lpstr>pwm_soll</vt:lpstr>
      <vt:lpstr>r_25</vt:lpstr>
      <vt:lpstr>r_pull</vt:lpstr>
      <vt:lpstr>res</vt:lpstr>
      <vt:lpstr>shutdown_adc</vt:lpstr>
      <vt:lpstr>target_adc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Engelmann</dc:creator>
  <cp:lastModifiedBy>Tobias Engelmann</cp:lastModifiedBy>
  <dcterms:created xsi:type="dcterms:W3CDTF">2010-06-25T23:03:21Z</dcterms:created>
  <dcterms:modified xsi:type="dcterms:W3CDTF">2010-07-01T21:00:20Z</dcterms:modified>
</cp:coreProperties>
</file>