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60" windowHeight="7760" firstSheet="1" activeTab="2"/>
  </bookViews>
  <sheets>
    <sheet name="Assignment" sheetId="1" r:id="rId1"/>
    <sheet name="Historical Quotations" sheetId="2" r:id="rId2"/>
    <sheet name="MODEL" sheetId="16" r:id="rId3"/>
    <sheet name="Correlation" sheetId="6" r:id="rId4"/>
    <sheet name="Individual Variables" sheetId="5" r:id="rId5"/>
    <sheet name="CS-Regression Analysis" sheetId="17" r:id="rId6"/>
    <sheet name="CS-Cost Regression" sheetId="18" r:id="rId7"/>
    <sheet name="SS-Regression" sheetId="20" r:id="rId8"/>
    <sheet name="SS-Cost Regression" sheetId="22" r:id="rId9"/>
  </sheets>
  <definedNames>
    <definedName name="_xlnm._FilterDatabase" localSheetId="1" hidden="1">'Historical Quotations'!$A$1:$N$48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4" i="16" l="1"/>
  <c r="L61" i="16"/>
  <c r="L60" i="16"/>
  <c r="L58" i="16"/>
  <c r="L57" i="16"/>
  <c r="L56" i="16"/>
  <c r="L55" i="16"/>
  <c r="L54" i="16"/>
  <c r="L51" i="16"/>
  <c r="L50" i="16"/>
  <c r="L69" i="16"/>
  <c r="L68" i="16"/>
  <c r="L67" i="16"/>
  <c r="L66" i="16"/>
  <c r="L65" i="16"/>
  <c r="L63" i="16"/>
  <c r="L62" i="16"/>
  <c r="L59" i="16"/>
  <c r="L53" i="16"/>
  <c r="L52" i="16"/>
  <c r="L49" i="16"/>
  <c r="L47" i="16"/>
  <c r="L44" i="16"/>
  <c r="L43" i="16"/>
  <c r="L42" i="16"/>
  <c r="L39" i="16"/>
  <c r="L36" i="16"/>
  <c r="L33" i="16"/>
  <c r="L32" i="16"/>
  <c r="L28" i="16"/>
  <c r="L27" i="16"/>
  <c r="L48" i="16"/>
  <c r="L46" i="16"/>
  <c r="L45" i="16"/>
  <c r="L41" i="16"/>
  <c r="L40" i="16"/>
  <c r="L38" i="16"/>
  <c r="L37" i="16"/>
  <c r="L35" i="16"/>
  <c r="L34" i="16"/>
  <c r="L31" i="16"/>
  <c r="L30" i="16"/>
  <c r="L29" i="16"/>
  <c r="L26" i="16"/>
  <c r="L25" i="16"/>
  <c r="L24" i="16"/>
  <c r="L23" i="16"/>
  <c r="I23" i="16"/>
  <c r="K64" i="16" l="1"/>
  <c r="K61" i="16"/>
  <c r="K60" i="16"/>
  <c r="K58" i="16"/>
  <c r="K57" i="16"/>
  <c r="K56" i="16"/>
  <c r="K55" i="16"/>
  <c r="K54" i="16"/>
  <c r="K51" i="16"/>
  <c r="K50" i="16"/>
  <c r="K49" i="16"/>
  <c r="K47" i="16"/>
  <c r="K44" i="16"/>
  <c r="K43" i="16"/>
  <c r="K42" i="16"/>
  <c r="K39" i="16"/>
  <c r="K36" i="16"/>
  <c r="K33" i="16"/>
  <c r="K32" i="16"/>
  <c r="K28" i="16"/>
  <c r="K27" i="16"/>
  <c r="J28" i="16"/>
  <c r="K69" i="16"/>
  <c r="K68" i="16"/>
  <c r="K67" i="16"/>
  <c r="K66" i="16"/>
  <c r="K65" i="16"/>
  <c r="K63" i="16"/>
  <c r="K62" i="16"/>
  <c r="K59" i="16"/>
  <c r="K53" i="16"/>
  <c r="K52" i="16"/>
  <c r="K48" i="16"/>
  <c r="K46" i="16"/>
  <c r="K45" i="16"/>
  <c r="K41" i="16"/>
  <c r="K40" i="16"/>
  <c r="K38" i="16"/>
  <c r="K37" i="16"/>
  <c r="K35" i="16"/>
  <c r="K34" i="16"/>
  <c r="K31" i="16"/>
  <c r="K30" i="16"/>
  <c r="K29" i="16"/>
  <c r="K26" i="16"/>
  <c r="K25" i="16"/>
  <c r="K24" i="16"/>
  <c r="K23" i="16"/>
  <c r="J65" i="16" l="1"/>
  <c r="J64" i="16"/>
  <c r="J61" i="16"/>
  <c r="J60" i="16"/>
  <c r="J58" i="16"/>
  <c r="J57" i="16"/>
  <c r="J56" i="16"/>
  <c r="J55" i="16"/>
  <c r="J54" i="16"/>
  <c r="J51" i="16"/>
  <c r="J50" i="16"/>
  <c r="J49" i="16"/>
  <c r="J47" i="16"/>
  <c r="J44" i="16"/>
  <c r="J43" i="16"/>
  <c r="J42" i="16"/>
  <c r="J39" i="16"/>
  <c r="J36" i="16"/>
  <c r="J33" i="16"/>
  <c r="J32" i="16"/>
  <c r="J27" i="16"/>
  <c r="J69" i="16"/>
  <c r="J68" i="16"/>
  <c r="J67" i="16"/>
  <c r="J66" i="16"/>
  <c r="J63" i="16"/>
  <c r="J62" i="16"/>
  <c r="J59" i="16"/>
  <c r="J53" i="16"/>
  <c r="J52" i="16"/>
  <c r="J48" i="16"/>
  <c r="J46" i="16"/>
  <c r="J45" i="16"/>
  <c r="J41" i="16"/>
  <c r="J40" i="16"/>
  <c r="J38" i="16"/>
  <c r="J37" i="16"/>
  <c r="J35" i="16"/>
  <c r="J34" i="16"/>
  <c r="J31" i="16"/>
  <c r="J30" i="16"/>
  <c r="J29" i="16"/>
  <c r="J26" i="16"/>
  <c r="J25" i="16"/>
  <c r="J24" i="16"/>
  <c r="J23" i="16"/>
  <c r="N23" i="16" s="1"/>
  <c r="O23" i="16" s="1"/>
  <c r="P23" i="16" s="1"/>
  <c r="I69" i="16" l="1"/>
  <c r="N69" i="16" s="1"/>
  <c r="O69" i="16" s="1"/>
  <c r="P69" i="16" s="1"/>
  <c r="I68" i="16"/>
  <c r="N68" i="16" s="1"/>
  <c r="O68" i="16" s="1"/>
  <c r="P68" i="16" s="1"/>
  <c r="I67" i="16"/>
  <c r="N67" i="16" s="1"/>
  <c r="O67" i="16" s="1"/>
  <c r="P67" i="16" s="1"/>
  <c r="I66" i="16"/>
  <c r="N66" i="16" s="1"/>
  <c r="O66" i="16" s="1"/>
  <c r="P66" i="16" s="1"/>
  <c r="I65" i="16"/>
  <c r="N65" i="16" s="1"/>
  <c r="O65" i="16" s="1"/>
  <c r="P65" i="16" s="1"/>
  <c r="I63" i="16"/>
  <c r="N63" i="16" s="1"/>
  <c r="O63" i="16" s="1"/>
  <c r="P63" i="16" s="1"/>
  <c r="I62" i="16"/>
  <c r="N62" i="16" s="1"/>
  <c r="O62" i="16" s="1"/>
  <c r="P62" i="16" s="1"/>
  <c r="I59" i="16"/>
  <c r="N59" i="16" s="1"/>
  <c r="O59" i="16" s="1"/>
  <c r="P59" i="16" s="1"/>
  <c r="I53" i="16"/>
  <c r="N53" i="16" s="1"/>
  <c r="O53" i="16" s="1"/>
  <c r="P53" i="16" s="1"/>
  <c r="I52" i="16"/>
  <c r="N52" i="16" s="1"/>
  <c r="O52" i="16" s="1"/>
  <c r="I48" i="16"/>
  <c r="N48" i="16" s="1"/>
  <c r="O48" i="16" s="1"/>
  <c r="I46" i="16"/>
  <c r="N46" i="16" s="1"/>
  <c r="O46" i="16" s="1"/>
  <c r="I45" i="16"/>
  <c r="N45" i="16" s="1"/>
  <c r="O45" i="16" s="1"/>
  <c r="I41" i="16"/>
  <c r="N41" i="16" s="1"/>
  <c r="O41" i="16" s="1"/>
  <c r="I40" i="16"/>
  <c r="N40" i="16" s="1"/>
  <c r="O40" i="16" s="1"/>
  <c r="I38" i="16"/>
  <c r="N38" i="16" s="1"/>
  <c r="O38" i="16" s="1"/>
  <c r="I37" i="16"/>
  <c r="N37" i="16" s="1"/>
  <c r="O37" i="16" s="1"/>
  <c r="I35" i="16"/>
  <c r="N35" i="16" s="1"/>
  <c r="O35" i="16" s="1"/>
  <c r="I34" i="16"/>
  <c r="N34" i="16" s="1"/>
  <c r="O34" i="16" s="1"/>
  <c r="I31" i="16"/>
  <c r="N31" i="16" s="1"/>
  <c r="O31" i="16" s="1"/>
  <c r="I30" i="16"/>
  <c r="N30" i="16" s="1"/>
  <c r="O30" i="16" s="1"/>
  <c r="I29" i="16"/>
  <c r="N29" i="16" s="1"/>
  <c r="O29" i="16" s="1"/>
  <c r="I26" i="16"/>
  <c r="N26" i="16" s="1"/>
  <c r="O26" i="16" s="1"/>
  <c r="I25" i="16"/>
  <c r="N25" i="16" s="1"/>
  <c r="O25" i="16" s="1"/>
  <c r="I24" i="16"/>
  <c r="N24" i="16" s="1"/>
  <c r="O24" i="16" s="1"/>
  <c r="I64" i="16" l="1"/>
  <c r="N64" i="16" s="1"/>
  <c r="O64" i="16" s="1"/>
  <c r="I61" i="16"/>
  <c r="N61" i="16" s="1"/>
  <c r="O61" i="16" s="1"/>
  <c r="I60" i="16"/>
  <c r="N60" i="16" s="1"/>
  <c r="O60" i="16" s="1"/>
  <c r="I58" i="16"/>
  <c r="N58" i="16" s="1"/>
  <c r="O58" i="16" s="1"/>
  <c r="I57" i="16"/>
  <c r="I56" i="16"/>
  <c r="N56" i="16" s="1"/>
  <c r="O56" i="16" s="1"/>
  <c r="I55" i="16"/>
  <c r="N55" i="16" s="1"/>
  <c r="O55" i="16" s="1"/>
  <c r="I54" i="16"/>
  <c r="N54" i="16" s="1"/>
  <c r="O54" i="16" s="1"/>
  <c r="I51" i="16"/>
  <c r="N51" i="16" s="1"/>
  <c r="O51" i="16" s="1"/>
  <c r="I50" i="16"/>
  <c r="N50" i="16" s="1"/>
  <c r="O50" i="16" s="1"/>
  <c r="I49" i="16"/>
  <c r="I47" i="16"/>
  <c r="I44" i="16"/>
  <c r="I43" i="16"/>
  <c r="I42" i="16"/>
  <c r="I39" i="16"/>
  <c r="I36" i="16"/>
  <c r="I33" i="16"/>
  <c r="I32" i="16"/>
  <c r="I28" i="16"/>
  <c r="I27" i="16"/>
  <c r="N27" i="16" s="1"/>
  <c r="O27" i="16" s="1"/>
  <c r="N28" i="16" l="1"/>
  <c r="O28" i="16" s="1"/>
  <c r="N47" i="16"/>
  <c r="O47" i="16" s="1"/>
  <c r="N42" i="16"/>
  <c r="O42" i="16" s="1"/>
  <c r="N39" i="16"/>
  <c r="O39" i="16" s="1"/>
  <c r="N32" i="16"/>
  <c r="O32" i="16" s="1"/>
  <c r="N49" i="16"/>
  <c r="O49" i="16" s="1"/>
  <c r="N33" i="16"/>
  <c r="O33" i="16" s="1"/>
  <c r="N43" i="16"/>
  <c r="O43" i="16" s="1"/>
  <c r="N36" i="16"/>
  <c r="O36" i="16" s="1"/>
  <c r="N44" i="16"/>
  <c r="O44" i="16" s="1"/>
  <c r="N57" i="16"/>
  <c r="O57" i="16" s="1"/>
  <c r="M23" i="16"/>
  <c r="P25" i="16" l="1"/>
  <c r="P26" i="16"/>
  <c r="P64" i="16" l="1"/>
  <c r="P58" i="16"/>
  <c r="P61" i="16"/>
  <c r="P60" i="16"/>
  <c r="P57" i="16"/>
  <c r="P54" i="16"/>
  <c r="P51" i="16"/>
  <c r="P50" i="16"/>
  <c r="P55" i="16"/>
  <c r="P52" i="16"/>
  <c r="P56" i="16"/>
  <c r="P28" i="16"/>
  <c r="P34" i="16"/>
  <c r="P39" i="16"/>
  <c r="P41" i="16"/>
  <c r="P46" i="16"/>
  <c r="P27" i="16"/>
  <c r="P38" i="16"/>
  <c r="T23" i="16"/>
  <c r="P47" i="16"/>
  <c r="P40" i="16"/>
  <c r="P24" i="16"/>
  <c r="P43" i="16"/>
  <c r="P45" i="16"/>
  <c r="P30" i="16"/>
  <c r="P35" i="16"/>
  <c r="P37" i="16"/>
  <c r="P48" i="16"/>
  <c r="P29" i="16"/>
  <c r="P42" i="16"/>
  <c r="P31" i="16"/>
  <c r="P33" i="16"/>
  <c r="P44" i="16"/>
  <c r="P36" i="16"/>
  <c r="P49" i="16"/>
  <c r="P32" i="16"/>
  <c r="R56" i="16" l="1"/>
  <c r="T56" i="16"/>
  <c r="S56" i="16"/>
  <c r="R60" i="16"/>
  <c r="T60" i="16"/>
  <c r="S60" i="16"/>
  <c r="R65" i="16"/>
  <c r="T65" i="16"/>
  <c r="S65" i="16"/>
  <c r="R52" i="16"/>
  <c r="T52" i="16"/>
  <c r="S52" i="16"/>
  <c r="R61" i="16"/>
  <c r="T61" i="16"/>
  <c r="S61" i="16"/>
  <c r="R63" i="16"/>
  <c r="T63" i="16"/>
  <c r="S63" i="16"/>
  <c r="R55" i="16"/>
  <c r="T55" i="16"/>
  <c r="S55" i="16"/>
  <c r="R53" i="16"/>
  <c r="T53" i="16"/>
  <c r="S53" i="16"/>
  <c r="R62" i="16"/>
  <c r="T62" i="16"/>
  <c r="S62" i="16"/>
  <c r="R69" i="16"/>
  <c r="T69" i="16"/>
  <c r="S69" i="16"/>
  <c r="R66" i="16"/>
  <c r="T66" i="16"/>
  <c r="S66" i="16"/>
  <c r="R51" i="16"/>
  <c r="S51" i="16"/>
  <c r="T51" i="16"/>
  <c r="R58" i="16"/>
  <c r="T58" i="16"/>
  <c r="S58" i="16"/>
  <c r="R54" i="16"/>
  <c r="T54" i="16"/>
  <c r="S54" i="16"/>
  <c r="R64" i="16"/>
  <c r="T64" i="16"/>
  <c r="S64" i="16"/>
  <c r="R50" i="16"/>
  <c r="T50" i="16"/>
  <c r="S50" i="16"/>
  <c r="R57" i="16"/>
  <c r="T57" i="16"/>
  <c r="S57" i="16"/>
  <c r="R59" i="16"/>
  <c r="S59" i="16"/>
  <c r="T59" i="16"/>
  <c r="R68" i="16"/>
  <c r="T68" i="16"/>
  <c r="S68" i="16"/>
  <c r="R67" i="16"/>
  <c r="T67" i="16"/>
  <c r="S67" i="16"/>
  <c r="T36" i="16"/>
  <c r="R36" i="16"/>
  <c r="T37" i="16"/>
  <c r="R37" i="16"/>
  <c r="T43" i="16"/>
  <c r="R43" i="16"/>
  <c r="T41" i="16"/>
  <c r="R41" i="16"/>
  <c r="T44" i="16"/>
  <c r="R44" i="16"/>
  <c r="T35" i="16"/>
  <c r="R35" i="16"/>
  <c r="T39" i="16"/>
  <c r="R39" i="16"/>
  <c r="T33" i="16"/>
  <c r="R33" i="16"/>
  <c r="T29" i="16"/>
  <c r="R29" i="16"/>
  <c r="T30" i="16"/>
  <c r="R30" i="16"/>
  <c r="T40" i="16"/>
  <c r="R40" i="16"/>
  <c r="T27" i="16"/>
  <c r="R27" i="16"/>
  <c r="T34" i="16"/>
  <c r="R34" i="16"/>
  <c r="T42" i="16"/>
  <c r="R42" i="16"/>
  <c r="T32" i="16"/>
  <c r="R32" i="16"/>
  <c r="T26" i="16"/>
  <c r="R26" i="16"/>
  <c r="T24" i="16"/>
  <c r="R24" i="16"/>
  <c r="T38" i="16"/>
  <c r="R38" i="16"/>
  <c r="T49" i="16"/>
  <c r="R49" i="16"/>
  <c r="T25" i="16"/>
  <c r="R25" i="16"/>
  <c r="T31" i="16"/>
  <c r="R31" i="16"/>
  <c r="T48" i="16"/>
  <c r="R48" i="16"/>
  <c r="T45" i="16"/>
  <c r="R45" i="16"/>
  <c r="T47" i="16"/>
  <c r="R47" i="16"/>
  <c r="T46" i="16"/>
  <c r="R46" i="16"/>
  <c r="T28" i="16"/>
  <c r="R28" i="16"/>
  <c r="S31" i="16"/>
  <c r="S45" i="16"/>
  <c r="S46" i="16"/>
  <c r="S42" i="16"/>
  <c r="S43" i="16"/>
  <c r="S41" i="16"/>
  <c r="S32" i="16"/>
  <c r="S44" i="16"/>
  <c r="S26" i="16"/>
  <c r="S35" i="16"/>
  <c r="S24" i="16"/>
  <c r="S38" i="16"/>
  <c r="S39" i="16"/>
  <c r="S25" i="16"/>
  <c r="S48" i="16"/>
  <c r="S47" i="16"/>
  <c r="S28" i="16"/>
  <c r="S36" i="16"/>
  <c r="S37" i="16"/>
  <c r="R23" i="16"/>
  <c r="S23" i="16"/>
  <c r="S49" i="16"/>
  <c r="S33" i="16"/>
  <c r="S29" i="16"/>
  <c r="S30" i="16"/>
  <c r="S40" i="16"/>
  <c r="S27" i="16"/>
  <c r="S34" i="16"/>
  <c r="C23" i="5" l="1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22" i="5"/>
  <c r="D22" i="5" s="1"/>
  <c r="V23" i="5"/>
  <c r="W23" i="5" s="1"/>
  <c r="V24" i="5"/>
  <c r="W24" i="5" s="1"/>
  <c r="V25" i="5"/>
  <c r="W25" i="5" s="1"/>
  <c r="V26" i="5"/>
  <c r="W26" i="5" s="1"/>
  <c r="V27" i="5"/>
  <c r="W27" i="5" s="1"/>
  <c r="V28" i="5"/>
  <c r="W28" i="5" s="1"/>
  <c r="V29" i="5"/>
  <c r="W29" i="5" s="1"/>
  <c r="V30" i="5"/>
  <c r="W30" i="5" s="1"/>
  <c r="V31" i="5"/>
  <c r="W31" i="5" s="1"/>
  <c r="V32" i="5"/>
  <c r="W32" i="5" s="1"/>
  <c r="V33" i="5"/>
  <c r="W33" i="5" s="1"/>
  <c r="V34" i="5"/>
  <c r="W34" i="5" s="1"/>
  <c r="V35" i="5"/>
  <c r="W35" i="5" s="1"/>
  <c r="V36" i="5"/>
  <c r="W36" i="5" s="1"/>
  <c r="V37" i="5"/>
  <c r="W37" i="5" s="1"/>
  <c r="V38" i="5"/>
  <c r="W38" i="5" s="1"/>
  <c r="V39" i="5"/>
  <c r="W39" i="5" s="1"/>
  <c r="V40" i="5"/>
  <c r="W40" i="5" s="1"/>
  <c r="V41" i="5"/>
  <c r="W41" i="5" s="1"/>
  <c r="V42" i="5"/>
  <c r="W42" i="5" s="1"/>
  <c r="V43" i="5"/>
  <c r="W43" i="5" s="1"/>
  <c r="V44" i="5"/>
  <c r="W44" i="5" s="1"/>
  <c r="V45" i="5"/>
  <c r="W45" i="5" s="1"/>
  <c r="V46" i="5"/>
  <c r="W46" i="5" s="1"/>
  <c r="V47" i="5"/>
  <c r="W47" i="5" s="1"/>
  <c r="V48" i="5"/>
  <c r="W48" i="5" s="1"/>
  <c r="V49" i="5"/>
  <c r="W49" i="5" s="1"/>
  <c r="V50" i="5"/>
  <c r="W50" i="5" s="1"/>
  <c r="V51" i="5"/>
  <c r="W51" i="5" s="1"/>
  <c r="V52" i="5"/>
  <c r="W52" i="5" s="1"/>
  <c r="V53" i="5"/>
  <c r="W53" i="5" s="1"/>
  <c r="V54" i="5"/>
  <c r="W54" i="5" s="1"/>
  <c r="V55" i="5"/>
  <c r="W55" i="5" s="1"/>
  <c r="V56" i="5"/>
  <c r="W56" i="5" s="1"/>
  <c r="V57" i="5"/>
  <c r="W57" i="5" s="1"/>
  <c r="V58" i="5"/>
  <c r="W58" i="5" s="1"/>
  <c r="V59" i="5"/>
  <c r="W59" i="5" s="1"/>
  <c r="V60" i="5"/>
  <c r="W60" i="5" s="1"/>
  <c r="V61" i="5"/>
  <c r="W61" i="5" s="1"/>
  <c r="V62" i="5"/>
  <c r="W62" i="5" s="1"/>
  <c r="V63" i="5"/>
  <c r="W63" i="5" s="1"/>
  <c r="V64" i="5"/>
  <c r="W64" i="5" s="1"/>
  <c r="V65" i="5"/>
  <c r="W65" i="5" s="1"/>
  <c r="V66" i="5"/>
  <c r="W66" i="5" s="1"/>
  <c r="V67" i="5"/>
  <c r="W67" i="5" s="1"/>
  <c r="V68" i="5"/>
  <c r="W68" i="5" s="1"/>
  <c r="V69" i="5"/>
  <c r="W69" i="5" s="1"/>
  <c r="V70" i="5"/>
  <c r="W70" i="5" s="1"/>
  <c r="V71" i="5"/>
  <c r="W71" i="5" s="1"/>
  <c r="V72" i="5"/>
  <c r="W72" i="5" s="1"/>
  <c r="V73" i="5"/>
  <c r="W73" i="5" s="1"/>
  <c r="V74" i="5"/>
  <c r="W74" i="5" s="1"/>
  <c r="V75" i="5"/>
  <c r="W75" i="5" s="1"/>
  <c r="V76" i="5"/>
  <c r="W76" i="5" s="1"/>
  <c r="V77" i="5"/>
  <c r="W77" i="5" s="1"/>
  <c r="V78" i="5"/>
  <c r="W78" i="5" s="1"/>
  <c r="V79" i="5"/>
  <c r="W79" i="5" s="1"/>
  <c r="V80" i="5"/>
  <c r="W80" i="5" s="1"/>
  <c r="V81" i="5"/>
  <c r="W81" i="5" s="1"/>
  <c r="V82" i="5"/>
  <c r="W82" i="5" s="1"/>
  <c r="V22" i="5"/>
  <c r="W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63" i="5"/>
  <c r="P63" i="5" s="1"/>
  <c r="O64" i="5"/>
  <c r="P64" i="5" s="1"/>
  <c r="O65" i="5"/>
  <c r="P65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22" i="5"/>
  <c r="P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22" i="5"/>
  <c r="I22" i="5" s="1"/>
</calcChain>
</file>

<file path=xl/sharedStrings.xml><?xml version="1.0" encoding="utf-8"?>
<sst xmlns="http://schemas.openxmlformats.org/spreadsheetml/2006/main" count="845" uniqueCount="240">
  <si>
    <t xml:space="preserve">Please create a cost model for calculating the supply cost of a steel pressure vessel. </t>
  </si>
  <si>
    <t>As data source, your are presented with historical quotations, collected from previous projects. These quotations are given on the next tab.</t>
  </si>
  <si>
    <t>To compare apples to apples, you will have to work with location factors, exchange rates and indexation.</t>
  </si>
  <si>
    <t>The model should have a reference date of January 2018, when it is to be used by your estimating team.</t>
  </si>
  <si>
    <t>Index per material</t>
  </si>
  <si>
    <t>Jan-15</t>
  </si>
  <si>
    <t>Jan-16</t>
  </si>
  <si>
    <t>Jan-17</t>
  </si>
  <si>
    <t>Jan-18</t>
  </si>
  <si>
    <t>Carbon Steel (CS)</t>
  </si>
  <si>
    <t>Stainless Steel (SS)</t>
  </si>
  <si>
    <t>Location factors</t>
  </si>
  <si>
    <t>Factor</t>
  </si>
  <si>
    <t>Europe</t>
  </si>
  <si>
    <t>North America</t>
  </si>
  <si>
    <t>China</t>
  </si>
  <si>
    <t>Example calculation:</t>
  </si>
  <si>
    <t>Price of SS vessel, Jan 2016 = 20,000 EUR</t>
  </si>
  <si>
    <t>Price of SS vessel, Jan 2018 = 20,000 * (1.12/1.03) = 21,748 EUR</t>
  </si>
  <si>
    <t>The model should report the range of each parameter, so that the estimator can correctly use the model.</t>
  </si>
  <si>
    <t>For this type of steel, you may use the indexation table below. Exchange rates can be found on the internet: https://www.xe.com/</t>
  </si>
  <si>
    <t>Equip No.</t>
  </si>
  <si>
    <t>Service description</t>
  </si>
  <si>
    <t>PO Price</t>
  </si>
  <si>
    <t>PO Currency</t>
  </si>
  <si>
    <t>PO Date</t>
  </si>
  <si>
    <t>Vendor Name</t>
  </si>
  <si>
    <t>Vendor Country</t>
  </si>
  <si>
    <t>MOC shell</t>
  </si>
  <si>
    <t>Diameter
[mm]</t>
  </si>
  <si>
    <t>Lenght_x000D_
[mm]</t>
  </si>
  <si>
    <t>Fabricated weight_x000D_
[kg]</t>
  </si>
  <si>
    <t>V-001</t>
  </si>
  <si>
    <t>Vessel 1</t>
  </si>
  <si>
    <t>EUR</t>
  </si>
  <si>
    <t>Mechanics &amp; co.</t>
  </si>
  <si>
    <t>CS</t>
  </si>
  <si>
    <t>V-002</t>
  </si>
  <si>
    <t>Vessel 2</t>
  </si>
  <si>
    <t>USD</t>
  </si>
  <si>
    <t>Pipes 'n Plates</t>
  </si>
  <si>
    <t>V-003</t>
  </si>
  <si>
    <t>Vessel 3</t>
  </si>
  <si>
    <t>V-004</t>
  </si>
  <si>
    <t>Vessel 4</t>
  </si>
  <si>
    <t>V-005</t>
  </si>
  <si>
    <t>Vessel 5</t>
  </si>
  <si>
    <t>V-006</t>
  </si>
  <si>
    <t>Vessel 6</t>
  </si>
  <si>
    <t>SS</t>
  </si>
  <si>
    <t>V-007</t>
  </si>
  <si>
    <t>Vessel 7</t>
  </si>
  <si>
    <t>V-008</t>
  </si>
  <si>
    <t>Vessel 8</t>
  </si>
  <si>
    <t>V-009</t>
  </si>
  <si>
    <t>Vessel 9</t>
  </si>
  <si>
    <t>V-010</t>
  </si>
  <si>
    <t>Vessel 10</t>
  </si>
  <si>
    <t>KeepMComing</t>
  </si>
  <si>
    <t>V-011</t>
  </si>
  <si>
    <t>Vessel 11</t>
  </si>
  <si>
    <t>V-012</t>
  </si>
  <si>
    <t>Vessel 12</t>
  </si>
  <si>
    <t>V-013</t>
  </si>
  <si>
    <t>Vessel 13</t>
  </si>
  <si>
    <t>China Industries</t>
  </si>
  <si>
    <t>V-014</t>
  </si>
  <si>
    <t>Vessel 14</t>
  </si>
  <si>
    <t>V-015</t>
  </si>
  <si>
    <t>Vessel 15</t>
  </si>
  <si>
    <t>PressurePals</t>
  </si>
  <si>
    <t>V-018</t>
  </si>
  <si>
    <t>Vessel 18</t>
  </si>
  <si>
    <t>V-020</t>
  </si>
  <si>
    <t>Vessel 20</t>
  </si>
  <si>
    <t>V-021</t>
  </si>
  <si>
    <t>Vessel 21</t>
  </si>
  <si>
    <t>EastWestBest</t>
  </si>
  <si>
    <t>V-022</t>
  </si>
  <si>
    <t>Vessel 22</t>
  </si>
  <si>
    <t>V-023</t>
  </si>
  <si>
    <t>Vessel 23</t>
  </si>
  <si>
    <t>V-025</t>
  </si>
  <si>
    <t>Vessel 25</t>
  </si>
  <si>
    <t>V-026</t>
  </si>
  <si>
    <t>Vessel 26</t>
  </si>
  <si>
    <t>V-027</t>
  </si>
  <si>
    <t>Vessel 27</t>
  </si>
  <si>
    <t>V-028</t>
  </si>
  <si>
    <t>Vessel 28</t>
  </si>
  <si>
    <t>V-029</t>
  </si>
  <si>
    <t>Vessel 29</t>
  </si>
  <si>
    <t>V-030</t>
  </si>
  <si>
    <t>Vessel 30</t>
  </si>
  <si>
    <t>V-031</t>
  </si>
  <si>
    <t>Vessel 31</t>
  </si>
  <si>
    <t>V-032</t>
  </si>
  <si>
    <t>Vessel 32</t>
  </si>
  <si>
    <t>V-033</t>
  </si>
  <si>
    <t>Vessel 33</t>
  </si>
  <si>
    <t>V-034</t>
  </si>
  <si>
    <t>Vessel 34</t>
  </si>
  <si>
    <t>V-035</t>
  </si>
  <si>
    <t>Vessel 35</t>
  </si>
  <si>
    <t>V-036</t>
  </si>
  <si>
    <t>Vessel 36</t>
  </si>
  <si>
    <t>V-037</t>
  </si>
  <si>
    <t>Vessel 37</t>
  </si>
  <si>
    <t>V-038</t>
  </si>
  <si>
    <t>Vessel 38</t>
  </si>
  <si>
    <t>V-039</t>
  </si>
  <si>
    <t>Vessel 39</t>
  </si>
  <si>
    <t>V-040</t>
  </si>
  <si>
    <t>Vessel 40</t>
  </si>
  <si>
    <t>V-041</t>
  </si>
  <si>
    <t>Vessel 41</t>
  </si>
  <si>
    <t>V-044</t>
  </si>
  <si>
    <t>Vessel 44</t>
  </si>
  <si>
    <t>V-046</t>
  </si>
  <si>
    <t>Vessel 46</t>
  </si>
  <si>
    <t>V-047</t>
  </si>
  <si>
    <t>Vessel 47</t>
  </si>
  <si>
    <t>V-048</t>
  </si>
  <si>
    <t>Vessel 48</t>
  </si>
  <si>
    <t>V-049</t>
  </si>
  <si>
    <t>Vessel 49</t>
  </si>
  <si>
    <t>Weight</t>
  </si>
  <si>
    <t>Costs</t>
  </si>
  <si>
    <t>Calculated based on the weight</t>
  </si>
  <si>
    <t>Calculated</t>
  </si>
  <si>
    <t>Location of procurement</t>
  </si>
  <si>
    <t>Input an output units</t>
  </si>
  <si>
    <t>Data Engineer - Assignment - Cost model</t>
  </si>
  <si>
    <t>Europe, North America or China</t>
  </si>
  <si>
    <t>Design P
[bar]</t>
  </si>
  <si>
    <t>Thickness shell_x000D_
[mm]</t>
  </si>
  <si>
    <t>Painted color</t>
  </si>
  <si>
    <t>White</t>
  </si>
  <si>
    <t>Black</t>
  </si>
  <si>
    <t>Green</t>
  </si>
  <si>
    <t>It should be very simple for the estimator to use, with behind it accurate formula(s) resulting from a proper regression analysis.</t>
  </si>
  <si>
    <t>Calculated based on the 4 input parameters</t>
  </si>
  <si>
    <t>Design T Max
[degC]</t>
  </si>
  <si>
    <t>The model should provide the estimator with a set of input parameters they can enter, and a set of calculated values. Make use of dropdown boxes, checkboxes, numerical fields, etc. in a spreadsheet tool like Excel.</t>
  </si>
  <si>
    <r>
      <t xml:space="preserve">You will need to study the correlation between parameters and find out the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independent input parameters. The calculated values should be the following:</t>
    </r>
  </si>
  <si>
    <t>Input parameters</t>
  </si>
  <si>
    <t>relevant unit in metric system and relevant unit in Imperial system (e.g. m and ft)</t>
  </si>
  <si>
    <t>Units</t>
  </si>
  <si>
    <t>kg and lb</t>
  </si>
  <si>
    <r>
      <t xml:space="preserve">€, $ and </t>
    </r>
    <r>
      <rPr>
        <sz val="11"/>
        <color theme="1"/>
        <rFont val="Calibri"/>
        <family val="2"/>
      </rPr>
      <t>¥</t>
    </r>
  </si>
  <si>
    <t>The estimator should be able to choose:</t>
  </si>
  <si>
    <t>MOC categories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</si>
  <si>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</si>
  <si>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</si>
  <si>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</si>
  <si>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</si>
  <si>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</si>
  <si>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</si>
  <si>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</si>
  <si>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</si>
  <si>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</si>
  <si>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</si>
  <si>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</si>
  <si>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</si>
  <si>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</si>
  <si>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</si>
  <si>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</si>
  <si>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</si>
  <si>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</si>
  <si>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</si>
  <si>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</si>
  <si>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</si>
  <si>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</si>
  <si>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Diameter</t>
  </si>
  <si>
    <t>Pressure</t>
  </si>
  <si>
    <t>Regression Analysis among each considered variables vs weight</t>
  </si>
  <si>
    <t>Length_x000D_
[mm]</t>
  </si>
  <si>
    <t>MOC Dummy</t>
  </si>
  <si>
    <t>Mean</t>
  </si>
  <si>
    <t>Standard Deviation</t>
  </si>
  <si>
    <t>z</t>
  </si>
  <si>
    <t>x</t>
  </si>
  <si>
    <t>y</t>
  </si>
  <si>
    <t>Thickness Shell</t>
  </si>
  <si>
    <t>Exchange rate 1$ to €</t>
  </si>
  <si>
    <t>Exchange rate 1€ to ¥</t>
  </si>
  <si>
    <t>Exchange rate 1€ to $</t>
  </si>
  <si>
    <t>Cost Estimation (€, $, ¥)</t>
  </si>
  <si>
    <t>Weight Estimation (kg, lbs)</t>
  </si>
  <si>
    <t>Conversion rate</t>
  </si>
  <si>
    <t>1mm = 0.0033ft</t>
  </si>
  <si>
    <t>1kg = 2.2 lbs</t>
  </si>
  <si>
    <t>INPUT PARAMETERS FOR WEIGHT ESTIMATION</t>
  </si>
  <si>
    <t>MODEL OUTPUT</t>
  </si>
  <si>
    <t>1ft = 304.8mm</t>
  </si>
  <si>
    <t>INSTRUCTIONS</t>
  </si>
  <si>
    <t>NOTES</t>
  </si>
  <si>
    <t>However, the model output has been made flexible to provide estimates for China, Europe and North America</t>
  </si>
  <si>
    <t>giving considerations for units of measurement as well as currency. Make a selection for a desired country</t>
  </si>
  <si>
    <t>from the Vendor country panel</t>
  </si>
  <si>
    <t>Material Index for 2018</t>
  </si>
  <si>
    <t>LOCATION FACTOR</t>
  </si>
  <si>
    <t>INDEXATION</t>
  </si>
  <si>
    <t>(2) Select the desired VENDOR COUNTRY. The model adopts the relevant currency and imperial units of the selected country</t>
  </si>
  <si>
    <t>Diameter output
[mm]</t>
  </si>
  <si>
    <t>Thickness shell_x000D_ output
[mm]</t>
  </si>
  <si>
    <t>The model was designed based on the european currency and parametric units relevant to Europe but linear units in mm</t>
  </si>
  <si>
    <t>Diameter Input  (ft,m)</t>
  </si>
  <si>
    <t>1m = 1000 mm</t>
  </si>
  <si>
    <t>Thickness shell Input
[inch,mm]</t>
  </si>
  <si>
    <t>1inch = 25.4mm</t>
  </si>
  <si>
    <t>Maximum</t>
  </si>
  <si>
    <t>Minimum</t>
  </si>
  <si>
    <t>EUROPE / CHINA</t>
  </si>
  <si>
    <t>Diameter (m)</t>
  </si>
  <si>
    <t>Thickness Shell (mm)</t>
  </si>
  <si>
    <t>Design P (bar)</t>
  </si>
  <si>
    <t>NORTH AMERICA</t>
  </si>
  <si>
    <t>RANGE OF INPUT VALUES</t>
  </si>
  <si>
    <t>Diameter (ft)</t>
  </si>
  <si>
    <t>Thickness Shell (inch)</t>
  </si>
  <si>
    <t>PO Price in Euros</t>
  </si>
  <si>
    <t>SELECTION</t>
  </si>
  <si>
    <t>(4) Input the data for the Design pressure(bar)</t>
  </si>
  <si>
    <t>space</t>
  </si>
  <si>
    <t>Design P (bar, psi)</t>
  </si>
  <si>
    <t>1psi = 0.06895bar</t>
  </si>
  <si>
    <t>Design P (psi)</t>
  </si>
  <si>
    <t>Lower 95.0%</t>
  </si>
  <si>
    <t>Upper 95.0%</t>
  </si>
  <si>
    <t>Length Input  (ft, m)</t>
  </si>
  <si>
    <t>Length output (mm)</t>
  </si>
  <si>
    <t>cost = 0.44W (kg) + 14889</t>
  </si>
  <si>
    <t>weight (kg) = 0.46 D + 4.28 L - 8.59 T - 33.78P - 9483.42</t>
  </si>
  <si>
    <t>weight = 4.59 L - 0.26 D - 21.96 T - 54.35 P - 8477.26</t>
  </si>
  <si>
    <t>weight (kg) = 4.59 L - 0.26 D - 21.96 T - 54.35 P  - 8477.26</t>
  </si>
  <si>
    <t>cost = 7.14 w (kg) + 124198</t>
  </si>
  <si>
    <t>cost = 7.14 W (kg) + 124198</t>
  </si>
  <si>
    <r>
      <t xml:space="preserve">(3) For Diameter, Length and Thickness shell dataset, paste your data under </t>
    </r>
    <r>
      <rPr>
        <b/>
        <sz val="12"/>
        <color theme="1"/>
        <rFont val="Calibri"/>
        <family val="2"/>
        <scheme val="minor"/>
      </rPr>
      <t>Diameter input, Length input and Thickness shell input</t>
    </r>
  </si>
  <si>
    <t>(1) Select the choice of steel type (MOC SHELL): Carbon Steel (CS) or Stainless Steel (SS) or both and year of comparison from PO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</si>
</sst>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4" fillId="0" borderId="0"/>
    <xf numFmtId="44" fontId="1" fillId="0" borderId="0" applyFont="0" applyFill="0" applyBorder="0" applyAlignment="0" applyProtection="0"/>
    <xf numFmtId="0" fontId="6" fillId="0" borderId="0"/>
  </cellStyleXfs>
  <cellXfs count="148">
    <xf numFmtId="0" fontId="0" fillId="0" borderId="0" xfId="0"/>
    <xf numFmtId="0" fontId="3" fillId="0" borderId="0" xfId="0" applyFont="1"/>
    <xf numFmtId="0" fontId="5" fillId="2" borderId="1" xfId="1" applyNumberFormat="1" applyFont="1" applyFill="1" applyBorder="1" applyAlignment="1">
      <alignment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left"/>
    </xf>
    <xf numFmtId="14" fontId="5" fillId="2" borderId="1" xfId="1" applyNumberFormat="1" applyFont="1" applyFill="1" applyBorder="1" applyAlignment="1">
      <alignment vertical="center" wrapText="1"/>
    </xf>
    <xf numFmtId="0" fontId="5" fillId="2" borderId="2" xfId="1" applyNumberFormat="1" applyFont="1" applyFill="1" applyBorder="1" applyAlignment="1">
      <alignment vertical="center" wrapText="1"/>
    </xf>
    <xf numFmtId="0" fontId="6" fillId="0" borderId="0" xfId="3"/>
    <xf numFmtId="2" fontId="6" fillId="0" borderId="0" xfId="3" applyNumberFormat="1"/>
    <xf numFmtId="14" fontId="6" fillId="0" borderId="0" xfId="3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/>
    <xf numFmtId="0" fontId="6" fillId="0" borderId="0" xfId="3" applyFill="1"/>
    <xf numFmtId="0" fontId="5" fillId="2" borderId="15" xfId="1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16" xfId="0" applyFill="1" applyBorder="1" applyAlignment="1"/>
    <xf numFmtId="0" fontId="8" fillId="0" borderId="1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Continuous"/>
    </xf>
    <xf numFmtId="0" fontId="0" fillId="0" borderId="16" xfId="0" applyFill="1" applyBorder="1" applyAlignment="1">
      <alignment wrapText="1"/>
    </xf>
    <xf numFmtId="0" fontId="0" fillId="4" borderId="0" xfId="0" applyFill="1"/>
    <xf numFmtId="0" fontId="0" fillId="0" borderId="0" xfId="0" applyFill="1" applyBorder="1" applyAlignment="1">
      <alignment wrapText="1"/>
    </xf>
    <xf numFmtId="0" fontId="8" fillId="0" borderId="17" xfId="0" applyFont="1" applyFill="1" applyBorder="1" applyAlignment="1">
      <alignment horizontal="center" wrapText="1"/>
    </xf>
    <xf numFmtId="0" fontId="0" fillId="4" borderId="0" xfId="0" applyFill="1" applyBorder="1" applyAlignment="1"/>
    <xf numFmtId="165" fontId="0" fillId="4" borderId="0" xfId="0" applyNumberFormat="1" applyFill="1" applyBorder="1" applyAlignment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0" fillId="0" borderId="0" xfId="0" applyAlignment="1"/>
    <xf numFmtId="0" fontId="2" fillId="0" borderId="0" xfId="0" applyFont="1" applyAlignment="1"/>
    <xf numFmtId="0" fontId="0" fillId="0" borderId="0" xfId="0" applyFill="1"/>
    <xf numFmtId="0" fontId="0" fillId="4" borderId="3" xfId="0" applyFill="1" applyBorder="1" applyAlignment="1">
      <alignment wrapText="1"/>
    </xf>
    <xf numFmtId="165" fontId="0" fillId="4" borderId="4" xfId="0" applyNumberFormat="1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20" xfId="0" applyFill="1" applyBorder="1" applyAlignment="1"/>
    <xf numFmtId="0" fontId="0" fillId="4" borderId="5" xfId="0" applyFill="1" applyBorder="1" applyAlignment="1">
      <alignment wrapText="1"/>
    </xf>
    <xf numFmtId="0" fontId="0" fillId="4" borderId="6" xfId="0" applyFill="1" applyBorder="1" applyAlignment="1"/>
    <xf numFmtId="165" fontId="0" fillId="4" borderId="21" xfId="0" applyNumberFormat="1" applyFill="1" applyBorder="1" applyAlignment="1"/>
    <xf numFmtId="165" fontId="0" fillId="0" borderId="21" xfId="0" applyNumberFormat="1" applyFill="1" applyBorder="1" applyAlignment="1"/>
    <xf numFmtId="0" fontId="0" fillId="0" borderId="7" xfId="0" applyFill="1" applyBorder="1" applyAlignment="1"/>
    <xf numFmtId="0" fontId="8" fillId="0" borderId="0" xfId="0" applyFont="1" applyFill="1" applyBorder="1" applyAlignment="1">
      <alignment horizontal="centerContinuous" wrapText="1"/>
    </xf>
    <xf numFmtId="0" fontId="0" fillId="4" borderId="0" xfId="0" applyFill="1" applyBorder="1"/>
    <xf numFmtId="0" fontId="8" fillId="4" borderId="0" xfId="0" applyFont="1" applyFill="1" applyBorder="1" applyAlignment="1">
      <alignment horizontal="centerContinuous" wrapText="1"/>
    </xf>
    <xf numFmtId="0" fontId="2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Continuous"/>
    </xf>
    <xf numFmtId="0" fontId="2" fillId="0" borderId="0" xfId="0" applyFont="1" applyFill="1"/>
    <xf numFmtId="0" fontId="2" fillId="8" borderId="0" xfId="0" applyFont="1" applyFill="1"/>
    <xf numFmtId="0" fontId="9" fillId="0" borderId="0" xfId="3" applyFont="1" applyFill="1"/>
    <xf numFmtId="0" fontId="2" fillId="0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/>
    <xf numFmtId="0" fontId="5" fillId="2" borderId="23" xfId="1" applyNumberFormat="1" applyFont="1" applyFill="1" applyBorder="1" applyAlignment="1">
      <alignment vertical="center" wrapText="1"/>
    </xf>
    <xf numFmtId="0" fontId="5" fillId="2" borderId="0" xfId="1" applyNumberFormat="1" applyFont="1" applyFill="1" applyBorder="1" applyAlignment="1">
      <alignment vertical="center" wrapText="1"/>
    </xf>
    <xf numFmtId="0" fontId="5" fillId="2" borderId="5" xfId="1" applyNumberFormat="1" applyFont="1" applyFill="1" applyBorder="1" applyAlignment="1">
      <alignment vertical="center" wrapText="1"/>
    </xf>
    <xf numFmtId="0" fontId="5" fillId="2" borderId="20" xfId="1" applyNumberFormat="1" applyFont="1" applyFill="1" applyBorder="1" applyAlignment="1">
      <alignment vertical="center" wrapText="1"/>
    </xf>
    <xf numFmtId="0" fontId="5" fillId="2" borderId="24" xfId="1" applyNumberFormat="1" applyFont="1" applyFill="1" applyBorder="1" applyAlignment="1">
      <alignment vertical="center" wrapText="1"/>
    </xf>
    <xf numFmtId="0" fontId="6" fillId="9" borderId="0" xfId="3" applyFill="1" applyBorder="1" applyAlignment="1">
      <alignment horizontal="center"/>
    </xf>
    <xf numFmtId="0" fontId="6" fillId="10" borderId="0" xfId="3" applyFill="1" applyBorder="1" applyAlignment="1">
      <alignment horizontal="center"/>
    </xf>
    <xf numFmtId="0" fontId="6" fillId="9" borderId="21" xfId="3" applyFill="1" applyBorder="1" applyAlignment="1">
      <alignment horizontal="center"/>
    </xf>
    <xf numFmtId="0" fontId="6" fillId="10" borderId="21" xfId="3" applyFill="1" applyBorder="1" applyAlignment="1">
      <alignment horizontal="center"/>
    </xf>
    <xf numFmtId="165" fontId="0" fillId="5" borderId="5" xfId="0" applyNumberFormat="1" applyFill="1" applyBorder="1"/>
    <xf numFmtId="165" fontId="0" fillId="5" borderId="20" xfId="0" applyNumberFormat="1" applyFill="1" applyBorder="1"/>
    <xf numFmtId="0" fontId="12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3" borderId="0" xfId="0" applyFont="1" applyFill="1" applyAlignment="1">
      <alignment wrapText="1"/>
    </xf>
    <xf numFmtId="2" fontId="0" fillId="0" borderId="0" xfId="0" applyNumberFormat="1"/>
    <xf numFmtId="0" fontId="5" fillId="2" borderId="25" xfId="1" applyNumberFormat="1" applyFont="1" applyFill="1" applyBorder="1" applyAlignment="1">
      <alignment vertical="center" wrapText="1"/>
    </xf>
    <xf numFmtId="0" fontId="6" fillId="6" borderId="5" xfId="3" applyFill="1" applyBorder="1"/>
    <xf numFmtId="0" fontId="6" fillId="6" borderId="6" xfId="3" applyFill="1" applyBorder="1"/>
    <xf numFmtId="0" fontId="5" fillId="0" borderId="0" xfId="1" applyNumberFormat="1" applyFont="1" applyFill="1" applyBorder="1" applyAlignment="1">
      <alignment vertical="center" wrapText="1"/>
    </xf>
    <xf numFmtId="0" fontId="5" fillId="2" borderId="11" xfId="1" applyNumberFormat="1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/>
    </xf>
    <xf numFmtId="165" fontId="0" fillId="11" borderId="11" xfId="0" applyNumberFormat="1" applyFill="1" applyBorder="1"/>
    <xf numFmtId="165" fontId="0" fillId="11" borderId="10" xfId="0" applyNumberFormat="1" applyFill="1" applyBorder="1"/>
    <xf numFmtId="165" fontId="0" fillId="7" borderId="5" xfId="0" applyNumberFormat="1" applyFill="1" applyBorder="1"/>
    <xf numFmtId="165" fontId="0" fillId="7" borderId="0" xfId="0" applyNumberFormat="1" applyFill="1" applyBorder="1"/>
    <xf numFmtId="165" fontId="0" fillId="7" borderId="20" xfId="0" applyNumberFormat="1" applyFill="1" applyBorder="1"/>
    <xf numFmtId="165" fontId="0" fillId="7" borderId="6" xfId="0" applyNumberFormat="1" applyFill="1" applyBorder="1"/>
    <xf numFmtId="165" fontId="0" fillId="7" borderId="21" xfId="0" applyNumberFormat="1" applyFill="1" applyBorder="1"/>
    <xf numFmtId="165" fontId="0" fillId="7" borderId="7" xfId="0" applyNumberFormat="1" applyFill="1" applyBorder="1"/>
    <xf numFmtId="0" fontId="12" fillId="0" borderId="5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2" fillId="9" borderId="2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6" xfId="0" applyFill="1" applyBorder="1" applyAlignment="1">
      <alignment wrapText="1"/>
    </xf>
    <xf numFmtId="165" fontId="0" fillId="4" borderId="7" xfId="0" applyNumberFormat="1" applyFill="1" applyBorder="1" applyAlignment="1"/>
    <xf numFmtId="0" fontId="8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0" borderId="16" xfId="0" applyNumberFormat="1" applyFill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0" xfId="0" applyFont="1" applyBorder="1" applyAlignment="1">
      <alignment horizontal="left" wrapText="1"/>
    </xf>
    <xf numFmtId="0" fontId="5" fillId="2" borderId="26" xfId="1" applyNumberFormat="1" applyFont="1" applyFill="1" applyBorder="1" applyAlignment="1">
      <alignment vertical="center" wrapText="1"/>
    </xf>
    <xf numFmtId="0" fontId="6" fillId="6" borderId="0" xfId="3" applyFill="1" applyBorder="1"/>
    <xf numFmtId="0" fontId="6" fillId="6" borderId="21" xfId="3" applyFill="1" applyBorder="1"/>
    <xf numFmtId="0" fontId="6" fillId="9" borderId="0" xfId="3" applyFill="1" applyBorder="1"/>
    <xf numFmtId="0" fontId="2" fillId="6" borderId="22" xfId="0" applyFont="1" applyFill="1" applyBorder="1" applyAlignment="1">
      <alignment horizontal="center"/>
    </xf>
    <xf numFmtId="0" fontId="6" fillId="10" borderId="20" xfId="3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6" borderId="0" xfId="0" applyFont="1" applyFill="1"/>
    <xf numFmtId="0" fontId="2" fillId="6" borderId="0" xfId="0" applyFont="1" applyFill="1" applyAlignment="1">
      <alignment horizontal="center"/>
    </xf>
    <xf numFmtId="0" fontId="10" fillId="0" borderId="0" xfId="0" applyFont="1" applyFill="1" applyAlignment="1"/>
    <xf numFmtId="0" fontId="10" fillId="6" borderId="0" xfId="0" applyFont="1" applyFill="1"/>
    <xf numFmtId="0" fontId="2" fillId="13" borderId="0" xfId="0" applyFont="1" applyFill="1" applyAlignment="1">
      <alignment horizontal="center"/>
    </xf>
    <xf numFmtId="0" fontId="12" fillId="13" borderId="0" xfId="0" applyFont="1" applyFill="1"/>
    <xf numFmtId="0" fontId="2" fillId="13" borderId="0" xfId="0" applyFont="1" applyFill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6" fillId="10" borderId="7" xfId="3" applyFill="1" applyBorder="1" applyAlignment="1">
      <alignment horizontal="center"/>
    </xf>
    <xf numFmtId="0" fontId="6" fillId="9" borderId="21" xfId="3" applyFill="1" applyBorder="1"/>
  </cellXfs>
  <cellStyles count="4">
    <cellStyle name="Currency 2" xfId="2"/>
    <cellStyle name="Normal" xfId="0" builtinId="0"/>
    <cellStyle name="Normal 2" xfId="1"/>
    <cellStyle name="Normal 3" xfId="3"/>
  </cellStyles>
  <dxfs count="20">
    <dxf>
      <fill>
        <patternFill patternType="solid">
          <fgColor indexed="64"/>
          <bgColor theme="7" tint="0.79998168889431442"/>
        </patternFill>
      </fill>
    </dxf>
    <dxf>
      <numFmt numFmtId="165" formatCode="0.0"/>
      <fill>
        <patternFill patternType="solid">
          <fgColor indexed="64"/>
          <bgColor theme="8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65" formatCode="0.0"/>
      <fill>
        <patternFill patternType="solid">
          <fgColor indexed="64"/>
          <bgColor theme="8" tint="0.59999389629810485"/>
        </patternFill>
      </fill>
    </dxf>
    <dxf>
      <numFmt numFmtId="165" formatCode="0.0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border outline="0">
        <left style="thin">
          <color indexed="64"/>
        </left>
      </border>
    </dxf>
    <dxf>
      <numFmt numFmtId="165" formatCode="0.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/>
        <top/>
        <bottom/>
      </border>
    </dxf>
    <dxf>
      <fill>
        <patternFill patternType="none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9" formatCode="dd/mm/yyyy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solid">
          <fgColor theme="4"/>
          <bgColor theme="4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D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normal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normal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'Individual Variables'!$H$22:$H$82</c:f>
              <c:numCache>
                <c:formatCode>General</c:formatCode>
                <c:ptCount val="61"/>
                <c:pt idx="0">
                  <c:v>4905.9750293996813</c:v>
                </c:pt>
                <c:pt idx="1">
                  <c:v>4808.6082021785569</c:v>
                </c:pt>
                <c:pt idx="2">
                  <c:v>4711.2413749574325</c:v>
                </c:pt>
                <c:pt idx="3">
                  <c:v>4613.8745477363091</c:v>
                </c:pt>
                <c:pt idx="4">
                  <c:v>4516.5077205151847</c:v>
                </c:pt>
                <c:pt idx="5">
                  <c:v>4419.1408932940603</c:v>
                </c:pt>
                <c:pt idx="6">
                  <c:v>4321.774066072936</c:v>
                </c:pt>
                <c:pt idx="7">
                  <c:v>4224.4072388518125</c:v>
                </c:pt>
                <c:pt idx="8">
                  <c:v>4127.0404116306881</c:v>
                </c:pt>
                <c:pt idx="9">
                  <c:v>4029.6735844095638</c:v>
                </c:pt>
                <c:pt idx="10">
                  <c:v>3932.3067571884399</c:v>
                </c:pt>
                <c:pt idx="11">
                  <c:v>3834.9399299673159</c:v>
                </c:pt>
                <c:pt idx="12">
                  <c:v>3737.5731027461916</c:v>
                </c:pt>
                <c:pt idx="13">
                  <c:v>3640.2062755250672</c:v>
                </c:pt>
                <c:pt idx="14">
                  <c:v>3542.8394483039438</c:v>
                </c:pt>
                <c:pt idx="15">
                  <c:v>3445.4726210828194</c:v>
                </c:pt>
                <c:pt idx="16">
                  <c:v>3348.105793861695</c:v>
                </c:pt>
                <c:pt idx="17">
                  <c:v>3250.7389666405711</c:v>
                </c:pt>
                <c:pt idx="18">
                  <c:v>3153.3721394194467</c:v>
                </c:pt>
                <c:pt idx="19">
                  <c:v>3056.0053121983228</c:v>
                </c:pt>
                <c:pt idx="20">
                  <c:v>2958.6384849771985</c:v>
                </c:pt>
                <c:pt idx="21">
                  <c:v>2861.2716577560745</c:v>
                </c:pt>
                <c:pt idx="22">
                  <c:v>2763.9048305349506</c:v>
                </c:pt>
                <c:pt idx="23">
                  <c:v>2666.5380033138263</c:v>
                </c:pt>
                <c:pt idx="24">
                  <c:v>2569.1711760927019</c:v>
                </c:pt>
                <c:pt idx="25">
                  <c:v>2471.804348871578</c:v>
                </c:pt>
                <c:pt idx="26">
                  <c:v>2374.4375216504541</c:v>
                </c:pt>
                <c:pt idx="27">
                  <c:v>2277.0706944293297</c:v>
                </c:pt>
                <c:pt idx="28">
                  <c:v>2179.7038672082053</c:v>
                </c:pt>
                <c:pt idx="29">
                  <c:v>2082.3370399870814</c:v>
                </c:pt>
                <c:pt idx="30">
                  <c:v>1984.9702127659573</c:v>
                </c:pt>
                <c:pt idx="31">
                  <c:v>1887.6033855448331</c:v>
                </c:pt>
                <c:pt idx="32">
                  <c:v>1790.236558323709</c:v>
                </c:pt>
                <c:pt idx="33">
                  <c:v>1692.8697311025849</c:v>
                </c:pt>
                <c:pt idx="34">
                  <c:v>1595.5029038814607</c:v>
                </c:pt>
                <c:pt idx="35">
                  <c:v>1498.1360766603366</c:v>
                </c:pt>
                <c:pt idx="36">
                  <c:v>1400.7692494392127</c:v>
                </c:pt>
                <c:pt idx="37">
                  <c:v>1303.4024222180883</c:v>
                </c:pt>
                <c:pt idx="38">
                  <c:v>1206.0355949969642</c:v>
                </c:pt>
                <c:pt idx="39">
                  <c:v>1108.66876777584</c:v>
                </c:pt>
                <c:pt idx="40">
                  <c:v>1011.301940554716</c:v>
                </c:pt>
                <c:pt idx="41">
                  <c:v>913.93511333359174</c:v>
                </c:pt>
                <c:pt idx="42">
                  <c:v>816.56828611246783</c:v>
                </c:pt>
                <c:pt idx="43">
                  <c:v>719.20145889134346</c:v>
                </c:pt>
                <c:pt idx="44">
                  <c:v>621.83463167021955</c:v>
                </c:pt>
                <c:pt idx="45">
                  <c:v>524.46780444909541</c:v>
                </c:pt>
                <c:pt idx="46">
                  <c:v>427.10097722797104</c:v>
                </c:pt>
                <c:pt idx="47">
                  <c:v>329.73415000684713</c:v>
                </c:pt>
                <c:pt idx="48">
                  <c:v>232.36732278572299</c:v>
                </c:pt>
                <c:pt idx="49">
                  <c:v>135.00049556459885</c:v>
                </c:pt>
                <c:pt idx="50">
                  <c:v>37.63366834347471</c:v>
                </c:pt>
                <c:pt idx="51">
                  <c:v>-59.73315887764943</c:v>
                </c:pt>
                <c:pt idx="52">
                  <c:v>-157.0999860987738</c:v>
                </c:pt>
                <c:pt idx="53">
                  <c:v>-254.46681331989771</c:v>
                </c:pt>
                <c:pt idx="54">
                  <c:v>-351.83364054102162</c:v>
                </c:pt>
                <c:pt idx="55">
                  <c:v>-449.20046776215599</c:v>
                </c:pt>
                <c:pt idx="56">
                  <c:v>-546.56729498327036</c:v>
                </c:pt>
                <c:pt idx="57">
                  <c:v>-643.93412220439427</c:v>
                </c:pt>
                <c:pt idx="58">
                  <c:v>-741.30094942552819</c:v>
                </c:pt>
                <c:pt idx="59">
                  <c:v>-838.6677766466521</c:v>
                </c:pt>
                <c:pt idx="60">
                  <c:v>-936.03460386777647</c:v>
                </c:pt>
              </c:numCache>
            </c:numRef>
          </c:xVal>
          <c:yVal>
            <c:numRef>
              <c:f>'Individual Variables'!$I$22:$I$82</c:f>
              <c:numCache>
                <c:formatCode>General</c:formatCode>
                <c:ptCount val="61"/>
                <c:pt idx="0">
                  <c:v>4.5517026059328137E-6</c:v>
                </c:pt>
                <c:pt idx="1">
                  <c:v>6.1135117469293875E-6</c:v>
                </c:pt>
                <c:pt idx="2">
                  <c:v>8.1295157795412774E-6</c:v>
                </c:pt>
                <c:pt idx="3">
                  <c:v>1.0702756895586433E-5</c:v>
                </c:pt>
                <c:pt idx="4">
                  <c:v>1.3950304863932912E-5</c:v>
                </c:pt>
                <c:pt idx="5">
                  <c:v>1.8002333026381819E-5</c:v>
                </c:pt>
                <c:pt idx="6">
                  <c:v>2.3000164361917655E-5</c:v>
                </c:pt>
                <c:pt idx="7">
                  <c:v>2.9093109583687367E-5</c:v>
                </c:pt>
                <c:pt idx="8">
                  <c:v>3.6433962016310934E-5</c:v>
                </c:pt>
                <c:pt idx="9">
                  <c:v>4.5173081259532722E-5</c:v>
                </c:pt>
                <c:pt idx="10">
                  <c:v>5.5451089507694776E-5</c:v>
                </c:pt>
                <c:pt idx="11">
                  <c:v>6.7390318291526887E-5</c:v>
                </c:pt>
                <c:pt idx="12">
                  <c:v>8.1085273654439861E-5</c:v>
                </c:pt>
                <c:pt idx="13">
                  <c:v>9.6592525463829268E-5</c:v>
                </c:pt>
                <c:pt idx="14">
                  <c:v>1.1392055985099493E-4</c:v>
                </c:pt>
                <c:pt idx="15">
                  <c:v>1.3302024864356708E-4</c:v>
                </c:pt>
                <c:pt idx="16">
                  <c:v>1.5377667107885476E-4</c:v>
                </c:pt>
                <c:pt idx="17">
                  <c:v>1.7600305662484217E-4</c:v>
                </c:pt>
                <c:pt idx="18">
                  <c:v>1.9943759134947301E-4</c:v>
                </c:pt>
                <c:pt idx="19">
                  <c:v>2.2374373618830068E-4</c:v>
                </c:pt>
                <c:pt idx="20">
                  <c:v>2.4851454178497346E-4</c:v>
                </c:pt>
                <c:pt idx="21">
                  <c:v>2.7328121650145186E-4</c:v>
                </c:pt>
                <c:pt idx="22">
                  <c:v>2.9752592441323062E-4</c:v>
                </c:pt>
                <c:pt idx="23">
                  <c:v>3.2069847840232027E-4</c:v>
                </c:pt>
                <c:pt idx="24">
                  <c:v>3.4223627533331522E-4</c:v>
                </c:pt>
                <c:pt idx="25">
                  <c:v>3.6158652470491255E-4</c:v>
                </c:pt>
                <c:pt idx="26">
                  <c:v>3.7822957860891003E-4</c:v>
                </c:pt>
                <c:pt idx="27">
                  <c:v>3.9170200605836362E-4</c:v>
                </c:pt>
                <c:pt idx="28">
                  <c:v>4.0161798955139173E-4</c:v>
                </c:pt>
                <c:pt idx="29">
                  <c:v>4.0768766817831704E-4</c:v>
                </c:pt>
                <c:pt idx="30">
                  <c:v>4.0973121111918147E-4</c:v>
                </c:pt>
                <c:pt idx="31">
                  <c:v>4.0768766817831704E-4</c:v>
                </c:pt>
                <c:pt idx="32">
                  <c:v>4.0161798955139167E-4</c:v>
                </c:pt>
                <c:pt idx="33">
                  <c:v>3.9170200605836362E-4</c:v>
                </c:pt>
                <c:pt idx="34">
                  <c:v>3.7822957860891003E-4</c:v>
                </c:pt>
                <c:pt idx="35">
                  <c:v>3.6158652470491255E-4</c:v>
                </c:pt>
                <c:pt idx="36">
                  <c:v>3.4223627533331522E-4</c:v>
                </c:pt>
                <c:pt idx="37">
                  <c:v>3.2069847840232027E-4</c:v>
                </c:pt>
                <c:pt idx="38">
                  <c:v>2.9752592441323068E-4</c:v>
                </c:pt>
                <c:pt idx="39">
                  <c:v>2.7328121650145186E-4</c:v>
                </c:pt>
                <c:pt idx="40">
                  <c:v>2.4851454178497341E-4</c:v>
                </c:pt>
                <c:pt idx="41">
                  <c:v>2.2374373618830068E-4</c:v>
                </c:pt>
                <c:pt idx="42">
                  <c:v>1.9943759134947301E-4</c:v>
                </c:pt>
                <c:pt idx="43">
                  <c:v>1.7600305662484217E-4</c:v>
                </c:pt>
                <c:pt idx="44">
                  <c:v>1.5377667107885476E-4</c:v>
                </c:pt>
                <c:pt idx="45">
                  <c:v>1.3302024864356716E-4</c:v>
                </c:pt>
                <c:pt idx="46">
                  <c:v>1.1392055985099494E-4</c:v>
                </c:pt>
                <c:pt idx="47">
                  <c:v>9.659252546382924E-5</c:v>
                </c:pt>
                <c:pt idx="48">
                  <c:v>8.1085273654439861E-5</c:v>
                </c:pt>
                <c:pt idx="49">
                  <c:v>6.7390318291526887E-5</c:v>
                </c:pt>
                <c:pt idx="50">
                  <c:v>5.5451089507694776E-5</c:v>
                </c:pt>
                <c:pt idx="51">
                  <c:v>4.5173081259532688E-5</c:v>
                </c:pt>
                <c:pt idx="52">
                  <c:v>3.6433962016310893E-5</c:v>
                </c:pt>
                <c:pt idx="53">
                  <c:v>2.9093109583687367E-5</c:v>
                </c:pt>
                <c:pt idx="54">
                  <c:v>2.3000164361917624E-5</c:v>
                </c:pt>
                <c:pt idx="55">
                  <c:v>1.8002333026381338E-5</c:v>
                </c:pt>
                <c:pt idx="56">
                  <c:v>1.3950304863932891E-5</c:v>
                </c:pt>
                <c:pt idx="57">
                  <c:v>1.0702756895586433E-5</c:v>
                </c:pt>
                <c:pt idx="58">
                  <c:v>8.1295157795410351E-6</c:v>
                </c:pt>
                <c:pt idx="59">
                  <c:v>6.1135117469291969E-6</c:v>
                </c:pt>
                <c:pt idx="60">
                  <c:v>4.5517026059326773E-6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670592"/>
        <c:axId val="-1827672224"/>
      </c:scatterChart>
      <c:valAx>
        <c:axId val="-18276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72224"/>
        <c:crosses val="autoZero"/>
        <c:crossBetween val="midCat"/>
      </c:valAx>
      <c:valAx>
        <c:axId val="-182767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normal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Variables'!$O$22:$O$82</c:f>
              <c:numCache>
                <c:formatCode>General</c:formatCode>
                <c:ptCount val="61"/>
                <c:pt idx="0">
                  <c:v>41.046754030209009</c:v>
                </c:pt>
                <c:pt idx="1">
                  <c:v>40.203422512889986</c:v>
                </c:pt>
                <c:pt idx="2">
                  <c:v>39.360090995570957</c:v>
                </c:pt>
                <c:pt idx="3">
                  <c:v>38.516759478251942</c:v>
                </c:pt>
                <c:pt idx="4">
                  <c:v>37.673427960932912</c:v>
                </c:pt>
                <c:pt idx="5">
                  <c:v>36.830096443613897</c:v>
                </c:pt>
                <c:pt idx="6">
                  <c:v>35.986764926294867</c:v>
                </c:pt>
                <c:pt idx="7">
                  <c:v>35.143433408975845</c:v>
                </c:pt>
                <c:pt idx="8">
                  <c:v>34.300101891656823</c:v>
                </c:pt>
                <c:pt idx="9">
                  <c:v>33.4567703743378</c:v>
                </c:pt>
                <c:pt idx="10">
                  <c:v>32.613438857018778</c:v>
                </c:pt>
                <c:pt idx="11">
                  <c:v>31.770107339699749</c:v>
                </c:pt>
                <c:pt idx="12">
                  <c:v>30.926775822380726</c:v>
                </c:pt>
                <c:pt idx="13">
                  <c:v>30.083444305061704</c:v>
                </c:pt>
                <c:pt idx="14">
                  <c:v>29.240112787742682</c:v>
                </c:pt>
                <c:pt idx="15">
                  <c:v>28.396781270423656</c:v>
                </c:pt>
                <c:pt idx="16">
                  <c:v>27.55344975310463</c:v>
                </c:pt>
                <c:pt idx="17">
                  <c:v>26.710118235785608</c:v>
                </c:pt>
                <c:pt idx="18">
                  <c:v>25.866786718466585</c:v>
                </c:pt>
                <c:pt idx="19">
                  <c:v>25.023455201147563</c:v>
                </c:pt>
                <c:pt idx="20">
                  <c:v>24.18012368382854</c:v>
                </c:pt>
                <c:pt idx="21">
                  <c:v>23.336792166509515</c:v>
                </c:pt>
                <c:pt idx="22">
                  <c:v>22.493460649190492</c:v>
                </c:pt>
                <c:pt idx="23">
                  <c:v>21.650129131871466</c:v>
                </c:pt>
                <c:pt idx="24">
                  <c:v>20.806797614552444</c:v>
                </c:pt>
                <c:pt idx="25">
                  <c:v>19.963466097233422</c:v>
                </c:pt>
                <c:pt idx="26">
                  <c:v>19.120134579914399</c:v>
                </c:pt>
                <c:pt idx="27">
                  <c:v>18.276803062595373</c:v>
                </c:pt>
                <c:pt idx="28">
                  <c:v>17.433471545276351</c:v>
                </c:pt>
                <c:pt idx="29">
                  <c:v>16.590140027957325</c:v>
                </c:pt>
                <c:pt idx="30">
                  <c:v>15.746808510638303</c:v>
                </c:pt>
                <c:pt idx="31">
                  <c:v>14.903476993319279</c:v>
                </c:pt>
                <c:pt idx="32">
                  <c:v>14.060145476000255</c:v>
                </c:pt>
                <c:pt idx="33">
                  <c:v>13.216813958681232</c:v>
                </c:pt>
                <c:pt idx="34">
                  <c:v>12.373482441362208</c:v>
                </c:pt>
                <c:pt idx="35">
                  <c:v>11.530150924043184</c:v>
                </c:pt>
                <c:pt idx="36">
                  <c:v>10.686819406724162</c:v>
                </c:pt>
                <c:pt idx="37">
                  <c:v>9.8434878894051394</c:v>
                </c:pt>
                <c:pt idx="38">
                  <c:v>9.0001563720861135</c:v>
                </c:pt>
                <c:pt idx="39">
                  <c:v>8.1568248547670912</c:v>
                </c:pt>
                <c:pt idx="40">
                  <c:v>7.3134933374480671</c:v>
                </c:pt>
                <c:pt idx="41">
                  <c:v>6.470161820129043</c:v>
                </c:pt>
                <c:pt idx="42">
                  <c:v>5.6268303028100206</c:v>
                </c:pt>
                <c:pt idx="43">
                  <c:v>4.7834987854909965</c:v>
                </c:pt>
                <c:pt idx="44">
                  <c:v>3.9401672681719742</c:v>
                </c:pt>
                <c:pt idx="45">
                  <c:v>3.09683575085295</c:v>
                </c:pt>
                <c:pt idx="46">
                  <c:v>2.2535042335339242</c:v>
                </c:pt>
                <c:pt idx="47">
                  <c:v>1.4101727162149018</c:v>
                </c:pt>
                <c:pt idx="48">
                  <c:v>0.5668411988958777</c:v>
                </c:pt>
                <c:pt idx="49">
                  <c:v>-0.27649031842314287</c:v>
                </c:pt>
                <c:pt idx="50">
                  <c:v>-1.1198218357421688</c:v>
                </c:pt>
                <c:pt idx="51">
                  <c:v>-1.9631533530611947</c:v>
                </c:pt>
                <c:pt idx="52">
                  <c:v>-2.806484870380217</c:v>
                </c:pt>
                <c:pt idx="53">
                  <c:v>-3.6498163876992393</c:v>
                </c:pt>
                <c:pt idx="54">
                  <c:v>-4.4931479050182617</c:v>
                </c:pt>
                <c:pt idx="55">
                  <c:v>-5.3364794223373728</c:v>
                </c:pt>
                <c:pt idx="56">
                  <c:v>-6.1798109396563099</c:v>
                </c:pt>
                <c:pt idx="57">
                  <c:v>-7.0231424569753358</c:v>
                </c:pt>
                <c:pt idx="58">
                  <c:v>-7.8664739742944434</c:v>
                </c:pt>
                <c:pt idx="59">
                  <c:v>-8.7098054916134657</c:v>
                </c:pt>
                <c:pt idx="60">
                  <c:v>-9.5531370089324916</c:v>
                </c:pt>
              </c:numCache>
            </c:numRef>
          </c:xVal>
          <c:yVal>
            <c:numRef>
              <c:f>'Individual Variables'!$P$22:$P$82</c:f>
              <c:numCache>
                <c:formatCode>General</c:formatCode>
                <c:ptCount val="61"/>
                <c:pt idx="0">
                  <c:v>5.2551675360444107E-4</c:v>
                </c:pt>
                <c:pt idx="1">
                  <c:v>7.0583540369736615E-4</c:v>
                </c:pt>
                <c:pt idx="2">
                  <c:v>9.385931179405506E-4</c:v>
                </c:pt>
                <c:pt idx="3">
                  <c:v>1.2356866309883754E-3</c:v>
                </c:pt>
                <c:pt idx="4">
                  <c:v>1.6106322311854658E-3</c:v>
                </c:pt>
                <c:pt idx="5">
                  <c:v>2.0784590796857111E-3</c:v>
                </c:pt>
                <c:pt idx="6">
                  <c:v>2.6554836188306813E-3</c:v>
                </c:pt>
                <c:pt idx="7">
                  <c:v>3.3589445146854822E-3</c:v>
                </c:pt>
                <c:pt idx="8">
                  <c:v>4.2064825181686825E-3</c:v>
                </c:pt>
                <c:pt idx="9">
                  <c:v>5.2154573945312008E-3</c:v>
                </c:pt>
                <c:pt idx="10">
                  <c:v>6.4021046770345929E-3</c:v>
                </c:pt>
                <c:pt idx="11">
                  <c:v>7.7805481506574422E-3</c:v>
                </c:pt>
                <c:pt idx="12">
                  <c:v>9.3616990091724694E-3</c:v>
                </c:pt>
                <c:pt idx="13">
                  <c:v>1.1152088525740364E-2</c:v>
                </c:pt>
                <c:pt idx="14">
                  <c:v>1.3152696466518439E-2</c:v>
                </c:pt>
                <c:pt idx="15">
                  <c:v>1.5357850739129507E-2</c:v>
                </c:pt>
                <c:pt idx="16">
                  <c:v>1.7754283168703703E-2</c:v>
                </c:pt>
                <c:pt idx="17">
                  <c:v>2.0320430166370796E-2</c:v>
                </c:pt>
                <c:pt idx="18">
                  <c:v>2.3026064008675531E-2</c:v>
                </c:pt>
                <c:pt idx="19">
                  <c:v>2.5832329583164306E-2</c:v>
                </c:pt>
                <c:pt idx="20">
                  <c:v>2.8692242558226159E-2</c:v>
                </c:pt>
                <c:pt idx="21">
                  <c:v>3.1551678602579437E-2</c:v>
                </c:pt>
                <c:pt idx="22">
                  <c:v>3.4350850977610904E-2</c:v>
                </c:pt>
                <c:pt idx="23">
                  <c:v>3.7026237838166658E-2</c:v>
                </c:pt>
                <c:pt idx="24">
                  <c:v>3.9512883847995006E-2</c:v>
                </c:pt>
                <c:pt idx="25">
                  <c:v>4.174696658836205E-2</c:v>
                </c:pt>
                <c:pt idx="26">
                  <c:v>4.3668490118105065E-2</c:v>
                </c:pt>
                <c:pt idx="27">
                  <c:v>4.5223949019831199E-2</c:v>
                </c:pt>
                <c:pt idx="28">
                  <c:v>4.6368798739858844E-2</c:v>
                </c:pt>
                <c:pt idx="29">
                  <c:v>4.7069573391367608E-2</c:v>
                </c:pt>
                <c:pt idx="30">
                  <c:v>4.7305510609834941E-2</c:v>
                </c:pt>
                <c:pt idx="31">
                  <c:v>4.7069573391367608E-2</c:v>
                </c:pt>
                <c:pt idx="32">
                  <c:v>4.6368798739858844E-2</c:v>
                </c:pt>
                <c:pt idx="33">
                  <c:v>4.5223949019831199E-2</c:v>
                </c:pt>
                <c:pt idx="34">
                  <c:v>4.3668490118105065E-2</c:v>
                </c:pt>
                <c:pt idx="35">
                  <c:v>4.174696658836205E-2</c:v>
                </c:pt>
                <c:pt idx="36">
                  <c:v>3.9512883847995006E-2</c:v>
                </c:pt>
                <c:pt idx="37">
                  <c:v>3.7026237838166658E-2</c:v>
                </c:pt>
                <c:pt idx="38">
                  <c:v>3.4350850977610904E-2</c:v>
                </c:pt>
                <c:pt idx="39">
                  <c:v>3.1551678602579437E-2</c:v>
                </c:pt>
                <c:pt idx="40">
                  <c:v>2.8692242558226166E-2</c:v>
                </c:pt>
                <c:pt idx="41">
                  <c:v>2.5832329583164306E-2</c:v>
                </c:pt>
                <c:pt idx="42">
                  <c:v>2.3026064008675531E-2</c:v>
                </c:pt>
                <c:pt idx="43">
                  <c:v>2.0320430166370786E-2</c:v>
                </c:pt>
                <c:pt idx="44">
                  <c:v>1.7754283168703693E-2</c:v>
                </c:pt>
                <c:pt idx="45">
                  <c:v>1.5357850739129507E-2</c:v>
                </c:pt>
                <c:pt idx="46">
                  <c:v>1.3152696466518439E-2</c:v>
                </c:pt>
                <c:pt idx="47">
                  <c:v>1.1152088525740364E-2</c:v>
                </c:pt>
                <c:pt idx="48">
                  <c:v>9.361699009172466E-3</c:v>
                </c:pt>
                <c:pt idx="49">
                  <c:v>7.7805481506574422E-3</c:v>
                </c:pt>
                <c:pt idx="50">
                  <c:v>6.402104677034599E-3</c:v>
                </c:pt>
                <c:pt idx="51">
                  <c:v>5.2154573945312008E-3</c:v>
                </c:pt>
                <c:pt idx="52">
                  <c:v>4.2064825181686825E-3</c:v>
                </c:pt>
                <c:pt idx="53">
                  <c:v>3.3589445146854822E-3</c:v>
                </c:pt>
                <c:pt idx="54">
                  <c:v>2.6554836188306813E-3</c:v>
                </c:pt>
                <c:pt idx="55">
                  <c:v>2.0784590796856595E-3</c:v>
                </c:pt>
                <c:pt idx="56">
                  <c:v>1.6106322311854634E-3</c:v>
                </c:pt>
                <c:pt idx="57">
                  <c:v>1.2356866309883754E-3</c:v>
                </c:pt>
                <c:pt idx="58">
                  <c:v>9.3859311794052263E-4</c:v>
                </c:pt>
                <c:pt idx="59">
                  <c:v>7.0583540369734555E-4</c:v>
                </c:pt>
                <c:pt idx="60">
                  <c:v>5.2551675360442524E-4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664608"/>
        <c:axId val="-1827653728"/>
      </c:scatterChart>
      <c:valAx>
        <c:axId val="-18276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53728"/>
        <c:crosses val="autoZero"/>
        <c:crossBetween val="midCat"/>
      </c:valAx>
      <c:valAx>
        <c:axId val="-18276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'Individual Variables'!$V$22:$V$82</c:f>
              <c:numCache>
                <c:formatCode>General</c:formatCode>
                <c:ptCount val="61"/>
                <c:pt idx="0">
                  <c:v>55.788984353428603</c:v>
                </c:pt>
                <c:pt idx="1">
                  <c:v>54.343606860796584</c:v>
                </c:pt>
                <c:pt idx="2">
                  <c:v>52.898229368164564</c:v>
                </c:pt>
                <c:pt idx="3">
                  <c:v>51.452851875532552</c:v>
                </c:pt>
                <c:pt idx="4">
                  <c:v>50.007474382900533</c:v>
                </c:pt>
                <c:pt idx="5">
                  <c:v>48.562096890268514</c:v>
                </c:pt>
                <c:pt idx="6">
                  <c:v>47.116719397636494</c:v>
                </c:pt>
                <c:pt idx="7">
                  <c:v>45.671341905004475</c:v>
                </c:pt>
                <c:pt idx="8">
                  <c:v>44.225964412372463</c:v>
                </c:pt>
                <c:pt idx="9">
                  <c:v>42.780586919740443</c:v>
                </c:pt>
                <c:pt idx="10">
                  <c:v>41.335209427108424</c:v>
                </c:pt>
                <c:pt idx="11">
                  <c:v>39.889831934476405</c:v>
                </c:pt>
                <c:pt idx="12">
                  <c:v>38.444454441844393</c:v>
                </c:pt>
                <c:pt idx="13">
                  <c:v>36.999076949212373</c:v>
                </c:pt>
                <c:pt idx="14">
                  <c:v>35.553699456580361</c:v>
                </c:pt>
                <c:pt idx="15">
                  <c:v>34.108321963948342</c:v>
                </c:pt>
                <c:pt idx="16">
                  <c:v>32.662944471316322</c:v>
                </c:pt>
                <c:pt idx="17">
                  <c:v>31.217566978684303</c:v>
                </c:pt>
                <c:pt idx="18">
                  <c:v>29.772189486052284</c:v>
                </c:pt>
                <c:pt idx="19">
                  <c:v>28.326811993420272</c:v>
                </c:pt>
                <c:pt idx="20">
                  <c:v>26.881434500788252</c:v>
                </c:pt>
                <c:pt idx="21">
                  <c:v>25.436057008156233</c:v>
                </c:pt>
                <c:pt idx="22">
                  <c:v>23.990679515524221</c:v>
                </c:pt>
                <c:pt idx="23">
                  <c:v>22.545302022892201</c:v>
                </c:pt>
                <c:pt idx="24">
                  <c:v>21.099924530260182</c:v>
                </c:pt>
                <c:pt idx="25">
                  <c:v>19.654547037628166</c:v>
                </c:pt>
                <c:pt idx="26">
                  <c:v>18.209169544996151</c:v>
                </c:pt>
                <c:pt idx="27">
                  <c:v>16.763792052364131</c:v>
                </c:pt>
                <c:pt idx="28">
                  <c:v>15.318414559732114</c:v>
                </c:pt>
                <c:pt idx="29">
                  <c:v>13.873037067100096</c:v>
                </c:pt>
                <c:pt idx="30">
                  <c:v>12.427659574468079</c:v>
                </c:pt>
                <c:pt idx="31">
                  <c:v>10.982282081836061</c:v>
                </c:pt>
                <c:pt idx="32">
                  <c:v>9.5369045892040436</c:v>
                </c:pt>
                <c:pt idx="33">
                  <c:v>8.0915270965720261</c:v>
                </c:pt>
                <c:pt idx="34">
                  <c:v>6.6461496039400085</c:v>
                </c:pt>
                <c:pt idx="35">
                  <c:v>5.2007721113079919</c:v>
                </c:pt>
                <c:pt idx="36">
                  <c:v>3.7553946186759752</c:v>
                </c:pt>
                <c:pt idx="37">
                  <c:v>2.3100171260439577</c:v>
                </c:pt>
                <c:pt idx="38">
                  <c:v>0.86463963341193839</c:v>
                </c:pt>
                <c:pt idx="39">
                  <c:v>-0.58073785922007737</c:v>
                </c:pt>
                <c:pt idx="40">
                  <c:v>-2.0261153518520949</c:v>
                </c:pt>
                <c:pt idx="41">
                  <c:v>-3.4714928444841142</c:v>
                </c:pt>
                <c:pt idx="42">
                  <c:v>-4.9168703371161282</c:v>
                </c:pt>
                <c:pt idx="43">
                  <c:v>-6.3622478297481475</c:v>
                </c:pt>
                <c:pt idx="44">
                  <c:v>-7.8076253223801633</c:v>
                </c:pt>
                <c:pt idx="45">
                  <c:v>-9.2530028150121826</c:v>
                </c:pt>
                <c:pt idx="46">
                  <c:v>-10.698380307644202</c:v>
                </c:pt>
                <c:pt idx="47">
                  <c:v>-12.143757800276214</c:v>
                </c:pt>
                <c:pt idx="48">
                  <c:v>-13.589135292908233</c:v>
                </c:pt>
                <c:pt idx="49">
                  <c:v>-15.034512785540249</c:v>
                </c:pt>
                <c:pt idx="50">
                  <c:v>-16.47989027817227</c:v>
                </c:pt>
                <c:pt idx="51">
                  <c:v>-17.92526777080429</c:v>
                </c:pt>
                <c:pt idx="52">
                  <c:v>-19.370645263436309</c:v>
                </c:pt>
                <c:pt idx="53">
                  <c:v>-20.816022756068314</c:v>
                </c:pt>
                <c:pt idx="54">
                  <c:v>-22.261400248700333</c:v>
                </c:pt>
                <c:pt idx="55">
                  <c:v>-23.706777741332502</c:v>
                </c:pt>
                <c:pt idx="56">
                  <c:v>-25.152155233964372</c:v>
                </c:pt>
                <c:pt idx="57">
                  <c:v>-26.597532726596391</c:v>
                </c:pt>
                <c:pt idx="58">
                  <c:v>-28.042910219228553</c:v>
                </c:pt>
                <c:pt idx="59">
                  <c:v>-29.488287711860572</c:v>
                </c:pt>
                <c:pt idx="60">
                  <c:v>-30.933665204492591</c:v>
                </c:pt>
              </c:numCache>
            </c:numRef>
          </c:xVal>
          <c:yVal>
            <c:numRef>
              <c:f>'Individual Variables'!$W$22:$W$82</c:f>
              <c:numCache>
                <c:formatCode>General</c:formatCode>
                <c:ptCount val="61"/>
                <c:pt idx="0">
                  <c:v>3.0662221008213278E-4</c:v>
                </c:pt>
                <c:pt idx="1">
                  <c:v>4.1183237251995352E-4</c:v>
                </c:pt>
                <c:pt idx="2">
                  <c:v>5.4763905092821211E-4</c:v>
                </c:pt>
                <c:pt idx="3">
                  <c:v>7.2098360930238211E-4</c:v>
                </c:pt>
                <c:pt idx="4">
                  <c:v>9.3975236939321423E-4</c:v>
                </c:pt>
                <c:pt idx="5">
                  <c:v>1.2127143658263067E-3</c:v>
                </c:pt>
                <c:pt idx="6">
                  <c:v>1.5493897206094371E-3</c:v>
                </c:pt>
                <c:pt idx="7">
                  <c:v>1.9598366437834831E-3</c:v>
                </c:pt>
                <c:pt idx="8">
                  <c:v>2.4543479490352765E-3</c:v>
                </c:pt>
                <c:pt idx="9">
                  <c:v>3.0430525039056421E-3</c:v>
                </c:pt>
                <c:pt idx="10">
                  <c:v>3.7354232225431361E-3</c:v>
                </c:pt>
                <c:pt idx="11">
                  <c:v>4.5397008815455482E-3</c:v>
                </c:pt>
                <c:pt idx="12">
                  <c:v>5.4622518133395541E-3</c:v>
                </c:pt>
                <c:pt idx="13">
                  <c:v>6.5068868068247398E-3</c:v>
                </c:pt>
                <c:pt idx="14">
                  <c:v>7.6741775242030281E-3</c:v>
                </c:pt>
                <c:pt idx="15">
                  <c:v>8.9608144810696851E-3</c:v>
                </c:pt>
                <c:pt idx="16">
                  <c:v>1.0359056121947265E-2</c:v>
                </c:pt>
                <c:pt idx="17">
                  <c:v>1.1856320782728323E-2</c:v>
                </c:pt>
                <c:pt idx="18">
                  <c:v>1.3434971554012666E-2</c:v>
                </c:pt>
                <c:pt idx="19">
                  <c:v>1.5072337720981387E-2</c:v>
                </c:pt>
                <c:pt idx="20">
                  <c:v>1.6741005429558559E-2</c:v>
                </c:pt>
                <c:pt idx="21">
                  <c:v>1.840939486432824E-2</c:v>
                </c:pt>
                <c:pt idx="22">
                  <c:v>2.0042622376384E-2</c:v>
                </c:pt>
                <c:pt idx="23">
                  <c:v>2.1603625001669985E-2</c:v>
                </c:pt>
                <c:pt idx="24">
                  <c:v>2.3054503379944094E-2</c:v>
                </c:pt>
                <c:pt idx="25">
                  <c:v>2.4358019172084393E-2</c:v>
                </c:pt>
                <c:pt idx="26">
                  <c:v>2.5479166666190937E-2</c:v>
                </c:pt>
                <c:pt idx="27">
                  <c:v>2.6386727163297725E-2</c:v>
                </c:pt>
                <c:pt idx="28">
                  <c:v>2.7054710341681824E-2</c:v>
                </c:pt>
                <c:pt idx="29">
                  <c:v>2.7463589927235226E-2</c:v>
                </c:pt>
                <c:pt idx="30">
                  <c:v>2.7601251744619529E-2</c:v>
                </c:pt>
                <c:pt idx="31">
                  <c:v>2.7463589927235226E-2</c:v>
                </c:pt>
                <c:pt idx="32">
                  <c:v>2.7054710341681824E-2</c:v>
                </c:pt>
                <c:pt idx="33">
                  <c:v>2.6386727163297725E-2</c:v>
                </c:pt>
                <c:pt idx="34">
                  <c:v>2.5479166666190937E-2</c:v>
                </c:pt>
                <c:pt idx="35">
                  <c:v>2.4358019172084397E-2</c:v>
                </c:pt>
                <c:pt idx="36">
                  <c:v>2.3054503379944094E-2</c:v>
                </c:pt>
                <c:pt idx="37">
                  <c:v>2.1603625001669985E-2</c:v>
                </c:pt>
                <c:pt idx="38">
                  <c:v>2.0042622376384E-2</c:v>
                </c:pt>
                <c:pt idx="39">
                  <c:v>1.8409394864328237E-2</c:v>
                </c:pt>
                <c:pt idx="40">
                  <c:v>1.6741005429558559E-2</c:v>
                </c:pt>
                <c:pt idx="41">
                  <c:v>1.5072337720981387E-2</c:v>
                </c:pt>
                <c:pt idx="42">
                  <c:v>1.3434971554012659E-2</c:v>
                </c:pt>
                <c:pt idx="43">
                  <c:v>1.185632078272832E-2</c:v>
                </c:pt>
                <c:pt idx="44">
                  <c:v>1.0359056121947265E-2</c:v>
                </c:pt>
                <c:pt idx="45">
                  <c:v>8.9608144810696851E-3</c:v>
                </c:pt>
                <c:pt idx="46">
                  <c:v>7.6741775242030281E-3</c:v>
                </c:pt>
                <c:pt idx="47">
                  <c:v>6.5068868068247398E-3</c:v>
                </c:pt>
                <c:pt idx="48">
                  <c:v>5.4622518133395541E-3</c:v>
                </c:pt>
                <c:pt idx="49">
                  <c:v>4.5397008815455456E-3</c:v>
                </c:pt>
                <c:pt idx="50">
                  <c:v>3.7354232225431309E-3</c:v>
                </c:pt>
                <c:pt idx="51">
                  <c:v>3.0430525039056395E-3</c:v>
                </c:pt>
                <c:pt idx="52">
                  <c:v>2.4543479490352739E-3</c:v>
                </c:pt>
                <c:pt idx="53">
                  <c:v>1.9598366437834831E-3</c:v>
                </c:pt>
                <c:pt idx="54">
                  <c:v>1.5493897206094371E-3</c:v>
                </c:pt>
                <c:pt idx="55">
                  <c:v>1.212714365826275E-3</c:v>
                </c:pt>
                <c:pt idx="56">
                  <c:v>9.3975236939321423E-4</c:v>
                </c:pt>
                <c:pt idx="57">
                  <c:v>7.2098360930238211E-4</c:v>
                </c:pt>
                <c:pt idx="58">
                  <c:v>5.4763905092819639E-4</c:v>
                </c:pt>
                <c:pt idx="59">
                  <c:v>4.1183237251994149E-4</c:v>
                </c:pt>
                <c:pt idx="60">
                  <c:v>3.0662221008212297E-4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660256"/>
        <c:axId val="-1827659712"/>
      </c:scatterChart>
      <c:valAx>
        <c:axId val="-182766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Design 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59712"/>
        <c:crosses val="autoZero"/>
        <c:crossBetween val="midCat"/>
      </c:valAx>
      <c:valAx>
        <c:axId val="-182765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Weight normal distribution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'Individual Variables'!$C$22:$C$82</c:f>
              <c:numCache>
                <c:formatCode>General</c:formatCode>
                <c:ptCount val="61"/>
                <c:pt idx="0">
                  <c:v>63286.153557074009</c:v>
                </c:pt>
                <c:pt idx="1">
                  <c:v>61623.920069710541</c:v>
                </c:pt>
                <c:pt idx="2">
                  <c:v>59961.68658234708</c:v>
                </c:pt>
                <c:pt idx="3">
                  <c:v>58299.453094983626</c:v>
                </c:pt>
                <c:pt idx="4">
                  <c:v>56637.219607620165</c:v>
                </c:pt>
                <c:pt idx="5">
                  <c:v>54974.986120256704</c:v>
                </c:pt>
                <c:pt idx="6">
                  <c:v>53312.752632893244</c:v>
                </c:pt>
                <c:pt idx="7">
                  <c:v>51650.519145529783</c:v>
                </c:pt>
                <c:pt idx="8">
                  <c:v>49988.285658166329</c:v>
                </c:pt>
                <c:pt idx="9">
                  <c:v>48326.052170802868</c:v>
                </c:pt>
                <c:pt idx="10">
                  <c:v>46663.818683439407</c:v>
                </c:pt>
                <c:pt idx="11">
                  <c:v>45001.585196075946</c:v>
                </c:pt>
                <c:pt idx="12">
                  <c:v>43339.351708712493</c:v>
                </c:pt>
                <c:pt idx="13">
                  <c:v>41677.118221349032</c:v>
                </c:pt>
                <c:pt idx="14">
                  <c:v>40014.884733985571</c:v>
                </c:pt>
                <c:pt idx="15">
                  <c:v>38352.65124662211</c:v>
                </c:pt>
                <c:pt idx="16">
                  <c:v>36690.417759258649</c:v>
                </c:pt>
                <c:pt idx="17">
                  <c:v>35028.184271895188</c:v>
                </c:pt>
                <c:pt idx="18">
                  <c:v>33365.950784531728</c:v>
                </c:pt>
                <c:pt idx="19">
                  <c:v>31703.717297168274</c:v>
                </c:pt>
                <c:pt idx="20">
                  <c:v>30041.483809804813</c:v>
                </c:pt>
                <c:pt idx="21">
                  <c:v>28379.250322441352</c:v>
                </c:pt>
                <c:pt idx="22">
                  <c:v>26717.016835077891</c:v>
                </c:pt>
                <c:pt idx="23">
                  <c:v>25054.78334771443</c:v>
                </c:pt>
                <c:pt idx="24">
                  <c:v>23392.54986035097</c:v>
                </c:pt>
                <c:pt idx="25">
                  <c:v>21730.316372987512</c:v>
                </c:pt>
                <c:pt idx="26">
                  <c:v>20068.082885624055</c:v>
                </c:pt>
                <c:pt idx="27">
                  <c:v>18405.849398260594</c:v>
                </c:pt>
                <c:pt idx="28">
                  <c:v>16743.615910897133</c:v>
                </c:pt>
                <c:pt idx="29">
                  <c:v>15081.382423533672</c:v>
                </c:pt>
                <c:pt idx="30">
                  <c:v>13419.148936170213</c:v>
                </c:pt>
                <c:pt idx="31">
                  <c:v>11756.915448806754</c:v>
                </c:pt>
                <c:pt idx="32">
                  <c:v>10094.681961443293</c:v>
                </c:pt>
                <c:pt idx="33">
                  <c:v>8432.4484740798343</c:v>
                </c:pt>
                <c:pt idx="34">
                  <c:v>6770.2149867163735</c:v>
                </c:pt>
                <c:pt idx="35">
                  <c:v>5107.9814993529144</c:v>
                </c:pt>
                <c:pt idx="36">
                  <c:v>3445.7480119894553</c:v>
                </c:pt>
                <c:pt idx="37">
                  <c:v>1783.5145246259963</c:v>
                </c:pt>
                <c:pt idx="38">
                  <c:v>121.28103726253357</c:v>
                </c:pt>
                <c:pt idx="39">
                  <c:v>-1540.9524501009255</c:v>
                </c:pt>
                <c:pt idx="40">
                  <c:v>-3203.1859374643846</c:v>
                </c:pt>
                <c:pt idx="41">
                  <c:v>-4865.4194248278454</c:v>
                </c:pt>
                <c:pt idx="42">
                  <c:v>-6527.6529121913027</c:v>
                </c:pt>
                <c:pt idx="43">
                  <c:v>-8189.8863995547636</c:v>
                </c:pt>
                <c:pt idx="44">
                  <c:v>-9852.1198869182208</c:v>
                </c:pt>
                <c:pt idx="45">
                  <c:v>-11514.353374281685</c:v>
                </c:pt>
                <c:pt idx="46">
                  <c:v>-13176.586861645146</c:v>
                </c:pt>
                <c:pt idx="47">
                  <c:v>-14838.820349008603</c:v>
                </c:pt>
                <c:pt idx="48">
                  <c:v>-16501.053836372063</c:v>
                </c:pt>
                <c:pt idx="49">
                  <c:v>-18163.287323735523</c:v>
                </c:pt>
                <c:pt idx="50">
                  <c:v>-19825.520811098984</c:v>
                </c:pt>
                <c:pt idx="51">
                  <c:v>-21487.754298462445</c:v>
                </c:pt>
                <c:pt idx="52">
                  <c:v>-23149.987785825906</c:v>
                </c:pt>
                <c:pt idx="53">
                  <c:v>-24812.22127318936</c:v>
                </c:pt>
                <c:pt idx="54">
                  <c:v>-26474.454760552821</c:v>
                </c:pt>
                <c:pt idx="55">
                  <c:v>-28136.688247916456</c:v>
                </c:pt>
                <c:pt idx="56">
                  <c:v>-29798.921735279742</c:v>
                </c:pt>
                <c:pt idx="57">
                  <c:v>-31461.155222643203</c:v>
                </c:pt>
                <c:pt idx="58">
                  <c:v>-33123.388710006831</c:v>
                </c:pt>
                <c:pt idx="59">
                  <c:v>-34785.622197370292</c:v>
                </c:pt>
                <c:pt idx="60">
                  <c:v>-36447.855684733753</c:v>
                </c:pt>
              </c:numCache>
            </c:numRef>
          </c:xVal>
          <c:yVal>
            <c:numRef>
              <c:f>'Individual Variables'!$D$22:$D$82</c:f>
              <c:numCache>
                <c:formatCode>General</c:formatCode>
                <c:ptCount val="61"/>
                <c:pt idx="0">
                  <c:v>2.6662008951387169E-7</c:v>
                </c:pt>
                <c:pt idx="1">
                  <c:v>3.5810446998137557E-7</c:v>
                </c:pt>
                <c:pt idx="2">
                  <c:v>4.761937262817997E-7</c:v>
                </c:pt>
                <c:pt idx="3">
                  <c:v>6.2692364782950466E-7</c:v>
                </c:pt>
                <c:pt idx="4">
                  <c:v>8.1715170202894578E-7</c:v>
                </c:pt>
                <c:pt idx="5">
                  <c:v>1.0545029098993147E-6</c:v>
                </c:pt>
                <c:pt idx="6">
                  <c:v>1.3472553925239366E-6</c:v>
                </c:pt>
                <c:pt idx="7">
                  <c:v>1.704155159726202E-6</c:v>
                </c:pt>
                <c:pt idx="8">
                  <c:v>2.1341522184406959E-6</c:v>
                </c:pt>
                <c:pt idx="9">
                  <c:v>2.6460540179702114E-6</c:v>
                </c:pt>
                <c:pt idx="10">
                  <c:v>3.2480976303049615E-6</c:v>
                </c:pt>
                <c:pt idx="11">
                  <c:v>3.9474487353008796E-6</c:v>
                </c:pt>
                <c:pt idx="12">
                  <c:v>4.7496431097727649E-6</c:v>
                </c:pt>
                <c:pt idx="13">
                  <c:v>5.6579943847757634E-6</c:v>
                </c:pt>
                <c:pt idx="14">
                  <c:v>6.6729996431122234E-6</c:v>
                </c:pt>
                <c:pt idx="15">
                  <c:v>7.7917811577316482E-6</c:v>
                </c:pt>
                <c:pt idx="16">
                  <c:v>9.0076073412065594E-6</c:v>
                </c:pt>
                <c:pt idx="17">
                  <c:v>1.0309537941003851E-5</c:v>
                </c:pt>
                <c:pt idx="18">
                  <c:v>1.1682236969682269E-5</c:v>
                </c:pt>
                <c:pt idx="19">
                  <c:v>1.3105991347707428E-5</c:v>
                </c:pt>
                <c:pt idx="20">
                  <c:v>1.455696364912871E-5</c:v>
                </c:pt>
                <c:pt idx="21">
                  <c:v>1.6007693980513176E-5</c:v>
                </c:pt>
                <c:pt idx="22">
                  <c:v>1.7427849635069922E-5</c:v>
                </c:pt>
                <c:pt idx="23">
                  <c:v>1.8785202905642379E-5</c:v>
                </c:pt>
                <c:pt idx="24">
                  <c:v>2.0046798805644421E-5</c:v>
                </c:pt>
                <c:pt idx="25">
                  <c:v>2.1180257132391521E-5</c:v>
                </c:pt>
                <c:pt idx="26">
                  <c:v>2.2155139040511838E-5</c:v>
                </c:pt>
                <c:pt idx="27">
                  <c:v>2.2944298641550036E-5</c:v>
                </c:pt>
                <c:pt idx="28">
                  <c:v>2.3525136327009363E-5</c:v>
                </c:pt>
                <c:pt idx="29">
                  <c:v>2.3880673232413057E-5</c:v>
                </c:pt>
                <c:pt idx="30">
                  <c:v>2.4000375605127066E-5</c:v>
                </c:pt>
                <c:pt idx="31">
                  <c:v>2.3880673232413057E-5</c:v>
                </c:pt>
                <c:pt idx="32">
                  <c:v>2.3525136327009363E-5</c:v>
                </c:pt>
                <c:pt idx="33">
                  <c:v>2.294429864155004E-5</c:v>
                </c:pt>
                <c:pt idx="34">
                  <c:v>2.2155139040511838E-5</c:v>
                </c:pt>
                <c:pt idx="35">
                  <c:v>2.1180257132391521E-5</c:v>
                </c:pt>
                <c:pt idx="36">
                  <c:v>2.0046798805644417E-5</c:v>
                </c:pt>
                <c:pt idx="37">
                  <c:v>1.8785202905642379E-5</c:v>
                </c:pt>
                <c:pt idx="38">
                  <c:v>1.7427849635069918E-5</c:v>
                </c:pt>
                <c:pt idx="39">
                  <c:v>1.6007693980513176E-5</c:v>
                </c:pt>
                <c:pt idx="40">
                  <c:v>1.4556963649128714E-5</c:v>
                </c:pt>
                <c:pt idx="41">
                  <c:v>1.3105991347707431E-5</c:v>
                </c:pt>
                <c:pt idx="42">
                  <c:v>1.1682236969682269E-5</c:v>
                </c:pt>
                <c:pt idx="43">
                  <c:v>1.0309537941003851E-5</c:v>
                </c:pt>
                <c:pt idx="44">
                  <c:v>9.0076073412065628E-6</c:v>
                </c:pt>
                <c:pt idx="45">
                  <c:v>7.7917811577316482E-6</c:v>
                </c:pt>
                <c:pt idx="46">
                  <c:v>6.6729996431122234E-6</c:v>
                </c:pt>
                <c:pt idx="47">
                  <c:v>5.657994384775766E-6</c:v>
                </c:pt>
                <c:pt idx="48">
                  <c:v>4.7496431097727691E-6</c:v>
                </c:pt>
                <c:pt idx="49">
                  <c:v>3.9474487353008796E-6</c:v>
                </c:pt>
                <c:pt idx="50">
                  <c:v>3.2480976303049615E-6</c:v>
                </c:pt>
                <c:pt idx="51">
                  <c:v>2.6460540179702114E-6</c:v>
                </c:pt>
                <c:pt idx="52">
                  <c:v>2.1341522184406959E-6</c:v>
                </c:pt>
                <c:pt idx="53">
                  <c:v>1.704155159726202E-6</c:v>
                </c:pt>
                <c:pt idx="54">
                  <c:v>1.3472553925239366E-6</c:v>
                </c:pt>
                <c:pt idx="55">
                  <c:v>1.0545029098992874E-6</c:v>
                </c:pt>
                <c:pt idx="56">
                  <c:v>8.1715170202894578E-7</c:v>
                </c:pt>
                <c:pt idx="57">
                  <c:v>6.2692364782950466E-7</c:v>
                </c:pt>
                <c:pt idx="58">
                  <c:v>4.761937262817862E-7</c:v>
                </c:pt>
                <c:pt idx="59">
                  <c:v>3.5810446998136514E-7</c:v>
                </c:pt>
                <c:pt idx="60">
                  <c:v>2.6662008951386365E-7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650464"/>
        <c:axId val="-1827653184"/>
      </c:scatterChart>
      <c:valAx>
        <c:axId val="-182765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53184"/>
        <c:crosses val="autoZero"/>
        <c:crossBetween val="midCat"/>
      </c:valAx>
      <c:valAx>
        <c:axId val="-182765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6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</xdr:colOff>
      <xdr:row>23</xdr:row>
      <xdr:rowOff>63104</xdr:rowOff>
    </xdr:from>
    <xdr:to>
      <xdr:col>10</xdr:col>
      <xdr:colOff>428625</xdr:colOff>
      <xdr:row>37</xdr:row>
      <xdr:rowOff>151209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11905</xdr:colOff>
      <xdr:row>25</xdr:row>
      <xdr:rowOff>122635</xdr:rowOff>
    </xdr:from>
    <xdr:to>
      <xdr:col>18</xdr:col>
      <xdr:colOff>452437</xdr:colOff>
      <xdr:row>39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95249</xdr:colOff>
      <xdr:row>25</xdr:row>
      <xdr:rowOff>86914</xdr:rowOff>
    </xdr:from>
    <xdr:to>
      <xdr:col>25</xdr:col>
      <xdr:colOff>35719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75008</xdr:rowOff>
    </xdr:from>
    <xdr:to>
      <xdr:col>4</xdr:col>
      <xdr:colOff>547688</xdr:colOff>
      <xdr:row>38</xdr:row>
      <xdr:rowOff>11906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25" displayName="Table25" ref="A22:T69" totalsRowShown="0" headerRowDxfId="19" headerRowCellStyle="Normal 2">
  <autoFilter ref="A22:T69"/>
  <tableColumns count="20">
    <tableColumn id="1" name="PO Date" dataDxfId="18" dataCellStyle="Normal 3"/>
    <tableColumn id="4" name="PO Currency" dataDxfId="17" dataCellStyle="Normal 3"/>
    <tableColumn id="2" name="MOC shell" dataDxfId="16" dataCellStyle="Normal 3"/>
    <tableColumn id="3" name="Vendor Country" dataDxfId="15" dataCellStyle="Normal 3"/>
    <tableColumn id="5" name="Length Input  (ft, m)" dataDxfId="0" dataCellStyle="Normal 3"/>
    <tableColumn id="29" name="Diameter Input  (ft,m)" dataDxfId="14" dataCellStyle="Normal 3"/>
    <tableColumn id="28" name="Thickness shell Input_x000a_[inch,mm]" dataDxfId="13" dataCellStyle="Normal 3"/>
    <tableColumn id="7" name="Design P (bar, psi)" dataDxfId="12" dataCellStyle="Normal 3"/>
    <tableColumn id="6" name="Diameter output_x000a_[mm]" dataDxfId="11" dataCellStyle="Normal 3"/>
    <tableColumn id="8" name="Thickness shell_x000d_ output_x000a_[mm]" dataDxfId="10" dataCellStyle="Normal 3"/>
    <tableColumn id="9" name="Design P_x000a_[bar]" dataDxfId="9" dataCellStyle="Normal 3">
      <calculatedColumnFormula>Table25[[#This Row],[Design P (bar, psi)]]*14.5</calculatedColumnFormula>
    </tableColumn>
    <tableColumn id="10" name="Length output (mm)" dataDxfId="8" dataCellStyle="Normal 3"/>
    <tableColumn id="14" name="Exchange rate 1$ to €"/>
    <tableColumn id="26" name="Weight Estimation (kg, lbs)" dataDxfId="7">
      <calculatedColumnFormula>(5.63*Table25[[#This Row],[Diameter output
'[mm']]])+(1018.04*J23)-(586.68*K23)+(1377.66*L23)-7086.12</calculatedColumnFormula>
    </tableColumn>
    <tableColumn id="27" name="Cost Estimation (€, $, ¥)" dataDxfId="6">
      <calculatedColumnFormula>(3.761*N23)+56439.37</calculatedColumnFormula>
    </tableColumn>
    <tableColumn id="30" name="Material Index for 2018" dataDxfId="5">
      <calculatedColumnFormula>(Table25[[#This Row],[Cost Estimation (€, $, ¥)]])*1.05/1</calculatedColumnFormula>
    </tableColumn>
    <tableColumn id="31" name="space" dataDxfId="4"/>
    <tableColumn id="33" name="China" dataDxfId="3"/>
    <tableColumn id="34" name="Europe" dataDxfId="2">
      <calculatedColumnFormula>Table25[[#This Row],[Material Index for 2018]]*1.1</calculatedColumnFormula>
    </tableColumn>
    <tableColumn id="35" name="North America" dataDxfId="1">
      <calculatedColumnFormula>Table25[[#This Row],[Material Index for 2018]]*1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3" workbookViewId="0">
      <selection activeCell="B30" sqref="B30"/>
    </sheetView>
  </sheetViews>
  <sheetFormatPr defaultRowHeight="14.5" x14ac:dyDescent="0.35"/>
  <cols>
    <col min="1" max="1" width="19.453125" bestFit="1" customWidth="1"/>
    <col min="2" max="2" width="18.7265625" customWidth="1"/>
    <col min="3" max="3" width="23.453125" customWidth="1"/>
    <col min="4" max="4" width="38.7265625" customWidth="1"/>
  </cols>
  <sheetData>
    <row r="1" spans="1:4" ht="18.5" x14ac:dyDescent="0.45">
      <c r="A1" s="1" t="s">
        <v>132</v>
      </c>
    </row>
    <row r="3" spans="1:4" x14ac:dyDescent="0.35">
      <c r="A3" t="s">
        <v>0</v>
      </c>
    </row>
    <row r="4" spans="1:4" x14ac:dyDescent="0.35">
      <c r="A4" t="s">
        <v>143</v>
      </c>
    </row>
    <row r="5" spans="1:4" x14ac:dyDescent="0.35">
      <c r="A5" t="s">
        <v>150</v>
      </c>
    </row>
    <row r="6" spans="1:4" ht="43.15" customHeight="1" x14ac:dyDescent="0.35">
      <c r="B6" s="18" t="s">
        <v>130</v>
      </c>
      <c r="C6" s="17" t="s">
        <v>133</v>
      </c>
      <c r="D6" s="22" t="s">
        <v>147</v>
      </c>
    </row>
    <row r="7" spans="1:4" ht="29" x14ac:dyDescent="0.35">
      <c r="B7" s="104" t="s">
        <v>131</v>
      </c>
      <c r="C7" s="16" t="s">
        <v>145</v>
      </c>
      <c r="D7" s="21" t="s">
        <v>146</v>
      </c>
    </row>
    <row r="8" spans="1:4" x14ac:dyDescent="0.35">
      <c r="B8" s="106"/>
      <c r="C8" s="13" t="s">
        <v>126</v>
      </c>
      <c r="D8" s="19" t="s">
        <v>148</v>
      </c>
    </row>
    <row r="9" spans="1:4" x14ac:dyDescent="0.35">
      <c r="B9" s="105"/>
      <c r="C9" s="14" t="s">
        <v>127</v>
      </c>
      <c r="D9" s="20" t="s">
        <v>149</v>
      </c>
    </row>
    <row r="10" spans="1:4" x14ac:dyDescent="0.35">
      <c r="C10" s="23"/>
      <c r="D10" s="23"/>
    </row>
    <row r="11" spans="1:4" x14ac:dyDescent="0.35">
      <c r="A11" t="s">
        <v>140</v>
      </c>
    </row>
    <row r="12" spans="1:4" x14ac:dyDescent="0.35">
      <c r="A12" t="s">
        <v>19</v>
      </c>
    </row>
    <row r="14" spans="1:4" x14ac:dyDescent="0.35">
      <c r="A14" t="s">
        <v>1</v>
      </c>
    </row>
    <row r="15" spans="1:4" x14ac:dyDescent="0.35">
      <c r="A15" t="s">
        <v>144</v>
      </c>
    </row>
    <row r="17" spans="1:5" x14ac:dyDescent="0.35">
      <c r="B17" s="104" t="s">
        <v>129</v>
      </c>
      <c r="C17" s="16" t="s">
        <v>126</v>
      </c>
      <c r="D17" s="12" t="s">
        <v>141</v>
      </c>
    </row>
    <row r="18" spans="1:5" x14ac:dyDescent="0.35">
      <c r="B18" s="105"/>
      <c r="C18" s="14" t="s">
        <v>127</v>
      </c>
      <c r="D18" s="15" t="s">
        <v>128</v>
      </c>
    </row>
    <row r="20" spans="1:5" x14ac:dyDescent="0.35">
      <c r="A20" t="s">
        <v>2</v>
      </c>
    </row>
    <row r="21" spans="1:5" x14ac:dyDescent="0.35">
      <c r="A21" t="s">
        <v>20</v>
      </c>
    </row>
    <row r="22" spans="1:5" x14ac:dyDescent="0.35">
      <c r="A22" t="s">
        <v>3</v>
      </c>
    </row>
    <row r="24" spans="1:5" ht="15" thickBot="1" x14ac:dyDescent="0.4">
      <c r="A24" s="2" t="s">
        <v>4</v>
      </c>
      <c r="B24" s="3" t="s">
        <v>5</v>
      </c>
      <c r="C24" s="3" t="s">
        <v>6</v>
      </c>
      <c r="D24" s="3" t="s">
        <v>7</v>
      </c>
      <c r="E24" s="3" t="s">
        <v>8</v>
      </c>
    </row>
    <row r="25" spans="1:5" ht="15" thickTop="1" x14ac:dyDescent="0.35">
      <c r="A25" t="s">
        <v>9</v>
      </c>
      <c r="B25" s="4">
        <v>1</v>
      </c>
      <c r="C25" s="4">
        <v>1.01</v>
      </c>
      <c r="D25" s="4">
        <v>1.03</v>
      </c>
      <c r="E25" s="4">
        <v>1.05</v>
      </c>
    </row>
    <row r="26" spans="1:5" x14ac:dyDescent="0.35">
      <c r="A26" t="s">
        <v>10</v>
      </c>
      <c r="B26" s="4">
        <v>1</v>
      </c>
      <c r="C26" s="4">
        <v>1.03</v>
      </c>
      <c r="D26" s="4">
        <v>1.0900000000000001</v>
      </c>
      <c r="E26" s="4">
        <v>1.1200000000000001</v>
      </c>
    </row>
    <row r="28" spans="1:5" ht="15" thickBot="1" x14ac:dyDescent="0.4">
      <c r="A28" s="2" t="s">
        <v>11</v>
      </c>
      <c r="B28" s="3" t="s">
        <v>12</v>
      </c>
    </row>
    <row r="29" spans="1:5" ht="15" thickTop="1" x14ac:dyDescent="0.35">
      <c r="A29" t="s">
        <v>13</v>
      </c>
      <c r="B29" s="4">
        <v>1.1000000000000001</v>
      </c>
    </row>
    <row r="30" spans="1:5" x14ac:dyDescent="0.35">
      <c r="A30" t="s">
        <v>14</v>
      </c>
      <c r="B30" s="4">
        <v>1</v>
      </c>
    </row>
    <row r="31" spans="1:5" x14ac:dyDescent="0.35">
      <c r="A31" t="s">
        <v>15</v>
      </c>
      <c r="B31" s="4">
        <v>0.9</v>
      </c>
    </row>
    <row r="33" spans="1:5" x14ac:dyDescent="0.35">
      <c r="A33" s="5" t="s">
        <v>16</v>
      </c>
    </row>
    <row r="34" spans="1:5" x14ac:dyDescent="0.35">
      <c r="A34" t="s">
        <v>17</v>
      </c>
    </row>
    <row r="35" spans="1:5" x14ac:dyDescent="0.35">
      <c r="A35" t="s">
        <v>18</v>
      </c>
      <c r="E35" s="6"/>
    </row>
  </sheetData>
  <mergeCells count="2">
    <mergeCell ref="B17:B18"/>
    <mergeCell ref="B7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8"/>
  <sheetViews>
    <sheetView topLeftCell="F1" zoomScale="80" zoomScaleNormal="80" workbookViewId="0">
      <selection activeCell="P1" activeCellId="1" sqref="J1:J48 P1:P48"/>
    </sheetView>
  </sheetViews>
  <sheetFormatPr defaultColWidth="13.7265625" defaultRowHeight="14.5" x14ac:dyDescent="0.35"/>
  <cols>
    <col min="1" max="1" width="16.54296875" bestFit="1" customWidth="1"/>
    <col min="2" max="2" width="18.26953125" bestFit="1" customWidth="1"/>
    <col min="3" max="3" width="15.1796875" bestFit="1" customWidth="1"/>
    <col min="4" max="4" width="15.453125" bestFit="1" customWidth="1"/>
    <col min="5" max="5" width="14.7265625" bestFit="1" customWidth="1"/>
    <col min="6" max="6" width="18.26953125" bestFit="1" customWidth="1"/>
    <col min="7" max="7" width="16.26953125" bestFit="1" customWidth="1"/>
    <col min="8" max="9" width="11.26953125" customWidth="1"/>
    <col min="10" max="10" width="26.26953125" bestFit="1" customWidth="1"/>
    <col min="11" max="11" width="15.453125" bestFit="1" customWidth="1"/>
    <col min="12" max="12" width="13.453125" bestFit="1" customWidth="1"/>
    <col min="14" max="14" width="21.26953125" bestFit="1" customWidth="1"/>
  </cols>
  <sheetData>
    <row r="1" spans="1:16" ht="36" customHeight="1" thickBot="1" x14ac:dyDescent="0.4">
      <c r="A1" s="2" t="s">
        <v>21</v>
      </c>
      <c r="B1" s="2" t="s">
        <v>22</v>
      </c>
      <c r="C1" s="2" t="s">
        <v>23</v>
      </c>
      <c r="D1" s="2" t="s">
        <v>24</v>
      </c>
      <c r="E1" s="7" t="s">
        <v>25</v>
      </c>
      <c r="F1" s="2" t="s">
        <v>26</v>
      </c>
      <c r="G1" s="8" t="s">
        <v>27</v>
      </c>
      <c r="H1" s="2" t="s">
        <v>28</v>
      </c>
      <c r="I1" s="2" t="s">
        <v>136</v>
      </c>
      <c r="J1" s="2" t="s">
        <v>31</v>
      </c>
      <c r="K1" s="2" t="s">
        <v>29</v>
      </c>
      <c r="L1" s="2" t="s">
        <v>30</v>
      </c>
      <c r="M1" s="2" t="s">
        <v>135</v>
      </c>
      <c r="N1" s="2" t="s">
        <v>134</v>
      </c>
      <c r="O1" s="2" t="s">
        <v>142</v>
      </c>
      <c r="P1" s="85" t="s">
        <v>221</v>
      </c>
    </row>
    <row r="2" spans="1:16" ht="15" hidden="1" thickTop="1" x14ac:dyDescent="0.35">
      <c r="A2" s="9" t="s">
        <v>45</v>
      </c>
      <c r="B2" s="9" t="s">
        <v>46</v>
      </c>
      <c r="C2" s="10">
        <v>28984.837278106508</v>
      </c>
      <c r="D2" s="9" t="s">
        <v>34</v>
      </c>
      <c r="E2" s="11">
        <v>42036</v>
      </c>
      <c r="F2" s="9" t="s">
        <v>35</v>
      </c>
      <c r="G2" s="9" t="s">
        <v>13</v>
      </c>
      <c r="H2" s="9" t="s">
        <v>36</v>
      </c>
      <c r="I2" s="9" t="s">
        <v>137</v>
      </c>
      <c r="J2" s="9">
        <v>21000</v>
      </c>
      <c r="K2" s="9">
        <v>2743.2</v>
      </c>
      <c r="L2" s="9">
        <v>6096</v>
      </c>
      <c r="M2" s="9">
        <v>15.9</v>
      </c>
      <c r="N2" s="9">
        <v>5.2</v>
      </c>
      <c r="O2" s="9">
        <v>340</v>
      </c>
      <c r="P2" s="86">
        <v>28984.837278106501</v>
      </c>
    </row>
    <row r="3" spans="1:16" ht="15" hidden="1" thickTop="1" x14ac:dyDescent="0.35">
      <c r="A3" s="9" t="s">
        <v>54</v>
      </c>
      <c r="B3" s="9" t="s">
        <v>55</v>
      </c>
      <c r="C3" s="10">
        <v>15458.579881656802</v>
      </c>
      <c r="D3" s="9" t="s">
        <v>34</v>
      </c>
      <c r="E3" s="11">
        <v>42036</v>
      </c>
      <c r="F3" s="9" t="s">
        <v>35</v>
      </c>
      <c r="G3" s="9" t="s">
        <v>13</v>
      </c>
      <c r="H3" s="9" t="s">
        <v>36</v>
      </c>
      <c r="I3" s="9" t="s">
        <v>139</v>
      </c>
      <c r="J3" s="9">
        <v>3000</v>
      </c>
      <c r="K3" s="9">
        <v>1219.2</v>
      </c>
      <c r="L3" s="9">
        <v>3048</v>
      </c>
      <c r="M3" s="9">
        <v>11.2</v>
      </c>
      <c r="N3" s="9">
        <v>15</v>
      </c>
      <c r="O3" s="9">
        <v>175</v>
      </c>
      <c r="P3" s="86">
        <v>15458.579881656802</v>
      </c>
    </row>
    <row r="4" spans="1:16" ht="15" hidden="1" thickTop="1" x14ac:dyDescent="0.35">
      <c r="A4" s="9" t="s">
        <v>63</v>
      </c>
      <c r="B4" s="9" t="s">
        <v>64</v>
      </c>
      <c r="C4" s="10">
        <v>12986.30769230769</v>
      </c>
      <c r="D4" s="9" t="s">
        <v>39</v>
      </c>
      <c r="E4" s="11">
        <v>42036</v>
      </c>
      <c r="F4" s="9" t="s">
        <v>65</v>
      </c>
      <c r="G4" s="9" t="s">
        <v>15</v>
      </c>
      <c r="H4" s="9" t="s">
        <v>36</v>
      </c>
      <c r="I4" s="9" t="s">
        <v>137</v>
      </c>
      <c r="J4" s="9">
        <v>6100</v>
      </c>
      <c r="K4" s="9">
        <v>1371.6</v>
      </c>
      <c r="L4" s="9">
        <v>4267.2</v>
      </c>
      <c r="M4" s="9">
        <v>9.6999999999999993</v>
      </c>
      <c r="N4" s="9">
        <v>4.0999999999999996</v>
      </c>
      <c r="O4" s="9">
        <v>175</v>
      </c>
      <c r="P4" s="86">
        <v>12207.129230769227</v>
      </c>
    </row>
    <row r="5" spans="1:16" ht="15" hidden="1" thickTop="1" x14ac:dyDescent="0.35">
      <c r="A5" s="9" t="s">
        <v>68</v>
      </c>
      <c r="B5" s="9" t="s">
        <v>69</v>
      </c>
      <c r="C5" s="10">
        <v>12560.096153846152</v>
      </c>
      <c r="D5" s="9" t="s">
        <v>34</v>
      </c>
      <c r="E5" s="11">
        <v>42036</v>
      </c>
      <c r="F5" s="9" t="s">
        <v>70</v>
      </c>
      <c r="G5" s="9" t="s">
        <v>13</v>
      </c>
      <c r="H5" s="9" t="s">
        <v>36</v>
      </c>
      <c r="I5" s="9" t="s">
        <v>137</v>
      </c>
      <c r="J5" s="9">
        <v>1500</v>
      </c>
      <c r="K5" s="9">
        <v>1200</v>
      </c>
      <c r="L5" s="9">
        <v>3800</v>
      </c>
      <c r="M5" s="9">
        <v>6</v>
      </c>
      <c r="N5" s="9">
        <v>3.5</v>
      </c>
      <c r="O5" s="9">
        <v>150</v>
      </c>
      <c r="P5" s="86">
        <v>12560.096153846152</v>
      </c>
    </row>
    <row r="6" spans="1:16" ht="15" hidden="1" thickTop="1" x14ac:dyDescent="0.35">
      <c r="A6" s="9" t="s">
        <v>66</v>
      </c>
      <c r="B6" s="9" t="s">
        <v>67</v>
      </c>
      <c r="C6" s="10">
        <v>16796.566346153846</v>
      </c>
      <c r="D6" s="9" t="s">
        <v>39</v>
      </c>
      <c r="E6" s="11">
        <v>42217</v>
      </c>
      <c r="F6" s="9" t="s">
        <v>58</v>
      </c>
      <c r="G6" s="9" t="s">
        <v>14</v>
      </c>
      <c r="H6" s="9" t="s">
        <v>36</v>
      </c>
      <c r="I6" s="9" t="s">
        <v>137</v>
      </c>
      <c r="J6" s="9">
        <v>4500</v>
      </c>
      <c r="K6" s="9">
        <v>1828.8</v>
      </c>
      <c r="L6" s="9">
        <v>4267.2</v>
      </c>
      <c r="M6" s="9">
        <v>9.6999999999999993</v>
      </c>
      <c r="N6" s="9">
        <v>3.4</v>
      </c>
      <c r="O6" s="9">
        <v>225</v>
      </c>
      <c r="P6" s="86">
        <v>15788.772365384615</v>
      </c>
    </row>
    <row r="7" spans="1:16" ht="15" hidden="1" thickTop="1" x14ac:dyDescent="0.35">
      <c r="A7" s="9" t="s">
        <v>52</v>
      </c>
      <c r="B7" s="9" t="s">
        <v>53</v>
      </c>
      <c r="C7" s="10">
        <v>12351.836538461539</v>
      </c>
      <c r="D7" s="9" t="s">
        <v>39</v>
      </c>
      <c r="E7" s="11">
        <v>42309</v>
      </c>
      <c r="F7" s="9" t="s">
        <v>40</v>
      </c>
      <c r="G7" s="9" t="s">
        <v>14</v>
      </c>
      <c r="H7" s="9" t="s">
        <v>36</v>
      </c>
      <c r="I7" s="9" t="s">
        <v>139</v>
      </c>
      <c r="J7" s="24">
        <v>1600</v>
      </c>
      <c r="K7" s="24">
        <v>1219.2</v>
      </c>
      <c r="L7" s="24">
        <v>1828.8</v>
      </c>
      <c r="M7" s="24">
        <v>9.5</v>
      </c>
      <c r="N7" s="24">
        <v>3.4</v>
      </c>
      <c r="O7" s="24">
        <v>250</v>
      </c>
      <c r="P7" s="86">
        <v>11610.726346153846</v>
      </c>
    </row>
    <row r="8" spans="1:16" ht="15" hidden="1" thickTop="1" x14ac:dyDescent="0.35">
      <c r="A8" s="9" t="s">
        <v>63</v>
      </c>
      <c r="B8" s="9" t="s">
        <v>64</v>
      </c>
      <c r="C8" s="10">
        <v>11969.956730769232</v>
      </c>
      <c r="D8" s="9" t="s">
        <v>39</v>
      </c>
      <c r="E8" s="11">
        <v>42309</v>
      </c>
      <c r="F8" s="9" t="s">
        <v>65</v>
      </c>
      <c r="G8" s="9" t="s">
        <v>15</v>
      </c>
      <c r="H8" s="9" t="s">
        <v>36</v>
      </c>
      <c r="I8" s="9" t="s">
        <v>139</v>
      </c>
      <c r="J8" s="24">
        <v>6100</v>
      </c>
      <c r="K8" s="24">
        <v>1371.6</v>
      </c>
      <c r="L8" s="24">
        <v>4267.2</v>
      </c>
      <c r="M8" s="24">
        <v>9.6999999999999993</v>
      </c>
      <c r="N8" s="24">
        <v>4.0999999999999996</v>
      </c>
      <c r="O8" s="24">
        <v>250</v>
      </c>
      <c r="P8" s="86">
        <v>11251.759326923078</v>
      </c>
    </row>
    <row r="9" spans="1:16" ht="15" hidden="1" thickTop="1" x14ac:dyDescent="0.35">
      <c r="A9" s="9" t="s">
        <v>32</v>
      </c>
      <c r="B9" s="9" t="s">
        <v>33</v>
      </c>
      <c r="C9" s="10">
        <v>37452.081176035506</v>
      </c>
      <c r="D9" s="9" t="s">
        <v>34</v>
      </c>
      <c r="E9" s="11">
        <v>42370</v>
      </c>
      <c r="F9" s="9" t="s">
        <v>35</v>
      </c>
      <c r="G9" s="9" t="s">
        <v>13</v>
      </c>
      <c r="H9" s="9" t="s">
        <v>36</v>
      </c>
      <c r="I9" s="9" t="s">
        <v>137</v>
      </c>
      <c r="J9" s="24">
        <v>50000</v>
      </c>
      <c r="K9" s="24">
        <v>4267.2</v>
      </c>
      <c r="L9" s="24">
        <v>12801.6</v>
      </c>
      <c r="M9" s="24">
        <v>22.2</v>
      </c>
      <c r="N9" s="24">
        <v>3.4</v>
      </c>
      <c r="O9" s="24">
        <v>250</v>
      </c>
      <c r="P9" s="86">
        <v>37452.081176035506</v>
      </c>
    </row>
    <row r="10" spans="1:16" ht="15" hidden="1" thickTop="1" x14ac:dyDescent="0.35">
      <c r="A10" s="9" t="s">
        <v>50</v>
      </c>
      <c r="B10" s="9" t="s">
        <v>51</v>
      </c>
      <c r="C10" s="10">
        <v>30553.013590976334</v>
      </c>
      <c r="D10" s="9" t="s">
        <v>34</v>
      </c>
      <c r="E10" s="11">
        <v>42370</v>
      </c>
      <c r="F10" s="9" t="s">
        <v>35</v>
      </c>
      <c r="G10" s="9" t="s">
        <v>13</v>
      </c>
      <c r="H10" s="9" t="s">
        <v>36</v>
      </c>
      <c r="I10" s="9" t="s">
        <v>137</v>
      </c>
      <c r="J10" s="24">
        <v>25000</v>
      </c>
      <c r="K10" s="24">
        <v>3048</v>
      </c>
      <c r="L10" s="24">
        <v>9144</v>
      </c>
      <c r="M10" s="24">
        <v>20.6</v>
      </c>
      <c r="N10" s="24">
        <v>3.4</v>
      </c>
      <c r="O10" s="24">
        <v>250</v>
      </c>
      <c r="P10" s="86">
        <v>30553.013590976334</v>
      </c>
    </row>
    <row r="11" spans="1:16" ht="15" hidden="1" thickTop="1" x14ac:dyDescent="0.35">
      <c r="A11" s="9" t="s">
        <v>75</v>
      </c>
      <c r="B11" s="9" t="s">
        <v>76</v>
      </c>
      <c r="C11" s="10">
        <v>22404.373557692306</v>
      </c>
      <c r="D11" s="9" t="s">
        <v>39</v>
      </c>
      <c r="E11" s="11">
        <v>42370</v>
      </c>
      <c r="F11" s="9" t="s">
        <v>77</v>
      </c>
      <c r="G11" s="9" t="s">
        <v>14</v>
      </c>
      <c r="H11" s="9" t="s">
        <v>36</v>
      </c>
      <c r="I11" s="9" t="s">
        <v>137</v>
      </c>
      <c r="J11" s="24">
        <v>11500</v>
      </c>
      <c r="K11" s="24">
        <v>1676.4</v>
      </c>
      <c r="L11" s="24">
        <v>4876.8</v>
      </c>
      <c r="M11" s="24">
        <v>30.2</v>
      </c>
      <c r="N11" s="24">
        <v>36.200000000000003</v>
      </c>
      <c r="O11" s="24">
        <v>250</v>
      </c>
      <c r="P11" s="86">
        <v>21060.111144230767</v>
      </c>
    </row>
    <row r="12" spans="1:16" ht="15" hidden="1" thickTop="1" x14ac:dyDescent="0.35">
      <c r="A12" s="9" t="s">
        <v>37</v>
      </c>
      <c r="B12" s="9" t="s">
        <v>38</v>
      </c>
      <c r="C12" s="10">
        <v>37779.92403846154</v>
      </c>
      <c r="D12" s="9" t="s">
        <v>39</v>
      </c>
      <c r="E12" s="11">
        <v>42401</v>
      </c>
      <c r="F12" s="9" t="s">
        <v>40</v>
      </c>
      <c r="G12" s="9" t="s">
        <v>14</v>
      </c>
      <c r="H12" s="9" t="s">
        <v>36</v>
      </c>
      <c r="I12" s="9" t="s">
        <v>138</v>
      </c>
      <c r="J12" s="24">
        <v>70000</v>
      </c>
      <c r="K12" s="24">
        <v>1828.8</v>
      </c>
      <c r="L12" s="24">
        <v>6096</v>
      </c>
      <c r="M12" s="24">
        <v>12.7</v>
      </c>
      <c r="N12" s="24">
        <v>3.4</v>
      </c>
      <c r="O12" s="24">
        <v>350</v>
      </c>
      <c r="P12" s="86">
        <v>35513.128596153845</v>
      </c>
    </row>
    <row r="13" spans="1:16" ht="15" hidden="1" thickTop="1" x14ac:dyDescent="0.35">
      <c r="A13" s="9" t="s">
        <v>59</v>
      </c>
      <c r="B13" s="9" t="s">
        <v>60</v>
      </c>
      <c r="C13" s="10">
        <v>14072.718195266274</v>
      </c>
      <c r="D13" s="9" t="s">
        <v>34</v>
      </c>
      <c r="E13" s="11">
        <v>42401</v>
      </c>
      <c r="F13" s="9" t="s">
        <v>35</v>
      </c>
      <c r="G13" s="9" t="s">
        <v>13</v>
      </c>
      <c r="H13" s="9" t="s">
        <v>36</v>
      </c>
      <c r="I13" s="9" t="s">
        <v>138</v>
      </c>
      <c r="J13" s="24">
        <v>1600</v>
      </c>
      <c r="K13" s="24">
        <v>1219.2</v>
      </c>
      <c r="L13" s="24">
        <v>1828.8</v>
      </c>
      <c r="M13" s="24">
        <v>9.6999999999999993</v>
      </c>
      <c r="N13" s="24">
        <v>3.4</v>
      </c>
      <c r="O13" s="24">
        <v>400</v>
      </c>
      <c r="P13" s="86">
        <v>14072.718195266274</v>
      </c>
    </row>
    <row r="14" spans="1:16" ht="15" hidden="1" thickTop="1" x14ac:dyDescent="0.35">
      <c r="A14" s="9" t="s">
        <v>68</v>
      </c>
      <c r="B14" s="9" t="s">
        <v>69</v>
      </c>
      <c r="C14" s="10">
        <v>14887.46163091716</v>
      </c>
      <c r="D14" s="9" t="s">
        <v>34</v>
      </c>
      <c r="E14" s="11">
        <v>42401</v>
      </c>
      <c r="F14" s="9" t="s">
        <v>70</v>
      </c>
      <c r="G14" s="9" t="s">
        <v>13</v>
      </c>
      <c r="H14" s="9" t="s">
        <v>36</v>
      </c>
      <c r="I14" s="9" t="s">
        <v>137</v>
      </c>
      <c r="J14" s="24">
        <v>1500</v>
      </c>
      <c r="K14" s="24">
        <v>1200</v>
      </c>
      <c r="L14" s="24">
        <v>3800</v>
      </c>
      <c r="M14" s="24">
        <v>6</v>
      </c>
      <c r="N14" s="24">
        <v>3.5</v>
      </c>
      <c r="O14" s="24">
        <v>350</v>
      </c>
      <c r="P14" s="86">
        <v>14887.46163091716</v>
      </c>
    </row>
    <row r="15" spans="1:16" ht="15" hidden="1" thickTop="1" x14ac:dyDescent="0.35">
      <c r="A15" s="9" t="s">
        <v>71</v>
      </c>
      <c r="B15" s="9" t="s">
        <v>72</v>
      </c>
      <c r="C15" s="10">
        <v>14057.646153846154</v>
      </c>
      <c r="D15" s="9" t="s">
        <v>39</v>
      </c>
      <c r="E15" s="11">
        <v>42401</v>
      </c>
      <c r="F15" s="9" t="s">
        <v>40</v>
      </c>
      <c r="G15" s="9" t="s">
        <v>14</v>
      </c>
      <c r="H15" s="9" t="s">
        <v>36</v>
      </c>
      <c r="I15" s="9" t="s">
        <v>137</v>
      </c>
      <c r="J15" s="24">
        <v>2500</v>
      </c>
      <c r="K15" s="24">
        <v>914.4</v>
      </c>
      <c r="L15" s="24">
        <v>3352.8</v>
      </c>
      <c r="M15" s="24">
        <v>20.6</v>
      </c>
      <c r="N15" s="24">
        <v>40</v>
      </c>
      <c r="O15" s="24">
        <v>150</v>
      </c>
      <c r="P15" s="86">
        <v>13214.187384615383</v>
      </c>
    </row>
    <row r="16" spans="1:16" ht="15" hidden="1" thickTop="1" x14ac:dyDescent="0.35">
      <c r="A16" s="9" t="s">
        <v>82</v>
      </c>
      <c r="B16" s="9" t="s">
        <v>83</v>
      </c>
      <c r="C16" s="10">
        <v>20697.202755177514</v>
      </c>
      <c r="D16" s="9" t="s">
        <v>34</v>
      </c>
      <c r="E16" s="11">
        <v>42401</v>
      </c>
      <c r="F16" s="9" t="s">
        <v>70</v>
      </c>
      <c r="G16" s="9" t="s">
        <v>13</v>
      </c>
      <c r="H16" s="9" t="s">
        <v>36</v>
      </c>
      <c r="I16" s="9" t="s">
        <v>139</v>
      </c>
      <c r="J16" s="24">
        <v>6500</v>
      </c>
      <c r="K16" s="24">
        <v>1981.2</v>
      </c>
      <c r="L16" s="24">
        <v>4775.2</v>
      </c>
      <c r="M16" s="24">
        <v>15.9</v>
      </c>
      <c r="N16" s="24">
        <v>12.7</v>
      </c>
      <c r="O16" s="24">
        <v>250</v>
      </c>
      <c r="P16" s="86">
        <v>20697.202755177514</v>
      </c>
    </row>
    <row r="17" spans="1:16" ht="15" hidden="1" thickTop="1" x14ac:dyDescent="0.35">
      <c r="A17" s="9" t="s">
        <v>50</v>
      </c>
      <c r="B17" s="9" t="s">
        <v>51</v>
      </c>
      <c r="C17" s="10">
        <v>30553.013590976334</v>
      </c>
      <c r="D17" s="9" t="s">
        <v>34</v>
      </c>
      <c r="E17" s="11">
        <v>42430</v>
      </c>
      <c r="F17" s="9" t="s">
        <v>35</v>
      </c>
      <c r="G17" s="9" t="s">
        <v>13</v>
      </c>
      <c r="H17" s="9" t="s">
        <v>36</v>
      </c>
      <c r="I17" s="9" t="s">
        <v>137</v>
      </c>
      <c r="J17" s="24">
        <v>25000</v>
      </c>
      <c r="K17" s="24">
        <v>3048</v>
      </c>
      <c r="L17" s="24">
        <v>9144</v>
      </c>
      <c r="M17" s="24">
        <v>20.6</v>
      </c>
      <c r="N17" s="24">
        <v>3.4</v>
      </c>
      <c r="O17" s="24">
        <v>250</v>
      </c>
      <c r="P17" s="86">
        <v>30553.013590976334</v>
      </c>
    </row>
    <row r="18" spans="1:16" ht="15" hidden="1" thickTop="1" x14ac:dyDescent="0.35">
      <c r="A18" s="9" t="s">
        <v>56</v>
      </c>
      <c r="B18" s="9" t="s">
        <v>57</v>
      </c>
      <c r="C18" s="10">
        <v>13456.055769230767</v>
      </c>
      <c r="D18" s="9" t="s">
        <v>39</v>
      </c>
      <c r="E18" s="11">
        <v>42491</v>
      </c>
      <c r="F18" s="9" t="s">
        <v>58</v>
      </c>
      <c r="G18" s="9" t="s">
        <v>14</v>
      </c>
      <c r="H18" s="9" t="s">
        <v>36</v>
      </c>
      <c r="I18" s="9" t="s">
        <v>138</v>
      </c>
      <c r="J18" s="24">
        <v>1600</v>
      </c>
      <c r="K18" s="24">
        <v>762</v>
      </c>
      <c r="L18" s="24">
        <v>1524</v>
      </c>
      <c r="M18" s="24">
        <v>25.4</v>
      </c>
      <c r="N18" s="24">
        <v>45</v>
      </c>
      <c r="O18" s="24">
        <v>65</v>
      </c>
      <c r="P18" s="86">
        <v>12648.69242307692</v>
      </c>
    </row>
    <row r="19" spans="1:16" ht="15" hidden="1" thickTop="1" x14ac:dyDescent="0.35">
      <c r="A19" s="9" t="s">
        <v>78</v>
      </c>
      <c r="B19" s="9" t="s">
        <v>79</v>
      </c>
      <c r="C19" s="10">
        <v>25129.853920118345</v>
      </c>
      <c r="D19" s="9" t="s">
        <v>34</v>
      </c>
      <c r="E19" s="11">
        <v>42491</v>
      </c>
      <c r="F19" s="9" t="s">
        <v>35</v>
      </c>
      <c r="G19" s="9" t="s">
        <v>13</v>
      </c>
      <c r="H19" s="9" t="s">
        <v>36</v>
      </c>
      <c r="I19" s="9" t="s">
        <v>137</v>
      </c>
      <c r="J19" s="9">
        <v>12500</v>
      </c>
      <c r="K19" s="9">
        <v>2133.6</v>
      </c>
      <c r="L19" s="9">
        <v>5436</v>
      </c>
      <c r="M19" s="9">
        <v>33.299999999999997</v>
      </c>
      <c r="N19" s="9">
        <v>36.200000000000003</v>
      </c>
      <c r="O19" s="9">
        <v>125</v>
      </c>
      <c r="P19" s="86">
        <v>25129.853920118345</v>
      </c>
    </row>
    <row r="20" spans="1:16" ht="15" hidden="1" thickTop="1" x14ac:dyDescent="0.35">
      <c r="A20" s="9" t="s">
        <v>41</v>
      </c>
      <c r="B20" s="9" t="s">
        <v>42</v>
      </c>
      <c r="C20" s="10">
        <v>32166.213017751481</v>
      </c>
      <c r="D20" s="9" t="s">
        <v>34</v>
      </c>
      <c r="E20" s="11">
        <v>42552</v>
      </c>
      <c r="F20" s="9" t="s">
        <v>35</v>
      </c>
      <c r="G20" s="9" t="s">
        <v>13</v>
      </c>
      <c r="H20" s="9" t="s">
        <v>36</v>
      </c>
      <c r="I20" s="9" t="s">
        <v>139</v>
      </c>
      <c r="J20" s="9">
        <v>26000</v>
      </c>
      <c r="K20" s="9">
        <v>4267.2</v>
      </c>
      <c r="L20" s="9">
        <v>7620</v>
      </c>
      <c r="M20" s="9">
        <v>15.9</v>
      </c>
      <c r="N20" s="9">
        <v>3.4</v>
      </c>
      <c r="O20" s="9">
        <v>125</v>
      </c>
      <c r="P20" s="86">
        <v>32166.213017751481</v>
      </c>
    </row>
    <row r="21" spans="1:16" ht="15" hidden="1" thickTop="1" x14ac:dyDescent="0.35">
      <c r="A21" s="9" t="s">
        <v>47</v>
      </c>
      <c r="B21" s="9" t="s">
        <v>48</v>
      </c>
      <c r="C21" s="10">
        <v>16264.488461538462</v>
      </c>
      <c r="D21" s="9" t="s">
        <v>39</v>
      </c>
      <c r="E21" s="11">
        <v>42552</v>
      </c>
      <c r="F21" s="9" t="s">
        <v>40</v>
      </c>
      <c r="G21" s="9" t="s">
        <v>14</v>
      </c>
      <c r="H21" s="9" t="s">
        <v>36</v>
      </c>
      <c r="I21" s="9" t="s">
        <v>137</v>
      </c>
      <c r="J21" s="9">
        <v>4000</v>
      </c>
      <c r="K21" s="9">
        <v>1066.8</v>
      </c>
      <c r="L21" s="9">
        <v>4876.8</v>
      </c>
      <c r="M21" s="9">
        <v>11.1</v>
      </c>
      <c r="N21" s="9">
        <v>5.2</v>
      </c>
      <c r="O21" s="9">
        <v>125</v>
      </c>
      <c r="P21" s="86">
        <v>15288.619153846153</v>
      </c>
    </row>
    <row r="22" spans="1:16" ht="15" hidden="1" thickTop="1" x14ac:dyDescent="0.35">
      <c r="A22" s="9" t="s">
        <v>84</v>
      </c>
      <c r="B22" s="9" t="s">
        <v>85</v>
      </c>
      <c r="C22" s="10">
        <v>20782.401923076923</v>
      </c>
      <c r="D22" s="9" t="s">
        <v>39</v>
      </c>
      <c r="E22" s="11">
        <v>42552</v>
      </c>
      <c r="F22" s="9" t="s">
        <v>77</v>
      </c>
      <c r="G22" s="9" t="s">
        <v>14</v>
      </c>
      <c r="H22" s="9" t="s">
        <v>36</v>
      </c>
      <c r="I22" s="9" t="s">
        <v>139</v>
      </c>
      <c r="J22" s="9">
        <v>9300</v>
      </c>
      <c r="K22" s="9">
        <v>2438.4</v>
      </c>
      <c r="L22" s="9">
        <v>4267.2</v>
      </c>
      <c r="M22" s="9">
        <v>15.9</v>
      </c>
      <c r="N22" s="9">
        <v>11</v>
      </c>
      <c r="O22" s="9">
        <v>125</v>
      </c>
      <c r="P22" s="86">
        <v>19535.457807692306</v>
      </c>
    </row>
    <row r="23" spans="1:16" ht="15" hidden="1" thickTop="1" x14ac:dyDescent="0.35">
      <c r="A23" s="9" t="s">
        <v>43</v>
      </c>
      <c r="B23" s="9" t="s">
        <v>44</v>
      </c>
      <c r="C23" s="10">
        <v>20283.32451923077</v>
      </c>
      <c r="D23" s="9" t="s">
        <v>39</v>
      </c>
      <c r="E23" s="11">
        <v>42736</v>
      </c>
      <c r="F23" s="9" t="s">
        <v>40</v>
      </c>
      <c r="G23" s="9" t="s">
        <v>14</v>
      </c>
      <c r="H23" s="9" t="s">
        <v>36</v>
      </c>
      <c r="I23" s="9" t="s">
        <v>138</v>
      </c>
      <c r="J23" s="9">
        <v>9500</v>
      </c>
      <c r="K23" s="9">
        <v>2743.2</v>
      </c>
      <c r="L23" s="9">
        <v>3505.2</v>
      </c>
      <c r="M23" s="9">
        <v>0</v>
      </c>
      <c r="N23" s="9">
        <v>3.4</v>
      </c>
      <c r="O23" s="9">
        <v>250</v>
      </c>
      <c r="P23" s="86">
        <v>19066.325048076924</v>
      </c>
    </row>
    <row r="24" spans="1:16" ht="15" hidden="1" thickTop="1" x14ac:dyDescent="0.35">
      <c r="A24" s="9" t="s">
        <v>68</v>
      </c>
      <c r="B24" s="9" t="s">
        <v>69</v>
      </c>
      <c r="C24" s="10">
        <v>13325.006009615387</v>
      </c>
      <c r="D24" s="9" t="s">
        <v>34</v>
      </c>
      <c r="E24" s="11">
        <v>42767</v>
      </c>
      <c r="F24" s="9" t="s">
        <v>70</v>
      </c>
      <c r="G24" s="9" t="s">
        <v>13</v>
      </c>
      <c r="H24" s="9" t="s">
        <v>36</v>
      </c>
      <c r="I24" s="9" t="s">
        <v>137</v>
      </c>
      <c r="J24" s="9">
        <v>1500</v>
      </c>
      <c r="K24" s="9">
        <v>1200</v>
      </c>
      <c r="L24" s="9">
        <v>3800</v>
      </c>
      <c r="M24" s="9">
        <v>6</v>
      </c>
      <c r="N24" s="9">
        <v>3.5</v>
      </c>
      <c r="O24" s="9">
        <v>200</v>
      </c>
      <c r="P24" s="86">
        <v>13325.006009615387</v>
      </c>
    </row>
    <row r="25" spans="1:16" ht="15" hidden="1" thickTop="1" x14ac:dyDescent="0.35">
      <c r="A25" s="9" t="s">
        <v>50</v>
      </c>
      <c r="B25" s="9" t="s">
        <v>51</v>
      </c>
      <c r="C25" s="10">
        <v>32084.25839034763</v>
      </c>
      <c r="D25" s="9" t="s">
        <v>34</v>
      </c>
      <c r="E25" s="11">
        <v>42856</v>
      </c>
      <c r="F25" s="9" t="s">
        <v>35</v>
      </c>
      <c r="G25" s="9" t="s">
        <v>13</v>
      </c>
      <c r="H25" s="9" t="s">
        <v>36</v>
      </c>
      <c r="I25" s="9" t="s">
        <v>139</v>
      </c>
      <c r="J25" s="9">
        <v>25000</v>
      </c>
      <c r="K25" s="9">
        <v>3048</v>
      </c>
      <c r="L25" s="9">
        <v>9144</v>
      </c>
      <c r="M25" s="9">
        <v>20.6</v>
      </c>
      <c r="N25" s="9">
        <v>3.4</v>
      </c>
      <c r="O25" s="9">
        <v>150</v>
      </c>
      <c r="P25" s="86">
        <v>32084.25839034763</v>
      </c>
    </row>
    <row r="26" spans="1:16" ht="15" hidden="1" thickTop="1" x14ac:dyDescent="0.35">
      <c r="A26" s="9" t="s">
        <v>61</v>
      </c>
      <c r="B26" s="9" t="s">
        <v>62</v>
      </c>
      <c r="C26" s="10">
        <v>16206.308653846154</v>
      </c>
      <c r="D26" s="9" t="s">
        <v>39</v>
      </c>
      <c r="E26" s="11">
        <v>42856</v>
      </c>
      <c r="F26" s="9" t="s">
        <v>58</v>
      </c>
      <c r="G26" s="9" t="s">
        <v>14</v>
      </c>
      <c r="H26" s="9" t="s">
        <v>36</v>
      </c>
      <c r="I26" s="9" t="s">
        <v>139</v>
      </c>
      <c r="J26" s="9">
        <v>4300</v>
      </c>
      <c r="K26" s="9">
        <v>1828.8</v>
      </c>
      <c r="L26" s="9">
        <v>4572</v>
      </c>
      <c r="M26" s="9">
        <v>9.6999999999999993</v>
      </c>
      <c r="N26" s="9">
        <v>3.4</v>
      </c>
      <c r="O26" s="9">
        <v>150</v>
      </c>
      <c r="P26" s="86">
        <v>15233.930134615384</v>
      </c>
    </row>
    <row r="27" spans="1:16" ht="15" hidden="1" thickTop="1" x14ac:dyDescent="0.35">
      <c r="A27" s="9" t="s">
        <v>73</v>
      </c>
      <c r="B27" s="9" t="s">
        <v>74</v>
      </c>
      <c r="C27" s="10">
        <v>24321.937812037719</v>
      </c>
      <c r="D27" s="9" t="s">
        <v>34</v>
      </c>
      <c r="E27" s="11">
        <v>42856</v>
      </c>
      <c r="F27" s="9" t="s">
        <v>35</v>
      </c>
      <c r="G27" s="9" t="s">
        <v>13</v>
      </c>
      <c r="H27" s="9" t="s">
        <v>36</v>
      </c>
      <c r="I27" s="9" t="s">
        <v>137</v>
      </c>
      <c r="J27" s="9">
        <v>9600</v>
      </c>
      <c r="K27" s="9">
        <v>1524</v>
      </c>
      <c r="L27" s="9">
        <v>5181.6000000000004</v>
      </c>
      <c r="M27" s="9">
        <v>30.2</v>
      </c>
      <c r="N27" s="9">
        <v>37.9</v>
      </c>
      <c r="O27" s="9">
        <v>150</v>
      </c>
      <c r="P27" s="86">
        <v>24321.937812037719</v>
      </c>
    </row>
    <row r="28" spans="1:16" ht="15" hidden="1" thickTop="1" x14ac:dyDescent="0.35">
      <c r="A28" s="9" t="s">
        <v>80</v>
      </c>
      <c r="B28" s="9" t="s">
        <v>81</v>
      </c>
      <c r="C28" s="10">
        <v>24692.5</v>
      </c>
      <c r="D28" s="9" t="s">
        <v>39</v>
      </c>
      <c r="E28" s="11">
        <v>42979</v>
      </c>
      <c r="F28" s="9" t="s">
        <v>77</v>
      </c>
      <c r="G28" s="9" t="s">
        <v>14</v>
      </c>
      <c r="H28" s="9" t="s">
        <v>36</v>
      </c>
      <c r="I28" s="9" t="s">
        <v>137</v>
      </c>
      <c r="J28" s="9">
        <v>12100</v>
      </c>
      <c r="K28" s="9">
        <v>2641.6</v>
      </c>
      <c r="L28" s="9">
        <v>6350</v>
      </c>
      <c r="M28" s="9">
        <v>19.100000000000001</v>
      </c>
      <c r="N28" s="9">
        <v>12.7</v>
      </c>
      <c r="O28" s="9">
        <v>75</v>
      </c>
      <c r="P28" s="86">
        <v>23210.949999999997</v>
      </c>
    </row>
    <row r="29" spans="1:16" ht="15" thickTop="1" x14ac:dyDescent="0.35">
      <c r="A29" s="9" t="s">
        <v>88</v>
      </c>
      <c r="B29" s="9" t="s">
        <v>89</v>
      </c>
      <c r="C29" s="10">
        <v>561895.04504504497</v>
      </c>
      <c r="D29" s="9" t="s">
        <v>39</v>
      </c>
      <c r="E29" s="11">
        <v>42036</v>
      </c>
      <c r="F29" s="9" t="s">
        <v>40</v>
      </c>
      <c r="G29" s="9" t="s">
        <v>14</v>
      </c>
      <c r="H29" s="9" t="s">
        <v>49</v>
      </c>
      <c r="I29" s="9" t="s">
        <v>139</v>
      </c>
      <c r="J29" s="9">
        <v>70000</v>
      </c>
      <c r="K29" s="9">
        <v>1828.8</v>
      </c>
      <c r="L29" s="9">
        <v>6096</v>
      </c>
      <c r="M29" s="9">
        <v>12.7</v>
      </c>
      <c r="N29" s="9">
        <v>3.4</v>
      </c>
      <c r="O29" s="9">
        <v>325</v>
      </c>
      <c r="P29" s="86">
        <v>528181.34234234225</v>
      </c>
    </row>
    <row r="30" spans="1:16" x14ac:dyDescent="0.35">
      <c r="A30" s="9" t="s">
        <v>104</v>
      </c>
      <c r="B30" s="9" t="s">
        <v>105</v>
      </c>
      <c r="C30" s="10">
        <v>84495.495495495474</v>
      </c>
      <c r="D30" s="9" t="s">
        <v>39</v>
      </c>
      <c r="E30" s="11">
        <v>42036</v>
      </c>
      <c r="F30" s="9" t="s">
        <v>58</v>
      </c>
      <c r="G30" s="9" t="s">
        <v>14</v>
      </c>
      <c r="H30" s="9" t="s">
        <v>49</v>
      </c>
      <c r="I30" s="9" t="s">
        <v>137</v>
      </c>
      <c r="J30" s="9">
        <v>1600</v>
      </c>
      <c r="K30" s="9">
        <v>762</v>
      </c>
      <c r="L30" s="9">
        <v>1524</v>
      </c>
      <c r="M30" s="9">
        <v>25.4</v>
      </c>
      <c r="N30" s="9">
        <v>45.5</v>
      </c>
      <c r="O30" s="9">
        <v>175</v>
      </c>
      <c r="P30" s="86">
        <v>79425.76576576574</v>
      </c>
    </row>
    <row r="31" spans="1:16" x14ac:dyDescent="0.35">
      <c r="A31" s="9" t="s">
        <v>90</v>
      </c>
      <c r="B31" s="9" t="s">
        <v>91</v>
      </c>
      <c r="C31" s="10">
        <v>343257.69174579979</v>
      </c>
      <c r="D31" s="9" t="s">
        <v>34</v>
      </c>
      <c r="E31" s="11">
        <v>42217</v>
      </c>
      <c r="F31" s="9" t="s">
        <v>70</v>
      </c>
      <c r="G31" s="9" t="s">
        <v>13</v>
      </c>
      <c r="H31" s="9" t="s">
        <v>49</v>
      </c>
      <c r="I31" s="9" t="s">
        <v>139</v>
      </c>
      <c r="J31" s="9">
        <v>26000</v>
      </c>
      <c r="K31" s="9">
        <v>4267.2</v>
      </c>
      <c r="L31" s="9">
        <v>7620</v>
      </c>
      <c r="M31" s="9">
        <v>15.9</v>
      </c>
      <c r="N31" s="9">
        <v>3.4</v>
      </c>
      <c r="O31" s="9">
        <v>175</v>
      </c>
      <c r="P31" s="86">
        <v>343257.69174579979</v>
      </c>
    </row>
    <row r="32" spans="1:16" x14ac:dyDescent="0.35">
      <c r="A32" s="9" t="s">
        <v>110</v>
      </c>
      <c r="B32" s="9" t="s">
        <v>111</v>
      </c>
      <c r="C32" s="10">
        <v>170387.22455563667</v>
      </c>
      <c r="D32" s="9" t="s">
        <v>34</v>
      </c>
      <c r="E32" s="11">
        <v>42217</v>
      </c>
      <c r="F32" s="9" t="s">
        <v>70</v>
      </c>
      <c r="G32" s="9" t="s">
        <v>13</v>
      </c>
      <c r="H32" s="9" t="s">
        <v>49</v>
      </c>
      <c r="I32" s="9" t="s">
        <v>137</v>
      </c>
      <c r="J32" s="9">
        <v>6100</v>
      </c>
      <c r="K32" s="9">
        <v>1371.6</v>
      </c>
      <c r="L32" s="9">
        <v>4267.2</v>
      </c>
      <c r="M32" s="9">
        <v>9.6999999999999993</v>
      </c>
      <c r="N32" s="9">
        <v>4.0999999999999996</v>
      </c>
      <c r="O32" s="9">
        <v>175</v>
      </c>
      <c r="P32" s="86">
        <v>170387.22455563667</v>
      </c>
    </row>
    <row r="33" spans="1:16" x14ac:dyDescent="0.35">
      <c r="A33" s="9" t="s">
        <v>120</v>
      </c>
      <c r="B33" s="9" t="s">
        <v>121</v>
      </c>
      <c r="C33" s="10">
        <v>223742.57657657657</v>
      </c>
      <c r="D33" s="9" t="s">
        <v>39</v>
      </c>
      <c r="E33" s="11">
        <v>42217</v>
      </c>
      <c r="F33" s="9" t="s">
        <v>77</v>
      </c>
      <c r="G33" s="9" t="s">
        <v>14</v>
      </c>
      <c r="H33" s="9" t="s">
        <v>49</v>
      </c>
      <c r="I33" s="9" t="s">
        <v>139</v>
      </c>
      <c r="J33" s="9">
        <v>11500</v>
      </c>
      <c r="K33" s="9">
        <v>1676.4</v>
      </c>
      <c r="L33" s="9">
        <v>4876.8</v>
      </c>
      <c r="M33" s="9">
        <v>30.2</v>
      </c>
      <c r="N33" s="9">
        <v>36.200000000000003</v>
      </c>
      <c r="O33" s="9">
        <v>300</v>
      </c>
      <c r="P33" s="86">
        <v>210318.02198198196</v>
      </c>
    </row>
    <row r="34" spans="1:16" x14ac:dyDescent="0.35">
      <c r="A34" s="9" t="s">
        <v>100</v>
      </c>
      <c r="B34" s="9" t="s">
        <v>101</v>
      </c>
      <c r="C34" s="10">
        <v>93615.400900900917</v>
      </c>
      <c r="D34" s="9" t="s">
        <v>39</v>
      </c>
      <c r="E34" s="11">
        <v>42309</v>
      </c>
      <c r="F34" s="9" t="s">
        <v>58</v>
      </c>
      <c r="G34" s="9" t="s">
        <v>14</v>
      </c>
      <c r="H34" s="9" t="s">
        <v>49</v>
      </c>
      <c r="I34" s="9" t="s">
        <v>139</v>
      </c>
      <c r="J34" s="9">
        <v>1600</v>
      </c>
      <c r="K34" s="9">
        <v>1219.2</v>
      </c>
      <c r="L34" s="9">
        <v>1828.8</v>
      </c>
      <c r="M34" s="9">
        <v>9.5</v>
      </c>
      <c r="N34" s="9">
        <v>3.4</v>
      </c>
      <c r="O34" s="9">
        <v>300</v>
      </c>
      <c r="P34" s="86">
        <v>87998.476846846854</v>
      </c>
    </row>
    <row r="35" spans="1:16" x14ac:dyDescent="0.35">
      <c r="A35" s="9" t="s">
        <v>124</v>
      </c>
      <c r="B35" s="9" t="s">
        <v>125</v>
      </c>
      <c r="C35" s="10">
        <v>232979.5045045045</v>
      </c>
      <c r="D35" s="9" t="s">
        <v>39</v>
      </c>
      <c r="E35" s="11">
        <v>42309</v>
      </c>
      <c r="F35" s="9" t="s">
        <v>77</v>
      </c>
      <c r="G35" s="9" t="s">
        <v>14</v>
      </c>
      <c r="H35" s="9" t="s">
        <v>49</v>
      </c>
      <c r="I35" s="9" t="s">
        <v>137</v>
      </c>
      <c r="J35" s="9">
        <v>12100</v>
      </c>
      <c r="K35" s="9">
        <v>2641.6</v>
      </c>
      <c r="L35" s="9">
        <v>6350</v>
      </c>
      <c r="M35" s="9">
        <v>19.100000000000001</v>
      </c>
      <c r="N35" s="9">
        <v>12.7</v>
      </c>
      <c r="O35" s="9">
        <v>300</v>
      </c>
      <c r="P35" s="86">
        <v>219000.7342342342</v>
      </c>
    </row>
    <row r="36" spans="1:16" x14ac:dyDescent="0.35">
      <c r="A36" s="9" t="s">
        <v>112</v>
      </c>
      <c r="B36" s="9" t="s">
        <v>113</v>
      </c>
      <c r="C36" s="10">
        <v>146911.86936936938</v>
      </c>
      <c r="D36" s="9" t="s">
        <v>39</v>
      </c>
      <c r="E36" s="11">
        <v>42370</v>
      </c>
      <c r="F36" s="9" t="s">
        <v>58</v>
      </c>
      <c r="G36" s="9" t="s">
        <v>14</v>
      </c>
      <c r="H36" s="9" t="s">
        <v>49</v>
      </c>
      <c r="I36" s="9" t="s">
        <v>137</v>
      </c>
      <c r="J36" s="9">
        <v>4500</v>
      </c>
      <c r="K36" s="9">
        <v>1828.8</v>
      </c>
      <c r="L36" s="9">
        <v>4267.2</v>
      </c>
      <c r="M36" s="9">
        <v>9.6999999999999993</v>
      </c>
      <c r="N36" s="9">
        <v>3.4</v>
      </c>
      <c r="O36" s="9">
        <v>300</v>
      </c>
      <c r="P36" s="86">
        <v>138097.1572072072</v>
      </c>
    </row>
    <row r="37" spans="1:16" x14ac:dyDescent="0.35">
      <c r="A37" s="9" t="s">
        <v>108</v>
      </c>
      <c r="B37" s="9" t="s">
        <v>109</v>
      </c>
      <c r="C37" s="10">
        <v>137677.40900900902</v>
      </c>
      <c r="D37" s="9" t="s">
        <v>39</v>
      </c>
      <c r="E37" s="11">
        <v>42401</v>
      </c>
      <c r="F37" s="9" t="s">
        <v>58</v>
      </c>
      <c r="G37" s="9" t="s">
        <v>14</v>
      </c>
      <c r="H37" s="9" t="s">
        <v>49</v>
      </c>
      <c r="I37" s="9" t="s">
        <v>137</v>
      </c>
      <c r="J37" s="9">
        <v>4300</v>
      </c>
      <c r="K37" s="9">
        <v>1828.8</v>
      </c>
      <c r="L37" s="9">
        <v>4572</v>
      </c>
      <c r="M37" s="9">
        <v>9.6999999999999993</v>
      </c>
      <c r="N37" s="9">
        <v>3.4</v>
      </c>
      <c r="O37" s="9">
        <v>325</v>
      </c>
      <c r="P37" s="86">
        <v>129416.76446846846</v>
      </c>
    </row>
    <row r="38" spans="1:16" x14ac:dyDescent="0.35">
      <c r="A38" s="9" t="s">
        <v>114</v>
      </c>
      <c r="B38" s="9" t="s">
        <v>115</v>
      </c>
      <c r="C38" s="10">
        <v>88180.155019884754</v>
      </c>
      <c r="D38" s="9" t="s">
        <v>34</v>
      </c>
      <c r="E38" s="11">
        <v>42401</v>
      </c>
      <c r="F38" s="9" t="s">
        <v>70</v>
      </c>
      <c r="G38" s="9" t="s">
        <v>13</v>
      </c>
      <c r="H38" s="9" t="s">
        <v>49</v>
      </c>
      <c r="I38" s="9" t="s">
        <v>137</v>
      </c>
      <c r="J38" s="9">
        <v>1500</v>
      </c>
      <c r="K38" s="9">
        <v>1200</v>
      </c>
      <c r="L38" s="9">
        <v>3800</v>
      </c>
      <c r="M38" s="9">
        <v>6</v>
      </c>
      <c r="N38" s="9">
        <v>3.5</v>
      </c>
      <c r="O38" s="9">
        <v>400</v>
      </c>
      <c r="P38" s="86">
        <v>88180.155019884754</v>
      </c>
    </row>
    <row r="39" spans="1:16" x14ac:dyDescent="0.35">
      <c r="A39" s="9" t="s">
        <v>116</v>
      </c>
      <c r="B39" s="9" t="s">
        <v>117</v>
      </c>
      <c r="C39" s="10">
        <v>110816.2162162162</v>
      </c>
      <c r="D39" s="9" t="s">
        <v>39</v>
      </c>
      <c r="E39" s="11">
        <v>42461</v>
      </c>
      <c r="F39" s="9" t="s">
        <v>77</v>
      </c>
      <c r="G39" s="9" t="s">
        <v>14</v>
      </c>
      <c r="H39" s="9" t="s">
        <v>49</v>
      </c>
      <c r="I39" s="9" t="s">
        <v>139</v>
      </c>
      <c r="J39" s="9">
        <v>2500</v>
      </c>
      <c r="K39" s="9">
        <v>914.4</v>
      </c>
      <c r="L39" s="9">
        <v>3352.8</v>
      </c>
      <c r="M39" s="9">
        <v>20.6</v>
      </c>
      <c r="N39" s="9">
        <v>40</v>
      </c>
      <c r="O39" s="9">
        <v>350</v>
      </c>
      <c r="P39" s="86">
        <v>104167.24324324323</v>
      </c>
    </row>
    <row r="40" spans="1:16" x14ac:dyDescent="0.35">
      <c r="A40" s="9" t="s">
        <v>92</v>
      </c>
      <c r="B40" s="9" t="s">
        <v>93</v>
      </c>
      <c r="C40" s="10">
        <v>218393.18918918914</v>
      </c>
      <c r="D40" s="9" t="s">
        <v>39</v>
      </c>
      <c r="E40" s="11">
        <v>42491</v>
      </c>
      <c r="F40" s="9" t="s">
        <v>40</v>
      </c>
      <c r="G40" s="9" t="s">
        <v>14</v>
      </c>
      <c r="H40" s="9" t="s">
        <v>49</v>
      </c>
      <c r="I40" s="9" t="s">
        <v>139</v>
      </c>
      <c r="J40" s="9">
        <v>9500</v>
      </c>
      <c r="K40" s="9">
        <v>2743.2</v>
      </c>
      <c r="L40" s="9">
        <v>3505.2</v>
      </c>
      <c r="M40" s="9">
        <v>0</v>
      </c>
      <c r="N40" s="9">
        <v>3.4</v>
      </c>
      <c r="O40" s="9">
        <v>150</v>
      </c>
      <c r="P40" s="86">
        <v>205289.59783783779</v>
      </c>
    </row>
    <row r="41" spans="1:16" x14ac:dyDescent="0.35">
      <c r="A41" s="9" t="s">
        <v>98</v>
      </c>
      <c r="B41" s="9" t="s">
        <v>99</v>
      </c>
      <c r="C41" s="10">
        <v>383561.47837026208</v>
      </c>
      <c r="D41" s="9" t="s">
        <v>34</v>
      </c>
      <c r="E41" s="11">
        <v>42614</v>
      </c>
      <c r="F41" s="9" t="s">
        <v>35</v>
      </c>
      <c r="G41" s="9" t="s">
        <v>13</v>
      </c>
      <c r="H41" s="9" t="s">
        <v>49</v>
      </c>
      <c r="I41" s="9" t="s">
        <v>138</v>
      </c>
      <c r="J41" s="9">
        <v>25000</v>
      </c>
      <c r="K41" s="9">
        <v>3048</v>
      </c>
      <c r="L41" s="9">
        <v>9144</v>
      </c>
      <c r="M41" s="9">
        <v>20.6</v>
      </c>
      <c r="N41" s="9">
        <v>3.4</v>
      </c>
      <c r="O41" s="9">
        <v>225</v>
      </c>
      <c r="P41" s="86">
        <v>383561.47837026208</v>
      </c>
    </row>
    <row r="42" spans="1:16" x14ac:dyDescent="0.35">
      <c r="A42" s="9" t="s">
        <v>94</v>
      </c>
      <c r="B42" s="9" t="s">
        <v>95</v>
      </c>
      <c r="C42" s="10">
        <v>374857.55539323104</v>
      </c>
      <c r="D42" s="9" t="s">
        <v>34</v>
      </c>
      <c r="E42" s="11">
        <v>42736</v>
      </c>
      <c r="F42" s="9" t="s">
        <v>70</v>
      </c>
      <c r="G42" s="9" t="s">
        <v>13</v>
      </c>
      <c r="H42" s="9" t="s">
        <v>49</v>
      </c>
      <c r="I42" s="9" t="s">
        <v>139</v>
      </c>
      <c r="J42" s="9">
        <v>21000</v>
      </c>
      <c r="K42" s="9">
        <v>2743.2</v>
      </c>
      <c r="L42" s="9">
        <v>6096</v>
      </c>
      <c r="M42" s="9">
        <v>15.9</v>
      </c>
      <c r="N42" s="9">
        <v>5.2</v>
      </c>
      <c r="O42" s="9">
        <v>65</v>
      </c>
      <c r="P42" s="86">
        <v>374857.55539323104</v>
      </c>
    </row>
    <row r="43" spans="1:16" x14ac:dyDescent="0.35">
      <c r="A43" s="9" t="s">
        <v>96</v>
      </c>
      <c r="B43" s="9" t="s">
        <v>97</v>
      </c>
      <c r="C43" s="10">
        <v>135215.97297297299</v>
      </c>
      <c r="D43" s="9" t="s">
        <v>39</v>
      </c>
      <c r="E43" s="11">
        <v>42736</v>
      </c>
      <c r="F43" s="9" t="s">
        <v>40</v>
      </c>
      <c r="G43" s="9" t="s">
        <v>14</v>
      </c>
      <c r="H43" s="9" t="s">
        <v>49</v>
      </c>
      <c r="I43" s="9" t="s">
        <v>138</v>
      </c>
      <c r="J43" s="9">
        <v>4000</v>
      </c>
      <c r="K43" s="9">
        <v>1066.8</v>
      </c>
      <c r="L43" s="9">
        <v>4876.8</v>
      </c>
      <c r="M43" s="9">
        <v>11.1</v>
      </c>
      <c r="N43" s="9">
        <v>5.2</v>
      </c>
      <c r="O43" s="9">
        <v>120</v>
      </c>
      <c r="P43" s="86">
        <v>127103.0145945946</v>
      </c>
    </row>
    <row r="44" spans="1:16" x14ac:dyDescent="0.35">
      <c r="A44" s="9" t="s">
        <v>106</v>
      </c>
      <c r="B44" s="9" t="s">
        <v>107</v>
      </c>
      <c r="C44" s="10">
        <v>105806.56805454103</v>
      </c>
      <c r="D44" s="9" t="s">
        <v>34</v>
      </c>
      <c r="E44" s="11">
        <v>42736</v>
      </c>
      <c r="F44" s="9" t="s">
        <v>70</v>
      </c>
      <c r="G44" s="9" t="s">
        <v>13</v>
      </c>
      <c r="H44" s="9" t="s">
        <v>49</v>
      </c>
      <c r="I44" s="9" t="s">
        <v>137</v>
      </c>
      <c r="J44" s="9">
        <v>1600</v>
      </c>
      <c r="K44" s="9">
        <v>1219.2</v>
      </c>
      <c r="L44" s="9">
        <v>1828.8</v>
      </c>
      <c r="M44" s="9">
        <v>9.6999999999999993</v>
      </c>
      <c r="N44" s="9">
        <v>3.4</v>
      </c>
      <c r="O44" s="9">
        <v>120</v>
      </c>
      <c r="P44" s="86">
        <v>105806.56805454103</v>
      </c>
    </row>
    <row r="45" spans="1:16" x14ac:dyDescent="0.35">
      <c r="A45" s="9" t="s">
        <v>118</v>
      </c>
      <c r="B45" s="9" t="s">
        <v>119</v>
      </c>
      <c r="C45" s="10">
        <v>258595.13513513518</v>
      </c>
      <c r="D45" s="9" t="s">
        <v>34</v>
      </c>
      <c r="E45" s="11">
        <v>42767</v>
      </c>
      <c r="F45" s="9" t="s">
        <v>70</v>
      </c>
      <c r="G45" s="9" t="s">
        <v>13</v>
      </c>
      <c r="H45" s="9" t="s">
        <v>49</v>
      </c>
      <c r="I45" s="9" t="s">
        <v>138</v>
      </c>
      <c r="J45" s="9">
        <v>9600</v>
      </c>
      <c r="K45" s="9">
        <v>1524</v>
      </c>
      <c r="L45" s="9">
        <v>5181.6000000000004</v>
      </c>
      <c r="M45" s="9">
        <v>30.2</v>
      </c>
      <c r="N45" s="9">
        <v>37.9</v>
      </c>
      <c r="O45" s="9">
        <v>250</v>
      </c>
      <c r="P45" s="86">
        <v>258595.13513513518</v>
      </c>
    </row>
    <row r="46" spans="1:16" x14ac:dyDescent="0.35">
      <c r="A46" s="9" t="s">
        <v>122</v>
      </c>
      <c r="B46" s="9" t="s">
        <v>123</v>
      </c>
      <c r="C46" s="10">
        <v>279568.24527229927</v>
      </c>
      <c r="D46" s="9" t="s">
        <v>34</v>
      </c>
      <c r="E46" s="11">
        <v>42826</v>
      </c>
      <c r="F46" s="9" t="s">
        <v>70</v>
      </c>
      <c r="G46" s="9" t="s">
        <v>13</v>
      </c>
      <c r="H46" s="9" t="s">
        <v>49</v>
      </c>
      <c r="I46" s="9" t="s">
        <v>138</v>
      </c>
      <c r="J46" s="9">
        <v>12500</v>
      </c>
      <c r="K46" s="9">
        <v>2133.6</v>
      </c>
      <c r="L46" s="9">
        <v>5436</v>
      </c>
      <c r="M46" s="9">
        <v>33.299999999999997</v>
      </c>
      <c r="N46" s="9">
        <v>36.200000000000003</v>
      </c>
      <c r="O46" s="9">
        <v>200</v>
      </c>
      <c r="P46" s="86">
        <v>279568.24527229927</v>
      </c>
    </row>
    <row r="47" spans="1:16" x14ac:dyDescent="0.35">
      <c r="A47" s="9" t="s">
        <v>102</v>
      </c>
      <c r="B47" s="9" t="s">
        <v>103</v>
      </c>
      <c r="C47" s="10">
        <v>140597.07004301599</v>
      </c>
      <c r="D47" s="9" t="s">
        <v>34</v>
      </c>
      <c r="E47" s="11">
        <v>42856</v>
      </c>
      <c r="F47" s="9" t="s">
        <v>35</v>
      </c>
      <c r="G47" s="9" t="s">
        <v>13</v>
      </c>
      <c r="H47" s="9" t="s">
        <v>49</v>
      </c>
      <c r="I47" s="9" t="s">
        <v>139</v>
      </c>
      <c r="J47" s="9">
        <v>3000</v>
      </c>
      <c r="K47" s="9">
        <v>1219.2</v>
      </c>
      <c r="L47" s="9">
        <v>3048</v>
      </c>
      <c r="M47" s="9">
        <v>11.2</v>
      </c>
      <c r="N47" s="9">
        <v>13.8</v>
      </c>
      <c r="O47" s="9">
        <v>175</v>
      </c>
      <c r="P47" s="86">
        <v>140597.07004301599</v>
      </c>
    </row>
    <row r="48" spans="1:16" x14ac:dyDescent="0.35">
      <c r="A48" s="9" t="s">
        <v>86</v>
      </c>
      <c r="B48" s="9" t="s">
        <v>87</v>
      </c>
      <c r="C48" s="10">
        <v>493160.10469929385</v>
      </c>
      <c r="D48" s="9" t="s">
        <v>34</v>
      </c>
      <c r="E48" s="11">
        <v>42887</v>
      </c>
      <c r="F48" s="9" t="s">
        <v>70</v>
      </c>
      <c r="G48" s="9" t="s">
        <v>13</v>
      </c>
      <c r="H48" s="9" t="s">
        <v>49</v>
      </c>
      <c r="I48" s="9" t="s">
        <v>139</v>
      </c>
      <c r="J48" s="9">
        <v>50000</v>
      </c>
      <c r="K48" s="9">
        <v>4267.2</v>
      </c>
      <c r="L48" s="9">
        <v>12801.6</v>
      </c>
      <c r="M48" s="9">
        <v>22.2</v>
      </c>
      <c r="N48" s="9">
        <v>3.4</v>
      </c>
      <c r="O48" s="9">
        <v>160</v>
      </c>
      <c r="P48" s="86">
        <v>493160.10469929385</v>
      </c>
    </row>
  </sheetData>
  <autoFilter ref="A1:N48">
    <filterColumn colId="7">
      <filters>
        <filter val="SS"/>
      </filters>
    </filterColumn>
    <sortState ref="A2:N48">
      <sortCondition ref="H1:H48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A10" zoomScale="80" zoomScaleNormal="80" workbookViewId="0">
      <selection activeCell="H11" sqref="H11"/>
    </sheetView>
  </sheetViews>
  <sheetFormatPr defaultRowHeight="14.5" x14ac:dyDescent="0.35"/>
  <cols>
    <col min="1" max="1" width="25.453125" customWidth="1"/>
    <col min="2" max="3" width="14.26953125" bestFit="1" customWidth="1"/>
    <col min="4" max="5" width="17" customWidth="1"/>
    <col min="6" max="6" width="16.7265625" bestFit="1" customWidth="1"/>
    <col min="7" max="7" width="13.453125" customWidth="1"/>
    <col min="8" max="8" width="12" customWidth="1"/>
    <col min="9" max="9" width="14.1796875" customWidth="1"/>
    <col min="10" max="10" width="10.54296875" customWidth="1"/>
    <col min="11" max="11" width="11.1796875" customWidth="1"/>
    <col min="12" max="12" width="12" customWidth="1"/>
    <col min="13" max="13" width="16.7265625" customWidth="1"/>
    <col min="14" max="14" width="12.453125" customWidth="1"/>
    <col min="15" max="15" width="10.453125" customWidth="1"/>
    <col min="16" max="16" width="13.1796875" customWidth="1"/>
    <col min="17" max="17" width="5.81640625" customWidth="1"/>
    <col min="18" max="18" width="10.81640625" customWidth="1"/>
    <col min="19" max="19" width="11.81640625" customWidth="1"/>
    <col min="20" max="20" width="11.1796875" customWidth="1"/>
    <col min="21" max="22" width="22" bestFit="1" customWidth="1"/>
    <col min="23" max="23" width="20.7265625" customWidth="1"/>
    <col min="24" max="24" width="25.26953125" style="41" customWidth="1"/>
    <col min="25" max="25" width="24.7265625" style="41" customWidth="1"/>
    <col min="26" max="29" width="9.1796875" style="41"/>
    <col min="32" max="32" width="25" bestFit="1" customWidth="1"/>
    <col min="33" max="33" width="13" bestFit="1" customWidth="1"/>
  </cols>
  <sheetData>
    <row r="1" spans="1:29" x14ac:dyDescent="0.35">
      <c r="A1" s="63" t="s">
        <v>196</v>
      </c>
      <c r="W1" s="41"/>
      <c r="AC1"/>
    </row>
    <row r="2" spans="1:29" ht="15.5" x14ac:dyDescent="0.35">
      <c r="A2" s="110" t="s">
        <v>206</v>
      </c>
      <c r="B2" s="110"/>
      <c r="C2" s="110"/>
      <c r="D2" s="110"/>
      <c r="E2" s="110"/>
      <c r="F2" s="110"/>
      <c r="G2" s="110"/>
      <c r="H2" s="110"/>
      <c r="I2" s="62"/>
      <c r="W2" s="41"/>
      <c r="AC2"/>
    </row>
    <row r="3" spans="1:29" ht="15.5" x14ac:dyDescent="0.35">
      <c r="A3" s="110" t="s">
        <v>197</v>
      </c>
      <c r="B3" s="110"/>
      <c r="C3" s="110"/>
      <c r="D3" s="110"/>
      <c r="E3" s="110"/>
      <c r="F3" s="110"/>
      <c r="G3" s="110"/>
      <c r="H3" s="110"/>
      <c r="I3" s="110"/>
      <c r="W3" s="41"/>
      <c r="AC3"/>
    </row>
    <row r="4" spans="1:29" ht="15.5" x14ac:dyDescent="0.35">
      <c r="A4" s="110" t="s">
        <v>198</v>
      </c>
      <c r="B4" s="110"/>
      <c r="C4" s="110"/>
      <c r="D4" s="110"/>
      <c r="E4" s="110"/>
      <c r="F4" s="110"/>
      <c r="G4" s="110"/>
      <c r="H4" s="110"/>
      <c r="I4" s="110"/>
      <c r="M4" s="39"/>
      <c r="N4" s="39"/>
      <c r="W4" s="41"/>
      <c r="AC4"/>
    </row>
    <row r="5" spans="1:29" ht="15.5" x14ac:dyDescent="0.35">
      <c r="A5" s="110" t="s">
        <v>199</v>
      </c>
      <c r="B5" s="110"/>
      <c r="C5" s="110"/>
      <c r="W5" s="41"/>
      <c r="AC5"/>
    </row>
    <row r="6" spans="1:29" x14ac:dyDescent="0.35">
      <c r="M6" s="61"/>
      <c r="N6" s="61"/>
      <c r="O6" s="61"/>
      <c r="P6" s="61"/>
      <c r="W6" s="41"/>
      <c r="AC6"/>
    </row>
    <row r="7" spans="1:29" x14ac:dyDescent="0.35">
      <c r="A7" s="5" t="s">
        <v>195</v>
      </c>
      <c r="K7" s="112"/>
      <c r="L7" s="112"/>
      <c r="M7" s="112"/>
      <c r="N7" s="112"/>
      <c r="O7" s="112"/>
      <c r="P7" s="112"/>
      <c r="W7" s="41"/>
      <c r="AC7"/>
    </row>
    <row r="8" spans="1:29" ht="15.5" x14ac:dyDescent="0.35">
      <c r="A8" s="111" t="s">
        <v>239</v>
      </c>
      <c r="B8" s="111"/>
      <c r="C8" s="111"/>
      <c r="D8" s="111"/>
      <c r="E8" s="111"/>
      <c r="F8" s="111"/>
      <c r="G8" s="111"/>
      <c r="H8" s="111"/>
      <c r="I8" s="64"/>
      <c r="J8" s="64"/>
      <c r="K8" s="139"/>
      <c r="L8" s="139"/>
      <c r="M8" s="139"/>
      <c r="N8" s="139"/>
      <c r="O8" s="139"/>
      <c r="P8" s="41"/>
      <c r="W8" s="41"/>
      <c r="AC8"/>
    </row>
    <row r="9" spans="1:29" ht="15.5" x14ac:dyDescent="0.35">
      <c r="A9" s="111" t="s">
        <v>203</v>
      </c>
      <c r="B9" s="111"/>
      <c r="C9" s="111"/>
      <c r="D9" s="111"/>
      <c r="E9" s="111"/>
      <c r="F9" s="111"/>
      <c r="G9" s="111"/>
      <c r="H9" s="111"/>
      <c r="I9" s="111"/>
      <c r="J9" s="64"/>
      <c r="K9" s="139"/>
      <c r="L9" s="139"/>
      <c r="M9" s="41"/>
      <c r="N9" s="41"/>
      <c r="O9" s="41"/>
      <c r="P9" s="41"/>
      <c r="W9" s="41"/>
      <c r="AC9"/>
    </row>
    <row r="10" spans="1:29" ht="15.5" x14ac:dyDescent="0.35">
      <c r="A10" s="65" t="s">
        <v>238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W10" s="41"/>
      <c r="AC10"/>
    </row>
    <row r="11" spans="1:29" ht="15.5" x14ac:dyDescent="0.35">
      <c r="A11" s="111" t="s">
        <v>223</v>
      </c>
      <c r="B11" s="111"/>
      <c r="C11" s="111"/>
      <c r="D11" s="111"/>
      <c r="E11" s="102"/>
      <c r="F11" s="64"/>
      <c r="G11" s="64"/>
      <c r="H11" s="64"/>
      <c r="I11" s="64"/>
      <c r="J11" s="140" t="s">
        <v>36</v>
      </c>
      <c r="K11" s="138" t="s">
        <v>233</v>
      </c>
      <c r="L11" s="138"/>
      <c r="M11" s="138"/>
      <c r="N11" s="138"/>
      <c r="O11" s="138"/>
      <c r="W11" s="41"/>
      <c r="AC11"/>
    </row>
    <row r="12" spans="1:29" ht="15.5" x14ac:dyDescent="0.35">
      <c r="A12" s="65"/>
      <c r="B12" s="65"/>
      <c r="C12" s="65"/>
      <c r="D12" s="65"/>
      <c r="E12" s="65"/>
      <c r="F12" s="65"/>
      <c r="G12" s="65"/>
      <c r="H12" s="65"/>
      <c r="I12" s="65"/>
      <c r="J12" s="137"/>
      <c r="K12" s="138" t="s">
        <v>232</v>
      </c>
      <c r="L12" s="138"/>
      <c r="M12" s="138"/>
      <c r="N12" s="138"/>
      <c r="O12" s="138"/>
      <c r="W12" s="41"/>
      <c r="AC12"/>
    </row>
    <row r="13" spans="1:29" ht="15.5" x14ac:dyDescent="0.35">
      <c r="A13" s="77"/>
      <c r="B13" s="77"/>
      <c r="C13" s="77"/>
      <c r="D13" s="77"/>
      <c r="E13" s="102"/>
      <c r="F13" s="77"/>
      <c r="G13" s="77"/>
      <c r="H13" s="77"/>
      <c r="I13" s="77"/>
      <c r="J13" s="145" t="s">
        <v>49</v>
      </c>
      <c r="K13" s="141" t="s">
        <v>235</v>
      </c>
      <c r="L13" s="141"/>
      <c r="M13" s="141"/>
      <c r="N13" s="141"/>
      <c r="O13" s="144"/>
      <c r="W13" s="41"/>
      <c r="AC13"/>
    </row>
    <row r="14" spans="1:29" ht="15.5" x14ac:dyDescent="0.35">
      <c r="A14" s="78" t="s">
        <v>218</v>
      </c>
      <c r="B14" s="115" t="s">
        <v>213</v>
      </c>
      <c r="C14" s="116"/>
      <c r="D14" s="78" t="s">
        <v>218</v>
      </c>
      <c r="E14" s="128"/>
      <c r="F14" s="115" t="s">
        <v>217</v>
      </c>
      <c r="G14" s="116"/>
      <c r="H14" s="77"/>
      <c r="I14" s="77"/>
      <c r="J14" s="142"/>
      <c r="K14" s="143"/>
      <c r="L14" s="143" t="s">
        <v>237</v>
      </c>
      <c r="M14" s="143"/>
      <c r="N14" s="144"/>
      <c r="O14" s="144"/>
      <c r="W14" s="41"/>
      <c r="AC14"/>
    </row>
    <row r="15" spans="1:29" ht="15.5" x14ac:dyDescent="0.35">
      <c r="A15" s="79"/>
      <c r="B15" s="80" t="s">
        <v>212</v>
      </c>
      <c r="C15" s="81" t="s">
        <v>211</v>
      </c>
      <c r="D15" s="79"/>
      <c r="E15" s="80"/>
      <c r="F15" s="80" t="s">
        <v>212</v>
      </c>
      <c r="G15" s="81" t="s">
        <v>211</v>
      </c>
      <c r="H15" s="77"/>
      <c r="I15" s="77"/>
      <c r="J15" s="64"/>
      <c r="K15" s="64"/>
      <c r="L15" s="64"/>
      <c r="W15" s="41"/>
      <c r="AC15"/>
    </row>
    <row r="16" spans="1:29" ht="15.5" x14ac:dyDescent="0.35">
      <c r="A16" s="79" t="s">
        <v>214</v>
      </c>
      <c r="B16" s="80">
        <v>1.35</v>
      </c>
      <c r="C16" s="81">
        <v>4.9000000000000004</v>
      </c>
      <c r="D16" s="79" t="s">
        <v>219</v>
      </c>
      <c r="E16" s="80"/>
      <c r="F16" s="80">
        <v>4.43</v>
      </c>
      <c r="G16" s="81">
        <v>16.07</v>
      </c>
      <c r="H16" s="77"/>
      <c r="I16" s="77"/>
      <c r="J16" s="64"/>
      <c r="W16" s="41"/>
      <c r="AC16"/>
    </row>
    <row r="17" spans="1:29" ht="31" x14ac:dyDescent="0.35">
      <c r="A17" s="79" t="s">
        <v>215</v>
      </c>
      <c r="B17" s="80">
        <v>2.5</v>
      </c>
      <c r="C17" s="81">
        <v>41</v>
      </c>
      <c r="D17" s="101" t="s">
        <v>220</v>
      </c>
      <c r="E17" s="129"/>
      <c r="F17" s="80">
        <v>9.8000000000000004E-2</v>
      </c>
      <c r="G17" s="81">
        <v>1.61</v>
      </c>
      <c r="H17" s="77"/>
      <c r="I17" s="77"/>
      <c r="J17" s="64"/>
      <c r="K17" s="64"/>
      <c r="L17" s="64"/>
      <c r="W17" s="41"/>
      <c r="AC17"/>
    </row>
    <row r="18" spans="1:29" ht="15.5" x14ac:dyDescent="0.35">
      <c r="A18" s="82" t="s">
        <v>216</v>
      </c>
      <c r="B18" s="83">
        <v>3.43</v>
      </c>
      <c r="C18" s="84">
        <v>55.7</v>
      </c>
      <c r="D18" s="82" t="s">
        <v>227</v>
      </c>
      <c r="E18" s="83"/>
      <c r="F18" s="83">
        <v>49.74</v>
      </c>
      <c r="G18" s="84">
        <v>797</v>
      </c>
      <c r="H18" s="77"/>
      <c r="I18" s="77"/>
      <c r="J18" s="64"/>
      <c r="K18" s="64"/>
      <c r="L18" s="64"/>
      <c r="W18" s="41"/>
      <c r="AC18"/>
    </row>
    <row r="19" spans="1:29" ht="15.5" x14ac:dyDescent="0.35">
      <c r="A19" s="77"/>
      <c r="B19" s="77"/>
      <c r="C19" s="77"/>
      <c r="D19" s="77"/>
      <c r="E19" s="102"/>
      <c r="F19" s="77"/>
      <c r="G19" s="77"/>
      <c r="H19" s="77"/>
      <c r="I19" s="77"/>
      <c r="J19" s="64"/>
      <c r="K19" s="64"/>
      <c r="L19" s="64"/>
      <c r="W19" s="41"/>
      <c r="AC19"/>
    </row>
    <row r="20" spans="1:29" x14ac:dyDescent="0.35">
      <c r="W20" s="41"/>
      <c r="AC20"/>
    </row>
    <row r="21" spans="1:29" ht="21" customHeight="1" x14ac:dyDescent="0.35">
      <c r="C21" s="117" t="s">
        <v>222</v>
      </c>
      <c r="D21" s="134"/>
      <c r="E21" s="103"/>
      <c r="F21" s="118" t="s">
        <v>192</v>
      </c>
      <c r="G21" s="118"/>
      <c r="H21" s="118"/>
      <c r="I21" s="118"/>
      <c r="J21" s="118"/>
      <c r="K21" s="118"/>
      <c r="L21" s="119"/>
      <c r="N21" s="113" t="s">
        <v>193</v>
      </c>
      <c r="O21" s="114"/>
      <c r="P21" s="92" t="s">
        <v>202</v>
      </c>
      <c r="R21" s="107" t="s">
        <v>201</v>
      </c>
      <c r="S21" s="108"/>
      <c r="T21" s="109"/>
      <c r="W21" s="41"/>
      <c r="Y21"/>
      <c r="Z21"/>
      <c r="AA21"/>
      <c r="AB21"/>
      <c r="AC21"/>
    </row>
    <row r="22" spans="1:29" ht="64.5" customHeight="1" thickBot="1" x14ac:dyDescent="0.4">
      <c r="A22" s="7" t="s">
        <v>25</v>
      </c>
      <c r="B22" s="8" t="s">
        <v>24</v>
      </c>
      <c r="C22" s="87" t="s">
        <v>28</v>
      </c>
      <c r="D22" s="8" t="s">
        <v>27</v>
      </c>
      <c r="E22" s="67" t="s">
        <v>230</v>
      </c>
      <c r="F22" s="130" t="s">
        <v>207</v>
      </c>
      <c r="G22" s="8" t="s">
        <v>209</v>
      </c>
      <c r="H22" s="8" t="s">
        <v>225</v>
      </c>
      <c r="I22" s="2" t="s">
        <v>204</v>
      </c>
      <c r="J22" s="2" t="s">
        <v>205</v>
      </c>
      <c r="K22" s="2" t="s">
        <v>134</v>
      </c>
      <c r="L22" s="66" t="s">
        <v>231</v>
      </c>
      <c r="M22" s="67" t="s">
        <v>184</v>
      </c>
      <c r="N22" s="68" t="s">
        <v>188</v>
      </c>
      <c r="O22" s="69" t="s">
        <v>187</v>
      </c>
      <c r="P22" s="91" t="s">
        <v>200</v>
      </c>
      <c r="Q22" s="90" t="s">
        <v>224</v>
      </c>
      <c r="R22" s="70" t="s">
        <v>15</v>
      </c>
      <c r="S22" s="25" t="s">
        <v>13</v>
      </c>
      <c r="T22" s="66" t="s">
        <v>14</v>
      </c>
      <c r="X22"/>
      <c r="Y22"/>
      <c r="Z22"/>
      <c r="AA22"/>
      <c r="AB22"/>
      <c r="AC22"/>
    </row>
    <row r="23" spans="1:29" ht="15" thickTop="1" x14ac:dyDescent="0.35">
      <c r="A23" s="11">
        <v>42036</v>
      </c>
      <c r="B23" s="9" t="s">
        <v>34</v>
      </c>
      <c r="C23" s="88" t="s">
        <v>36</v>
      </c>
      <c r="D23" s="131" t="s">
        <v>13</v>
      </c>
      <c r="E23" s="133"/>
      <c r="F23" s="71"/>
      <c r="G23" s="71"/>
      <c r="H23" s="71"/>
      <c r="I23" s="72">
        <f>Table25[[#This Row],[Diameter Input  (ft,m)]]*1000</f>
        <v>0</v>
      </c>
      <c r="J23" s="72">
        <f>Table25[[#This Row],[Thickness shell Input
'[inch,mm']]]</f>
        <v>0</v>
      </c>
      <c r="K23" s="72">
        <f>Table25[[#This Row],[Design P (bar, psi)]]</f>
        <v>0</v>
      </c>
      <c r="L23" s="135">
        <f>(Table25[[#This Row],[Length Input  (ft, m)]])*1000</f>
        <v>0</v>
      </c>
      <c r="M23" s="5">
        <f>0.94</f>
        <v>0.94</v>
      </c>
      <c r="N23" s="75">
        <f>(0.46*Table25[[#This Row],[Diameter output
'[mm']]])-(8.59*J23)-(33.78*K23)+(4.28*L23)-9483.42</f>
        <v>-9483.42</v>
      </c>
      <c r="O23" s="76">
        <f>(0.44*N23)+14889</f>
        <v>10716.2952</v>
      </c>
      <c r="P23" s="93">
        <f>(Table25[[#This Row],[Cost Estimation (€, $, ¥)]])*1.05/1</f>
        <v>11252.109960000002</v>
      </c>
      <c r="Q23" s="41"/>
      <c r="R23" s="95">
        <f>Table25[[#This Row],[Material Index for 2018]]*0.9</f>
        <v>10126.898964000002</v>
      </c>
      <c r="S23" s="96">
        <f>Table25[[#This Row],[Material Index for 2018]]*1.1</f>
        <v>12377.320956000003</v>
      </c>
      <c r="T23" s="97">
        <f>Table25[[#This Row],[Material Index for 2018]]*1</f>
        <v>11252.109960000002</v>
      </c>
      <c r="V23" s="41"/>
      <c r="W23" s="41"/>
      <c r="Z23" s="40"/>
      <c r="AA23"/>
      <c r="AB23"/>
      <c r="AC23"/>
    </row>
    <row r="24" spans="1:29" x14ac:dyDescent="0.35">
      <c r="A24" s="11">
        <v>42036</v>
      </c>
      <c r="B24" s="9" t="s">
        <v>34</v>
      </c>
      <c r="C24" s="88" t="s">
        <v>36</v>
      </c>
      <c r="D24" s="131" t="s">
        <v>13</v>
      </c>
      <c r="E24" s="133"/>
      <c r="F24" s="71"/>
      <c r="G24" s="71"/>
      <c r="H24" s="71"/>
      <c r="I24" s="72">
        <f>Table25[[#This Row],[Diameter Input  (ft,m)]]*1000</f>
        <v>0</v>
      </c>
      <c r="J24" s="72">
        <f>Table25[[#This Row],[Thickness shell Input
'[inch,mm']]]</f>
        <v>0</v>
      </c>
      <c r="K24" s="72">
        <f>Table25[[#This Row],[Design P (bar, psi)]]</f>
        <v>0</v>
      </c>
      <c r="L24" s="135">
        <f>(Table25[[#This Row],[Length Input  (ft, m)]])*1000</f>
        <v>0</v>
      </c>
      <c r="N24" s="75">
        <f>(0.46*Table25[[#This Row],[Diameter output
'[mm']]])-(8.59*J24)-(33.78*K24)+(4.28*L24)-9483.42</f>
        <v>-9483.42</v>
      </c>
      <c r="O24" s="76">
        <f t="shared" ref="O24:O49" si="0">(0.44*N24)+14889</f>
        <v>10716.2952</v>
      </c>
      <c r="P24" s="93">
        <f>(Table25[[#This Row],[Cost Estimation (€, $, ¥)]])*1.05/1</f>
        <v>11252.109960000002</v>
      </c>
      <c r="Q24" s="41"/>
      <c r="R24" s="95">
        <f>Table25[[#This Row],[Material Index for 2018]]*0.9</f>
        <v>10126.898964000002</v>
      </c>
      <c r="S24" s="96">
        <f>Table25[[#This Row],[Material Index for 2018]]*1.1</f>
        <v>12377.320956000003</v>
      </c>
      <c r="T24" s="97">
        <f>Table25[[#This Row],[Material Index for 2018]]*1</f>
        <v>11252.109960000002</v>
      </c>
      <c r="V24" s="41"/>
      <c r="W24" s="41"/>
      <c r="Z24" s="61"/>
      <c r="AA24" s="61"/>
      <c r="AB24" s="61"/>
      <c r="AC24"/>
    </row>
    <row r="25" spans="1:29" ht="26" x14ac:dyDescent="0.35">
      <c r="A25" s="11">
        <v>42036</v>
      </c>
      <c r="B25" s="9" t="s">
        <v>39</v>
      </c>
      <c r="C25" s="88" t="s">
        <v>36</v>
      </c>
      <c r="D25" s="131" t="s">
        <v>15</v>
      </c>
      <c r="E25" s="133"/>
      <c r="F25" s="71"/>
      <c r="G25" s="71"/>
      <c r="H25" s="71"/>
      <c r="I25" s="72">
        <f>Table25[[#This Row],[Diameter Input  (ft,m)]]*1000</f>
        <v>0</v>
      </c>
      <c r="J25" s="72">
        <f>Table25[[#This Row],[Thickness shell Input
'[inch,mm']]]</f>
        <v>0</v>
      </c>
      <c r="K25" s="72">
        <f>Table25[[#This Row],[Design P (bar, psi)]]</f>
        <v>0</v>
      </c>
      <c r="L25" s="135">
        <f>(Table25[[#This Row],[Length Input  (ft, m)]])*1000</f>
        <v>0</v>
      </c>
      <c r="M25" s="67" t="s">
        <v>185</v>
      </c>
      <c r="N25" s="75">
        <f>(0.46*Table25[[#This Row],[Diameter output
'[mm']]])-(8.59*J25)-(33.78*K25)+(4.28*L25)-9483.42</f>
        <v>-9483.42</v>
      </c>
      <c r="O25" s="76">
        <f t="shared" si="0"/>
        <v>10716.2952</v>
      </c>
      <c r="P25" s="93">
        <f>(Table25[[#This Row],[Cost Estimation (€, $, ¥)]])*1.05/1</f>
        <v>11252.109960000002</v>
      </c>
      <c r="Q25" s="41"/>
      <c r="R25" s="95">
        <f>Table25[[#This Row],[Material Index for 2018]]*0.9</f>
        <v>10126.898964000002</v>
      </c>
      <c r="S25" s="96">
        <f>Table25[[#This Row],[Material Index for 2018]]*1.1</f>
        <v>12377.320956000003</v>
      </c>
      <c r="T25" s="97">
        <f>Table25[[#This Row],[Material Index for 2018]]*1</f>
        <v>11252.109960000002</v>
      </c>
      <c r="X25"/>
      <c r="Y25"/>
      <c r="Z25" s="39"/>
      <c r="AA25"/>
      <c r="AB25"/>
      <c r="AC25"/>
    </row>
    <row r="26" spans="1:29" x14ac:dyDescent="0.35">
      <c r="A26" s="11">
        <v>42036</v>
      </c>
      <c r="B26" s="24" t="s">
        <v>34</v>
      </c>
      <c r="C26" s="88" t="s">
        <v>36</v>
      </c>
      <c r="D26" s="131" t="s">
        <v>13</v>
      </c>
      <c r="E26" s="133"/>
      <c r="F26" s="71"/>
      <c r="G26" s="71"/>
      <c r="H26" s="71"/>
      <c r="I26" s="72">
        <f>Table25[[#This Row],[Diameter Input  (ft,m)]]*1000</f>
        <v>0</v>
      </c>
      <c r="J26" s="72">
        <f>Table25[[#This Row],[Thickness shell Input
'[inch,mm']]]</f>
        <v>0</v>
      </c>
      <c r="K26" s="72">
        <f>Table25[[#This Row],[Design P (bar, psi)]]</f>
        <v>0</v>
      </c>
      <c r="L26" s="135">
        <f>(Table25[[#This Row],[Length Input  (ft, m)]])*1000</f>
        <v>0</v>
      </c>
      <c r="M26" s="60">
        <v>7.42</v>
      </c>
      <c r="N26" s="75">
        <f>(0.46*Table25[[#This Row],[Diameter output
'[mm']]])-(8.59*J26)-(33.78*K26)+(4.28*L26)-9483.42</f>
        <v>-9483.42</v>
      </c>
      <c r="O26" s="76">
        <f t="shared" si="0"/>
        <v>10716.2952</v>
      </c>
      <c r="P26" s="93">
        <f>(Table25[[#This Row],[Cost Estimation (€, $, ¥)]])*1.05/1</f>
        <v>11252.109960000002</v>
      </c>
      <c r="Q26" s="41"/>
      <c r="R26" s="95">
        <f>Table25[[#This Row],[Material Index for 2018]]*0.9</f>
        <v>10126.898964000002</v>
      </c>
      <c r="S26" s="96">
        <f>Table25[[#This Row],[Material Index for 2018]]*1.1</f>
        <v>12377.320956000003</v>
      </c>
      <c r="T26" s="97">
        <f>Table25[[#This Row],[Material Index for 2018]]*1</f>
        <v>11252.109960000002</v>
      </c>
      <c r="X26"/>
      <c r="Y26"/>
      <c r="Z26"/>
      <c r="AA26"/>
      <c r="AB26"/>
      <c r="AC26"/>
    </row>
    <row r="27" spans="1:29" x14ac:dyDescent="0.35">
      <c r="A27" s="11">
        <v>42217</v>
      </c>
      <c r="B27" s="24" t="s">
        <v>39</v>
      </c>
      <c r="C27" s="88" t="s">
        <v>36</v>
      </c>
      <c r="D27" s="131" t="s">
        <v>14</v>
      </c>
      <c r="E27" s="133"/>
      <c r="F27" s="71"/>
      <c r="G27" s="71"/>
      <c r="H27" s="71"/>
      <c r="I27" s="72">
        <f>Table25[[#This Row],[Diameter Input  (ft,m)]]*304.8</f>
        <v>0</v>
      </c>
      <c r="J27" s="72">
        <f>Table25[[#This Row],[Thickness shell Input
'[inch,mm']]]*25.4</f>
        <v>0</v>
      </c>
      <c r="K27" s="72">
        <f>Table25[[#This Row],[Design P (bar, psi)]]*0.06895</f>
        <v>0</v>
      </c>
      <c r="L27" s="135">
        <f>(Table25[[#This Row],[Length Input  (ft, m)]])*304.8</f>
        <v>0</v>
      </c>
      <c r="N27" s="75">
        <f>((0.46*Table25[[#This Row],[Diameter output
'[mm']]])-(8.59*J27)-(33.78*K27)+(4.28*L27)-9483.42)*2.2</f>
        <v>-20863.524000000001</v>
      </c>
      <c r="O27" s="76">
        <f>((0.44*N27)+14889)*1.06</f>
        <v>6051.5924063999992</v>
      </c>
      <c r="P27" s="93">
        <f>(Table25[[#This Row],[Cost Estimation (€, $, ¥)]])*1.05/1</f>
        <v>6354.1720267199989</v>
      </c>
      <c r="Q27" s="41"/>
      <c r="R27" s="95">
        <f>Table25[[#This Row],[Material Index for 2018]]*0.9</f>
        <v>5718.7548240479991</v>
      </c>
      <c r="S27" s="96">
        <f>Table25[[#This Row],[Material Index for 2018]]*1.1</f>
        <v>6989.5892293919997</v>
      </c>
      <c r="T27" s="97">
        <f>Table25[[#This Row],[Material Index for 2018]]*1</f>
        <v>6354.1720267199989</v>
      </c>
      <c r="X27"/>
      <c r="Y27"/>
      <c r="Z27"/>
      <c r="AA27"/>
      <c r="AB27"/>
      <c r="AC27"/>
    </row>
    <row r="28" spans="1:29" ht="26" x14ac:dyDescent="0.35">
      <c r="A28" s="11">
        <v>42309</v>
      </c>
      <c r="B28" s="24" t="s">
        <v>39</v>
      </c>
      <c r="C28" s="88" t="s">
        <v>36</v>
      </c>
      <c r="D28" s="131" t="s">
        <v>14</v>
      </c>
      <c r="E28" s="133"/>
      <c r="F28" s="71"/>
      <c r="G28" s="71"/>
      <c r="H28" s="71"/>
      <c r="I28" s="72">
        <f>Table25[[#This Row],[Diameter Input  (ft,m)]]*304.8</f>
        <v>0</v>
      </c>
      <c r="J28" s="72">
        <f>Table25[[#This Row],[Thickness shell Input
'[inch,mm']]]*25.4</f>
        <v>0</v>
      </c>
      <c r="K28" s="72">
        <f>Table25[[#This Row],[Design P (bar, psi)]]*0.06895</f>
        <v>0</v>
      </c>
      <c r="L28" s="135">
        <f>(Table25[[#This Row],[Length Input  (ft, m)]])*304.8</f>
        <v>0</v>
      </c>
      <c r="M28" s="67" t="s">
        <v>186</v>
      </c>
      <c r="N28" s="75">
        <f>((0.46*Table25[[#This Row],[Diameter output
'[mm']]])-(8.59*J28)-(33.78*K28)+(4.28*L28)-9483.42)*2.2</f>
        <v>-20863.524000000001</v>
      </c>
      <c r="O28" s="76">
        <f>((0.44*N28)+14889)*1.06</f>
        <v>6051.5924063999992</v>
      </c>
      <c r="P28" s="93">
        <f>(Table25[[#This Row],[Cost Estimation (€, $, ¥)]])*1.05/1</f>
        <v>6354.1720267199989</v>
      </c>
      <c r="Q28" s="41"/>
      <c r="R28" s="95">
        <f>Table25[[#This Row],[Material Index for 2018]]*0.9</f>
        <v>5718.7548240479991</v>
      </c>
      <c r="S28" s="96">
        <f>Table25[[#This Row],[Material Index for 2018]]*1.1</f>
        <v>6989.5892293919997</v>
      </c>
      <c r="T28" s="97">
        <f>Table25[[#This Row],[Material Index for 2018]]*1</f>
        <v>6354.1720267199989</v>
      </c>
      <c r="X28"/>
      <c r="Y28"/>
      <c r="Z28"/>
      <c r="AA28"/>
      <c r="AB28"/>
      <c r="AC28"/>
    </row>
    <row r="29" spans="1:29" x14ac:dyDescent="0.35">
      <c r="A29" s="11">
        <v>42309</v>
      </c>
      <c r="B29" s="24" t="s">
        <v>39</v>
      </c>
      <c r="C29" s="88" t="s">
        <v>36</v>
      </c>
      <c r="D29" s="131" t="s">
        <v>15</v>
      </c>
      <c r="E29" s="133"/>
      <c r="F29" s="71"/>
      <c r="G29" s="71"/>
      <c r="H29" s="71"/>
      <c r="I29" s="72">
        <f>Table25[[#This Row],[Diameter Input  (ft,m)]]*1000</f>
        <v>0</v>
      </c>
      <c r="J29" s="72">
        <f>Table25[[#This Row],[Thickness shell Input
'[inch,mm']]]</f>
        <v>0</v>
      </c>
      <c r="K29" s="72">
        <f>Table25[[#This Row],[Design P (bar, psi)]]</f>
        <v>0</v>
      </c>
      <c r="L29" s="135">
        <f>(Table25[[#This Row],[Length Input  (ft, m)]])*1000</f>
        <v>0</v>
      </c>
      <c r="M29" s="60">
        <v>1.06</v>
      </c>
      <c r="N29" s="75">
        <f>(0.46*Table25[[#This Row],[Diameter output
'[mm']]])-(8.59*J29)-(33.78*K29)+(4.28*L29)-9483.42</f>
        <v>-9483.42</v>
      </c>
      <c r="O29" s="76">
        <f t="shared" si="0"/>
        <v>10716.2952</v>
      </c>
      <c r="P29" s="93">
        <f>(Table25[[#This Row],[Cost Estimation (€, $, ¥)]])*1.05/1</f>
        <v>11252.109960000002</v>
      </c>
      <c r="Q29" s="41"/>
      <c r="R29" s="95">
        <f>Table25[[#This Row],[Material Index for 2018]]*0.9</f>
        <v>10126.898964000002</v>
      </c>
      <c r="S29" s="96">
        <f>Table25[[#This Row],[Material Index for 2018]]*1.1</f>
        <v>12377.320956000003</v>
      </c>
      <c r="T29" s="97">
        <f>Table25[[#This Row],[Material Index for 2018]]*1</f>
        <v>11252.109960000002</v>
      </c>
      <c r="X29"/>
      <c r="Y29"/>
      <c r="Z29"/>
      <c r="AA29"/>
      <c r="AB29"/>
      <c r="AC29"/>
    </row>
    <row r="30" spans="1:29" x14ac:dyDescent="0.35">
      <c r="A30" s="11">
        <v>42370</v>
      </c>
      <c r="B30" s="24" t="s">
        <v>34</v>
      </c>
      <c r="C30" s="88" t="s">
        <v>36</v>
      </c>
      <c r="D30" s="131" t="s">
        <v>13</v>
      </c>
      <c r="E30" s="133"/>
      <c r="F30" s="71"/>
      <c r="G30" s="71"/>
      <c r="H30" s="71"/>
      <c r="I30" s="72">
        <f>Table25[[#This Row],[Diameter Input  (ft,m)]]*1000</f>
        <v>0</v>
      </c>
      <c r="J30" s="72">
        <f>Table25[[#This Row],[Thickness shell Input
'[inch,mm']]]</f>
        <v>0</v>
      </c>
      <c r="K30" s="72">
        <f>Table25[[#This Row],[Design P (bar, psi)]]</f>
        <v>0</v>
      </c>
      <c r="L30" s="135">
        <f>(Table25[[#This Row],[Length Input  (ft, m)]])*1000</f>
        <v>0</v>
      </c>
      <c r="N30" s="75">
        <f>(0.46*Table25[[#This Row],[Diameter output
'[mm']]])-(8.59*J30)-(33.78*K30)+(4.28*L30)-9483.42</f>
        <v>-9483.42</v>
      </c>
      <c r="O30" s="76">
        <f t="shared" si="0"/>
        <v>10716.2952</v>
      </c>
      <c r="P30" s="93">
        <f>(Table25[[#This Row],[Cost Estimation (€, $, ¥)]])*1.05/1.01</f>
        <v>11140.702930693071</v>
      </c>
      <c r="Q30" s="41"/>
      <c r="R30" s="95">
        <f>Table25[[#This Row],[Material Index for 2018]]*0.9</f>
        <v>10026.632637623765</v>
      </c>
      <c r="S30" s="96">
        <f>Table25[[#This Row],[Material Index for 2018]]*1.1</f>
        <v>12254.773223762379</v>
      </c>
      <c r="T30" s="97">
        <f>Table25[[#This Row],[Material Index for 2018]]*1</f>
        <v>11140.702930693071</v>
      </c>
      <c r="X30"/>
      <c r="Y30"/>
      <c r="Z30"/>
      <c r="AA30"/>
      <c r="AB30"/>
      <c r="AC30"/>
    </row>
    <row r="31" spans="1:29" x14ac:dyDescent="0.35">
      <c r="A31" s="11">
        <v>42370</v>
      </c>
      <c r="B31" s="24" t="s">
        <v>34</v>
      </c>
      <c r="C31" s="88" t="s">
        <v>36</v>
      </c>
      <c r="D31" s="131" t="s">
        <v>13</v>
      </c>
      <c r="E31" s="133"/>
      <c r="F31" s="71"/>
      <c r="G31" s="71"/>
      <c r="H31" s="71"/>
      <c r="I31" s="72">
        <f>Table25[[#This Row],[Diameter Input  (ft,m)]]*1000</f>
        <v>0</v>
      </c>
      <c r="J31" s="72">
        <f>Table25[[#This Row],[Thickness shell Input
'[inch,mm']]]</f>
        <v>0</v>
      </c>
      <c r="K31" s="72">
        <f>Table25[[#This Row],[Design P (bar, psi)]]</f>
        <v>0</v>
      </c>
      <c r="L31" s="135">
        <f>(Table25[[#This Row],[Length Input  (ft, m)]])*1000</f>
        <v>0</v>
      </c>
      <c r="N31" s="75">
        <f>(0.46*Table25[[#This Row],[Diameter output
'[mm']]])-(8.59*J31)-(33.78*K31)+(4.28*L31)-9483.42</f>
        <v>-9483.42</v>
      </c>
      <c r="O31" s="76">
        <f t="shared" si="0"/>
        <v>10716.2952</v>
      </c>
      <c r="P31" s="93">
        <f>(Table25[[#This Row],[Cost Estimation (€, $, ¥)]])*1.05/1.01</f>
        <v>11140.702930693071</v>
      </c>
      <c r="Q31" s="41"/>
      <c r="R31" s="95">
        <f>Table25[[#This Row],[Material Index for 2018]]*0.9</f>
        <v>10026.632637623765</v>
      </c>
      <c r="S31" s="96">
        <f>Table25[[#This Row],[Material Index for 2018]]*1.1</f>
        <v>12254.773223762379</v>
      </c>
      <c r="T31" s="97">
        <f>Table25[[#This Row],[Material Index for 2018]]*1</f>
        <v>11140.702930693071</v>
      </c>
      <c r="X31"/>
      <c r="Y31"/>
      <c r="Z31"/>
      <c r="AA31"/>
      <c r="AB31"/>
      <c r="AC31"/>
    </row>
    <row r="32" spans="1:29" x14ac:dyDescent="0.35">
      <c r="A32" s="11">
        <v>42370</v>
      </c>
      <c r="B32" s="24" t="s">
        <v>39</v>
      </c>
      <c r="C32" s="88" t="s">
        <v>36</v>
      </c>
      <c r="D32" s="131" t="s">
        <v>14</v>
      </c>
      <c r="E32" s="133"/>
      <c r="F32" s="71"/>
      <c r="G32" s="71"/>
      <c r="H32" s="71"/>
      <c r="I32" s="72">
        <f>Table25[[#This Row],[Diameter Input  (ft,m)]]*304.8</f>
        <v>0</v>
      </c>
      <c r="J32" s="72">
        <f>Table25[[#This Row],[Thickness shell Input
'[inch,mm']]]*25.4</f>
        <v>0</v>
      </c>
      <c r="K32" s="72">
        <f>Table25[[#This Row],[Design P (bar, psi)]]*0.06895</f>
        <v>0</v>
      </c>
      <c r="L32" s="135">
        <f>(Table25[[#This Row],[Length Input  (ft, m)]])*304.8</f>
        <v>0</v>
      </c>
      <c r="N32" s="75">
        <f>((0.46*Table25[[#This Row],[Diameter output
'[mm']]])-(8.59*J32)-(33.78*K32)+(4.28*L32)-9483.42)*2.2</f>
        <v>-20863.524000000001</v>
      </c>
      <c r="O32" s="76">
        <f t="shared" ref="O32:O33" si="1">((0.44*N32)+14889)*1.06</f>
        <v>6051.5924063999992</v>
      </c>
      <c r="P32" s="93">
        <f>(Table25[[#This Row],[Cost Estimation (€, $, ¥)]])*1.05/1.01</f>
        <v>6291.2594323960384</v>
      </c>
      <c r="Q32" s="41"/>
      <c r="R32" s="95">
        <f>Table25[[#This Row],[Material Index for 2018]]*0.9</f>
        <v>5662.1334891564347</v>
      </c>
      <c r="S32" s="96">
        <f>Table25[[#This Row],[Material Index for 2018]]*1.1</f>
        <v>6920.385375635643</v>
      </c>
      <c r="T32" s="97">
        <f>Table25[[#This Row],[Material Index for 2018]]*1</f>
        <v>6291.2594323960384</v>
      </c>
      <c r="X32"/>
      <c r="Y32"/>
      <c r="Z32"/>
      <c r="AA32"/>
      <c r="AB32"/>
      <c r="AC32"/>
    </row>
    <row r="33" spans="1:29" x14ac:dyDescent="0.35">
      <c r="A33" s="11">
        <v>42401</v>
      </c>
      <c r="B33" s="24" t="s">
        <v>39</v>
      </c>
      <c r="C33" s="88" t="s">
        <v>36</v>
      </c>
      <c r="D33" s="131" t="s">
        <v>14</v>
      </c>
      <c r="E33" s="133"/>
      <c r="F33" s="71"/>
      <c r="G33" s="71"/>
      <c r="H33" s="71"/>
      <c r="I33" s="72">
        <f>Table25[[#This Row],[Diameter Input  (ft,m)]]*304.8</f>
        <v>0</v>
      </c>
      <c r="J33" s="72">
        <f>Table25[[#This Row],[Thickness shell Input
'[inch,mm']]]*25.4</f>
        <v>0</v>
      </c>
      <c r="K33" s="72">
        <f>Table25[[#This Row],[Design P (bar, psi)]]*0.06895</f>
        <v>0</v>
      </c>
      <c r="L33" s="135">
        <f>(Table25[[#This Row],[Length Input  (ft, m)]])*304.8</f>
        <v>0</v>
      </c>
      <c r="M33" s="59" t="s">
        <v>189</v>
      </c>
      <c r="N33" s="75">
        <f>((0.46*Table25[[#This Row],[Diameter output
'[mm']]])-(8.59*J33)-(33.78*K33)+(4.28*L33)-9483.42)*2.2</f>
        <v>-20863.524000000001</v>
      </c>
      <c r="O33" s="76">
        <f t="shared" si="1"/>
        <v>6051.5924063999992</v>
      </c>
      <c r="P33" s="93">
        <f>(Table25[[#This Row],[Cost Estimation (€, $, ¥)]])*1.05/1.01</f>
        <v>6291.2594323960384</v>
      </c>
      <c r="Q33" s="41"/>
      <c r="R33" s="95">
        <f>Table25[[#This Row],[Material Index for 2018]]*0.9</f>
        <v>5662.1334891564347</v>
      </c>
      <c r="S33" s="96">
        <f>Table25[[#This Row],[Material Index for 2018]]*1.1</f>
        <v>6920.385375635643</v>
      </c>
      <c r="T33" s="97">
        <f>Table25[[#This Row],[Material Index for 2018]]*1</f>
        <v>6291.2594323960384</v>
      </c>
      <c r="X33"/>
      <c r="Y33"/>
      <c r="Z33"/>
      <c r="AA33"/>
      <c r="AB33"/>
      <c r="AC33"/>
    </row>
    <row r="34" spans="1:29" x14ac:dyDescent="0.35">
      <c r="A34" s="11">
        <v>42401</v>
      </c>
      <c r="B34" s="24" t="s">
        <v>34</v>
      </c>
      <c r="C34" s="88" t="s">
        <v>36</v>
      </c>
      <c r="D34" s="131" t="s">
        <v>13</v>
      </c>
      <c r="E34" s="133"/>
      <c r="F34" s="71"/>
      <c r="G34" s="71"/>
      <c r="H34" s="71"/>
      <c r="I34" s="72">
        <f>Table25[[#This Row],[Diameter Input  (ft,m)]]*1000</f>
        <v>0</v>
      </c>
      <c r="J34" s="72">
        <f>Table25[[#This Row],[Thickness shell Input
'[inch,mm']]]</f>
        <v>0</v>
      </c>
      <c r="K34" s="72">
        <f>Table25[[#This Row],[Design P (bar, psi)]]</f>
        <v>0</v>
      </c>
      <c r="L34" s="135">
        <f>(Table25[[#This Row],[Length Input  (ft, m)]])*1000</f>
        <v>0</v>
      </c>
      <c r="M34" s="58" t="s">
        <v>190</v>
      </c>
      <c r="N34" s="75">
        <f>(0.46*Table25[[#This Row],[Diameter output
'[mm']]])-(8.59*J34)-(33.78*K34)+(4.28*L34)-9483.42</f>
        <v>-9483.42</v>
      </c>
      <c r="O34" s="76">
        <f t="shared" si="0"/>
        <v>10716.2952</v>
      </c>
      <c r="P34" s="93">
        <f>(Table25[[#This Row],[Cost Estimation (€, $, ¥)]])*1.05/1.01</f>
        <v>11140.702930693071</v>
      </c>
      <c r="Q34" s="41"/>
      <c r="R34" s="95">
        <f>Table25[[#This Row],[Material Index for 2018]]*0.9</f>
        <v>10026.632637623765</v>
      </c>
      <c r="S34" s="96">
        <f>Table25[[#This Row],[Material Index for 2018]]*1.1</f>
        <v>12254.773223762379</v>
      </c>
      <c r="T34" s="97">
        <f>Table25[[#This Row],[Material Index for 2018]]*1</f>
        <v>11140.702930693071</v>
      </c>
      <c r="X34"/>
      <c r="Y34"/>
      <c r="Z34"/>
      <c r="AA34"/>
      <c r="AB34"/>
      <c r="AC34"/>
    </row>
    <row r="35" spans="1:29" x14ac:dyDescent="0.35">
      <c r="A35" s="11">
        <v>42401</v>
      </c>
      <c r="B35" s="24" t="s">
        <v>34</v>
      </c>
      <c r="C35" s="88" t="s">
        <v>36</v>
      </c>
      <c r="D35" s="131" t="s">
        <v>13</v>
      </c>
      <c r="E35" s="133"/>
      <c r="F35" s="71"/>
      <c r="G35" s="71"/>
      <c r="H35" s="71"/>
      <c r="I35" s="72">
        <f>Table25[[#This Row],[Diameter Input  (ft,m)]]*1000</f>
        <v>0</v>
      </c>
      <c r="J35" s="72">
        <f>Table25[[#This Row],[Thickness shell Input
'[inch,mm']]]</f>
        <v>0</v>
      </c>
      <c r="K35" s="72">
        <f>Table25[[#This Row],[Design P (bar, psi)]]</f>
        <v>0</v>
      </c>
      <c r="L35" s="135">
        <f>(Table25[[#This Row],[Length Input  (ft, m)]])*1000</f>
        <v>0</v>
      </c>
      <c r="M35" s="58" t="s">
        <v>191</v>
      </c>
      <c r="N35" s="75">
        <f>(0.46*Table25[[#This Row],[Diameter output
'[mm']]])-(8.59*J35)-(33.78*K35)+(4.28*L35)-9483.42</f>
        <v>-9483.42</v>
      </c>
      <c r="O35" s="76">
        <f t="shared" si="0"/>
        <v>10716.2952</v>
      </c>
      <c r="P35" s="93">
        <f>(Table25[[#This Row],[Cost Estimation (€, $, ¥)]])*1.05/1.01</f>
        <v>11140.702930693071</v>
      </c>
      <c r="Q35" s="41"/>
      <c r="R35" s="95">
        <f>Table25[[#This Row],[Material Index for 2018]]*0.9</f>
        <v>10026.632637623765</v>
      </c>
      <c r="S35" s="96">
        <f>Table25[[#This Row],[Material Index for 2018]]*1.1</f>
        <v>12254.773223762379</v>
      </c>
      <c r="T35" s="97">
        <f>Table25[[#This Row],[Material Index for 2018]]*1</f>
        <v>11140.702930693071</v>
      </c>
      <c r="X35"/>
      <c r="Y35"/>
      <c r="Z35"/>
      <c r="AA35"/>
      <c r="AB35"/>
      <c r="AC35"/>
    </row>
    <row r="36" spans="1:29" x14ac:dyDescent="0.35">
      <c r="A36" s="11">
        <v>42401</v>
      </c>
      <c r="B36" s="24" t="s">
        <v>39</v>
      </c>
      <c r="C36" s="88" t="s">
        <v>36</v>
      </c>
      <c r="D36" s="131" t="s">
        <v>14</v>
      </c>
      <c r="E36" s="133"/>
      <c r="F36" s="71"/>
      <c r="G36" s="71"/>
      <c r="H36" s="71"/>
      <c r="I36" s="72">
        <f>Table25[[#This Row],[Diameter Input  (ft,m)]]*304.8</f>
        <v>0</v>
      </c>
      <c r="J36" s="72">
        <f>Table25[[#This Row],[Thickness shell Input
'[inch,mm']]]*25.4</f>
        <v>0</v>
      </c>
      <c r="K36" s="72">
        <f>Table25[[#This Row],[Design P (bar, psi)]]*0.06895</f>
        <v>0</v>
      </c>
      <c r="L36" s="135">
        <f>(Table25[[#This Row],[Length Input  (ft, m)]])*304.8</f>
        <v>0</v>
      </c>
      <c r="M36" s="5" t="s">
        <v>194</v>
      </c>
      <c r="N36" s="75">
        <f>((0.46*Table25[[#This Row],[Diameter output
'[mm']]])-(8.59*J36)-(33.78*K36)+(4.28*L36)-9483.42)*2.2</f>
        <v>-20863.524000000001</v>
      </c>
      <c r="O36" s="76">
        <f>((0.44*N36)+14889)*1.06</f>
        <v>6051.5924063999992</v>
      </c>
      <c r="P36" s="93">
        <f>(Table25[[#This Row],[Cost Estimation (€, $, ¥)]])*1.05/1.01</f>
        <v>6291.2594323960384</v>
      </c>
      <c r="Q36" s="41"/>
      <c r="R36" s="95">
        <f>Table25[[#This Row],[Material Index for 2018]]*0.9</f>
        <v>5662.1334891564347</v>
      </c>
      <c r="S36" s="96">
        <f>Table25[[#This Row],[Material Index for 2018]]*1.1</f>
        <v>6920.385375635643</v>
      </c>
      <c r="T36" s="97">
        <f>Table25[[#This Row],[Material Index for 2018]]*1</f>
        <v>6291.2594323960384</v>
      </c>
      <c r="X36"/>
      <c r="Y36"/>
      <c r="Z36"/>
      <c r="AA36"/>
      <c r="AB36"/>
      <c r="AC36"/>
    </row>
    <row r="37" spans="1:29" x14ac:dyDescent="0.35">
      <c r="A37" s="11">
        <v>42401</v>
      </c>
      <c r="B37" s="24" t="s">
        <v>34</v>
      </c>
      <c r="C37" s="88" t="s">
        <v>36</v>
      </c>
      <c r="D37" s="131" t="s">
        <v>13</v>
      </c>
      <c r="E37" s="133"/>
      <c r="F37" s="71"/>
      <c r="G37" s="71"/>
      <c r="H37" s="71"/>
      <c r="I37" s="72">
        <f>Table25[[#This Row],[Diameter Input  (ft,m)]]*1000</f>
        <v>0</v>
      </c>
      <c r="J37" s="72">
        <f>Table25[[#This Row],[Thickness shell Input
'[inch,mm']]]</f>
        <v>0</v>
      </c>
      <c r="K37" s="72">
        <f>Table25[[#This Row],[Design P (bar, psi)]]</f>
        <v>0</v>
      </c>
      <c r="L37" s="135">
        <f>(Table25[[#This Row],[Length Input  (ft, m)]])*1000</f>
        <v>0</v>
      </c>
      <c r="M37" s="58" t="s">
        <v>208</v>
      </c>
      <c r="N37" s="75">
        <f>(0.46*Table25[[#This Row],[Diameter output
'[mm']]])-(8.59*J37)-(33.78*K37)+(4.28*L37)-9483.42</f>
        <v>-9483.42</v>
      </c>
      <c r="O37" s="76">
        <f t="shared" si="0"/>
        <v>10716.2952</v>
      </c>
      <c r="P37" s="93">
        <f>(Table25[[#This Row],[Cost Estimation (€, $, ¥)]])*1.05/1.01</f>
        <v>11140.702930693071</v>
      </c>
      <c r="Q37" s="41"/>
      <c r="R37" s="95">
        <f>Table25[[#This Row],[Material Index for 2018]]*0.9</f>
        <v>10026.632637623765</v>
      </c>
      <c r="S37" s="96">
        <f>Table25[[#This Row],[Material Index for 2018]]*1.1</f>
        <v>12254.773223762379</v>
      </c>
      <c r="T37" s="97">
        <f>Table25[[#This Row],[Material Index for 2018]]*1</f>
        <v>11140.702930693071</v>
      </c>
      <c r="X37"/>
      <c r="Y37"/>
      <c r="Z37"/>
      <c r="AA37"/>
      <c r="AB37"/>
      <c r="AC37"/>
    </row>
    <row r="38" spans="1:29" x14ac:dyDescent="0.35">
      <c r="A38" s="11">
        <v>42430</v>
      </c>
      <c r="B38" s="24" t="s">
        <v>34</v>
      </c>
      <c r="C38" s="88" t="s">
        <v>36</v>
      </c>
      <c r="D38" s="131" t="s">
        <v>13</v>
      </c>
      <c r="E38" s="133"/>
      <c r="F38" s="71"/>
      <c r="G38" s="71"/>
      <c r="H38" s="71"/>
      <c r="I38" s="72">
        <f>Table25[[#This Row],[Diameter Input  (ft,m)]]*1000</f>
        <v>0</v>
      </c>
      <c r="J38" s="72">
        <f>Table25[[#This Row],[Thickness shell Input
'[inch,mm']]]</f>
        <v>0</v>
      </c>
      <c r="K38" s="72">
        <f>Table25[[#This Row],[Design P (bar, psi)]]</f>
        <v>0</v>
      </c>
      <c r="L38" s="135">
        <f>(Table25[[#This Row],[Length Input  (ft, m)]])*1000</f>
        <v>0</v>
      </c>
      <c r="M38" s="58" t="s">
        <v>210</v>
      </c>
      <c r="N38" s="75">
        <f>(0.46*Table25[[#This Row],[Diameter output
'[mm']]])-(8.59*J38)-(33.78*K38)+(4.28*L38)-9483.42</f>
        <v>-9483.42</v>
      </c>
      <c r="O38" s="76">
        <f t="shared" si="0"/>
        <v>10716.2952</v>
      </c>
      <c r="P38" s="93">
        <f>(Table25[[#This Row],[Cost Estimation (€, $, ¥)]])*1.05/1.01</f>
        <v>11140.702930693071</v>
      </c>
      <c r="Q38" s="41"/>
      <c r="R38" s="95">
        <f>Table25[[#This Row],[Material Index for 2018]]*0.9</f>
        <v>10026.632637623765</v>
      </c>
      <c r="S38" s="96">
        <f>Table25[[#This Row],[Material Index for 2018]]*1.1</f>
        <v>12254.773223762379</v>
      </c>
      <c r="T38" s="97">
        <f>Table25[[#This Row],[Material Index for 2018]]*1</f>
        <v>11140.702930693071</v>
      </c>
      <c r="X38"/>
      <c r="Y38"/>
      <c r="Z38"/>
      <c r="AA38"/>
      <c r="AB38"/>
      <c r="AC38"/>
    </row>
    <row r="39" spans="1:29" x14ac:dyDescent="0.35">
      <c r="A39" s="11">
        <v>42491</v>
      </c>
      <c r="B39" s="24" t="s">
        <v>39</v>
      </c>
      <c r="C39" s="88" t="s">
        <v>36</v>
      </c>
      <c r="D39" s="131" t="s">
        <v>14</v>
      </c>
      <c r="E39" s="133"/>
      <c r="F39" s="71"/>
      <c r="G39" s="71"/>
      <c r="H39" s="71"/>
      <c r="I39" s="72">
        <f>Table25[[#This Row],[Diameter Input  (ft,m)]]*304.8</f>
        <v>0</v>
      </c>
      <c r="J39" s="72">
        <f>Table25[[#This Row],[Thickness shell Input
'[inch,mm']]]*25.4</f>
        <v>0</v>
      </c>
      <c r="K39" s="72">
        <f>Table25[[#This Row],[Design P (bar, psi)]]*0.06895</f>
        <v>0</v>
      </c>
      <c r="L39" s="135">
        <f>(Table25[[#This Row],[Length Input  (ft, m)]])*304.8</f>
        <v>0</v>
      </c>
      <c r="M39" s="5" t="s">
        <v>226</v>
      </c>
      <c r="N39" s="75">
        <f>((0.46*Table25[[#This Row],[Diameter output
'[mm']]])-(8.59*J39)-(33.78*K39)+(4.28*L39)-9483.42)*2.2</f>
        <v>-20863.524000000001</v>
      </c>
      <c r="O39" s="76">
        <f>((0.44*N39)+14889)*1.06</f>
        <v>6051.5924063999992</v>
      </c>
      <c r="P39" s="93">
        <f>(Table25[[#This Row],[Cost Estimation (€, $, ¥)]])*1.05/1.01</f>
        <v>6291.2594323960384</v>
      </c>
      <c r="Q39" s="41"/>
      <c r="R39" s="95">
        <f>Table25[[#This Row],[Material Index for 2018]]*0.9</f>
        <v>5662.1334891564347</v>
      </c>
      <c r="S39" s="96">
        <f>Table25[[#This Row],[Material Index for 2018]]*1.1</f>
        <v>6920.385375635643</v>
      </c>
      <c r="T39" s="97">
        <f>Table25[[#This Row],[Material Index for 2018]]*1</f>
        <v>6291.2594323960384</v>
      </c>
      <c r="X39"/>
      <c r="Y39"/>
      <c r="Z39"/>
      <c r="AA39"/>
      <c r="AB39"/>
      <c r="AC39"/>
    </row>
    <row r="40" spans="1:29" x14ac:dyDescent="0.35">
      <c r="A40" s="11">
        <v>42491</v>
      </c>
      <c r="B40" s="24" t="s">
        <v>34</v>
      </c>
      <c r="C40" s="88" t="s">
        <v>36</v>
      </c>
      <c r="D40" s="131" t="s">
        <v>13</v>
      </c>
      <c r="E40" s="133"/>
      <c r="F40" s="71"/>
      <c r="G40" s="71"/>
      <c r="H40" s="71"/>
      <c r="I40" s="72">
        <f>Table25[[#This Row],[Diameter Input  (ft,m)]]*1000</f>
        <v>0</v>
      </c>
      <c r="J40" s="72">
        <f>Table25[[#This Row],[Thickness shell Input
'[inch,mm']]]</f>
        <v>0</v>
      </c>
      <c r="K40" s="72">
        <f>Table25[[#This Row],[Design P (bar, psi)]]</f>
        <v>0</v>
      </c>
      <c r="L40" s="135">
        <f>(Table25[[#This Row],[Length Input  (ft, m)]])*1000</f>
        <v>0</v>
      </c>
      <c r="N40" s="75">
        <f>(0.46*Table25[[#This Row],[Diameter output
'[mm']]])-(8.59*J40)-(33.78*K40)+(4.28*L40)-9483.42</f>
        <v>-9483.42</v>
      </c>
      <c r="O40" s="76">
        <f t="shared" si="0"/>
        <v>10716.2952</v>
      </c>
      <c r="P40" s="93">
        <f>(Table25[[#This Row],[Cost Estimation (€, $, ¥)]])*1.05/1.01</f>
        <v>11140.702930693071</v>
      </c>
      <c r="Q40" s="41"/>
      <c r="R40" s="95">
        <f>Table25[[#This Row],[Material Index for 2018]]*0.9</f>
        <v>10026.632637623765</v>
      </c>
      <c r="S40" s="96">
        <f>Table25[[#This Row],[Material Index for 2018]]*1.1</f>
        <v>12254.773223762379</v>
      </c>
      <c r="T40" s="97">
        <f>Table25[[#This Row],[Material Index for 2018]]*1</f>
        <v>11140.702930693071</v>
      </c>
      <c r="X40"/>
      <c r="Y40"/>
      <c r="Z40"/>
      <c r="AA40"/>
      <c r="AB40"/>
      <c r="AC40"/>
    </row>
    <row r="41" spans="1:29" x14ac:dyDescent="0.35">
      <c r="A41" s="11">
        <v>42552</v>
      </c>
      <c r="B41" s="24" t="s">
        <v>34</v>
      </c>
      <c r="C41" s="88" t="s">
        <v>36</v>
      </c>
      <c r="D41" s="131" t="s">
        <v>13</v>
      </c>
      <c r="E41" s="133"/>
      <c r="F41" s="71"/>
      <c r="G41" s="71"/>
      <c r="H41" s="71"/>
      <c r="I41" s="72">
        <f>Table25[[#This Row],[Diameter Input  (ft,m)]]*1000</f>
        <v>0</v>
      </c>
      <c r="J41" s="72">
        <f>Table25[[#This Row],[Thickness shell Input
'[inch,mm']]]</f>
        <v>0</v>
      </c>
      <c r="K41" s="72">
        <f>Table25[[#This Row],[Design P (bar, psi)]]</f>
        <v>0</v>
      </c>
      <c r="L41" s="135">
        <f>(Table25[[#This Row],[Length Input  (ft, m)]])*1000</f>
        <v>0</v>
      </c>
      <c r="N41" s="75">
        <f>(0.46*Table25[[#This Row],[Diameter output
'[mm']]])-(8.59*J41)-(33.78*K41)+(4.28*L41)-9483.42</f>
        <v>-9483.42</v>
      </c>
      <c r="O41" s="76">
        <f t="shared" si="0"/>
        <v>10716.2952</v>
      </c>
      <c r="P41" s="93">
        <f>(Table25[[#This Row],[Cost Estimation (€, $, ¥)]])*1.05/1.01</f>
        <v>11140.702930693071</v>
      </c>
      <c r="Q41" s="41"/>
      <c r="R41" s="95">
        <f>Table25[[#This Row],[Material Index for 2018]]*0.9</f>
        <v>10026.632637623765</v>
      </c>
      <c r="S41" s="96">
        <f>Table25[[#This Row],[Material Index for 2018]]*1.1</f>
        <v>12254.773223762379</v>
      </c>
      <c r="T41" s="97">
        <f>Table25[[#This Row],[Material Index for 2018]]*1</f>
        <v>11140.702930693071</v>
      </c>
      <c r="X41"/>
      <c r="Y41"/>
      <c r="Z41"/>
      <c r="AA41"/>
      <c r="AB41"/>
      <c r="AC41"/>
    </row>
    <row r="42" spans="1:29" x14ac:dyDescent="0.35">
      <c r="A42" s="11">
        <v>42552</v>
      </c>
      <c r="B42" s="24" t="s">
        <v>39</v>
      </c>
      <c r="C42" s="88" t="s">
        <v>36</v>
      </c>
      <c r="D42" s="131" t="s">
        <v>14</v>
      </c>
      <c r="E42" s="133"/>
      <c r="F42" s="71"/>
      <c r="G42" s="71"/>
      <c r="H42" s="71"/>
      <c r="I42" s="72">
        <f>Table25[[#This Row],[Diameter Input  (ft,m)]]*304.8</f>
        <v>0</v>
      </c>
      <c r="J42" s="72">
        <f>Table25[[#This Row],[Thickness shell Input
'[inch,mm']]]*25.4</f>
        <v>0</v>
      </c>
      <c r="K42" s="72">
        <f>Table25[[#This Row],[Design P (bar, psi)]]*0.06895</f>
        <v>0</v>
      </c>
      <c r="L42" s="135">
        <f>(Table25[[#This Row],[Length Input  (ft, m)]])*304.8</f>
        <v>0</v>
      </c>
      <c r="N42" s="75">
        <f>((0.46*Table25[[#This Row],[Diameter output
'[mm']]])-(8.59*J42)-(33.78*K42)+(4.28*L42)-9483.42)*2.2</f>
        <v>-20863.524000000001</v>
      </c>
      <c r="O42" s="76">
        <f t="shared" ref="O42:O44" si="2">((0.44*N42)+14889)*1.06</f>
        <v>6051.5924063999992</v>
      </c>
      <c r="P42" s="93">
        <f>(Table25[[#This Row],[Cost Estimation (€, $, ¥)]])*1.05/1.01</f>
        <v>6291.2594323960384</v>
      </c>
      <c r="Q42" s="41"/>
      <c r="R42" s="95">
        <f>Table25[[#This Row],[Material Index for 2018]]*0.9</f>
        <v>5662.1334891564347</v>
      </c>
      <c r="S42" s="96">
        <f>Table25[[#This Row],[Material Index for 2018]]*1.1</f>
        <v>6920.385375635643</v>
      </c>
      <c r="T42" s="97">
        <f>Table25[[#This Row],[Material Index for 2018]]*1</f>
        <v>6291.2594323960384</v>
      </c>
      <c r="X42"/>
      <c r="Y42"/>
      <c r="Z42"/>
      <c r="AA42"/>
      <c r="AB42"/>
      <c r="AC42"/>
    </row>
    <row r="43" spans="1:29" x14ac:dyDescent="0.35">
      <c r="A43" s="11">
        <v>42552</v>
      </c>
      <c r="B43" s="24" t="s">
        <v>39</v>
      </c>
      <c r="C43" s="88" t="s">
        <v>36</v>
      </c>
      <c r="D43" s="131" t="s">
        <v>14</v>
      </c>
      <c r="E43" s="133"/>
      <c r="F43" s="71"/>
      <c r="G43" s="71"/>
      <c r="H43" s="71"/>
      <c r="I43" s="72">
        <f>Table25[[#This Row],[Diameter Input  (ft,m)]]*304.8</f>
        <v>0</v>
      </c>
      <c r="J43" s="72">
        <f>Table25[[#This Row],[Thickness shell Input
'[inch,mm']]]*25.4</f>
        <v>0</v>
      </c>
      <c r="K43" s="72">
        <f>Table25[[#This Row],[Design P (bar, psi)]]*0.06895</f>
        <v>0</v>
      </c>
      <c r="L43" s="135">
        <f>(Table25[[#This Row],[Length Input  (ft, m)]])*304.8</f>
        <v>0</v>
      </c>
      <c r="N43" s="75">
        <f>((0.46*Table25[[#This Row],[Diameter output
'[mm']]])-(8.59*J43)-(33.78*K43)+(4.28*L43)-9483.42)*2.2</f>
        <v>-20863.524000000001</v>
      </c>
      <c r="O43" s="76">
        <f t="shared" si="2"/>
        <v>6051.5924063999992</v>
      </c>
      <c r="P43" s="93">
        <f>(Table25[[#This Row],[Cost Estimation (€, $, ¥)]])*1.05/1.01</f>
        <v>6291.2594323960384</v>
      </c>
      <c r="Q43" s="41"/>
      <c r="R43" s="95">
        <f>Table25[[#This Row],[Material Index for 2018]]*0.9</f>
        <v>5662.1334891564347</v>
      </c>
      <c r="S43" s="96">
        <f>Table25[[#This Row],[Material Index for 2018]]*1.1</f>
        <v>6920.385375635643</v>
      </c>
      <c r="T43" s="97">
        <f>Table25[[#This Row],[Material Index for 2018]]*1</f>
        <v>6291.2594323960384</v>
      </c>
      <c r="X43"/>
      <c r="Y43"/>
      <c r="Z43"/>
      <c r="AA43"/>
      <c r="AB43"/>
      <c r="AC43"/>
    </row>
    <row r="44" spans="1:29" x14ac:dyDescent="0.35">
      <c r="A44" s="11">
        <v>42736</v>
      </c>
      <c r="B44" s="24" t="s">
        <v>39</v>
      </c>
      <c r="C44" s="88" t="s">
        <v>36</v>
      </c>
      <c r="D44" s="131" t="s">
        <v>14</v>
      </c>
      <c r="E44" s="133"/>
      <c r="F44" s="71"/>
      <c r="G44" s="71"/>
      <c r="H44" s="71"/>
      <c r="I44" s="72">
        <f>Table25[[#This Row],[Diameter Input  (ft,m)]]*304.8</f>
        <v>0</v>
      </c>
      <c r="J44" s="72">
        <f>Table25[[#This Row],[Thickness shell Input
'[inch,mm']]]*25.4</f>
        <v>0</v>
      </c>
      <c r="K44" s="72">
        <f>Table25[[#This Row],[Design P (bar, psi)]]*0.06895</f>
        <v>0</v>
      </c>
      <c r="L44" s="135">
        <f>(Table25[[#This Row],[Length Input  (ft, m)]])*304.8</f>
        <v>0</v>
      </c>
      <c r="N44" s="75">
        <f>((0.46*Table25[[#This Row],[Diameter output
'[mm']]])-(8.59*J44)-(33.78*K44)+(4.28*L44)-9483.42)*2.2</f>
        <v>-20863.524000000001</v>
      </c>
      <c r="O44" s="76">
        <f t="shared" si="2"/>
        <v>6051.5924063999992</v>
      </c>
      <c r="P44" s="93">
        <f>(Table25[[#This Row],[Cost Estimation (€, $, ¥)]])*1.05/1.03</f>
        <v>6169.0990550679599</v>
      </c>
      <c r="Q44" s="41"/>
      <c r="R44" s="95">
        <f>Table25[[#This Row],[Material Index for 2018]]*0.9</f>
        <v>5552.1891495611644</v>
      </c>
      <c r="S44" s="96">
        <f>Table25[[#This Row],[Material Index for 2018]]*1.1</f>
        <v>6786.0089605747562</v>
      </c>
      <c r="T44" s="97">
        <f>Table25[[#This Row],[Material Index for 2018]]*1</f>
        <v>6169.0990550679599</v>
      </c>
      <c r="X44"/>
      <c r="Y44"/>
      <c r="Z44"/>
      <c r="AA44"/>
      <c r="AB44"/>
      <c r="AC44"/>
    </row>
    <row r="45" spans="1:29" x14ac:dyDescent="0.35">
      <c r="A45" s="11">
        <v>42767</v>
      </c>
      <c r="B45" s="24" t="s">
        <v>34</v>
      </c>
      <c r="C45" s="88" t="s">
        <v>36</v>
      </c>
      <c r="D45" s="131" t="s">
        <v>13</v>
      </c>
      <c r="E45" s="133"/>
      <c r="F45" s="71"/>
      <c r="G45" s="71"/>
      <c r="H45" s="71"/>
      <c r="I45" s="72">
        <f>Table25[[#This Row],[Diameter Input  (ft,m)]]*1000</f>
        <v>0</v>
      </c>
      <c r="J45" s="72">
        <f>Table25[[#This Row],[Thickness shell Input
'[inch,mm']]]</f>
        <v>0</v>
      </c>
      <c r="K45" s="72">
        <f>Table25[[#This Row],[Design P (bar, psi)]]</f>
        <v>0</v>
      </c>
      <c r="L45" s="135">
        <f>(Table25[[#This Row],[Length Input  (ft, m)]])*1000</f>
        <v>0</v>
      </c>
      <c r="N45" s="75">
        <f>(0.46*Table25[[#This Row],[Diameter output
'[mm']]])-(8.59*J45)-(33.78*K45)+(4.28*L45)-9483.42</f>
        <v>-9483.42</v>
      </c>
      <c r="O45" s="76">
        <f t="shared" si="0"/>
        <v>10716.2952</v>
      </c>
      <c r="P45" s="93">
        <f>(Table25[[#This Row],[Cost Estimation (€, $, ¥)]])*1.05/1.03</f>
        <v>10924.378601941749</v>
      </c>
      <c r="Q45" s="41"/>
      <c r="R45" s="95">
        <f>Table25[[#This Row],[Material Index for 2018]]*0.9</f>
        <v>9831.9407417475741</v>
      </c>
      <c r="S45" s="96">
        <f>Table25[[#This Row],[Material Index for 2018]]*1.1</f>
        <v>12016.816462135925</v>
      </c>
      <c r="T45" s="97">
        <f>Table25[[#This Row],[Material Index for 2018]]*1</f>
        <v>10924.378601941749</v>
      </c>
      <c r="X45"/>
      <c r="Y45"/>
      <c r="Z45"/>
      <c r="AA45"/>
      <c r="AB45"/>
      <c r="AC45"/>
    </row>
    <row r="46" spans="1:29" x14ac:dyDescent="0.35">
      <c r="A46" s="11">
        <v>42856</v>
      </c>
      <c r="B46" s="24" t="s">
        <v>34</v>
      </c>
      <c r="C46" s="88" t="s">
        <v>36</v>
      </c>
      <c r="D46" s="131" t="s">
        <v>13</v>
      </c>
      <c r="E46" s="133"/>
      <c r="F46" s="71"/>
      <c r="G46" s="71"/>
      <c r="H46" s="71"/>
      <c r="I46" s="72">
        <f>Table25[[#This Row],[Diameter Input  (ft,m)]]*1000</f>
        <v>0</v>
      </c>
      <c r="J46" s="72">
        <f>Table25[[#This Row],[Thickness shell Input
'[inch,mm']]]</f>
        <v>0</v>
      </c>
      <c r="K46" s="72">
        <f>Table25[[#This Row],[Design P (bar, psi)]]</f>
        <v>0</v>
      </c>
      <c r="L46" s="135">
        <f>(Table25[[#This Row],[Length Input  (ft, m)]])*1000</f>
        <v>0</v>
      </c>
      <c r="N46" s="75">
        <f>(0.46*Table25[[#This Row],[Diameter output
'[mm']]])-(8.59*J46)-(33.78*K46)+(4.28*L46)-9483.42</f>
        <v>-9483.42</v>
      </c>
      <c r="O46" s="76">
        <f t="shared" si="0"/>
        <v>10716.2952</v>
      </c>
      <c r="P46" s="93">
        <f>(Table25[[#This Row],[Cost Estimation (€, $, ¥)]])*1.05/1.03</f>
        <v>10924.378601941749</v>
      </c>
      <c r="Q46" s="41"/>
      <c r="R46" s="95">
        <f>Table25[[#This Row],[Material Index for 2018]]*0.9</f>
        <v>9831.9407417475741</v>
      </c>
      <c r="S46" s="96">
        <f>Table25[[#This Row],[Material Index for 2018]]*1.1</f>
        <v>12016.816462135925</v>
      </c>
      <c r="T46" s="97">
        <f>Table25[[#This Row],[Material Index for 2018]]*1</f>
        <v>10924.378601941749</v>
      </c>
      <c r="X46"/>
      <c r="Y46"/>
      <c r="Z46"/>
      <c r="AA46"/>
      <c r="AB46"/>
      <c r="AC46"/>
    </row>
    <row r="47" spans="1:29" x14ac:dyDescent="0.35">
      <c r="A47" s="11">
        <v>42856</v>
      </c>
      <c r="B47" s="24" t="s">
        <v>39</v>
      </c>
      <c r="C47" s="88" t="s">
        <v>36</v>
      </c>
      <c r="D47" s="131" t="s">
        <v>14</v>
      </c>
      <c r="E47" s="133"/>
      <c r="F47" s="71"/>
      <c r="G47" s="71"/>
      <c r="H47" s="71"/>
      <c r="I47" s="72">
        <f>Table25[[#This Row],[Diameter Input  (ft,m)]]*304.8</f>
        <v>0</v>
      </c>
      <c r="J47" s="72">
        <f>Table25[[#This Row],[Thickness shell Input
'[inch,mm']]]*25.4</f>
        <v>0</v>
      </c>
      <c r="K47" s="72">
        <f>Table25[[#This Row],[Design P (bar, psi)]]*0.06895</f>
        <v>0</v>
      </c>
      <c r="L47" s="135">
        <f>(Table25[[#This Row],[Length Input  (ft, m)]])*304.8</f>
        <v>0</v>
      </c>
      <c r="N47" s="75">
        <f>((0.46*Table25[[#This Row],[Diameter output
'[mm']]])-(8.59*J47)-(33.78*K47)+(4.28*L47)-9483.42)*2.2</f>
        <v>-20863.524000000001</v>
      </c>
      <c r="O47" s="76">
        <f>((0.44*N47)+14889)*1.06</f>
        <v>6051.5924063999992</v>
      </c>
      <c r="P47" s="93">
        <f>(Table25[[#This Row],[Cost Estimation (€, $, ¥)]])*1.05/1.03</f>
        <v>6169.0990550679599</v>
      </c>
      <c r="Q47" s="41"/>
      <c r="R47" s="95">
        <f>Table25[[#This Row],[Material Index for 2018]]*0.9</f>
        <v>5552.1891495611644</v>
      </c>
      <c r="S47" s="96">
        <f>Table25[[#This Row],[Material Index for 2018]]*1.1</f>
        <v>6786.0089605747562</v>
      </c>
      <c r="T47" s="97">
        <f>Table25[[#This Row],[Material Index for 2018]]*1</f>
        <v>6169.0990550679599</v>
      </c>
      <c r="X47"/>
      <c r="Y47"/>
      <c r="Z47"/>
      <c r="AA47"/>
      <c r="AB47"/>
      <c r="AC47"/>
    </row>
    <row r="48" spans="1:29" x14ac:dyDescent="0.35">
      <c r="A48" s="11">
        <v>42856</v>
      </c>
      <c r="B48" s="24" t="s">
        <v>34</v>
      </c>
      <c r="C48" s="88" t="s">
        <v>36</v>
      </c>
      <c r="D48" s="131" t="s">
        <v>13</v>
      </c>
      <c r="E48" s="133"/>
      <c r="F48" s="71"/>
      <c r="G48" s="71"/>
      <c r="H48" s="71"/>
      <c r="I48" s="72">
        <f>Table25[[#This Row],[Diameter Input  (ft,m)]]*1000</f>
        <v>0</v>
      </c>
      <c r="J48" s="72">
        <f>Table25[[#This Row],[Thickness shell Input
'[inch,mm']]]</f>
        <v>0</v>
      </c>
      <c r="K48" s="72">
        <f>Table25[[#This Row],[Design P (bar, psi)]]</f>
        <v>0</v>
      </c>
      <c r="L48" s="135">
        <f>(Table25[[#This Row],[Length Input  (ft, m)]])*1000</f>
        <v>0</v>
      </c>
      <c r="N48" s="75">
        <f>(0.46*Table25[[#This Row],[Diameter output
'[mm']]])-(8.59*J48)-(33.78*K48)+(4.28*L48)-9483.42</f>
        <v>-9483.42</v>
      </c>
      <c r="O48" s="76">
        <f t="shared" si="0"/>
        <v>10716.2952</v>
      </c>
      <c r="P48" s="93">
        <f>(Table25[[#This Row],[Cost Estimation (€, $, ¥)]])*1.05/1.03</f>
        <v>10924.378601941749</v>
      </c>
      <c r="Q48" s="41"/>
      <c r="R48" s="95">
        <f>Table25[[#This Row],[Material Index for 2018]]*0.9</f>
        <v>9831.9407417475741</v>
      </c>
      <c r="S48" s="96">
        <f>Table25[[#This Row],[Material Index for 2018]]*1.1</f>
        <v>12016.816462135925</v>
      </c>
      <c r="T48" s="97">
        <f>Table25[[#This Row],[Material Index for 2018]]*1</f>
        <v>10924.378601941749</v>
      </c>
      <c r="X48"/>
      <c r="Y48"/>
      <c r="Z48"/>
      <c r="AA48"/>
      <c r="AB48"/>
      <c r="AC48"/>
    </row>
    <row r="49" spans="1:29" x14ac:dyDescent="0.35">
      <c r="A49" s="11">
        <v>42979</v>
      </c>
      <c r="B49" s="24" t="s">
        <v>39</v>
      </c>
      <c r="C49" s="88" t="s">
        <v>36</v>
      </c>
      <c r="D49" s="131" t="s">
        <v>14</v>
      </c>
      <c r="E49" s="133"/>
      <c r="F49" s="71"/>
      <c r="G49" s="71"/>
      <c r="H49" s="71"/>
      <c r="I49" s="72">
        <f>Table25[[#This Row],[Diameter Input  (ft,m)]]*304.8</f>
        <v>0</v>
      </c>
      <c r="J49" s="72">
        <f>Table25[[#This Row],[Thickness shell Input
'[inch,mm']]]*25.4</f>
        <v>0</v>
      </c>
      <c r="K49" s="72">
        <f>Table25[[#This Row],[Design P (bar, psi)]]*0.06895</f>
        <v>0</v>
      </c>
      <c r="L49" s="135">
        <f>(Table25[[#This Row],[Length Input  (ft, m)]])*304.8</f>
        <v>0</v>
      </c>
      <c r="N49" s="75">
        <f>((0.46*Table25[[#This Row],[Diameter output
'[mm']]])-(8.59*J49)-(33.78*K49)+(4.28*L49)-9483.42)*2.2</f>
        <v>-20863.524000000001</v>
      </c>
      <c r="O49" s="76">
        <f>((0.44*N49)+14889)*1.06</f>
        <v>6051.5924063999992</v>
      </c>
      <c r="P49" s="93">
        <f>(Table25[[#This Row],[Cost Estimation (€, $, ¥)]])*1.05/1.03</f>
        <v>6169.0990550679599</v>
      </c>
      <c r="Q49" s="41"/>
      <c r="R49" s="95">
        <f>Table25[[#This Row],[Material Index for 2018]]*0.9</f>
        <v>5552.1891495611644</v>
      </c>
      <c r="S49" s="96">
        <f>Table25[[#This Row],[Material Index for 2018]]*1.1</f>
        <v>6786.0089605747562</v>
      </c>
      <c r="T49" s="97">
        <f>Table25[[#This Row],[Material Index for 2018]]*1</f>
        <v>6169.0990550679599</v>
      </c>
      <c r="X49"/>
      <c r="Y49"/>
      <c r="Z49"/>
      <c r="AA49"/>
      <c r="AB49"/>
      <c r="AC49"/>
    </row>
    <row r="50" spans="1:29" x14ac:dyDescent="0.35">
      <c r="A50" s="11">
        <v>42036</v>
      </c>
      <c r="B50" s="24" t="s">
        <v>39</v>
      </c>
      <c r="C50" s="88" t="s">
        <v>49</v>
      </c>
      <c r="D50" s="131" t="s">
        <v>14</v>
      </c>
      <c r="E50" s="133"/>
      <c r="F50" s="71"/>
      <c r="G50" s="71"/>
      <c r="H50" s="71"/>
      <c r="I50" s="72">
        <f>Table25[[#This Row],[Diameter Input  (ft,m)]]*304.8</f>
        <v>0</v>
      </c>
      <c r="J50" s="72">
        <f>Table25[[#This Row],[Thickness shell Input
'[inch,mm']]]*25.4</f>
        <v>0</v>
      </c>
      <c r="K50" s="72">
        <f>Table25[[#This Row],[Design P (bar, psi)]]*0.06895</f>
        <v>0</v>
      </c>
      <c r="L50" s="135">
        <f>(Table25[[#This Row],[Length Input  (ft, m)]])*304.8</f>
        <v>0</v>
      </c>
      <c r="N50" s="75">
        <f>((-0.26*Table25[[#This Row],[Diameter output
'[mm']]])-(21.96*J50)-(54.35*K50)+(4.59*L50)-8477.26)*2.2</f>
        <v>-18649.972000000002</v>
      </c>
      <c r="O50" s="76">
        <f>((7.14*N50)+124198)*1.06</f>
        <v>-9500.5680848000175</v>
      </c>
      <c r="P50" s="93">
        <f>(Table25[[#This Row],[Cost Estimation (€, $, ¥)]])*1.12/1</f>
        <v>-10640.63625497602</v>
      </c>
      <c r="Q50" s="41"/>
      <c r="R50" s="95">
        <f>Table25[[#This Row],[Material Index for 2018]]*0.9</f>
        <v>-9576.5726294784181</v>
      </c>
      <c r="S50" s="96">
        <f>Table25[[#This Row],[Material Index for 2018]]*1.1</f>
        <v>-11704.699880473623</v>
      </c>
      <c r="T50" s="97">
        <f>Table25[[#This Row],[Material Index for 2018]]*1</f>
        <v>-10640.63625497602</v>
      </c>
      <c r="X50"/>
      <c r="Y50"/>
      <c r="Z50"/>
      <c r="AA50"/>
      <c r="AB50"/>
      <c r="AC50"/>
    </row>
    <row r="51" spans="1:29" x14ac:dyDescent="0.35">
      <c r="A51" s="11">
        <v>42036</v>
      </c>
      <c r="B51" s="24" t="s">
        <v>39</v>
      </c>
      <c r="C51" s="88" t="s">
        <v>49</v>
      </c>
      <c r="D51" s="131" t="s">
        <v>14</v>
      </c>
      <c r="E51" s="133"/>
      <c r="F51" s="71"/>
      <c r="G51" s="71"/>
      <c r="H51" s="71"/>
      <c r="I51" s="72">
        <f>Table25[[#This Row],[Diameter Input  (ft,m)]]*304.8</f>
        <v>0</v>
      </c>
      <c r="J51" s="72">
        <f>Table25[[#This Row],[Thickness shell Input
'[inch,mm']]]*25.4</f>
        <v>0</v>
      </c>
      <c r="K51" s="72">
        <f>Table25[[#This Row],[Design P (bar, psi)]]*0.06895</f>
        <v>0</v>
      </c>
      <c r="L51" s="135">
        <f>(Table25[[#This Row],[Length Input  (ft, m)]])*304.8</f>
        <v>0</v>
      </c>
      <c r="N51" s="75">
        <f>((-0.26*Table25[[#This Row],[Diameter output
'[mm']]])-(21.96*J51)-(54.35*K51)+(4.59*L51)-8477.26)*2.2</f>
        <v>-18649.972000000002</v>
      </c>
      <c r="O51" s="76">
        <f>((7.14*N51)+124198)*1.06</f>
        <v>-9500.5680848000175</v>
      </c>
      <c r="P51" s="93">
        <f>(Table25[[#This Row],[Cost Estimation (€, $, ¥)]])*1.12/1</f>
        <v>-10640.63625497602</v>
      </c>
      <c r="Q51" s="41"/>
      <c r="R51" s="95">
        <f>Table25[[#This Row],[Material Index for 2018]]*0.9</f>
        <v>-9576.5726294784181</v>
      </c>
      <c r="S51" s="96">
        <f>Table25[[#This Row],[Material Index for 2018]]*1.1</f>
        <v>-11704.699880473623</v>
      </c>
      <c r="T51" s="97">
        <f>Table25[[#This Row],[Material Index for 2018]]*1</f>
        <v>-10640.63625497602</v>
      </c>
      <c r="X51"/>
      <c r="Y51"/>
      <c r="Z51"/>
      <c r="AA51"/>
      <c r="AB51"/>
      <c r="AC51"/>
    </row>
    <row r="52" spans="1:29" x14ac:dyDescent="0.35">
      <c r="A52" s="11">
        <v>42217</v>
      </c>
      <c r="B52" s="24" t="s">
        <v>34</v>
      </c>
      <c r="C52" s="88" t="s">
        <v>49</v>
      </c>
      <c r="D52" s="131" t="s">
        <v>13</v>
      </c>
      <c r="E52" s="133"/>
      <c r="F52" s="71"/>
      <c r="G52" s="71"/>
      <c r="H52" s="71"/>
      <c r="I52" s="72">
        <f>Table25[[#This Row],[Diameter Input  (ft,m)]]*1000</f>
        <v>0</v>
      </c>
      <c r="J52" s="72">
        <f>Table25[[#This Row],[Thickness shell Input
'[inch,mm']]]</f>
        <v>0</v>
      </c>
      <c r="K52" s="72">
        <f>Table25[[#This Row],[Design P (bar, psi)]]</f>
        <v>0</v>
      </c>
      <c r="L52" s="135">
        <f>(Table25[[#This Row],[Length Input  (ft, m)]])*1000</f>
        <v>0</v>
      </c>
      <c r="N52" s="75">
        <f>(-0.26*Table25[[#This Row],[Diameter output
'[mm']]])-(21.96*J52)-(54.35*K52)+(4.59*L52)-8477.26</f>
        <v>-8477.26</v>
      </c>
      <c r="O52" s="76">
        <f>(7.14*N52)+124198</f>
        <v>63670.363600000004</v>
      </c>
      <c r="P52" s="93">
        <f>(Table25[[#This Row],[Cost Estimation (€, $, ¥)]])*1.12/1</f>
        <v>71310.807232000006</v>
      </c>
      <c r="Q52" s="41"/>
      <c r="R52" s="95">
        <f>Table25[[#This Row],[Material Index for 2018]]*0.9</f>
        <v>64179.726508800006</v>
      </c>
      <c r="S52" s="96">
        <f>Table25[[#This Row],[Material Index for 2018]]*1.1</f>
        <v>78441.887955200014</v>
      </c>
      <c r="T52" s="97">
        <f>Table25[[#This Row],[Material Index for 2018]]*1</f>
        <v>71310.807232000006</v>
      </c>
      <c r="X52"/>
      <c r="Y52"/>
      <c r="Z52"/>
      <c r="AA52"/>
      <c r="AB52"/>
      <c r="AC52"/>
    </row>
    <row r="53" spans="1:29" x14ac:dyDescent="0.35">
      <c r="A53" s="11">
        <v>42217</v>
      </c>
      <c r="B53" s="24" t="s">
        <v>34</v>
      </c>
      <c r="C53" s="88" t="s">
        <v>49</v>
      </c>
      <c r="D53" s="131" t="s">
        <v>13</v>
      </c>
      <c r="E53" s="133"/>
      <c r="F53" s="71"/>
      <c r="G53" s="71"/>
      <c r="H53" s="71"/>
      <c r="I53" s="72">
        <f>Table25[[#This Row],[Diameter Input  (ft,m)]]*1000</f>
        <v>0</v>
      </c>
      <c r="J53" s="72">
        <f>Table25[[#This Row],[Thickness shell Input
'[inch,mm']]]</f>
        <v>0</v>
      </c>
      <c r="K53" s="72">
        <f>Table25[[#This Row],[Design P (bar, psi)]]</f>
        <v>0</v>
      </c>
      <c r="L53" s="135">
        <f>(Table25[[#This Row],[Length Input  (ft, m)]])*1000</f>
        <v>0</v>
      </c>
      <c r="N53" s="75">
        <f>(-0.26*Table25[[#This Row],[Diameter output
'[mm']]])-(21.96*J53)-(54.35*K53)+(4.59*L53)-8477.26</f>
        <v>-8477.26</v>
      </c>
      <c r="O53" s="76">
        <f>(7.14*N53)+124198</f>
        <v>63670.363600000004</v>
      </c>
      <c r="P53" s="93">
        <f>(Table25[[#This Row],[Cost Estimation (€, $, ¥)]])*1.12/1</f>
        <v>71310.807232000006</v>
      </c>
      <c r="Q53" s="41"/>
      <c r="R53" s="95">
        <f>Table25[[#This Row],[Material Index for 2018]]*0.9</f>
        <v>64179.726508800006</v>
      </c>
      <c r="S53" s="96">
        <f>Table25[[#This Row],[Material Index for 2018]]*1.1</f>
        <v>78441.887955200014</v>
      </c>
      <c r="T53" s="97">
        <f>Table25[[#This Row],[Material Index for 2018]]*1</f>
        <v>71310.807232000006</v>
      </c>
      <c r="X53"/>
      <c r="Y53"/>
      <c r="Z53"/>
      <c r="AA53"/>
      <c r="AB53"/>
      <c r="AC53"/>
    </row>
    <row r="54" spans="1:29" x14ac:dyDescent="0.35">
      <c r="A54" s="11">
        <v>42217</v>
      </c>
      <c r="B54" s="24" t="s">
        <v>39</v>
      </c>
      <c r="C54" s="88" t="s">
        <v>49</v>
      </c>
      <c r="D54" s="131" t="s">
        <v>14</v>
      </c>
      <c r="E54" s="133"/>
      <c r="F54" s="71"/>
      <c r="G54" s="71"/>
      <c r="H54" s="71"/>
      <c r="I54" s="72">
        <f>Table25[[#This Row],[Diameter Input  (ft,m)]]*304.8</f>
        <v>0</v>
      </c>
      <c r="J54" s="72">
        <f>Table25[[#This Row],[Thickness shell Input
'[inch,mm']]]*25.4</f>
        <v>0</v>
      </c>
      <c r="K54" s="72">
        <f>Table25[[#This Row],[Design P (bar, psi)]]*0.06895</f>
        <v>0</v>
      </c>
      <c r="L54" s="135">
        <f>(Table25[[#This Row],[Length Input  (ft, m)]])*304.8</f>
        <v>0</v>
      </c>
      <c r="N54" s="75">
        <f>((-0.26*Table25[[#This Row],[Diameter output
'[mm']]])-(21.96*J54)-(54.35*K54)+(4.59*L54)-8477.26)*2.2</f>
        <v>-18649.972000000002</v>
      </c>
      <c r="O54" s="76">
        <f t="shared" ref="O54:O58" si="3">((7.14*N54)+124198)*1.06</f>
        <v>-9500.5680848000175</v>
      </c>
      <c r="P54" s="93">
        <f>(Table25[[#This Row],[Cost Estimation (€, $, ¥)]])*1.12/1</f>
        <v>-10640.63625497602</v>
      </c>
      <c r="Q54" s="41"/>
      <c r="R54" s="95">
        <f>Table25[[#This Row],[Material Index for 2018]]*0.9</f>
        <v>-9576.5726294784181</v>
      </c>
      <c r="S54" s="96">
        <f>Table25[[#This Row],[Material Index for 2018]]*1.1</f>
        <v>-11704.699880473623</v>
      </c>
      <c r="T54" s="97">
        <f>Table25[[#This Row],[Material Index for 2018]]*1</f>
        <v>-10640.63625497602</v>
      </c>
      <c r="X54"/>
      <c r="Y54"/>
      <c r="Z54"/>
      <c r="AA54"/>
      <c r="AB54"/>
      <c r="AC54"/>
    </row>
    <row r="55" spans="1:29" x14ac:dyDescent="0.35">
      <c r="A55" s="11">
        <v>42309</v>
      </c>
      <c r="B55" s="24" t="s">
        <v>39</v>
      </c>
      <c r="C55" s="88" t="s">
        <v>49</v>
      </c>
      <c r="D55" s="131" t="s">
        <v>14</v>
      </c>
      <c r="E55" s="133"/>
      <c r="F55" s="71"/>
      <c r="G55" s="71"/>
      <c r="H55" s="71"/>
      <c r="I55" s="72">
        <f>Table25[[#This Row],[Diameter Input  (ft,m)]]*304.8</f>
        <v>0</v>
      </c>
      <c r="J55" s="72">
        <f>Table25[[#This Row],[Thickness shell Input
'[inch,mm']]]*25.4</f>
        <v>0</v>
      </c>
      <c r="K55" s="72">
        <f>Table25[[#This Row],[Design P (bar, psi)]]*0.06895</f>
        <v>0</v>
      </c>
      <c r="L55" s="135">
        <f>(Table25[[#This Row],[Length Input  (ft, m)]])*304.8</f>
        <v>0</v>
      </c>
      <c r="N55" s="75">
        <f>((-0.26*Table25[[#This Row],[Diameter output
'[mm']]])-(21.96*J55)-(54.35*K55)+(4.59*L55)-8477.26)*2.2</f>
        <v>-18649.972000000002</v>
      </c>
      <c r="O55" s="76">
        <f t="shared" si="3"/>
        <v>-9500.5680848000175</v>
      </c>
      <c r="P55" s="93">
        <f>(Table25[[#This Row],[Cost Estimation (€, $, ¥)]])*1.12/1</f>
        <v>-10640.63625497602</v>
      </c>
      <c r="Q55" s="41"/>
      <c r="R55" s="95">
        <f>Table25[[#This Row],[Material Index for 2018]]*0.9</f>
        <v>-9576.5726294784181</v>
      </c>
      <c r="S55" s="96">
        <f>Table25[[#This Row],[Material Index for 2018]]*1.1</f>
        <v>-11704.699880473623</v>
      </c>
      <c r="T55" s="97">
        <f>Table25[[#This Row],[Material Index for 2018]]*1</f>
        <v>-10640.63625497602</v>
      </c>
      <c r="X55"/>
      <c r="Y55"/>
      <c r="Z55"/>
      <c r="AA55"/>
      <c r="AB55"/>
      <c r="AC55"/>
    </row>
    <row r="56" spans="1:29" x14ac:dyDescent="0.35">
      <c r="A56" s="11">
        <v>42309</v>
      </c>
      <c r="B56" s="24" t="s">
        <v>39</v>
      </c>
      <c r="C56" s="88" t="s">
        <v>49</v>
      </c>
      <c r="D56" s="131" t="s">
        <v>14</v>
      </c>
      <c r="E56" s="133"/>
      <c r="F56" s="71"/>
      <c r="G56" s="71"/>
      <c r="H56" s="71"/>
      <c r="I56" s="72">
        <f>Table25[[#This Row],[Diameter Input  (ft,m)]]*304.8</f>
        <v>0</v>
      </c>
      <c r="J56" s="72">
        <f>Table25[[#This Row],[Thickness shell Input
'[inch,mm']]]*25.4</f>
        <v>0</v>
      </c>
      <c r="K56" s="72">
        <f>Table25[[#This Row],[Design P (bar, psi)]]*0.06895</f>
        <v>0</v>
      </c>
      <c r="L56" s="135">
        <f>(Table25[[#This Row],[Length Input  (ft, m)]])*304.8</f>
        <v>0</v>
      </c>
      <c r="N56" s="75">
        <f>((-0.26*Table25[[#This Row],[Diameter output
'[mm']]])-(21.96*J56)-(54.35*K56)+(4.59*L56)-8477.26)*2.2</f>
        <v>-18649.972000000002</v>
      </c>
      <c r="O56" s="76">
        <f t="shared" si="3"/>
        <v>-9500.5680848000175</v>
      </c>
      <c r="P56" s="93">
        <f>(Table25[[#This Row],[Cost Estimation (€, $, ¥)]])*1.12/1</f>
        <v>-10640.63625497602</v>
      </c>
      <c r="Q56" s="41"/>
      <c r="R56" s="95">
        <f>Table25[[#This Row],[Material Index for 2018]]*0.9</f>
        <v>-9576.5726294784181</v>
      </c>
      <c r="S56" s="96">
        <f>Table25[[#This Row],[Material Index for 2018]]*1.1</f>
        <v>-11704.699880473623</v>
      </c>
      <c r="T56" s="97">
        <f>Table25[[#This Row],[Material Index for 2018]]*1</f>
        <v>-10640.63625497602</v>
      </c>
      <c r="X56"/>
      <c r="Y56"/>
      <c r="Z56"/>
      <c r="AA56"/>
      <c r="AB56"/>
      <c r="AC56"/>
    </row>
    <row r="57" spans="1:29" x14ac:dyDescent="0.35">
      <c r="A57" s="11">
        <v>42370</v>
      </c>
      <c r="B57" s="24" t="s">
        <v>39</v>
      </c>
      <c r="C57" s="88" t="s">
        <v>49</v>
      </c>
      <c r="D57" s="131" t="s">
        <v>14</v>
      </c>
      <c r="E57" s="133"/>
      <c r="F57" s="71"/>
      <c r="G57" s="71"/>
      <c r="H57" s="71"/>
      <c r="I57" s="72">
        <f>Table25[[#This Row],[Diameter Input  (ft,m)]]*304.8</f>
        <v>0</v>
      </c>
      <c r="J57" s="72">
        <f>Table25[[#This Row],[Thickness shell Input
'[inch,mm']]]*25.4</f>
        <v>0</v>
      </c>
      <c r="K57" s="72">
        <f>Table25[[#This Row],[Design P (bar, psi)]]*0.06895</f>
        <v>0</v>
      </c>
      <c r="L57" s="135">
        <f>(Table25[[#This Row],[Length Input  (ft, m)]])*304.8</f>
        <v>0</v>
      </c>
      <c r="N57" s="75">
        <f>((-0.26*Table25[[#This Row],[Diameter output
'[mm']]])-(21.96*J57)-(54.35*K57)+(4.59*L57)-8477.26)*2.2</f>
        <v>-18649.972000000002</v>
      </c>
      <c r="O57" s="76">
        <f t="shared" si="3"/>
        <v>-9500.5680848000175</v>
      </c>
      <c r="P57" s="93">
        <f>(Table25[[#This Row],[Cost Estimation (€, $, ¥)]])*1.12/1.03</f>
        <v>-10330.714810656329</v>
      </c>
      <c r="Q57" s="41"/>
      <c r="R57" s="95">
        <f>Table25[[#This Row],[Material Index for 2018]]*0.9</f>
        <v>-9297.6433295906972</v>
      </c>
      <c r="S57" s="96">
        <f>Table25[[#This Row],[Material Index for 2018]]*1.1</f>
        <v>-11363.786291721963</v>
      </c>
      <c r="T57" s="97">
        <f>Table25[[#This Row],[Material Index for 2018]]*1</f>
        <v>-10330.714810656329</v>
      </c>
      <c r="X57"/>
      <c r="Y57"/>
      <c r="Z57"/>
      <c r="AA57"/>
      <c r="AB57"/>
      <c r="AC57"/>
    </row>
    <row r="58" spans="1:29" x14ac:dyDescent="0.35">
      <c r="A58" s="11">
        <v>42401</v>
      </c>
      <c r="B58" s="24" t="s">
        <v>39</v>
      </c>
      <c r="C58" s="88" t="s">
        <v>49</v>
      </c>
      <c r="D58" s="131" t="s">
        <v>14</v>
      </c>
      <c r="E58" s="133"/>
      <c r="F58" s="71"/>
      <c r="G58" s="71"/>
      <c r="H58" s="71"/>
      <c r="I58" s="72">
        <f>Table25[[#This Row],[Diameter Input  (ft,m)]]*304.8</f>
        <v>0</v>
      </c>
      <c r="J58" s="72">
        <f>Table25[[#This Row],[Thickness shell Input
'[inch,mm']]]*25.4</f>
        <v>0</v>
      </c>
      <c r="K58" s="72">
        <f>Table25[[#This Row],[Design P (bar, psi)]]*0.06895</f>
        <v>0</v>
      </c>
      <c r="L58" s="135">
        <f>(Table25[[#This Row],[Length Input  (ft, m)]])*304.8</f>
        <v>0</v>
      </c>
      <c r="N58" s="75">
        <f>((-0.26*Table25[[#This Row],[Diameter output
'[mm']]])-(21.96*J58)-(54.35*K58)+(4.59*L58)-8477.26)*2.2</f>
        <v>-18649.972000000002</v>
      </c>
      <c r="O58" s="76">
        <f t="shared" si="3"/>
        <v>-9500.5680848000175</v>
      </c>
      <c r="P58" s="93">
        <f>(Table25[[#This Row],[Cost Estimation (€, $, ¥)]])*1.12/1.03</f>
        <v>-10330.714810656329</v>
      </c>
      <c r="Q58" s="41"/>
      <c r="R58" s="95">
        <f>Table25[[#This Row],[Material Index for 2018]]*0.9</f>
        <v>-9297.6433295906972</v>
      </c>
      <c r="S58" s="96">
        <f>Table25[[#This Row],[Material Index for 2018]]*1.1</f>
        <v>-11363.786291721963</v>
      </c>
      <c r="T58" s="97">
        <f>Table25[[#This Row],[Material Index for 2018]]*1</f>
        <v>-10330.714810656329</v>
      </c>
      <c r="X58"/>
      <c r="Y58"/>
      <c r="Z58"/>
      <c r="AA58"/>
      <c r="AB58"/>
      <c r="AC58"/>
    </row>
    <row r="59" spans="1:29" x14ac:dyDescent="0.35">
      <c r="A59" s="11">
        <v>42401</v>
      </c>
      <c r="B59" s="24" t="s">
        <v>34</v>
      </c>
      <c r="C59" s="88" t="s">
        <v>49</v>
      </c>
      <c r="D59" s="131" t="s">
        <v>13</v>
      </c>
      <c r="E59" s="133"/>
      <c r="F59" s="71"/>
      <c r="G59" s="71"/>
      <c r="H59" s="71"/>
      <c r="I59" s="72">
        <f>Table25[[#This Row],[Diameter Input  (ft,m)]]*1000</f>
        <v>0</v>
      </c>
      <c r="J59" s="72">
        <f>Table25[[#This Row],[Thickness shell Input
'[inch,mm']]]</f>
        <v>0</v>
      </c>
      <c r="K59" s="72">
        <f>Table25[[#This Row],[Design P (bar, psi)]]</f>
        <v>0</v>
      </c>
      <c r="L59" s="135">
        <f>(Table25[[#This Row],[Length Input  (ft, m)]])*1000</f>
        <v>0</v>
      </c>
      <c r="N59" s="75">
        <f>(-0.26*Table25[[#This Row],[Diameter output
'[mm']]])-(21.96*J59)-(54.35*K59)+(4.59*L59)-8477.26</f>
        <v>-8477.26</v>
      </c>
      <c r="O59" s="76">
        <f>(7.14*N59)+124198</f>
        <v>63670.363600000004</v>
      </c>
      <c r="P59" s="93">
        <f>(Table25[[#This Row],[Cost Estimation (€, $, ¥)]])*1.12/1.03</f>
        <v>69233.793429126221</v>
      </c>
      <c r="Q59" s="41"/>
      <c r="R59" s="95">
        <f>Table25[[#This Row],[Material Index for 2018]]*0.9</f>
        <v>62310.414086213597</v>
      </c>
      <c r="S59" s="96">
        <f>Table25[[#This Row],[Material Index for 2018]]*1.1</f>
        <v>76157.172772038844</v>
      </c>
      <c r="T59" s="97">
        <f>Table25[[#This Row],[Material Index for 2018]]*1</f>
        <v>69233.793429126221</v>
      </c>
      <c r="X59"/>
      <c r="Y59"/>
      <c r="Z59"/>
      <c r="AA59"/>
      <c r="AB59"/>
      <c r="AC59"/>
    </row>
    <row r="60" spans="1:29" x14ac:dyDescent="0.35">
      <c r="A60" s="11">
        <v>42461</v>
      </c>
      <c r="B60" s="24" t="s">
        <v>39</v>
      </c>
      <c r="C60" s="88" t="s">
        <v>49</v>
      </c>
      <c r="D60" s="131" t="s">
        <v>14</v>
      </c>
      <c r="E60" s="133"/>
      <c r="F60" s="71"/>
      <c r="G60" s="71"/>
      <c r="H60" s="71"/>
      <c r="I60" s="72">
        <f>Table25[[#This Row],[Diameter Input  (ft,m)]]*304.8</f>
        <v>0</v>
      </c>
      <c r="J60" s="72">
        <f>Table25[[#This Row],[Thickness shell Input
'[inch,mm']]]*25.4</f>
        <v>0</v>
      </c>
      <c r="K60" s="72">
        <f>Table25[[#This Row],[Design P (bar, psi)]]*0.06895</f>
        <v>0</v>
      </c>
      <c r="L60" s="135">
        <f>(Table25[[#This Row],[Length Input  (ft, m)]])*304.8</f>
        <v>0</v>
      </c>
      <c r="N60" s="75">
        <f>((-0.26*Table25[[#This Row],[Diameter output
'[mm']]])-(21.96*J60)-(54.35*K60)+(4.59*L60)-8477.26)*2.2</f>
        <v>-18649.972000000002</v>
      </c>
      <c r="O60" s="76">
        <f t="shared" ref="O60:O61" si="4">((7.14*N60)+124198)*1.06</f>
        <v>-9500.5680848000175</v>
      </c>
      <c r="P60" s="93">
        <f>(Table25[[#This Row],[Cost Estimation (€, $, ¥)]])*1.12/1.03</f>
        <v>-10330.714810656329</v>
      </c>
      <c r="Q60" s="41"/>
      <c r="R60" s="95">
        <f>Table25[[#This Row],[Material Index for 2018]]*0.9</f>
        <v>-9297.6433295906972</v>
      </c>
      <c r="S60" s="96">
        <f>Table25[[#This Row],[Material Index for 2018]]*1.1</f>
        <v>-11363.786291721963</v>
      </c>
      <c r="T60" s="97">
        <f>Table25[[#This Row],[Material Index for 2018]]*1</f>
        <v>-10330.714810656329</v>
      </c>
      <c r="X60"/>
      <c r="Y60"/>
      <c r="Z60"/>
      <c r="AA60"/>
      <c r="AB60"/>
      <c r="AC60"/>
    </row>
    <row r="61" spans="1:29" x14ac:dyDescent="0.35">
      <c r="A61" s="11">
        <v>42491</v>
      </c>
      <c r="B61" s="24" t="s">
        <v>39</v>
      </c>
      <c r="C61" s="88" t="s">
        <v>49</v>
      </c>
      <c r="D61" s="131" t="s">
        <v>14</v>
      </c>
      <c r="E61" s="133"/>
      <c r="F61" s="71"/>
      <c r="G61" s="71"/>
      <c r="H61" s="71"/>
      <c r="I61" s="72">
        <f>Table25[[#This Row],[Diameter Input  (ft,m)]]*304.8</f>
        <v>0</v>
      </c>
      <c r="J61" s="72">
        <f>Table25[[#This Row],[Thickness shell Input
'[inch,mm']]]*25.4</f>
        <v>0</v>
      </c>
      <c r="K61" s="72">
        <f>Table25[[#This Row],[Design P (bar, psi)]]*0.06895</f>
        <v>0</v>
      </c>
      <c r="L61" s="135">
        <f>(Table25[[#This Row],[Length Input  (ft, m)]])*304.8</f>
        <v>0</v>
      </c>
      <c r="N61" s="75">
        <f>((-0.26*Table25[[#This Row],[Diameter output
'[mm']]])-(21.96*J61)-(54.35*K61)+(4.59*L61)-8477.26)*2.2</f>
        <v>-18649.972000000002</v>
      </c>
      <c r="O61" s="76">
        <f t="shared" si="4"/>
        <v>-9500.5680848000175</v>
      </c>
      <c r="P61" s="93">
        <f>(Table25[[#This Row],[Cost Estimation (€, $, ¥)]])*1.12/1.03</f>
        <v>-10330.714810656329</v>
      </c>
      <c r="Q61" s="41"/>
      <c r="R61" s="95">
        <f>Table25[[#This Row],[Material Index for 2018]]*0.9</f>
        <v>-9297.6433295906972</v>
      </c>
      <c r="S61" s="96">
        <f>Table25[[#This Row],[Material Index for 2018]]*1.1</f>
        <v>-11363.786291721963</v>
      </c>
      <c r="T61" s="97">
        <f>Table25[[#This Row],[Material Index for 2018]]*1</f>
        <v>-10330.714810656329</v>
      </c>
      <c r="X61"/>
      <c r="Y61"/>
      <c r="Z61"/>
      <c r="AA61"/>
      <c r="AB61"/>
      <c r="AC61"/>
    </row>
    <row r="62" spans="1:29" x14ac:dyDescent="0.35">
      <c r="A62" s="11">
        <v>42614</v>
      </c>
      <c r="B62" s="24" t="s">
        <v>34</v>
      </c>
      <c r="C62" s="88" t="s">
        <v>49</v>
      </c>
      <c r="D62" s="131" t="s">
        <v>13</v>
      </c>
      <c r="E62" s="133"/>
      <c r="F62" s="71"/>
      <c r="G62" s="71"/>
      <c r="H62" s="71"/>
      <c r="I62" s="72">
        <f>Table25[[#This Row],[Diameter Input  (ft,m)]]*1000</f>
        <v>0</v>
      </c>
      <c r="J62" s="72">
        <f>Table25[[#This Row],[Thickness shell Input
'[inch,mm']]]</f>
        <v>0</v>
      </c>
      <c r="K62" s="72">
        <f>Table25[[#This Row],[Design P (bar, psi)]]</f>
        <v>0</v>
      </c>
      <c r="L62" s="135">
        <f>(Table25[[#This Row],[Length Input  (ft, m)]])*1000</f>
        <v>0</v>
      </c>
      <c r="N62" s="75">
        <f>(-0.26*Table25[[#This Row],[Diameter output
'[mm']]])-(21.96*J62)-(54.35*K62)+(4.59*L62)-8477.26</f>
        <v>-8477.26</v>
      </c>
      <c r="O62" s="76">
        <f t="shared" ref="O62:O63" si="5">(7.14*N62)+124198</f>
        <v>63670.363600000004</v>
      </c>
      <c r="P62" s="93">
        <f>(Table25[[#This Row],[Cost Estimation (€, $, ¥)]])*1.12/1.03</f>
        <v>69233.793429126221</v>
      </c>
      <c r="Q62" s="41"/>
      <c r="R62" s="95">
        <f>Table25[[#This Row],[Material Index for 2018]]*0.9</f>
        <v>62310.414086213597</v>
      </c>
      <c r="S62" s="96">
        <f>Table25[[#This Row],[Material Index for 2018]]*1.1</f>
        <v>76157.172772038844</v>
      </c>
      <c r="T62" s="97">
        <f>Table25[[#This Row],[Material Index for 2018]]*1</f>
        <v>69233.793429126221</v>
      </c>
      <c r="X62"/>
      <c r="Y62"/>
      <c r="Z62"/>
      <c r="AA62"/>
      <c r="AB62"/>
      <c r="AC62"/>
    </row>
    <row r="63" spans="1:29" x14ac:dyDescent="0.35">
      <c r="A63" s="11">
        <v>42736</v>
      </c>
      <c r="B63" s="24" t="s">
        <v>34</v>
      </c>
      <c r="C63" s="88" t="s">
        <v>49</v>
      </c>
      <c r="D63" s="131" t="s">
        <v>13</v>
      </c>
      <c r="E63" s="133"/>
      <c r="F63" s="71"/>
      <c r="G63" s="71"/>
      <c r="H63" s="71"/>
      <c r="I63" s="72">
        <f>Table25[[#This Row],[Diameter Input  (ft,m)]]*1000</f>
        <v>0</v>
      </c>
      <c r="J63" s="72">
        <f>Table25[[#This Row],[Thickness shell Input
'[inch,mm']]]</f>
        <v>0</v>
      </c>
      <c r="K63" s="72">
        <f>Table25[[#This Row],[Design P (bar, psi)]]</f>
        <v>0</v>
      </c>
      <c r="L63" s="135">
        <f>(Table25[[#This Row],[Length Input  (ft, m)]])*1000</f>
        <v>0</v>
      </c>
      <c r="N63" s="75">
        <f>(-0.26*Table25[[#This Row],[Diameter output
'[mm']]])-(21.96*J63)-(54.35*K63)+(4.59*L63)-8477.26</f>
        <v>-8477.26</v>
      </c>
      <c r="O63" s="76">
        <f t="shared" si="5"/>
        <v>63670.363600000004</v>
      </c>
      <c r="P63" s="93">
        <f>(Table25[[#This Row],[Cost Estimation (€, $, ¥)]])*1.12/1.09</f>
        <v>65422.758928440366</v>
      </c>
      <c r="Q63" s="41"/>
      <c r="R63" s="95">
        <f>Table25[[#This Row],[Material Index for 2018]]*0.9</f>
        <v>58880.483035596328</v>
      </c>
      <c r="S63" s="96">
        <f>Table25[[#This Row],[Material Index for 2018]]*1.1</f>
        <v>71965.034821284411</v>
      </c>
      <c r="T63" s="97">
        <f>Table25[[#This Row],[Material Index for 2018]]*1</f>
        <v>65422.758928440366</v>
      </c>
      <c r="X63"/>
      <c r="Y63"/>
      <c r="Z63"/>
      <c r="AA63"/>
      <c r="AB63"/>
      <c r="AC63"/>
    </row>
    <row r="64" spans="1:29" x14ac:dyDescent="0.35">
      <c r="A64" s="11">
        <v>42736</v>
      </c>
      <c r="B64" s="24" t="s">
        <v>39</v>
      </c>
      <c r="C64" s="88" t="s">
        <v>49</v>
      </c>
      <c r="D64" s="131" t="s">
        <v>14</v>
      </c>
      <c r="E64" s="133"/>
      <c r="F64" s="71"/>
      <c r="G64" s="71"/>
      <c r="H64" s="71"/>
      <c r="I64" s="72">
        <f>Table25[[#This Row],[Diameter Input  (ft,m)]]*304.8</f>
        <v>0</v>
      </c>
      <c r="J64" s="72">
        <f>Table25[[#This Row],[Thickness shell Input
'[inch,mm']]]*25.4</f>
        <v>0</v>
      </c>
      <c r="K64" s="72">
        <f>Table25[[#This Row],[Design P (bar, psi)]]*0.06895</f>
        <v>0</v>
      </c>
      <c r="L64" s="135">
        <f>(Table25[[#This Row],[Length Input  (ft, m)]])*304.8</f>
        <v>0</v>
      </c>
      <c r="N64" s="75">
        <f>((-0.26*Table25[[#This Row],[Diameter output
'[mm']]])-(21.96*J64)-(54.35*K64)+(4.59*L64)-8477.26)*2.2</f>
        <v>-18649.972000000002</v>
      </c>
      <c r="O64" s="76">
        <f>((7.14*N64)+124198)*1.06</f>
        <v>-9500.5680848000175</v>
      </c>
      <c r="P64" s="93">
        <f>(Table25[[#This Row],[Cost Estimation (€, $, ¥)]])*1.12/1.09</f>
        <v>-9762.0516100697423</v>
      </c>
      <c r="Q64" s="41"/>
      <c r="R64" s="95">
        <f>Table25[[#This Row],[Material Index for 2018]]*0.9</f>
        <v>-8785.8464490627684</v>
      </c>
      <c r="S64" s="96">
        <f>Table25[[#This Row],[Material Index for 2018]]*1.1</f>
        <v>-10738.256771076718</v>
      </c>
      <c r="T64" s="97">
        <f>Table25[[#This Row],[Material Index for 2018]]*1</f>
        <v>-9762.0516100697423</v>
      </c>
      <c r="X64"/>
      <c r="Y64"/>
      <c r="Z64"/>
      <c r="AA64"/>
      <c r="AB64"/>
      <c r="AC64"/>
    </row>
    <row r="65" spans="1:29" x14ac:dyDescent="0.35">
      <c r="A65" s="11">
        <v>42736</v>
      </c>
      <c r="B65" s="24" t="s">
        <v>34</v>
      </c>
      <c r="C65" s="88" t="s">
        <v>49</v>
      </c>
      <c r="D65" s="131" t="s">
        <v>13</v>
      </c>
      <c r="E65" s="133"/>
      <c r="F65" s="71"/>
      <c r="G65" s="71"/>
      <c r="H65" s="71"/>
      <c r="I65" s="72">
        <f>Table25[[#This Row],[Diameter Input  (ft,m)]]*1000</f>
        <v>0</v>
      </c>
      <c r="J65" s="72">
        <f>Table25[[#This Row],[Thickness shell Input
'[inch,mm']]]</f>
        <v>0</v>
      </c>
      <c r="K65" s="72">
        <f>Table25[[#This Row],[Design P (bar, psi)]]</f>
        <v>0</v>
      </c>
      <c r="L65" s="135">
        <f>(Table25[[#This Row],[Length Input  (ft, m)]])*1000</f>
        <v>0</v>
      </c>
      <c r="N65" s="75">
        <f>(-0.26*Table25[[#This Row],[Diameter output
'[mm']]])-(21.96*J65)-(54.35*K65)+(4.59*L65)-8477.26</f>
        <v>-8477.26</v>
      </c>
      <c r="O65" s="76">
        <f t="shared" ref="O65:O69" si="6">(7.14*N65)+124198</f>
        <v>63670.363600000004</v>
      </c>
      <c r="P65" s="93">
        <f>(Table25[[#This Row],[Cost Estimation (€, $, ¥)]])*1.12/1.09</f>
        <v>65422.758928440366</v>
      </c>
      <c r="Q65" s="41"/>
      <c r="R65" s="95">
        <f>Table25[[#This Row],[Material Index for 2018]]*0.9</f>
        <v>58880.483035596328</v>
      </c>
      <c r="S65" s="96">
        <f>Table25[[#This Row],[Material Index for 2018]]*1.1</f>
        <v>71965.034821284411</v>
      </c>
      <c r="T65" s="97">
        <f>Table25[[#This Row],[Material Index for 2018]]*1</f>
        <v>65422.758928440366</v>
      </c>
      <c r="X65"/>
      <c r="Y65"/>
      <c r="Z65"/>
      <c r="AA65"/>
      <c r="AB65"/>
      <c r="AC65"/>
    </row>
    <row r="66" spans="1:29" x14ac:dyDescent="0.35">
      <c r="A66" s="11">
        <v>42767</v>
      </c>
      <c r="B66" s="24" t="s">
        <v>34</v>
      </c>
      <c r="C66" s="88" t="s">
        <v>49</v>
      </c>
      <c r="D66" s="131" t="s">
        <v>13</v>
      </c>
      <c r="E66" s="133"/>
      <c r="F66" s="71"/>
      <c r="G66" s="71"/>
      <c r="H66" s="71"/>
      <c r="I66" s="72">
        <f>Table25[[#This Row],[Diameter Input  (ft,m)]]*1000</f>
        <v>0</v>
      </c>
      <c r="J66" s="72">
        <f>Table25[[#This Row],[Thickness shell Input
'[inch,mm']]]</f>
        <v>0</v>
      </c>
      <c r="K66" s="72">
        <f>Table25[[#This Row],[Design P (bar, psi)]]</f>
        <v>0</v>
      </c>
      <c r="L66" s="135">
        <f>(Table25[[#This Row],[Length Input  (ft, m)]])*1000</f>
        <v>0</v>
      </c>
      <c r="N66" s="75">
        <f>(-0.26*Table25[[#This Row],[Diameter output
'[mm']]])-(21.96*J66)-(54.35*K66)+(4.59*L66)-8477.26</f>
        <v>-8477.26</v>
      </c>
      <c r="O66" s="76">
        <f t="shared" si="6"/>
        <v>63670.363600000004</v>
      </c>
      <c r="P66" s="93">
        <f>(Table25[[#This Row],[Cost Estimation (€, $, ¥)]])*1.12/1.09</f>
        <v>65422.758928440366</v>
      </c>
      <c r="Q66" s="41"/>
      <c r="R66" s="95">
        <f>Table25[[#This Row],[Material Index for 2018]]*0.9</f>
        <v>58880.483035596328</v>
      </c>
      <c r="S66" s="96">
        <f>Table25[[#This Row],[Material Index for 2018]]*1.1</f>
        <v>71965.034821284411</v>
      </c>
      <c r="T66" s="97">
        <f>Table25[[#This Row],[Material Index for 2018]]*1</f>
        <v>65422.758928440366</v>
      </c>
      <c r="X66"/>
      <c r="Y66"/>
      <c r="Z66"/>
      <c r="AA66"/>
      <c r="AB66"/>
      <c r="AC66"/>
    </row>
    <row r="67" spans="1:29" x14ac:dyDescent="0.35">
      <c r="A67" s="11">
        <v>42826</v>
      </c>
      <c r="B67" s="24" t="s">
        <v>34</v>
      </c>
      <c r="C67" s="88" t="s">
        <v>49</v>
      </c>
      <c r="D67" s="131" t="s">
        <v>13</v>
      </c>
      <c r="E67" s="133"/>
      <c r="F67" s="71"/>
      <c r="G67" s="71"/>
      <c r="H67" s="71"/>
      <c r="I67" s="72">
        <f>Table25[[#This Row],[Diameter Input  (ft,m)]]*1000</f>
        <v>0</v>
      </c>
      <c r="J67" s="72">
        <f>Table25[[#This Row],[Thickness shell Input
'[inch,mm']]]</f>
        <v>0</v>
      </c>
      <c r="K67" s="72">
        <f>Table25[[#This Row],[Design P (bar, psi)]]</f>
        <v>0</v>
      </c>
      <c r="L67" s="135">
        <f>(Table25[[#This Row],[Length Input  (ft, m)]])*1000</f>
        <v>0</v>
      </c>
      <c r="N67" s="75">
        <f>(-0.26*Table25[[#This Row],[Diameter output
'[mm']]])-(21.96*J67)-(54.35*K67)+(4.59*L67)-8477.26</f>
        <v>-8477.26</v>
      </c>
      <c r="O67" s="76">
        <f t="shared" si="6"/>
        <v>63670.363600000004</v>
      </c>
      <c r="P67" s="93">
        <f>(Table25[[#This Row],[Cost Estimation (€, $, ¥)]])*1.12/1.09</f>
        <v>65422.758928440366</v>
      </c>
      <c r="Q67" s="41"/>
      <c r="R67" s="95">
        <f>Table25[[#This Row],[Material Index for 2018]]*0.9</f>
        <v>58880.483035596328</v>
      </c>
      <c r="S67" s="96">
        <f>Table25[[#This Row],[Material Index for 2018]]*1.1</f>
        <v>71965.034821284411</v>
      </c>
      <c r="T67" s="97">
        <f>Table25[[#This Row],[Material Index for 2018]]*1</f>
        <v>65422.758928440366</v>
      </c>
      <c r="X67"/>
      <c r="Y67"/>
      <c r="Z67"/>
      <c r="AA67"/>
      <c r="AB67"/>
      <c r="AC67"/>
    </row>
    <row r="68" spans="1:29" x14ac:dyDescent="0.35">
      <c r="A68" s="11">
        <v>42856</v>
      </c>
      <c r="B68" s="24" t="s">
        <v>34</v>
      </c>
      <c r="C68" s="88" t="s">
        <v>49</v>
      </c>
      <c r="D68" s="131" t="s">
        <v>13</v>
      </c>
      <c r="E68" s="133"/>
      <c r="F68" s="71"/>
      <c r="G68" s="71"/>
      <c r="H68" s="71"/>
      <c r="I68" s="72">
        <f>Table25[[#This Row],[Diameter Input  (ft,m)]]*1000</f>
        <v>0</v>
      </c>
      <c r="J68" s="72">
        <f>Table25[[#This Row],[Thickness shell Input
'[inch,mm']]]</f>
        <v>0</v>
      </c>
      <c r="K68" s="72">
        <f>Table25[[#This Row],[Design P (bar, psi)]]</f>
        <v>0</v>
      </c>
      <c r="L68" s="135">
        <f>(Table25[[#This Row],[Length Input  (ft, m)]])*1000</f>
        <v>0</v>
      </c>
      <c r="N68" s="75">
        <f>(-0.26*Table25[[#This Row],[Diameter output
'[mm']]])-(21.96*J68)-(54.35*K68)+(4.59*L68)-8477.26</f>
        <v>-8477.26</v>
      </c>
      <c r="O68" s="76">
        <f t="shared" si="6"/>
        <v>63670.363600000004</v>
      </c>
      <c r="P68" s="93">
        <f>(Table25[[#This Row],[Cost Estimation (€, $, ¥)]])*1.12/1.09</f>
        <v>65422.758928440366</v>
      </c>
      <c r="Q68" s="41"/>
      <c r="R68" s="95">
        <f>Table25[[#This Row],[Material Index for 2018]]*0.9</f>
        <v>58880.483035596328</v>
      </c>
      <c r="S68" s="96">
        <f>Table25[[#This Row],[Material Index for 2018]]*1.1</f>
        <v>71965.034821284411</v>
      </c>
      <c r="T68" s="97">
        <f>Table25[[#This Row],[Material Index for 2018]]*1</f>
        <v>65422.758928440366</v>
      </c>
      <c r="X68"/>
      <c r="Y68"/>
      <c r="Z68"/>
      <c r="AA68"/>
      <c r="AB68"/>
      <c r="AC68"/>
    </row>
    <row r="69" spans="1:29" x14ac:dyDescent="0.35">
      <c r="A69" s="11">
        <v>42887</v>
      </c>
      <c r="B69" s="24" t="s">
        <v>34</v>
      </c>
      <c r="C69" s="89" t="s">
        <v>49</v>
      </c>
      <c r="D69" s="132" t="s">
        <v>13</v>
      </c>
      <c r="E69" s="147"/>
      <c r="F69" s="73"/>
      <c r="G69" s="73"/>
      <c r="H69" s="73"/>
      <c r="I69" s="74">
        <f>Table25[[#This Row],[Diameter Input  (ft,m)]]*1000</f>
        <v>0</v>
      </c>
      <c r="J69" s="74">
        <f>Table25[[#This Row],[Thickness shell Input
'[inch,mm']]]</f>
        <v>0</v>
      </c>
      <c r="K69" s="74">
        <f>Table25[[#This Row],[Design P (bar, psi)]]</f>
        <v>0</v>
      </c>
      <c r="L69" s="146">
        <f>(Table25[[#This Row],[Length Input  (ft, m)]])*1000</f>
        <v>0</v>
      </c>
      <c r="N69" s="75">
        <f>(-0.26*Table25[[#This Row],[Diameter output
'[mm']]])-(21.96*J69)-(54.35*K69)+(4.59*L69)-8477.26</f>
        <v>-8477.26</v>
      </c>
      <c r="O69" s="76">
        <f t="shared" si="6"/>
        <v>63670.363600000004</v>
      </c>
      <c r="P69" s="94">
        <f>(Table25[[#This Row],[Cost Estimation (€, $, ¥)]])*1.12/1.09</f>
        <v>65422.758928440366</v>
      </c>
      <c r="Q69" s="41"/>
      <c r="R69" s="98">
        <f>Table25[[#This Row],[Material Index for 2018]]*0.9</f>
        <v>58880.483035596328</v>
      </c>
      <c r="S69" s="99">
        <f>Table25[[#This Row],[Material Index for 2018]]*1.1</f>
        <v>71965.034821284411</v>
      </c>
      <c r="T69" s="100">
        <f>Table25[[#This Row],[Material Index for 2018]]*1</f>
        <v>65422.758928440366</v>
      </c>
      <c r="X69"/>
      <c r="Y69"/>
      <c r="Z69"/>
      <c r="AA69"/>
      <c r="AB69"/>
      <c r="AC69"/>
    </row>
    <row r="70" spans="1:29" x14ac:dyDescent="0.35">
      <c r="D70" s="41"/>
      <c r="E70" s="41"/>
    </row>
  </sheetData>
  <mergeCells count="18">
    <mergeCell ref="A2:H2"/>
    <mergeCell ref="A5:C5"/>
    <mergeCell ref="A3:I3"/>
    <mergeCell ref="K11:O11"/>
    <mergeCell ref="K12:O12"/>
    <mergeCell ref="R21:T21"/>
    <mergeCell ref="A4:I4"/>
    <mergeCell ref="A8:H8"/>
    <mergeCell ref="A9:I9"/>
    <mergeCell ref="A11:D11"/>
    <mergeCell ref="M7:P7"/>
    <mergeCell ref="N21:O21"/>
    <mergeCell ref="B14:C14"/>
    <mergeCell ref="F14:G14"/>
    <mergeCell ref="C21:D21"/>
    <mergeCell ref="F21:L21"/>
    <mergeCell ref="K7:L7"/>
    <mergeCell ref="K13:N1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L15"/>
  <sheetViews>
    <sheetView zoomScale="80" zoomScaleNormal="80" workbookViewId="0">
      <selection activeCell="D12" sqref="D12"/>
    </sheetView>
  </sheetViews>
  <sheetFormatPr defaultRowHeight="14.5" x14ac:dyDescent="0.35"/>
  <cols>
    <col min="5" max="5" width="15" bestFit="1" customWidth="1"/>
    <col min="6" max="6" width="11.26953125" bestFit="1" customWidth="1"/>
    <col min="7" max="7" width="9.81640625" customWidth="1"/>
    <col min="8" max="8" width="7.81640625" bestFit="1" customWidth="1"/>
    <col min="9" max="9" width="10.1796875" customWidth="1"/>
    <col min="10" max="10" width="9.453125" bestFit="1" customWidth="1"/>
    <col min="11" max="11" width="8.7265625" customWidth="1"/>
    <col min="12" max="12" width="9.7265625" customWidth="1"/>
  </cols>
  <sheetData>
    <row r="8" spans="5:12" ht="43.5" x14ac:dyDescent="0.35">
      <c r="E8" s="44"/>
      <c r="F8" s="33" t="s">
        <v>31</v>
      </c>
      <c r="G8" s="33" t="s">
        <v>29</v>
      </c>
      <c r="H8" s="33" t="s">
        <v>176</v>
      </c>
      <c r="I8" s="33" t="s">
        <v>135</v>
      </c>
      <c r="J8" s="33" t="s">
        <v>134</v>
      </c>
      <c r="K8" s="33" t="s">
        <v>142</v>
      </c>
      <c r="L8" s="45" t="s">
        <v>151</v>
      </c>
    </row>
    <row r="9" spans="5:12" ht="43.5" x14ac:dyDescent="0.35">
      <c r="E9" s="46" t="s">
        <v>31</v>
      </c>
      <c r="F9" s="26">
        <v>1</v>
      </c>
      <c r="G9" s="26"/>
      <c r="H9" s="26"/>
      <c r="I9" s="26"/>
      <c r="J9" s="26"/>
      <c r="K9" s="26"/>
      <c r="L9" s="47"/>
    </row>
    <row r="10" spans="5:12" ht="29" x14ac:dyDescent="0.35">
      <c r="E10" s="42" t="s">
        <v>29</v>
      </c>
      <c r="F10" s="43">
        <v>0.59187971451422228</v>
      </c>
      <c r="G10" s="38">
        <v>1</v>
      </c>
      <c r="H10" s="38"/>
      <c r="I10" s="38"/>
      <c r="J10" s="38"/>
      <c r="K10" s="38"/>
      <c r="L10" s="47"/>
    </row>
    <row r="11" spans="5:12" ht="29" x14ac:dyDescent="0.35">
      <c r="E11" s="123" t="s">
        <v>176</v>
      </c>
      <c r="F11" s="124">
        <v>0.70505911114446418</v>
      </c>
      <c r="G11" s="38">
        <v>0.83535961522774316</v>
      </c>
      <c r="H11" s="38">
        <v>1</v>
      </c>
      <c r="I11" s="38"/>
      <c r="J11" s="38"/>
      <c r="K11" s="38"/>
      <c r="L11" s="47"/>
    </row>
    <row r="12" spans="5:12" ht="29" x14ac:dyDescent="0.35">
      <c r="E12" s="48" t="s">
        <v>135</v>
      </c>
      <c r="F12" s="35">
        <v>0.19034621809267083</v>
      </c>
      <c r="G12" s="38">
        <v>0.1624799882607007</v>
      </c>
      <c r="H12" s="38">
        <v>0.33746413406317571</v>
      </c>
      <c r="I12" s="38">
        <v>1</v>
      </c>
      <c r="J12" s="38"/>
      <c r="K12" s="38"/>
      <c r="L12" s="47"/>
    </row>
    <row r="13" spans="5:12" ht="29" x14ac:dyDescent="0.35">
      <c r="E13" s="48" t="s">
        <v>134</v>
      </c>
      <c r="F13" s="35">
        <v>-0.23656202187425759</v>
      </c>
      <c r="G13" s="38">
        <v>-0.34976772058873923</v>
      </c>
      <c r="H13" s="38">
        <v>-0.26270462463954086</v>
      </c>
      <c r="I13" s="38">
        <v>0.74767301532081332</v>
      </c>
      <c r="J13" s="38">
        <v>1</v>
      </c>
      <c r="K13" s="38"/>
      <c r="L13" s="47"/>
    </row>
    <row r="14" spans="5:12" ht="29" x14ac:dyDescent="0.35">
      <c r="E14" s="46" t="s">
        <v>142</v>
      </c>
      <c r="F14" s="38">
        <v>0.14212528677293265</v>
      </c>
      <c r="G14" s="38">
        <v>-0.12103042973849702</v>
      </c>
      <c r="H14" s="38">
        <v>-5.0576373024446418E-2</v>
      </c>
      <c r="I14" s="38">
        <v>-0.1630588366372413</v>
      </c>
      <c r="J14" s="38">
        <v>-0.15127755727134515</v>
      </c>
      <c r="K14" s="38">
        <v>1</v>
      </c>
      <c r="L14" s="47"/>
    </row>
    <row r="15" spans="5:12" x14ac:dyDescent="0.35">
      <c r="E15" s="49" t="s">
        <v>151</v>
      </c>
      <c r="F15" s="50">
        <v>2.4904747680718767E-2</v>
      </c>
      <c r="G15" s="51">
        <v>-8.7653757314473616E-3</v>
      </c>
      <c r="H15" s="51">
        <v>-2.9039442285914645E-2</v>
      </c>
      <c r="I15" s="51">
        <v>4.0045231384032695E-2</v>
      </c>
      <c r="J15" s="51">
        <v>6.7252332756899569E-2</v>
      </c>
      <c r="K15" s="51">
        <v>0.12438949368125295</v>
      </c>
      <c r="L15" s="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opLeftCell="A19" zoomScale="80" zoomScaleNormal="80" workbookViewId="0">
      <selection activeCell="E17" sqref="E17"/>
    </sheetView>
  </sheetViews>
  <sheetFormatPr defaultRowHeight="14.5" x14ac:dyDescent="0.35"/>
  <cols>
    <col min="1" max="1" width="19.26953125" bestFit="1" customWidth="1"/>
    <col min="5" max="5" width="9.1796875" customWidth="1"/>
    <col min="6" max="6" width="1.81640625" style="31" customWidth="1"/>
    <col min="7" max="7" width="19.26953125" bestFit="1" customWidth="1"/>
    <col min="8" max="8" width="13.7265625" bestFit="1" customWidth="1"/>
    <col min="9" max="9" width="14.54296875" customWidth="1"/>
    <col min="10" max="10" width="20.26953125" bestFit="1" customWidth="1"/>
    <col min="12" max="12" width="10.453125" customWidth="1"/>
    <col min="13" max="13" width="1.453125" style="31" customWidth="1"/>
    <col min="14" max="14" width="20.26953125" bestFit="1" customWidth="1"/>
    <col min="15" max="15" width="13.7265625" bestFit="1" customWidth="1"/>
    <col min="16" max="16" width="14.54296875" bestFit="1" customWidth="1"/>
    <col min="19" max="19" width="13.81640625" bestFit="1" customWidth="1"/>
    <col min="20" max="20" width="1.54296875" style="31" customWidth="1"/>
    <col min="21" max="21" width="19.26953125" bestFit="1" customWidth="1"/>
    <col min="22" max="22" width="13.7265625" bestFit="1" customWidth="1"/>
    <col min="23" max="23" width="14.54296875" bestFit="1" customWidth="1"/>
    <col min="25" max="25" width="13" bestFit="1" customWidth="1"/>
    <col min="26" max="26" width="13.81640625" style="41" bestFit="1" customWidth="1"/>
    <col min="27" max="27" width="1.54296875" style="31" customWidth="1"/>
    <col min="28" max="28" width="19.26953125" bestFit="1" customWidth="1"/>
    <col min="32" max="32" width="13" bestFit="1" customWidth="1"/>
    <col min="33" max="33" width="13.81640625" style="41" bestFit="1" customWidth="1"/>
    <col min="34" max="34" width="1.1796875" style="31" customWidth="1"/>
  </cols>
  <sheetData>
    <row r="1" spans="1:33" s="121" customFormat="1" x14ac:dyDescent="0.35">
      <c r="A1" s="121" t="s">
        <v>175</v>
      </c>
    </row>
    <row r="2" spans="1:33" ht="15" thickBot="1" x14ac:dyDescent="0.4">
      <c r="A2" t="s">
        <v>152</v>
      </c>
      <c r="B2" s="41"/>
      <c r="C2" s="41"/>
      <c r="D2" s="41"/>
      <c r="E2" s="41"/>
      <c r="G2" t="s">
        <v>152</v>
      </c>
      <c r="I2" s="56" t="s">
        <v>173</v>
      </c>
      <c r="N2" t="s">
        <v>152</v>
      </c>
      <c r="P2" s="5" t="s">
        <v>183</v>
      </c>
      <c r="U2" t="s">
        <v>152</v>
      </c>
      <c r="X2" s="5" t="s">
        <v>174</v>
      </c>
      <c r="AB2" s="41" t="s">
        <v>152</v>
      </c>
      <c r="AC2" s="41"/>
      <c r="AD2" s="41"/>
      <c r="AE2" s="58" t="s">
        <v>177</v>
      </c>
      <c r="AF2" s="41"/>
    </row>
    <row r="3" spans="1:33" ht="15" thickBot="1" x14ac:dyDescent="0.4">
      <c r="A3" s="57" t="s">
        <v>31</v>
      </c>
      <c r="B3" s="57"/>
      <c r="AB3" s="41"/>
      <c r="AC3" s="41"/>
      <c r="AD3" s="41"/>
      <c r="AE3" s="41"/>
      <c r="AF3" s="41"/>
    </row>
    <row r="4" spans="1:33" x14ac:dyDescent="0.35">
      <c r="A4" s="26"/>
      <c r="B4" s="26"/>
      <c r="G4" s="29" t="s">
        <v>153</v>
      </c>
      <c r="H4" s="29"/>
      <c r="J4" s="26" t="s">
        <v>178</v>
      </c>
      <c r="K4" s="26">
        <v>1984.9702127659573</v>
      </c>
      <c r="N4" s="29" t="s">
        <v>153</v>
      </c>
      <c r="O4" s="29"/>
      <c r="U4" s="29" t="s">
        <v>153</v>
      </c>
      <c r="V4" s="29"/>
      <c r="AB4" s="29" t="s">
        <v>153</v>
      </c>
      <c r="AC4" s="29"/>
      <c r="AD4" s="41"/>
      <c r="AE4" s="41"/>
      <c r="AF4" s="41"/>
    </row>
    <row r="5" spans="1:33" x14ac:dyDescent="0.35">
      <c r="A5" s="26" t="s">
        <v>178</v>
      </c>
      <c r="B5" s="26">
        <v>13419.148936170213</v>
      </c>
      <c r="G5" s="26" t="s">
        <v>154</v>
      </c>
      <c r="H5" s="35">
        <v>0.59187971451422206</v>
      </c>
      <c r="J5" s="26" t="s">
        <v>179</v>
      </c>
      <c r="K5" s="26">
        <v>973.66827221124129</v>
      </c>
      <c r="N5" s="26" t="s">
        <v>154</v>
      </c>
      <c r="O5" s="35">
        <v>0.19034621809267072</v>
      </c>
      <c r="U5" s="26" t="s">
        <v>154</v>
      </c>
      <c r="V5" s="35">
        <v>0.23656202187425623</v>
      </c>
      <c r="AB5" s="26" t="s">
        <v>154</v>
      </c>
      <c r="AC5" s="36">
        <v>2.4904747680716117E-2</v>
      </c>
      <c r="AD5" s="41"/>
      <c r="AE5" s="41"/>
      <c r="AF5" s="41"/>
    </row>
    <row r="6" spans="1:33" x14ac:dyDescent="0.35">
      <c r="A6" s="26" t="s">
        <v>179</v>
      </c>
      <c r="B6" s="26">
        <v>16622.334873634598</v>
      </c>
      <c r="G6" s="26" t="s">
        <v>155</v>
      </c>
      <c r="H6" s="26">
        <v>0.35032159645343697</v>
      </c>
      <c r="N6" s="26" t="s">
        <v>155</v>
      </c>
      <c r="O6" s="26">
        <v>3.623168274218256E-2</v>
      </c>
      <c r="U6" s="26" t="s">
        <v>155</v>
      </c>
      <c r="V6" s="26">
        <v>5.5961590193236085E-2</v>
      </c>
      <c r="AB6" s="26" t="s">
        <v>155</v>
      </c>
      <c r="AC6" s="26">
        <v>6.2024645704013477E-4</v>
      </c>
      <c r="AD6" s="41"/>
      <c r="AF6" s="41"/>
    </row>
    <row r="7" spans="1:33" x14ac:dyDescent="0.35">
      <c r="A7" s="9"/>
      <c r="B7" s="9"/>
      <c r="G7" s="26" t="s">
        <v>156</v>
      </c>
      <c r="H7" s="26">
        <v>0.33588429859684665</v>
      </c>
      <c r="N7" s="26" t="s">
        <v>156</v>
      </c>
      <c r="O7" s="26">
        <v>1.4814609025342174E-2</v>
      </c>
      <c r="U7" s="26" t="s">
        <v>156</v>
      </c>
      <c r="V7" s="26">
        <v>3.4982958864196889E-2</v>
      </c>
      <c r="AB7" s="26" t="s">
        <v>156</v>
      </c>
      <c r="AC7" s="26">
        <v>-2.1588192510581194E-2</v>
      </c>
      <c r="AD7" s="41"/>
      <c r="AE7" s="41"/>
      <c r="AF7" s="41"/>
    </row>
    <row r="8" spans="1:33" x14ac:dyDescent="0.35">
      <c r="A8" s="9"/>
      <c r="B8" s="9"/>
      <c r="G8" s="26" t="s">
        <v>157</v>
      </c>
      <c r="H8" s="26">
        <v>13546.088276231254</v>
      </c>
      <c r="N8" s="26" t="s">
        <v>157</v>
      </c>
      <c r="O8" s="26">
        <v>16498.748749576342</v>
      </c>
      <c r="Q8" s="26" t="s">
        <v>178</v>
      </c>
      <c r="R8" s="37">
        <v>15.746808510638303</v>
      </c>
      <c r="U8" s="26" t="s">
        <v>157</v>
      </c>
      <c r="V8" s="26">
        <v>16328.997353439787</v>
      </c>
      <c r="X8" s="26" t="s">
        <v>178</v>
      </c>
      <c r="Y8" s="26">
        <v>12.427659574468079</v>
      </c>
      <c r="AB8" s="26" t="s">
        <v>157</v>
      </c>
      <c r="AC8" s="26">
        <v>16800.799914818872</v>
      </c>
      <c r="AD8" s="41"/>
      <c r="AE8" s="41"/>
      <c r="AF8" s="41"/>
    </row>
    <row r="9" spans="1:33" ht="15" thickBot="1" x14ac:dyDescent="0.4">
      <c r="A9" s="9"/>
      <c r="B9" s="9"/>
      <c r="G9" s="27" t="s">
        <v>158</v>
      </c>
      <c r="H9" s="27">
        <v>47</v>
      </c>
      <c r="N9" s="27" t="s">
        <v>158</v>
      </c>
      <c r="O9" s="27">
        <v>47</v>
      </c>
      <c r="Q9" s="26" t="s">
        <v>179</v>
      </c>
      <c r="R9" s="37">
        <v>8.4333151731902358</v>
      </c>
      <c r="U9" s="27" t="s">
        <v>158</v>
      </c>
      <c r="V9" s="27">
        <v>47</v>
      </c>
      <c r="X9" s="26" t="s">
        <v>179</v>
      </c>
      <c r="Y9" s="26">
        <v>14.453774926320174</v>
      </c>
      <c r="AB9" s="27" t="s">
        <v>158</v>
      </c>
      <c r="AC9" s="27">
        <v>47</v>
      </c>
      <c r="AD9" s="41"/>
      <c r="AE9" s="41"/>
      <c r="AF9" s="41"/>
    </row>
    <row r="10" spans="1:33" x14ac:dyDescent="0.35">
      <c r="A10" s="9"/>
      <c r="B10" s="9"/>
      <c r="AB10" s="41"/>
      <c r="AC10" s="41"/>
      <c r="AD10" s="41"/>
      <c r="AE10" s="41"/>
      <c r="AF10" s="41"/>
    </row>
    <row r="11" spans="1:33" ht="15" thickBot="1" x14ac:dyDescent="0.4">
      <c r="A11" s="9"/>
      <c r="B11" s="9"/>
      <c r="G11" t="s">
        <v>159</v>
      </c>
      <c r="N11" t="s">
        <v>159</v>
      </c>
      <c r="U11" t="s">
        <v>159</v>
      </c>
      <c r="AB11" s="41" t="s">
        <v>159</v>
      </c>
      <c r="AC11" s="41"/>
      <c r="AD11" s="41"/>
      <c r="AE11" s="41"/>
      <c r="AF11" s="41"/>
    </row>
    <row r="12" spans="1:33" x14ac:dyDescent="0.35">
      <c r="A12" s="9"/>
      <c r="B12" s="9"/>
      <c r="G12" s="28"/>
      <c r="H12" s="28" t="s">
        <v>164</v>
      </c>
      <c r="I12" s="28" t="s">
        <v>49</v>
      </c>
      <c r="J12" s="28" t="s">
        <v>165</v>
      </c>
      <c r="K12" s="28" t="s">
        <v>166</v>
      </c>
      <c r="L12" s="28" t="s">
        <v>167</v>
      </c>
      <c r="N12" s="28"/>
      <c r="O12" s="28" t="s">
        <v>164</v>
      </c>
      <c r="P12" s="28" t="s">
        <v>49</v>
      </c>
      <c r="Q12" s="28" t="s">
        <v>165</v>
      </c>
      <c r="R12" s="28" t="s">
        <v>166</v>
      </c>
      <c r="S12" s="28" t="s">
        <v>167</v>
      </c>
      <c r="U12" s="28"/>
      <c r="V12" s="28" t="s">
        <v>164</v>
      </c>
      <c r="W12" s="28" t="s">
        <v>49</v>
      </c>
      <c r="X12" s="28" t="s">
        <v>165</v>
      </c>
      <c r="Y12" s="28" t="s">
        <v>166</v>
      </c>
      <c r="Z12" s="28" t="s">
        <v>167</v>
      </c>
      <c r="AB12" s="28"/>
      <c r="AC12" s="28" t="s">
        <v>164</v>
      </c>
      <c r="AD12" s="28" t="s">
        <v>49</v>
      </c>
      <c r="AE12" s="28" t="s">
        <v>165</v>
      </c>
      <c r="AF12" s="28" t="s">
        <v>166</v>
      </c>
      <c r="AG12" s="28" t="s">
        <v>167</v>
      </c>
    </row>
    <row r="13" spans="1:33" x14ac:dyDescent="0.35">
      <c r="A13" s="9"/>
      <c r="B13" s="9"/>
      <c r="G13" s="26" t="s">
        <v>160</v>
      </c>
      <c r="H13" s="26">
        <v>1</v>
      </c>
      <c r="I13" s="26">
        <v>4452549924.5222015</v>
      </c>
      <c r="J13" s="26">
        <v>4452549924.5222015</v>
      </c>
      <c r="K13" s="26">
        <v>24.265039062938175</v>
      </c>
      <c r="L13" s="26">
        <v>1.1766374296710985E-5</v>
      </c>
      <c r="N13" s="26" t="s">
        <v>160</v>
      </c>
      <c r="O13" s="26">
        <v>1</v>
      </c>
      <c r="P13" s="26">
        <v>460500802.3833313</v>
      </c>
      <c r="Q13" s="26">
        <v>460500802.3833313</v>
      </c>
      <c r="R13" s="26">
        <v>1.6917195701527303</v>
      </c>
      <c r="S13" s="26">
        <v>0.19999596863222927</v>
      </c>
      <c r="U13" s="26" t="s">
        <v>160</v>
      </c>
      <c r="V13" s="26">
        <v>1</v>
      </c>
      <c r="W13" s="26">
        <v>711265810.3684864</v>
      </c>
      <c r="X13" s="26">
        <v>711265810.3684864</v>
      </c>
      <c r="Y13" s="26">
        <v>2.6675520111634983</v>
      </c>
      <c r="Z13" s="26">
        <v>0.10939187614439747</v>
      </c>
      <c r="AB13" s="26" t="s">
        <v>160</v>
      </c>
      <c r="AC13" s="26">
        <v>1</v>
      </c>
      <c r="AD13" s="26">
        <v>7883265.9574451447</v>
      </c>
      <c r="AE13" s="26">
        <v>7883265.9574451447</v>
      </c>
      <c r="AF13" s="26">
        <v>2.7928413066061041E-2</v>
      </c>
      <c r="AG13" s="26">
        <v>0.86802596179792091</v>
      </c>
    </row>
    <row r="14" spans="1:33" x14ac:dyDescent="0.35">
      <c r="A14" s="9"/>
      <c r="B14" s="9"/>
      <c r="G14" s="26" t="s">
        <v>161</v>
      </c>
      <c r="H14" s="26">
        <v>45</v>
      </c>
      <c r="I14" s="26">
        <v>8257342841.4352436</v>
      </c>
      <c r="J14" s="26">
        <v>183496507.58744985</v>
      </c>
      <c r="K14" s="26"/>
      <c r="L14" s="26"/>
      <c r="N14" s="26" t="s">
        <v>161</v>
      </c>
      <c r="O14" s="26">
        <v>45</v>
      </c>
      <c r="P14" s="26">
        <v>12249391963.574114</v>
      </c>
      <c r="Q14" s="26">
        <v>272208710.30164695</v>
      </c>
      <c r="R14" s="26"/>
      <c r="S14" s="26"/>
      <c r="U14" s="26" t="s">
        <v>161</v>
      </c>
      <c r="V14" s="26">
        <v>45</v>
      </c>
      <c r="W14" s="26">
        <v>11998626955.588959</v>
      </c>
      <c r="X14" s="26">
        <v>266636154.56864354</v>
      </c>
      <c r="Y14" s="26"/>
      <c r="Z14" s="26"/>
      <c r="AB14" s="26" t="s">
        <v>161</v>
      </c>
      <c r="AC14" s="26">
        <v>45</v>
      </c>
      <c r="AD14" s="26">
        <v>12702009500</v>
      </c>
      <c r="AE14" s="26">
        <v>282266877.77777779</v>
      </c>
      <c r="AF14" s="26"/>
      <c r="AG14" s="26"/>
    </row>
    <row r="15" spans="1:33" ht="15" thickBot="1" x14ac:dyDescent="0.4">
      <c r="A15" s="9"/>
      <c r="B15" s="9"/>
      <c r="G15" s="27" t="s">
        <v>162</v>
      </c>
      <c r="H15" s="27">
        <v>46</v>
      </c>
      <c r="I15" s="27">
        <v>12709892765.957445</v>
      </c>
      <c r="J15" s="27"/>
      <c r="K15" s="27"/>
      <c r="L15" s="27"/>
      <c r="N15" s="27" t="s">
        <v>162</v>
      </c>
      <c r="O15" s="27">
        <v>46</v>
      </c>
      <c r="P15" s="27">
        <v>12709892765.957445</v>
      </c>
      <c r="Q15" s="27"/>
      <c r="R15" s="27"/>
      <c r="S15" s="27"/>
      <c r="U15" s="27" t="s">
        <v>162</v>
      </c>
      <c r="V15" s="27">
        <v>46</v>
      </c>
      <c r="W15" s="27">
        <v>12709892765.957445</v>
      </c>
      <c r="X15" s="27"/>
      <c r="Y15" s="27"/>
      <c r="Z15" s="27"/>
      <c r="AB15" s="27" t="s">
        <v>162</v>
      </c>
      <c r="AC15" s="27">
        <v>46</v>
      </c>
      <c r="AD15" s="27">
        <v>12709892765.957445</v>
      </c>
      <c r="AE15" s="27"/>
      <c r="AF15" s="27"/>
      <c r="AG15" s="27"/>
    </row>
    <row r="16" spans="1:33" ht="15" thickBot="1" x14ac:dyDescent="0.4">
      <c r="A16" s="9"/>
      <c r="B16" s="9"/>
      <c r="AB16" s="41"/>
      <c r="AC16" s="41"/>
      <c r="AD16" s="41"/>
      <c r="AE16" s="41"/>
      <c r="AF16" s="41"/>
    </row>
    <row r="17" spans="1:33" x14ac:dyDescent="0.35">
      <c r="A17" s="9"/>
      <c r="B17" s="9"/>
      <c r="G17" s="28"/>
      <c r="H17" s="28" t="s">
        <v>168</v>
      </c>
      <c r="I17" s="28" t="s">
        <v>157</v>
      </c>
      <c r="J17" s="28" t="s">
        <v>169</v>
      </c>
      <c r="K17" s="28" t="s">
        <v>170</v>
      </c>
      <c r="L17" s="28" t="s">
        <v>171</v>
      </c>
      <c r="N17" s="28"/>
      <c r="O17" s="28" t="s">
        <v>168</v>
      </c>
      <c r="P17" s="28" t="s">
        <v>157</v>
      </c>
      <c r="Q17" s="28" t="s">
        <v>169</v>
      </c>
      <c r="R17" s="28" t="s">
        <v>170</v>
      </c>
      <c r="S17" s="28" t="s">
        <v>171</v>
      </c>
      <c r="U17" s="28"/>
      <c r="V17" s="28" t="s">
        <v>168</v>
      </c>
      <c r="W17" s="28" t="s">
        <v>157</v>
      </c>
      <c r="X17" s="28" t="s">
        <v>169</v>
      </c>
      <c r="Y17" s="28" t="s">
        <v>170</v>
      </c>
      <c r="Z17" s="28" t="s">
        <v>171</v>
      </c>
      <c r="AB17" s="28"/>
      <c r="AC17" s="28" t="s">
        <v>168</v>
      </c>
      <c r="AD17" s="28" t="s">
        <v>157</v>
      </c>
      <c r="AE17" s="28" t="s">
        <v>169</v>
      </c>
      <c r="AF17" s="28" t="s">
        <v>170</v>
      </c>
      <c r="AG17" s="28" t="s">
        <v>171</v>
      </c>
    </row>
    <row r="18" spans="1:33" x14ac:dyDescent="0.35">
      <c r="A18" s="9"/>
      <c r="B18" s="9"/>
      <c r="G18" s="26" t="s">
        <v>163</v>
      </c>
      <c r="H18" s="26">
        <v>-6637.9657863682423</v>
      </c>
      <c r="I18" s="26">
        <v>4525.824681038659</v>
      </c>
      <c r="J18" s="26">
        <v>-1.466686461404169</v>
      </c>
      <c r="K18" s="26">
        <v>0.14941549704428425</v>
      </c>
      <c r="L18" s="26">
        <v>-15753.444613928777</v>
      </c>
      <c r="N18" s="26" t="s">
        <v>163</v>
      </c>
      <c r="O18" s="26">
        <v>7511.2848602636832</v>
      </c>
      <c r="P18" s="26">
        <v>5140.3560936927943</v>
      </c>
      <c r="Q18" s="26">
        <v>1.461238233958152</v>
      </c>
      <c r="R18" s="26">
        <v>0.1508981375294681</v>
      </c>
      <c r="S18" s="26">
        <v>-2841.9237680972792</v>
      </c>
      <c r="U18" s="26" t="s">
        <v>163</v>
      </c>
      <c r="V18" s="26">
        <v>16800.148474462039</v>
      </c>
      <c r="W18" s="26">
        <v>3155.6886968055296</v>
      </c>
      <c r="X18" s="26">
        <v>5.3237660899405741</v>
      </c>
      <c r="Y18" s="26">
        <v>3.108267899990913E-6</v>
      </c>
      <c r="Z18" s="26">
        <v>10444.265175973043</v>
      </c>
      <c r="AB18" s="26" t="s">
        <v>163</v>
      </c>
      <c r="AC18" s="26">
        <v>13066.666666666668</v>
      </c>
      <c r="AD18" s="26">
        <v>3233.3154511405733</v>
      </c>
      <c r="AE18" s="26">
        <v>4.0412594638909471</v>
      </c>
      <c r="AF18" s="26">
        <v>2.0511421783756851E-4</v>
      </c>
      <c r="AG18" s="26">
        <v>6554.435059203639</v>
      </c>
    </row>
    <row r="19" spans="1:33" ht="29.5" thickBot="1" x14ac:dyDescent="0.4">
      <c r="A19" s="9"/>
      <c r="B19" s="9"/>
      <c r="G19" s="30" t="s">
        <v>29</v>
      </c>
      <c r="H19" s="27">
        <v>10.104491540248286</v>
      </c>
      <c r="I19" s="27">
        <v>2.0512753785830888</v>
      </c>
      <c r="J19" s="27">
        <v>4.9259556497128765</v>
      </c>
      <c r="K19" s="27">
        <v>1.1766374296710898E-5</v>
      </c>
      <c r="L19" s="27">
        <v>5.973010848716247</v>
      </c>
      <c r="N19" s="30" t="s">
        <v>135</v>
      </c>
      <c r="O19" s="27">
        <v>375.17850502311421</v>
      </c>
      <c r="P19" s="27">
        <v>288.45213771673451</v>
      </c>
      <c r="Q19" s="27">
        <v>1.300661204984886</v>
      </c>
      <c r="R19" s="27">
        <v>0.19999596863222852</v>
      </c>
      <c r="S19" s="27">
        <v>-205.79392308208514</v>
      </c>
      <c r="U19" s="30" t="s">
        <v>134</v>
      </c>
      <c r="V19" s="27">
        <v>-272.05440558074963</v>
      </c>
      <c r="W19" s="27">
        <v>166.57097015224196</v>
      </c>
      <c r="X19" s="27">
        <v>-1.633264219642224</v>
      </c>
      <c r="Y19" s="27">
        <v>0.10939187614439602</v>
      </c>
      <c r="Z19" s="27">
        <v>-607.54556105355027</v>
      </c>
      <c r="AB19" s="27" t="s">
        <v>151</v>
      </c>
      <c r="AC19" s="27">
        <v>828.3333333333328</v>
      </c>
      <c r="AD19" s="27">
        <v>4956.5787288686588</v>
      </c>
      <c r="AE19" s="27">
        <v>0.16711796153037203</v>
      </c>
      <c r="AF19" s="27">
        <v>0.86802596179790714</v>
      </c>
      <c r="AG19" s="27">
        <v>-9154.728681735749</v>
      </c>
    </row>
    <row r="20" spans="1:33" x14ac:dyDescent="0.35">
      <c r="A20" s="9"/>
      <c r="B20" s="9"/>
    </row>
    <row r="21" spans="1:33" x14ac:dyDescent="0.35">
      <c r="A21" s="9"/>
      <c r="B21" t="s">
        <v>180</v>
      </c>
      <c r="C21" t="s">
        <v>181</v>
      </c>
      <c r="D21" t="s">
        <v>182</v>
      </c>
      <c r="G21" t="s">
        <v>180</v>
      </c>
      <c r="H21" t="s">
        <v>181</v>
      </c>
      <c r="I21" t="s">
        <v>182</v>
      </c>
      <c r="L21" s="41"/>
      <c r="M21" s="55"/>
      <c r="N21" t="s">
        <v>180</v>
      </c>
      <c r="O21" t="s">
        <v>181</v>
      </c>
      <c r="P21" t="s">
        <v>182</v>
      </c>
      <c r="S21" s="41"/>
      <c r="U21" s="41" t="s">
        <v>180</v>
      </c>
      <c r="V21" t="s">
        <v>181</v>
      </c>
      <c r="W21" t="s">
        <v>182</v>
      </c>
      <c r="Y21" s="41"/>
      <c r="Z21" s="53"/>
      <c r="AF21" s="41"/>
    </row>
    <row r="22" spans="1:33" x14ac:dyDescent="0.35">
      <c r="A22" s="9"/>
      <c r="B22">
        <v>-3</v>
      </c>
      <c r="C22">
        <f>$B$5-$B$6*B22</f>
        <v>63286.153557074009</v>
      </c>
      <c r="D22">
        <f t="shared" ref="D22:D53" si="0">_xlfn.NORM.DIST(C22,$B$5,$B$6,FALSE)</f>
        <v>2.6662008951387169E-7</v>
      </c>
      <c r="G22">
        <v>-3</v>
      </c>
      <c r="H22">
        <f>$K$4-$K$5*G22</f>
        <v>4905.9750293996813</v>
      </c>
      <c r="I22">
        <f>_xlfn.NORM.DIST(H22,$K$4,$K$5,FALSE)</f>
        <v>4.5517026059328137E-6</v>
      </c>
      <c r="L22" s="41"/>
      <c r="M22" s="34"/>
      <c r="N22">
        <v>-3</v>
      </c>
      <c r="O22">
        <f>$R$8-$R$9*N22</f>
        <v>41.046754030209009</v>
      </c>
      <c r="P22">
        <f>_xlfn.NORM.DIST(O22,$R$8,$R$9,FALSE)</f>
        <v>5.2551675360444107E-4</v>
      </c>
      <c r="S22" s="41"/>
      <c r="U22" s="41">
        <v>-3</v>
      </c>
      <c r="V22">
        <f t="shared" ref="V22:V53" si="1">$Y$8-$Y$9*U22</f>
        <v>55.788984353428603</v>
      </c>
      <c r="W22">
        <f t="shared" ref="W22:W53" si="2">_xlfn.NORM.DIST(V22,$Y$8,$Y$9,FALSE)</f>
        <v>3.0662221008213278E-4</v>
      </c>
      <c r="Y22" s="41"/>
      <c r="Z22" s="26"/>
      <c r="AF22" s="41"/>
    </row>
    <row r="23" spans="1:33" x14ac:dyDescent="0.35">
      <c r="A23" s="9"/>
      <c r="B23">
        <v>-2.9</v>
      </c>
      <c r="C23">
        <f t="shared" ref="C23:C82" si="3">$B$5-$B$6*B23</f>
        <v>61623.920069710541</v>
      </c>
      <c r="D23">
        <f t="shared" si="0"/>
        <v>3.5810446998137557E-7</v>
      </c>
      <c r="G23">
        <v>-2.9</v>
      </c>
      <c r="H23">
        <f t="shared" ref="H23:H82" si="4">$K$4-$K$5*G23</f>
        <v>4808.6082021785569</v>
      </c>
      <c r="I23">
        <f t="shared" ref="I23:I82" si="5">_xlfn.NORM.DIST(H23,$K$4,$K$5,FALSE)</f>
        <v>6.1135117469293875E-6</v>
      </c>
      <c r="L23" s="41"/>
      <c r="M23" s="54"/>
      <c r="N23">
        <v>-2.9</v>
      </c>
      <c r="O23">
        <f t="shared" ref="O23:O82" si="6">$R$8-$R$9*N23</f>
        <v>40.203422512889986</v>
      </c>
      <c r="P23">
        <f t="shared" ref="P23:P82" si="7">_xlfn.NORM.DIST(O23,$R$8,$R$9,FALSE)</f>
        <v>7.0583540369736615E-4</v>
      </c>
      <c r="S23" s="41"/>
      <c r="U23" s="41">
        <v>-2.9</v>
      </c>
      <c r="V23">
        <f t="shared" si="1"/>
        <v>54.343606860796584</v>
      </c>
      <c r="W23">
        <f t="shared" si="2"/>
        <v>4.1183237251995352E-4</v>
      </c>
      <c r="Y23" s="41"/>
      <c r="AF23" s="41"/>
    </row>
    <row r="24" spans="1:33" x14ac:dyDescent="0.35">
      <c r="A24" s="9"/>
      <c r="B24">
        <v>-2.8</v>
      </c>
      <c r="C24">
        <f t="shared" si="3"/>
        <v>59961.68658234708</v>
      </c>
      <c r="D24">
        <f t="shared" si="0"/>
        <v>4.761937262817997E-7</v>
      </c>
      <c r="G24">
        <v>-2.8</v>
      </c>
      <c r="H24">
        <f t="shared" si="4"/>
        <v>4711.2413749574325</v>
      </c>
      <c r="I24">
        <f t="shared" si="5"/>
        <v>8.1295157795412774E-6</v>
      </c>
      <c r="L24" s="41"/>
      <c r="M24" s="34"/>
      <c r="N24">
        <v>-2.8</v>
      </c>
      <c r="O24">
        <f t="shared" si="6"/>
        <v>39.360090995570957</v>
      </c>
      <c r="P24">
        <f t="shared" si="7"/>
        <v>9.385931179405506E-4</v>
      </c>
      <c r="S24" s="41"/>
      <c r="U24" s="41">
        <v>-2.8</v>
      </c>
      <c r="V24">
        <f t="shared" si="1"/>
        <v>52.898229368164564</v>
      </c>
      <c r="W24">
        <f t="shared" si="2"/>
        <v>5.4763905092821211E-4</v>
      </c>
      <c r="Y24" s="41"/>
      <c r="Z24" s="26"/>
      <c r="AF24" s="41"/>
    </row>
    <row r="25" spans="1:33" x14ac:dyDescent="0.35">
      <c r="A25" s="9"/>
      <c r="B25">
        <v>-2.7</v>
      </c>
      <c r="C25">
        <f t="shared" si="3"/>
        <v>58299.453094983626</v>
      </c>
      <c r="D25">
        <f t="shared" si="0"/>
        <v>6.2692364782950466E-7</v>
      </c>
      <c r="G25">
        <v>-2.7</v>
      </c>
      <c r="H25">
        <f t="shared" si="4"/>
        <v>4613.8745477363091</v>
      </c>
      <c r="I25">
        <f t="shared" si="5"/>
        <v>1.0702756895586433E-5</v>
      </c>
      <c r="L25" s="41"/>
      <c r="M25" s="34"/>
      <c r="N25">
        <v>-2.7</v>
      </c>
      <c r="O25">
        <f t="shared" si="6"/>
        <v>38.516759478251942</v>
      </c>
      <c r="P25">
        <f t="shared" si="7"/>
        <v>1.2356866309883754E-3</v>
      </c>
      <c r="S25" s="41"/>
      <c r="U25" s="41">
        <v>-2.7</v>
      </c>
      <c r="V25">
        <f t="shared" si="1"/>
        <v>51.452851875532552</v>
      </c>
      <c r="W25">
        <f t="shared" si="2"/>
        <v>7.2098360930238211E-4</v>
      </c>
      <c r="Y25" s="41"/>
      <c r="Z25" s="26"/>
      <c r="AF25" s="41"/>
    </row>
    <row r="26" spans="1:33" x14ac:dyDescent="0.35">
      <c r="A26" s="9"/>
      <c r="B26">
        <v>-2.6</v>
      </c>
      <c r="C26">
        <f t="shared" si="3"/>
        <v>56637.219607620165</v>
      </c>
      <c r="D26">
        <f t="shared" si="0"/>
        <v>8.1715170202894578E-7</v>
      </c>
      <c r="G26">
        <v>-2.6</v>
      </c>
      <c r="H26">
        <f t="shared" si="4"/>
        <v>4516.5077205151847</v>
      </c>
      <c r="I26">
        <f t="shared" si="5"/>
        <v>1.3950304863932912E-5</v>
      </c>
      <c r="L26" s="41"/>
      <c r="M26" s="34"/>
      <c r="N26">
        <v>-2.6</v>
      </c>
      <c r="O26">
        <f t="shared" si="6"/>
        <v>37.673427960932912</v>
      </c>
      <c r="P26">
        <f t="shared" si="7"/>
        <v>1.6106322311854658E-3</v>
      </c>
      <c r="S26" s="41"/>
      <c r="U26" s="41">
        <v>-2.6</v>
      </c>
      <c r="V26">
        <f t="shared" si="1"/>
        <v>50.007474382900533</v>
      </c>
      <c r="W26">
        <f t="shared" si="2"/>
        <v>9.3975236939321423E-4</v>
      </c>
      <c r="Y26" s="41"/>
      <c r="Z26" s="26"/>
      <c r="AF26" s="41"/>
    </row>
    <row r="27" spans="1:33" x14ac:dyDescent="0.35">
      <c r="A27" s="9"/>
      <c r="B27">
        <v>-2.5</v>
      </c>
      <c r="C27">
        <f t="shared" si="3"/>
        <v>54974.986120256704</v>
      </c>
      <c r="D27">
        <f t="shared" si="0"/>
        <v>1.0545029098993147E-6</v>
      </c>
      <c r="G27">
        <v>-2.5</v>
      </c>
      <c r="H27">
        <f t="shared" si="4"/>
        <v>4419.1408932940603</v>
      </c>
      <c r="I27">
        <f t="shared" si="5"/>
        <v>1.8002333026381819E-5</v>
      </c>
      <c r="L27" s="41"/>
      <c r="M27" s="54"/>
      <c r="N27">
        <v>-2.5</v>
      </c>
      <c r="O27">
        <f t="shared" si="6"/>
        <v>36.830096443613897</v>
      </c>
      <c r="P27">
        <f t="shared" si="7"/>
        <v>2.0784590796857111E-3</v>
      </c>
      <c r="S27" s="41"/>
      <c r="U27" s="41">
        <v>-2.5</v>
      </c>
      <c r="V27">
        <f t="shared" si="1"/>
        <v>48.562096890268514</v>
      </c>
      <c r="W27">
        <f t="shared" si="2"/>
        <v>1.2127143658263067E-3</v>
      </c>
      <c r="Y27" s="41"/>
      <c r="AF27" s="41"/>
    </row>
    <row r="28" spans="1:33" x14ac:dyDescent="0.35">
      <c r="A28" s="9"/>
      <c r="B28">
        <v>-2.4</v>
      </c>
      <c r="C28">
        <f t="shared" si="3"/>
        <v>53312.752632893244</v>
      </c>
      <c r="D28">
        <f t="shared" si="0"/>
        <v>1.3472553925239366E-6</v>
      </c>
      <c r="G28">
        <v>-2.4</v>
      </c>
      <c r="H28">
        <f t="shared" si="4"/>
        <v>4321.774066072936</v>
      </c>
      <c r="I28">
        <f t="shared" si="5"/>
        <v>2.3000164361917655E-5</v>
      </c>
      <c r="L28" s="41"/>
      <c r="M28" s="34"/>
      <c r="N28">
        <v>-2.4</v>
      </c>
      <c r="O28">
        <f t="shared" si="6"/>
        <v>35.986764926294867</v>
      </c>
      <c r="P28">
        <f t="shared" si="7"/>
        <v>2.6554836188306813E-3</v>
      </c>
      <c r="S28" s="41"/>
      <c r="U28" s="41">
        <v>-2.4</v>
      </c>
      <c r="V28">
        <f t="shared" si="1"/>
        <v>47.116719397636494</v>
      </c>
      <c r="W28">
        <f t="shared" si="2"/>
        <v>1.5493897206094371E-3</v>
      </c>
      <c r="Y28" s="41"/>
      <c r="Z28" s="26"/>
      <c r="AF28" s="41"/>
    </row>
    <row r="29" spans="1:33" x14ac:dyDescent="0.35">
      <c r="A29" s="9"/>
      <c r="B29">
        <v>-2.2999999999999998</v>
      </c>
      <c r="C29">
        <f t="shared" si="3"/>
        <v>51650.519145529783</v>
      </c>
      <c r="D29">
        <f t="shared" si="0"/>
        <v>1.704155159726202E-6</v>
      </c>
      <c r="G29">
        <v>-2.2999999999999998</v>
      </c>
      <c r="H29">
        <f t="shared" si="4"/>
        <v>4224.4072388518125</v>
      </c>
      <c r="I29">
        <f t="shared" si="5"/>
        <v>2.9093109583687367E-5</v>
      </c>
      <c r="L29" s="41"/>
      <c r="M29" s="34"/>
      <c r="N29">
        <v>-2.2999999999999998</v>
      </c>
      <c r="O29">
        <f t="shared" si="6"/>
        <v>35.143433408975845</v>
      </c>
      <c r="P29">
        <f t="shared" si="7"/>
        <v>3.3589445146854822E-3</v>
      </c>
      <c r="S29" s="41"/>
      <c r="U29" s="41">
        <v>-2.2999999999999998</v>
      </c>
      <c r="V29">
        <f t="shared" si="1"/>
        <v>45.671341905004475</v>
      </c>
      <c r="W29">
        <f t="shared" si="2"/>
        <v>1.9598366437834831E-3</v>
      </c>
      <c r="Y29" s="41"/>
      <c r="Z29" s="26"/>
      <c r="AF29" s="41"/>
    </row>
    <row r="30" spans="1:33" x14ac:dyDescent="0.35">
      <c r="A30" s="9"/>
      <c r="B30">
        <v>-2.2000000000000002</v>
      </c>
      <c r="C30">
        <f t="shared" si="3"/>
        <v>49988.285658166329</v>
      </c>
      <c r="D30">
        <f t="shared" si="0"/>
        <v>2.1341522184406959E-6</v>
      </c>
      <c r="G30">
        <v>-2.2000000000000002</v>
      </c>
      <c r="H30">
        <f t="shared" si="4"/>
        <v>4127.0404116306881</v>
      </c>
      <c r="I30">
        <f t="shared" si="5"/>
        <v>3.6433962016310934E-5</v>
      </c>
      <c r="L30" s="41"/>
      <c r="M30" s="34"/>
      <c r="N30">
        <v>-2.2000000000000002</v>
      </c>
      <c r="O30">
        <f t="shared" si="6"/>
        <v>34.300101891656823</v>
      </c>
      <c r="P30">
        <f t="shared" si="7"/>
        <v>4.2064825181686825E-3</v>
      </c>
      <c r="S30" s="41"/>
      <c r="U30" s="41">
        <v>-2.2000000000000002</v>
      </c>
      <c r="V30">
        <f t="shared" si="1"/>
        <v>44.225964412372463</v>
      </c>
      <c r="W30">
        <f t="shared" si="2"/>
        <v>2.4543479490352765E-3</v>
      </c>
      <c r="Y30" s="41"/>
      <c r="Z30" s="26"/>
      <c r="AF30" s="41"/>
    </row>
    <row r="31" spans="1:33" x14ac:dyDescent="0.35">
      <c r="A31" s="9"/>
      <c r="B31">
        <v>-2.1</v>
      </c>
      <c r="C31">
        <f t="shared" si="3"/>
        <v>48326.052170802868</v>
      </c>
      <c r="D31">
        <f t="shared" si="0"/>
        <v>2.6460540179702114E-6</v>
      </c>
      <c r="G31">
        <v>-2.1</v>
      </c>
      <c r="H31">
        <f t="shared" si="4"/>
        <v>4029.6735844095638</v>
      </c>
      <c r="I31">
        <f t="shared" si="5"/>
        <v>4.5173081259532722E-5</v>
      </c>
      <c r="L31" s="41"/>
      <c r="M31" s="34"/>
      <c r="N31">
        <v>-2.1</v>
      </c>
      <c r="O31">
        <f t="shared" si="6"/>
        <v>33.4567703743378</v>
      </c>
      <c r="P31">
        <f t="shared" si="7"/>
        <v>5.2154573945312008E-3</v>
      </c>
      <c r="S31" s="41"/>
      <c r="U31" s="41">
        <v>-2.1</v>
      </c>
      <c r="V31">
        <f t="shared" si="1"/>
        <v>42.780586919740443</v>
      </c>
      <c r="W31">
        <f t="shared" si="2"/>
        <v>3.0430525039056421E-3</v>
      </c>
      <c r="Y31" s="41"/>
      <c r="Z31" s="26"/>
      <c r="AF31" s="41"/>
    </row>
    <row r="32" spans="1:33" x14ac:dyDescent="0.35">
      <c r="A32" s="9"/>
      <c r="B32">
        <v>-2</v>
      </c>
      <c r="C32">
        <f t="shared" si="3"/>
        <v>46663.818683439407</v>
      </c>
      <c r="D32">
        <f t="shared" si="0"/>
        <v>3.2480976303049615E-6</v>
      </c>
      <c r="G32">
        <v>-2</v>
      </c>
      <c r="H32">
        <f t="shared" si="4"/>
        <v>3932.3067571884399</v>
      </c>
      <c r="I32">
        <f t="shared" si="5"/>
        <v>5.5451089507694776E-5</v>
      </c>
      <c r="L32" s="41"/>
      <c r="M32" s="34"/>
      <c r="N32">
        <v>-2</v>
      </c>
      <c r="O32">
        <f t="shared" si="6"/>
        <v>32.613438857018778</v>
      </c>
      <c r="P32">
        <f t="shared" si="7"/>
        <v>6.4021046770345929E-3</v>
      </c>
      <c r="S32" s="41"/>
      <c r="U32" s="41">
        <v>-2</v>
      </c>
      <c r="V32">
        <f t="shared" si="1"/>
        <v>41.335209427108424</v>
      </c>
      <c r="W32">
        <f t="shared" si="2"/>
        <v>3.7354232225431361E-3</v>
      </c>
      <c r="Y32" s="41"/>
      <c r="Z32" s="26"/>
      <c r="AF32" s="41"/>
    </row>
    <row r="33" spans="1:32" x14ac:dyDescent="0.35">
      <c r="A33" s="9"/>
      <c r="B33">
        <v>-1.9</v>
      </c>
      <c r="C33">
        <f t="shared" si="3"/>
        <v>45001.585196075946</v>
      </c>
      <c r="D33">
        <f t="shared" si="0"/>
        <v>3.9474487353008796E-6</v>
      </c>
      <c r="G33">
        <v>-1.9</v>
      </c>
      <c r="H33">
        <f t="shared" si="4"/>
        <v>3834.9399299673159</v>
      </c>
      <c r="I33">
        <f t="shared" si="5"/>
        <v>6.7390318291526887E-5</v>
      </c>
      <c r="L33" s="41"/>
      <c r="M33" s="34"/>
      <c r="N33">
        <v>-1.9</v>
      </c>
      <c r="O33">
        <f t="shared" si="6"/>
        <v>31.770107339699749</v>
      </c>
      <c r="P33">
        <f t="shared" si="7"/>
        <v>7.7805481506574422E-3</v>
      </c>
      <c r="S33" s="41"/>
      <c r="U33" s="41">
        <v>-1.9</v>
      </c>
      <c r="V33">
        <f t="shared" si="1"/>
        <v>39.889831934476405</v>
      </c>
      <c r="W33">
        <f t="shared" si="2"/>
        <v>4.5397008815455482E-3</v>
      </c>
      <c r="Y33" s="41"/>
      <c r="Z33" s="26"/>
      <c r="AF33" s="41"/>
    </row>
    <row r="34" spans="1:32" x14ac:dyDescent="0.35">
      <c r="A34" s="9"/>
      <c r="B34">
        <v>-1.8</v>
      </c>
      <c r="C34">
        <f t="shared" si="3"/>
        <v>43339.351708712493</v>
      </c>
      <c r="D34">
        <f t="shared" si="0"/>
        <v>4.7496431097727649E-6</v>
      </c>
      <c r="G34">
        <v>-1.8</v>
      </c>
      <c r="H34">
        <f t="shared" si="4"/>
        <v>3737.5731027461916</v>
      </c>
      <c r="I34">
        <f t="shared" si="5"/>
        <v>8.1085273654439861E-5</v>
      </c>
      <c r="L34" s="41"/>
      <c r="M34" s="34"/>
      <c r="N34">
        <v>-1.8</v>
      </c>
      <c r="O34">
        <f t="shared" si="6"/>
        <v>30.926775822380726</v>
      </c>
      <c r="P34">
        <f t="shared" si="7"/>
        <v>9.3616990091724694E-3</v>
      </c>
      <c r="S34" s="41"/>
      <c r="U34" s="41">
        <v>-1.8</v>
      </c>
      <c r="V34">
        <f t="shared" si="1"/>
        <v>38.444454441844393</v>
      </c>
      <c r="W34">
        <f t="shared" si="2"/>
        <v>5.4622518133395541E-3</v>
      </c>
      <c r="Y34" s="41"/>
      <c r="Z34" s="26"/>
      <c r="AF34" s="41"/>
    </row>
    <row r="35" spans="1:32" x14ac:dyDescent="0.35">
      <c r="A35" s="9"/>
      <c r="B35">
        <v>-1.7</v>
      </c>
      <c r="C35">
        <f t="shared" si="3"/>
        <v>41677.118221349032</v>
      </c>
      <c r="D35">
        <f t="shared" si="0"/>
        <v>5.6579943847757634E-6</v>
      </c>
      <c r="G35">
        <v>-1.7</v>
      </c>
      <c r="H35">
        <f t="shared" si="4"/>
        <v>3640.2062755250672</v>
      </c>
      <c r="I35">
        <f t="shared" si="5"/>
        <v>9.6592525463829268E-5</v>
      </c>
      <c r="L35" s="41"/>
      <c r="M35" s="34"/>
      <c r="N35">
        <v>-1.7</v>
      </c>
      <c r="O35">
        <f t="shared" si="6"/>
        <v>30.083444305061704</v>
      </c>
      <c r="P35">
        <f t="shared" si="7"/>
        <v>1.1152088525740364E-2</v>
      </c>
      <c r="S35" s="41"/>
      <c r="U35" s="41">
        <v>-1.7</v>
      </c>
      <c r="V35">
        <f t="shared" si="1"/>
        <v>36.999076949212373</v>
      </c>
      <c r="W35">
        <f t="shared" si="2"/>
        <v>6.5068868068247398E-3</v>
      </c>
      <c r="Y35" s="41"/>
      <c r="Z35" s="26"/>
      <c r="AF35" s="41"/>
    </row>
    <row r="36" spans="1:32" x14ac:dyDescent="0.35">
      <c r="A36" s="9"/>
      <c r="B36">
        <v>-1.6</v>
      </c>
      <c r="C36">
        <f t="shared" si="3"/>
        <v>40014.884733985571</v>
      </c>
      <c r="D36">
        <f t="shared" si="0"/>
        <v>6.6729996431122234E-6</v>
      </c>
      <c r="G36">
        <v>-1.6</v>
      </c>
      <c r="H36">
        <f t="shared" si="4"/>
        <v>3542.8394483039438</v>
      </c>
      <c r="I36">
        <f t="shared" si="5"/>
        <v>1.1392055985099493E-4</v>
      </c>
      <c r="L36" s="41"/>
      <c r="N36">
        <v>-1.6</v>
      </c>
      <c r="O36">
        <f t="shared" si="6"/>
        <v>29.240112787742682</v>
      </c>
      <c r="P36">
        <f t="shared" si="7"/>
        <v>1.3152696466518439E-2</v>
      </c>
      <c r="S36" s="41"/>
      <c r="U36" s="41">
        <v>-1.6</v>
      </c>
      <c r="V36">
        <f t="shared" si="1"/>
        <v>35.553699456580361</v>
      </c>
      <c r="W36">
        <f t="shared" si="2"/>
        <v>7.6741775242030281E-3</v>
      </c>
      <c r="Y36" s="41"/>
      <c r="AF36" s="41"/>
    </row>
    <row r="37" spans="1:32" x14ac:dyDescent="0.35">
      <c r="A37" s="9"/>
      <c r="B37">
        <v>-1.5</v>
      </c>
      <c r="C37">
        <f t="shared" si="3"/>
        <v>38352.65124662211</v>
      </c>
      <c r="D37">
        <f t="shared" si="0"/>
        <v>7.7917811577316482E-6</v>
      </c>
      <c r="G37">
        <v>-1.5</v>
      </c>
      <c r="H37">
        <f t="shared" si="4"/>
        <v>3445.4726210828194</v>
      </c>
      <c r="I37">
        <f t="shared" si="5"/>
        <v>1.3302024864356708E-4</v>
      </c>
      <c r="L37" s="41"/>
      <c r="N37">
        <v>-1.5</v>
      </c>
      <c r="O37">
        <f t="shared" si="6"/>
        <v>28.396781270423656</v>
      </c>
      <c r="P37">
        <f t="shared" si="7"/>
        <v>1.5357850739129507E-2</v>
      </c>
      <c r="S37" s="41"/>
      <c r="U37" s="41">
        <v>-1.5</v>
      </c>
      <c r="V37">
        <f t="shared" si="1"/>
        <v>34.108321963948342</v>
      </c>
      <c r="W37">
        <f t="shared" si="2"/>
        <v>8.9608144810696851E-3</v>
      </c>
      <c r="Y37" s="41"/>
      <c r="AF37" s="41"/>
    </row>
    <row r="38" spans="1:32" x14ac:dyDescent="0.35">
      <c r="A38" s="9"/>
      <c r="B38">
        <v>-1.4</v>
      </c>
      <c r="C38">
        <f t="shared" si="3"/>
        <v>36690.417759258649</v>
      </c>
      <c r="D38">
        <f t="shared" si="0"/>
        <v>9.0076073412065594E-6</v>
      </c>
      <c r="G38">
        <v>-1.4</v>
      </c>
      <c r="H38">
        <f t="shared" si="4"/>
        <v>3348.105793861695</v>
      </c>
      <c r="I38">
        <f t="shared" si="5"/>
        <v>1.5377667107885476E-4</v>
      </c>
      <c r="L38" s="41"/>
      <c r="N38">
        <v>-1.4</v>
      </c>
      <c r="O38">
        <f t="shared" si="6"/>
        <v>27.55344975310463</v>
      </c>
      <c r="P38">
        <f t="shared" si="7"/>
        <v>1.7754283168703703E-2</v>
      </c>
      <c r="S38" s="41"/>
      <c r="U38" s="41">
        <v>-1.4</v>
      </c>
      <c r="V38">
        <f t="shared" si="1"/>
        <v>32.662944471316322</v>
      </c>
      <c r="W38">
        <f t="shared" si="2"/>
        <v>1.0359056121947265E-2</v>
      </c>
      <c r="Y38" s="41"/>
      <c r="AF38" s="41"/>
    </row>
    <row r="39" spans="1:32" x14ac:dyDescent="0.35">
      <c r="A39" s="9"/>
      <c r="B39">
        <v>-1.3</v>
      </c>
      <c r="C39">
        <f t="shared" si="3"/>
        <v>35028.184271895188</v>
      </c>
      <c r="D39">
        <f t="shared" si="0"/>
        <v>1.0309537941003851E-5</v>
      </c>
      <c r="G39">
        <v>-1.3</v>
      </c>
      <c r="H39">
        <f t="shared" si="4"/>
        <v>3250.7389666405711</v>
      </c>
      <c r="I39">
        <f t="shared" si="5"/>
        <v>1.7600305662484217E-4</v>
      </c>
      <c r="L39" s="41"/>
      <c r="N39">
        <v>-1.3</v>
      </c>
      <c r="O39">
        <f t="shared" si="6"/>
        <v>26.710118235785608</v>
      </c>
      <c r="P39">
        <f t="shared" si="7"/>
        <v>2.0320430166370796E-2</v>
      </c>
      <c r="S39" s="41"/>
      <c r="U39" s="41">
        <v>-1.3</v>
      </c>
      <c r="V39">
        <f t="shared" si="1"/>
        <v>31.217566978684303</v>
      </c>
      <c r="W39">
        <f t="shared" si="2"/>
        <v>1.1856320782728323E-2</v>
      </c>
      <c r="Y39" s="41"/>
      <c r="AF39" s="41"/>
    </row>
    <row r="40" spans="1:32" x14ac:dyDescent="0.35">
      <c r="B40">
        <v>-1.2</v>
      </c>
      <c r="C40">
        <f t="shared" si="3"/>
        <v>33365.950784531728</v>
      </c>
      <c r="D40">
        <f t="shared" si="0"/>
        <v>1.1682236969682269E-5</v>
      </c>
      <c r="G40">
        <v>-1.2</v>
      </c>
      <c r="H40">
        <f t="shared" si="4"/>
        <v>3153.3721394194467</v>
      </c>
      <c r="I40">
        <f t="shared" si="5"/>
        <v>1.9943759134947301E-4</v>
      </c>
      <c r="L40" s="41"/>
      <c r="N40">
        <v>-1.2</v>
      </c>
      <c r="O40">
        <f t="shared" si="6"/>
        <v>25.866786718466585</v>
      </c>
      <c r="P40">
        <f t="shared" si="7"/>
        <v>2.3026064008675531E-2</v>
      </c>
      <c r="S40" s="41"/>
      <c r="U40" s="41">
        <v>-1.2</v>
      </c>
      <c r="V40">
        <f t="shared" si="1"/>
        <v>29.772189486052284</v>
      </c>
      <c r="W40">
        <f t="shared" si="2"/>
        <v>1.3434971554012666E-2</v>
      </c>
      <c r="Y40" s="41"/>
      <c r="AF40" s="41"/>
    </row>
    <row r="41" spans="1:32" x14ac:dyDescent="0.35">
      <c r="B41">
        <v>-1.1000000000000001</v>
      </c>
      <c r="C41">
        <f t="shared" si="3"/>
        <v>31703.717297168274</v>
      </c>
      <c r="D41">
        <f t="shared" si="0"/>
        <v>1.3105991347707428E-5</v>
      </c>
      <c r="G41">
        <v>-1.1000000000000001</v>
      </c>
      <c r="H41">
        <f t="shared" si="4"/>
        <v>3056.0053121983228</v>
      </c>
      <c r="I41">
        <f t="shared" si="5"/>
        <v>2.2374373618830068E-4</v>
      </c>
      <c r="L41" s="41"/>
      <c r="N41">
        <v>-1.1000000000000001</v>
      </c>
      <c r="O41">
        <f t="shared" si="6"/>
        <v>25.023455201147563</v>
      </c>
      <c r="P41">
        <f t="shared" si="7"/>
        <v>2.5832329583164306E-2</v>
      </c>
      <c r="S41" s="41"/>
      <c r="U41" s="41">
        <v>-1.1000000000000001</v>
      </c>
      <c r="V41">
        <f t="shared" si="1"/>
        <v>28.326811993420272</v>
      </c>
      <c r="W41">
        <f t="shared" si="2"/>
        <v>1.5072337720981387E-2</v>
      </c>
      <c r="Y41" s="41"/>
      <c r="AF41" s="41"/>
    </row>
    <row r="42" spans="1:32" x14ac:dyDescent="0.35">
      <c r="B42">
        <v>-1</v>
      </c>
      <c r="C42">
        <f t="shared" si="3"/>
        <v>30041.483809804813</v>
      </c>
      <c r="D42">
        <f t="shared" si="0"/>
        <v>1.455696364912871E-5</v>
      </c>
      <c r="G42">
        <v>-1</v>
      </c>
      <c r="H42">
        <f t="shared" si="4"/>
        <v>2958.6384849771985</v>
      </c>
      <c r="I42">
        <f t="shared" si="5"/>
        <v>2.4851454178497346E-4</v>
      </c>
      <c r="L42" s="41"/>
      <c r="N42">
        <v>-1</v>
      </c>
      <c r="O42">
        <f t="shared" si="6"/>
        <v>24.18012368382854</v>
      </c>
      <c r="P42">
        <f t="shared" si="7"/>
        <v>2.8692242558226159E-2</v>
      </c>
      <c r="S42" s="41"/>
      <c r="U42" s="41">
        <v>-1</v>
      </c>
      <c r="V42">
        <f t="shared" si="1"/>
        <v>26.881434500788252</v>
      </c>
      <c r="W42">
        <f t="shared" si="2"/>
        <v>1.6741005429558559E-2</v>
      </c>
      <c r="Y42" s="41"/>
      <c r="AF42" s="41"/>
    </row>
    <row r="43" spans="1:32" x14ac:dyDescent="0.35">
      <c r="B43">
        <v>-0.9</v>
      </c>
      <c r="C43">
        <f t="shared" si="3"/>
        <v>28379.250322441352</v>
      </c>
      <c r="D43">
        <f t="shared" si="0"/>
        <v>1.6007693980513176E-5</v>
      </c>
      <c r="G43">
        <v>-0.9</v>
      </c>
      <c r="H43">
        <f t="shared" si="4"/>
        <v>2861.2716577560745</v>
      </c>
      <c r="I43">
        <f t="shared" si="5"/>
        <v>2.7328121650145186E-4</v>
      </c>
      <c r="L43" s="41"/>
      <c r="N43">
        <v>-0.9</v>
      </c>
      <c r="O43">
        <f t="shared" si="6"/>
        <v>23.336792166509515</v>
      </c>
      <c r="P43">
        <f t="shared" si="7"/>
        <v>3.1551678602579437E-2</v>
      </c>
      <c r="S43" s="41"/>
      <c r="U43" s="41">
        <v>-0.9</v>
      </c>
      <c r="V43">
        <f t="shared" si="1"/>
        <v>25.436057008156233</v>
      </c>
      <c r="W43">
        <f t="shared" si="2"/>
        <v>1.840939486432824E-2</v>
      </c>
      <c r="Y43" s="41"/>
      <c r="AF43" s="41"/>
    </row>
    <row r="44" spans="1:32" x14ac:dyDescent="0.35">
      <c r="B44">
        <v>-0.8</v>
      </c>
      <c r="C44">
        <f t="shared" si="3"/>
        <v>26717.016835077891</v>
      </c>
      <c r="D44">
        <f t="shared" si="0"/>
        <v>1.7427849635069922E-5</v>
      </c>
      <c r="G44">
        <v>-0.8</v>
      </c>
      <c r="H44">
        <f t="shared" si="4"/>
        <v>2763.9048305349506</v>
      </c>
      <c r="I44">
        <f t="shared" si="5"/>
        <v>2.9752592441323062E-4</v>
      </c>
      <c r="L44" s="41"/>
      <c r="N44">
        <v>-0.8</v>
      </c>
      <c r="O44">
        <f t="shared" si="6"/>
        <v>22.493460649190492</v>
      </c>
      <c r="P44">
        <f t="shared" si="7"/>
        <v>3.4350850977610904E-2</v>
      </c>
      <c r="S44" s="41"/>
      <c r="U44" s="41">
        <v>-0.8</v>
      </c>
      <c r="V44">
        <f t="shared" si="1"/>
        <v>23.990679515524221</v>
      </c>
      <c r="W44">
        <f t="shared" si="2"/>
        <v>2.0042622376384E-2</v>
      </c>
      <c r="Y44" s="41"/>
      <c r="AF44" s="41"/>
    </row>
    <row r="45" spans="1:32" x14ac:dyDescent="0.35">
      <c r="B45">
        <v>-0.7</v>
      </c>
      <c r="C45">
        <f t="shared" si="3"/>
        <v>25054.78334771443</v>
      </c>
      <c r="D45">
        <f t="shared" si="0"/>
        <v>1.8785202905642379E-5</v>
      </c>
      <c r="G45">
        <v>-0.7</v>
      </c>
      <c r="H45">
        <f t="shared" si="4"/>
        <v>2666.5380033138263</v>
      </c>
      <c r="I45">
        <f t="shared" si="5"/>
        <v>3.2069847840232027E-4</v>
      </c>
      <c r="L45" s="41"/>
      <c r="N45">
        <v>-0.7</v>
      </c>
      <c r="O45">
        <f t="shared" si="6"/>
        <v>21.650129131871466</v>
      </c>
      <c r="P45">
        <f t="shared" si="7"/>
        <v>3.7026237838166658E-2</v>
      </c>
      <c r="S45" s="41"/>
      <c r="U45" s="41">
        <v>-0.7</v>
      </c>
      <c r="V45">
        <f t="shared" si="1"/>
        <v>22.545302022892201</v>
      </c>
      <c r="W45">
        <f t="shared" si="2"/>
        <v>2.1603625001669985E-2</v>
      </c>
      <c r="Y45" s="41"/>
      <c r="AF45" s="41"/>
    </row>
    <row r="46" spans="1:32" x14ac:dyDescent="0.35">
      <c r="B46">
        <v>-0.6</v>
      </c>
      <c r="C46">
        <f t="shared" si="3"/>
        <v>23392.54986035097</v>
      </c>
      <c r="D46">
        <f t="shared" si="0"/>
        <v>2.0046798805644421E-5</v>
      </c>
      <c r="G46">
        <v>-0.6</v>
      </c>
      <c r="H46">
        <f t="shared" si="4"/>
        <v>2569.1711760927019</v>
      </c>
      <c r="I46">
        <f t="shared" si="5"/>
        <v>3.4223627533331522E-4</v>
      </c>
      <c r="L46" s="41"/>
      <c r="N46">
        <v>-0.6</v>
      </c>
      <c r="O46">
        <f t="shared" si="6"/>
        <v>20.806797614552444</v>
      </c>
      <c r="P46">
        <f t="shared" si="7"/>
        <v>3.9512883847995006E-2</v>
      </c>
      <c r="S46" s="41"/>
      <c r="U46" s="41">
        <v>-0.6</v>
      </c>
      <c r="V46">
        <f t="shared" si="1"/>
        <v>21.099924530260182</v>
      </c>
      <c r="W46">
        <f t="shared" si="2"/>
        <v>2.3054503379944094E-2</v>
      </c>
      <c r="Y46" s="41"/>
      <c r="AF46" s="41"/>
    </row>
    <row r="47" spans="1:32" x14ac:dyDescent="0.35">
      <c r="B47">
        <v>-0.5</v>
      </c>
      <c r="C47">
        <f t="shared" si="3"/>
        <v>21730.316372987512</v>
      </c>
      <c r="D47">
        <f t="shared" si="0"/>
        <v>2.1180257132391521E-5</v>
      </c>
      <c r="G47">
        <v>-0.5</v>
      </c>
      <c r="H47">
        <f t="shared" si="4"/>
        <v>2471.804348871578</v>
      </c>
      <c r="I47">
        <f t="shared" si="5"/>
        <v>3.6158652470491255E-4</v>
      </c>
      <c r="L47" s="41"/>
      <c r="N47">
        <v>-0.5</v>
      </c>
      <c r="O47">
        <f t="shared" si="6"/>
        <v>19.963466097233422</v>
      </c>
      <c r="P47">
        <f t="shared" si="7"/>
        <v>4.174696658836205E-2</v>
      </c>
      <c r="S47" s="41"/>
      <c r="U47" s="41">
        <v>-0.5</v>
      </c>
      <c r="V47">
        <f t="shared" si="1"/>
        <v>19.654547037628166</v>
      </c>
      <c r="W47">
        <f t="shared" si="2"/>
        <v>2.4358019172084393E-2</v>
      </c>
      <c r="Y47" s="41"/>
      <c r="AF47" s="41"/>
    </row>
    <row r="48" spans="1:32" x14ac:dyDescent="0.35">
      <c r="B48">
        <v>-0.4</v>
      </c>
      <c r="C48">
        <f t="shared" si="3"/>
        <v>20068.082885624055</v>
      </c>
      <c r="D48">
        <f t="shared" si="0"/>
        <v>2.2155139040511838E-5</v>
      </c>
      <c r="G48">
        <v>-0.4</v>
      </c>
      <c r="H48">
        <f t="shared" si="4"/>
        <v>2374.4375216504541</v>
      </c>
      <c r="I48">
        <f t="shared" si="5"/>
        <v>3.7822957860891003E-4</v>
      </c>
      <c r="L48" s="41"/>
      <c r="N48">
        <v>-0.4</v>
      </c>
      <c r="O48">
        <f t="shared" si="6"/>
        <v>19.120134579914399</v>
      </c>
      <c r="P48">
        <f t="shared" si="7"/>
        <v>4.3668490118105065E-2</v>
      </c>
      <c r="S48" s="41"/>
      <c r="U48" s="41">
        <v>-0.4</v>
      </c>
      <c r="V48">
        <f t="shared" si="1"/>
        <v>18.209169544996151</v>
      </c>
      <c r="W48">
        <f t="shared" si="2"/>
        <v>2.5479166666190937E-2</v>
      </c>
      <c r="Y48" s="41"/>
      <c r="AF48" s="41"/>
    </row>
    <row r="49" spans="2:32" x14ac:dyDescent="0.35">
      <c r="B49">
        <v>-0.3</v>
      </c>
      <c r="C49">
        <f t="shared" si="3"/>
        <v>18405.849398260594</v>
      </c>
      <c r="D49">
        <f t="shared" si="0"/>
        <v>2.2944298641550036E-5</v>
      </c>
      <c r="G49">
        <v>-0.3</v>
      </c>
      <c r="H49">
        <f t="shared" si="4"/>
        <v>2277.0706944293297</v>
      </c>
      <c r="I49">
        <f t="shared" si="5"/>
        <v>3.9170200605836362E-4</v>
      </c>
      <c r="L49" s="41"/>
      <c r="N49">
        <v>-0.3</v>
      </c>
      <c r="O49">
        <f t="shared" si="6"/>
        <v>18.276803062595373</v>
      </c>
      <c r="P49">
        <f t="shared" si="7"/>
        <v>4.5223949019831199E-2</v>
      </c>
      <c r="S49" s="41"/>
      <c r="U49" s="41">
        <v>-0.3</v>
      </c>
      <c r="V49">
        <f t="shared" si="1"/>
        <v>16.763792052364131</v>
      </c>
      <c r="W49">
        <f t="shared" si="2"/>
        <v>2.6386727163297725E-2</v>
      </c>
      <c r="Y49" s="41"/>
      <c r="AF49" s="41"/>
    </row>
    <row r="50" spans="2:32" x14ac:dyDescent="0.35">
      <c r="B50">
        <v>-0.2</v>
      </c>
      <c r="C50">
        <f t="shared" si="3"/>
        <v>16743.615910897133</v>
      </c>
      <c r="D50">
        <f t="shared" si="0"/>
        <v>2.3525136327009363E-5</v>
      </c>
      <c r="G50">
        <v>-0.2</v>
      </c>
      <c r="H50">
        <f t="shared" si="4"/>
        <v>2179.7038672082053</v>
      </c>
      <c r="I50">
        <f t="shared" si="5"/>
        <v>4.0161798955139173E-4</v>
      </c>
      <c r="L50" s="41"/>
      <c r="N50">
        <v>-0.2</v>
      </c>
      <c r="O50">
        <f t="shared" si="6"/>
        <v>17.433471545276351</v>
      </c>
      <c r="P50">
        <f t="shared" si="7"/>
        <v>4.6368798739858844E-2</v>
      </c>
      <c r="S50" s="41"/>
      <c r="U50" s="41">
        <v>-0.2</v>
      </c>
      <c r="V50">
        <f t="shared" si="1"/>
        <v>15.318414559732114</v>
      </c>
      <c r="W50">
        <f t="shared" si="2"/>
        <v>2.7054710341681824E-2</v>
      </c>
      <c r="Y50" s="41"/>
      <c r="AF50" s="41"/>
    </row>
    <row r="51" spans="2:32" x14ac:dyDescent="0.35">
      <c r="B51">
        <v>-0.1</v>
      </c>
      <c r="C51">
        <f t="shared" si="3"/>
        <v>15081.382423533672</v>
      </c>
      <c r="D51">
        <f t="shared" si="0"/>
        <v>2.3880673232413057E-5</v>
      </c>
      <c r="G51">
        <v>-0.1</v>
      </c>
      <c r="H51">
        <f t="shared" si="4"/>
        <v>2082.3370399870814</v>
      </c>
      <c r="I51">
        <f t="shared" si="5"/>
        <v>4.0768766817831704E-4</v>
      </c>
      <c r="L51" s="41"/>
      <c r="N51">
        <v>-0.1</v>
      </c>
      <c r="O51">
        <f t="shared" si="6"/>
        <v>16.590140027957325</v>
      </c>
      <c r="P51">
        <f t="shared" si="7"/>
        <v>4.7069573391367608E-2</v>
      </c>
      <c r="S51" s="41"/>
      <c r="U51" s="41">
        <v>-0.1</v>
      </c>
      <c r="V51">
        <f t="shared" si="1"/>
        <v>13.873037067100096</v>
      </c>
      <c r="W51">
        <f t="shared" si="2"/>
        <v>2.7463589927235226E-2</v>
      </c>
      <c r="Y51" s="41"/>
      <c r="AF51" s="41"/>
    </row>
    <row r="52" spans="2:32" x14ac:dyDescent="0.35">
      <c r="B52">
        <v>0</v>
      </c>
      <c r="C52">
        <f t="shared" si="3"/>
        <v>13419.148936170213</v>
      </c>
      <c r="D52">
        <f t="shared" si="0"/>
        <v>2.4000375605127066E-5</v>
      </c>
      <c r="G52">
        <v>0</v>
      </c>
      <c r="H52">
        <f t="shared" si="4"/>
        <v>1984.9702127659573</v>
      </c>
      <c r="I52">
        <f t="shared" si="5"/>
        <v>4.0973121111918147E-4</v>
      </c>
      <c r="L52" s="41"/>
      <c r="N52">
        <v>0</v>
      </c>
      <c r="O52">
        <f t="shared" si="6"/>
        <v>15.746808510638303</v>
      </c>
      <c r="P52">
        <f t="shared" si="7"/>
        <v>4.7305510609834941E-2</v>
      </c>
      <c r="S52" s="41"/>
      <c r="U52" s="41">
        <v>0</v>
      </c>
      <c r="V52">
        <f t="shared" si="1"/>
        <v>12.427659574468079</v>
      </c>
      <c r="W52">
        <f t="shared" si="2"/>
        <v>2.7601251744619529E-2</v>
      </c>
      <c r="Y52" s="41"/>
      <c r="AF52" s="41"/>
    </row>
    <row r="53" spans="2:32" x14ac:dyDescent="0.35">
      <c r="B53">
        <v>0.1</v>
      </c>
      <c r="C53">
        <f t="shared" si="3"/>
        <v>11756.915448806754</v>
      </c>
      <c r="D53">
        <f t="shared" si="0"/>
        <v>2.3880673232413057E-5</v>
      </c>
      <c r="G53">
        <v>0.1</v>
      </c>
      <c r="H53">
        <f t="shared" si="4"/>
        <v>1887.6033855448331</v>
      </c>
      <c r="I53">
        <f t="shared" si="5"/>
        <v>4.0768766817831704E-4</v>
      </c>
      <c r="L53" s="41"/>
      <c r="N53">
        <v>0.1</v>
      </c>
      <c r="O53">
        <f t="shared" si="6"/>
        <v>14.903476993319279</v>
      </c>
      <c r="P53">
        <f t="shared" si="7"/>
        <v>4.7069573391367608E-2</v>
      </c>
      <c r="S53" s="41"/>
      <c r="U53" s="41">
        <v>0.1</v>
      </c>
      <c r="V53">
        <f t="shared" si="1"/>
        <v>10.982282081836061</v>
      </c>
      <c r="W53">
        <f t="shared" si="2"/>
        <v>2.7463589927235226E-2</v>
      </c>
      <c r="Y53" s="41"/>
      <c r="AF53" s="41"/>
    </row>
    <row r="54" spans="2:32" x14ac:dyDescent="0.35">
      <c r="B54">
        <v>0.2</v>
      </c>
      <c r="C54">
        <f t="shared" si="3"/>
        <v>10094.681961443293</v>
      </c>
      <c r="D54">
        <f t="shared" ref="D54:D82" si="8">_xlfn.NORM.DIST(C54,$B$5,$B$6,FALSE)</f>
        <v>2.3525136327009363E-5</v>
      </c>
      <c r="G54">
        <v>0.2</v>
      </c>
      <c r="H54">
        <f t="shared" si="4"/>
        <v>1790.236558323709</v>
      </c>
      <c r="I54">
        <f t="shared" si="5"/>
        <v>4.0161798955139167E-4</v>
      </c>
      <c r="L54" s="41"/>
      <c r="N54">
        <v>0.2</v>
      </c>
      <c r="O54">
        <f t="shared" si="6"/>
        <v>14.060145476000255</v>
      </c>
      <c r="P54">
        <f t="shared" si="7"/>
        <v>4.6368798739858844E-2</v>
      </c>
      <c r="S54" s="41"/>
      <c r="U54" s="41">
        <v>0.2</v>
      </c>
      <c r="V54">
        <f t="shared" ref="V54:V82" si="9">$Y$8-$Y$9*U54</f>
        <v>9.5369045892040436</v>
      </c>
      <c r="W54">
        <f t="shared" ref="W54:W82" si="10">_xlfn.NORM.DIST(V54,$Y$8,$Y$9,FALSE)</f>
        <v>2.7054710341681824E-2</v>
      </c>
      <c r="Y54" s="41"/>
      <c r="AF54" s="41"/>
    </row>
    <row r="55" spans="2:32" x14ac:dyDescent="0.35">
      <c r="B55">
        <v>0.3</v>
      </c>
      <c r="C55">
        <f t="shared" si="3"/>
        <v>8432.4484740798343</v>
      </c>
      <c r="D55">
        <f t="shared" si="8"/>
        <v>2.294429864155004E-5</v>
      </c>
      <c r="G55">
        <v>0.3</v>
      </c>
      <c r="H55">
        <f t="shared" si="4"/>
        <v>1692.8697311025849</v>
      </c>
      <c r="I55">
        <f t="shared" si="5"/>
        <v>3.9170200605836362E-4</v>
      </c>
      <c r="L55" s="41"/>
      <c r="N55">
        <v>0.3</v>
      </c>
      <c r="O55">
        <f t="shared" si="6"/>
        <v>13.216813958681232</v>
      </c>
      <c r="P55">
        <f t="shared" si="7"/>
        <v>4.5223949019831199E-2</v>
      </c>
      <c r="S55" s="41"/>
      <c r="U55" s="41">
        <v>0.3</v>
      </c>
      <c r="V55">
        <f t="shared" si="9"/>
        <v>8.0915270965720261</v>
      </c>
      <c r="W55">
        <f t="shared" si="10"/>
        <v>2.6386727163297725E-2</v>
      </c>
      <c r="Y55" s="41"/>
      <c r="AF55" s="41"/>
    </row>
    <row r="56" spans="2:32" x14ac:dyDescent="0.35">
      <c r="B56">
        <v>0.4</v>
      </c>
      <c r="C56">
        <f t="shared" si="3"/>
        <v>6770.2149867163735</v>
      </c>
      <c r="D56">
        <f t="shared" si="8"/>
        <v>2.2155139040511838E-5</v>
      </c>
      <c r="G56">
        <v>0.4</v>
      </c>
      <c r="H56">
        <f t="shared" si="4"/>
        <v>1595.5029038814607</v>
      </c>
      <c r="I56">
        <f t="shared" si="5"/>
        <v>3.7822957860891003E-4</v>
      </c>
      <c r="L56" s="41"/>
      <c r="N56">
        <v>0.4</v>
      </c>
      <c r="O56">
        <f t="shared" si="6"/>
        <v>12.373482441362208</v>
      </c>
      <c r="P56">
        <f t="shared" si="7"/>
        <v>4.3668490118105065E-2</v>
      </c>
      <c r="S56" s="41"/>
      <c r="U56" s="41">
        <v>0.4</v>
      </c>
      <c r="V56">
        <f t="shared" si="9"/>
        <v>6.6461496039400085</v>
      </c>
      <c r="W56">
        <f t="shared" si="10"/>
        <v>2.5479166666190937E-2</v>
      </c>
      <c r="Y56" s="41"/>
      <c r="AF56" s="41"/>
    </row>
    <row r="57" spans="2:32" x14ac:dyDescent="0.35">
      <c r="B57">
        <v>0.5</v>
      </c>
      <c r="C57">
        <f t="shared" si="3"/>
        <v>5107.9814993529144</v>
      </c>
      <c r="D57">
        <f t="shared" si="8"/>
        <v>2.1180257132391521E-5</v>
      </c>
      <c r="G57">
        <v>0.5</v>
      </c>
      <c r="H57">
        <f t="shared" si="4"/>
        <v>1498.1360766603366</v>
      </c>
      <c r="I57">
        <f t="shared" si="5"/>
        <v>3.6158652470491255E-4</v>
      </c>
      <c r="L57" s="41"/>
      <c r="N57">
        <v>0.5</v>
      </c>
      <c r="O57">
        <f t="shared" si="6"/>
        <v>11.530150924043184</v>
      </c>
      <c r="P57">
        <f t="shared" si="7"/>
        <v>4.174696658836205E-2</v>
      </c>
      <c r="S57" s="41"/>
      <c r="U57" s="41">
        <v>0.5</v>
      </c>
      <c r="V57">
        <f t="shared" si="9"/>
        <v>5.2007721113079919</v>
      </c>
      <c r="W57">
        <f t="shared" si="10"/>
        <v>2.4358019172084397E-2</v>
      </c>
      <c r="Y57" s="41"/>
      <c r="AF57" s="41"/>
    </row>
    <row r="58" spans="2:32" x14ac:dyDescent="0.35">
      <c r="B58">
        <v>0.6</v>
      </c>
      <c r="C58">
        <f t="shared" si="3"/>
        <v>3445.7480119894553</v>
      </c>
      <c r="D58">
        <f t="shared" si="8"/>
        <v>2.0046798805644417E-5</v>
      </c>
      <c r="G58">
        <v>0.6</v>
      </c>
      <c r="H58">
        <f t="shared" si="4"/>
        <v>1400.7692494392127</v>
      </c>
      <c r="I58">
        <f t="shared" si="5"/>
        <v>3.4223627533331522E-4</v>
      </c>
      <c r="L58" s="41"/>
      <c r="N58">
        <v>0.6</v>
      </c>
      <c r="O58">
        <f t="shared" si="6"/>
        <v>10.686819406724162</v>
      </c>
      <c r="P58">
        <f t="shared" si="7"/>
        <v>3.9512883847995006E-2</v>
      </c>
      <c r="S58" s="41"/>
      <c r="U58" s="41">
        <v>0.6</v>
      </c>
      <c r="V58">
        <f t="shared" si="9"/>
        <v>3.7553946186759752</v>
      </c>
      <c r="W58">
        <f t="shared" si="10"/>
        <v>2.3054503379944094E-2</v>
      </c>
      <c r="Y58" s="41"/>
      <c r="AF58" s="41"/>
    </row>
    <row r="59" spans="2:32" x14ac:dyDescent="0.35">
      <c r="B59">
        <v>0.7</v>
      </c>
      <c r="C59">
        <f t="shared" si="3"/>
        <v>1783.5145246259963</v>
      </c>
      <c r="D59">
        <f t="shared" si="8"/>
        <v>1.8785202905642379E-5</v>
      </c>
      <c r="G59">
        <v>0.7</v>
      </c>
      <c r="H59">
        <f t="shared" si="4"/>
        <v>1303.4024222180883</v>
      </c>
      <c r="I59">
        <f t="shared" si="5"/>
        <v>3.2069847840232027E-4</v>
      </c>
      <c r="L59" s="41"/>
      <c r="N59">
        <v>0.7</v>
      </c>
      <c r="O59">
        <f t="shared" si="6"/>
        <v>9.8434878894051394</v>
      </c>
      <c r="P59">
        <f t="shared" si="7"/>
        <v>3.7026237838166658E-2</v>
      </c>
      <c r="S59" s="41"/>
      <c r="U59" s="41">
        <v>0.7</v>
      </c>
      <c r="V59">
        <f t="shared" si="9"/>
        <v>2.3100171260439577</v>
      </c>
      <c r="W59">
        <f t="shared" si="10"/>
        <v>2.1603625001669985E-2</v>
      </c>
      <c r="Y59" s="41"/>
      <c r="AF59" s="41"/>
    </row>
    <row r="60" spans="2:32" x14ac:dyDescent="0.35">
      <c r="B60">
        <v>0.8</v>
      </c>
      <c r="C60">
        <f t="shared" si="3"/>
        <v>121.28103726253357</v>
      </c>
      <c r="D60">
        <f t="shared" si="8"/>
        <v>1.7427849635069918E-5</v>
      </c>
      <c r="G60">
        <v>0.8</v>
      </c>
      <c r="H60">
        <f t="shared" si="4"/>
        <v>1206.0355949969642</v>
      </c>
      <c r="I60">
        <f t="shared" si="5"/>
        <v>2.9752592441323068E-4</v>
      </c>
      <c r="L60" s="41"/>
      <c r="N60">
        <v>0.8</v>
      </c>
      <c r="O60">
        <f t="shared" si="6"/>
        <v>9.0001563720861135</v>
      </c>
      <c r="P60">
        <f t="shared" si="7"/>
        <v>3.4350850977610904E-2</v>
      </c>
      <c r="S60" s="41"/>
      <c r="U60" s="41">
        <v>0.8</v>
      </c>
      <c r="V60">
        <f t="shared" si="9"/>
        <v>0.86463963341193839</v>
      </c>
      <c r="W60">
        <f t="shared" si="10"/>
        <v>2.0042622376384E-2</v>
      </c>
      <c r="Y60" s="41"/>
      <c r="AF60" s="41"/>
    </row>
    <row r="61" spans="2:32" x14ac:dyDescent="0.35">
      <c r="B61">
        <v>0.9</v>
      </c>
      <c r="C61">
        <f t="shared" si="3"/>
        <v>-1540.9524501009255</v>
      </c>
      <c r="D61">
        <f t="shared" si="8"/>
        <v>1.6007693980513176E-5</v>
      </c>
      <c r="G61">
        <v>0.9</v>
      </c>
      <c r="H61">
        <f t="shared" si="4"/>
        <v>1108.66876777584</v>
      </c>
      <c r="I61">
        <f t="shared" si="5"/>
        <v>2.7328121650145186E-4</v>
      </c>
      <c r="L61" s="41"/>
      <c r="N61">
        <v>0.9</v>
      </c>
      <c r="O61">
        <f t="shared" si="6"/>
        <v>8.1568248547670912</v>
      </c>
      <c r="P61">
        <f t="shared" si="7"/>
        <v>3.1551678602579437E-2</v>
      </c>
      <c r="S61" s="41"/>
      <c r="U61" s="41">
        <v>0.9</v>
      </c>
      <c r="V61">
        <f t="shared" si="9"/>
        <v>-0.58073785922007737</v>
      </c>
      <c r="W61">
        <f t="shared" si="10"/>
        <v>1.8409394864328237E-2</v>
      </c>
      <c r="Y61" s="41"/>
      <c r="AF61" s="41"/>
    </row>
    <row r="62" spans="2:32" x14ac:dyDescent="0.35">
      <c r="B62">
        <v>1</v>
      </c>
      <c r="C62">
        <f t="shared" si="3"/>
        <v>-3203.1859374643846</v>
      </c>
      <c r="D62">
        <f t="shared" si="8"/>
        <v>1.4556963649128714E-5</v>
      </c>
      <c r="G62">
        <v>1</v>
      </c>
      <c r="H62">
        <f t="shared" si="4"/>
        <v>1011.301940554716</v>
      </c>
      <c r="I62">
        <f t="shared" si="5"/>
        <v>2.4851454178497341E-4</v>
      </c>
      <c r="L62" s="41"/>
      <c r="N62">
        <v>1</v>
      </c>
      <c r="O62">
        <f t="shared" si="6"/>
        <v>7.3134933374480671</v>
      </c>
      <c r="P62">
        <f t="shared" si="7"/>
        <v>2.8692242558226166E-2</v>
      </c>
      <c r="S62" s="41"/>
      <c r="U62" s="41">
        <v>1</v>
      </c>
      <c r="V62">
        <f t="shared" si="9"/>
        <v>-2.0261153518520949</v>
      </c>
      <c r="W62">
        <f t="shared" si="10"/>
        <v>1.6741005429558559E-2</v>
      </c>
      <c r="Y62" s="41"/>
      <c r="AF62" s="41"/>
    </row>
    <row r="63" spans="2:32" x14ac:dyDescent="0.35">
      <c r="B63">
        <v>1.1000000000000001</v>
      </c>
      <c r="C63">
        <f t="shared" si="3"/>
        <v>-4865.4194248278454</v>
      </c>
      <c r="D63">
        <f t="shared" si="8"/>
        <v>1.3105991347707431E-5</v>
      </c>
      <c r="G63">
        <v>1.1000000000000001</v>
      </c>
      <c r="H63">
        <f t="shared" si="4"/>
        <v>913.93511333359174</v>
      </c>
      <c r="I63">
        <f t="shared" si="5"/>
        <v>2.2374373618830068E-4</v>
      </c>
      <c r="L63" s="41"/>
      <c r="N63">
        <v>1.1000000000000001</v>
      </c>
      <c r="O63">
        <f t="shared" si="6"/>
        <v>6.470161820129043</v>
      </c>
      <c r="P63">
        <f t="shared" si="7"/>
        <v>2.5832329583164306E-2</v>
      </c>
      <c r="S63" s="41"/>
      <c r="U63" s="41">
        <v>1.1000000000000001</v>
      </c>
      <c r="V63">
        <f t="shared" si="9"/>
        <v>-3.4714928444841142</v>
      </c>
      <c r="W63">
        <f t="shared" si="10"/>
        <v>1.5072337720981387E-2</v>
      </c>
      <c r="Y63" s="41"/>
      <c r="AF63" s="41"/>
    </row>
    <row r="64" spans="2:32" x14ac:dyDescent="0.35">
      <c r="B64">
        <v>1.2</v>
      </c>
      <c r="C64">
        <f t="shared" si="3"/>
        <v>-6527.6529121913027</v>
      </c>
      <c r="D64">
        <f t="shared" si="8"/>
        <v>1.1682236969682269E-5</v>
      </c>
      <c r="G64">
        <v>1.2</v>
      </c>
      <c r="H64">
        <f t="shared" si="4"/>
        <v>816.56828611246783</v>
      </c>
      <c r="I64">
        <f t="shared" si="5"/>
        <v>1.9943759134947301E-4</v>
      </c>
      <c r="L64" s="41"/>
      <c r="N64">
        <v>1.2</v>
      </c>
      <c r="O64">
        <f t="shared" si="6"/>
        <v>5.6268303028100206</v>
      </c>
      <c r="P64">
        <f t="shared" si="7"/>
        <v>2.3026064008675531E-2</v>
      </c>
      <c r="S64" s="41"/>
      <c r="U64" s="41">
        <v>1.2</v>
      </c>
      <c r="V64">
        <f t="shared" si="9"/>
        <v>-4.9168703371161282</v>
      </c>
      <c r="W64">
        <f t="shared" si="10"/>
        <v>1.3434971554012659E-2</v>
      </c>
      <c r="Y64" s="41"/>
      <c r="AF64" s="41"/>
    </row>
    <row r="65" spans="2:32" x14ac:dyDescent="0.35">
      <c r="B65">
        <v>1.3</v>
      </c>
      <c r="C65">
        <f t="shared" si="3"/>
        <v>-8189.8863995547636</v>
      </c>
      <c r="D65">
        <f t="shared" si="8"/>
        <v>1.0309537941003851E-5</v>
      </c>
      <c r="G65">
        <v>1.3</v>
      </c>
      <c r="H65">
        <f t="shared" si="4"/>
        <v>719.20145889134346</v>
      </c>
      <c r="I65">
        <f t="shared" si="5"/>
        <v>1.7600305662484217E-4</v>
      </c>
      <c r="L65" s="41"/>
      <c r="N65">
        <v>1.3</v>
      </c>
      <c r="O65">
        <f t="shared" si="6"/>
        <v>4.7834987854909965</v>
      </c>
      <c r="P65">
        <f t="shared" si="7"/>
        <v>2.0320430166370786E-2</v>
      </c>
      <c r="S65" s="41"/>
      <c r="U65" s="41">
        <v>1.3</v>
      </c>
      <c r="V65">
        <f t="shared" si="9"/>
        <v>-6.3622478297481475</v>
      </c>
      <c r="W65">
        <f t="shared" si="10"/>
        <v>1.185632078272832E-2</v>
      </c>
      <c r="Y65" s="41"/>
      <c r="AF65" s="41"/>
    </row>
    <row r="66" spans="2:32" x14ac:dyDescent="0.35">
      <c r="B66">
        <v>1.4</v>
      </c>
      <c r="C66">
        <f t="shared" si="3"/>
        <v>-9852.1198869182208</v>
      </c>
      <c r="D66">
        <f t="shared" si="8"/>
        <v>9.0076073412065628E-6</v>
      </c>
      <c r="G66">
        <v>1.4</v>
      </c>
      <c r="H66">
        <f t="shared" si="4"/>
        <v>621.83463167021955</v>
      </c>
      <c r="I66">
        <f t="shared" si="5"/>
        <v>1.5377667107885476E-4</v>
      </c>
      <c r="L66" s="41"/>
      <c r="N66">
        <v>1.4</v>
      </c>
      <c r="O66">
        <f t="shared" si="6"/>
        <v>3.9401672681719742</v>
      </c>
      <c r="P66">
        <f t="shared" si="7"/>
        <v>1.7754283168703693E-2</v>
      </c>
      <c r="S66" s="41"/>
      <c r="U66" s="41">
        <v>1.4</v>
      </c>
      <c r="V66">
        <f t="shared" si="9"/>
        <v>-7.8076253223801633</v>
      </c>
      <c r="W66">
        <f t="shared" si="10"/>
        <v>1.0359056121947265E-2</v>
      </c>
      <c r="Y66" s="41"/>
      <c r="AF66" s="41"/>
    </row>
    <row r="67" spans="2:32" x14ac:dyDescent="0.35">
      <c r="B67">
        <v>1.5</v>
      </c>
      <c r="C67">
        <f t="shared" si="3"/>
        <v>-11514.353374281685</v>
      </c>
      <c r="D67">
        <f t="shared" si="8"/>
        <v>7.7917811577316482E-6</v>
      </c>
      <c r="G67">
        <v>1.5</v>
      </c>
      <c r="H67">
        <f t="shared" si="4"/>
        <v>524.46780444909541</v>
      </c>
      <c r="I67">
        <f t="shared" si="5"/>
        <v>1.3302024864356716E-4</v>
      </c>
      <c r="L67" s="41"/>
      <c r="N67">
        <v>1.5</v>
      </c>
      <c r="O67">
        <f t="shared" si="6"/>
        <v>3.09683575085295</v>
      </c>
      <c r="P67">
        <f t="shared" si="7"/>
        <v>1.5357850739129507E-2</v>
      </c>
      <c r="S67" s="41"/>
      <c r="U67" s="41">
        <v>1.5</v>
      </c>
      <c r="V67">
        <f t="shared" si="9"/>
        <v>-9.2530028150121826</v>
      </c>
      <c r="W67">
        <f t="shared" si="10"/>
        <v>8.9608144810696851E-3</v>
      </c>
      <c r="Y67" s="41"/>
      <c r="AF67" s="41"/>
    </row>
    <row r="68" spans="2:32" x14ac:dyDescent="0.35">
      <c r="B68">
        <v>1.6</v>
      </c>
      <c r="C68">
        <f t="shared" si="3"/>
        <v>-13176.586861645146</v>
      </c>
      <c r="D68">
        <f t="shared" si="8"/>
        <v>6.6729996431122234E-6</v>
      </c>
      <c r="G68">
        <v>1.6</v>
      </c>
      <c r="H68">
        <f t="shared" si="4"/>
        <v>427.10097722797104</v>
      </c>
      <c r="I68">
        <f t="shared" si="5"/>
        <v>1.1392055985099494E-4</v>
      </c>
      <c r="L68" s="41"/>
      <c r="N68">
        <v>1.6</v>
      </c>
      <c r="O68">
        <f t="shared" si="6"/>
        <v>2.2535042335339242</v>
      </c>
      <c r="P68">
        <f t="shared" si="7"/>
        <v>1.3152696466518439E-2</v>
      </c>
      <c r="S68" s="41"/>
      <c r="U68" s="41">
        <v>1.6</v>
      </c>
      <c r="V68">
        <f t="shared" si="9"/>
        <v>-10.698380307644202</v>
      </c>
      <c r="W68">
        <f t="shared" si="10"/>
        <v>7.6741775242030281E-3</v>
      </c>
      <c r="Y68" s="41"/>
      <c r="AF68" s="41"/>
    </row>
    <row r="69" spans="2:32" x14ac:dyDescent="0.35">
      <c r="B69">
        <v>1.7</v>
      </c>
      <c r="C69">
        <f t="shared" si="3"/>
        <v>-14838.820349008603</v>
      </c>
      <c r="D69">
        <f t="shared" si="8"/>
        <v>5.657994384775766E-6</v>
      </c>
      <c r="G69">
        <v>1.7</v>
      </c>
      <c r="H69">
        <f t="shared" si="4"/>
        <v>329.73415000684713</v>
      </c>
      <c r="I69">
        <f t="shared" si="5"/>
        <v>9.659252546382924E-5</v>
      </c>
      <c r="L69" s="41"/>
      <c r="N69">
        <v>1.7</v>
      </c>
      <c r="O69">
        <f t="shared" si="6"/>
        <v>1.4101727162149018</v>
      </c>
      <c r="P69">
        <f t="shared" si="7"/>
        <v>1.1152088525740364E-2</v>
      </c>
      <c r="S69" s="41"/>
      <c r="U69" s="41">
        <v>1.7</v>
      </c>
      <c r="V69">
        <f t="shared" si="9"/>
        <v>-12.143757800276214</v>
      </c>
      <c r="W69">
        <f t="shared" si="10"/>
        <v>6.5068868068247398E-3</v>
      </c>
      <c r="Y69" s="41"/>
      <c r="AF69" s="41"/>
    </row>
    <row r="70" spans="2:32" x14ac:dyDescent="0.35">
      <c r="B70">
        <v>1.8</v>
      </c>
      <c r="C70">
        <f t="shared" si="3"/>
        <v>-16501.053836372063</v>
      </c>
      <c r="D70">
        <f t="shared" si="8"/>
        <v>4.7496431097727691E-6</v>
      </c>
      <c r="G70">
        <v>1.8</v>
      </c>
      <c r="H70">
        <f t="shared" si="4"/>
        <v>232.36732278572299</v>
      </c>
      <c r="I70">
        <f t="shared" si="5"/>
        <v>8.1085273654439861E-5</v>
      </c>
      <c r="L70" s="41"/>
      <c r="N70">
        <v>1.8</v>
      </c>
      <c r="O70">
        <f t="shared" si="6"/>
        <v>0.5668411988958777</v>
      </c>
      <c r="P70">
        <f t="shared" si="7"/>
        <v>9.361699009172466E-3</v>
      </c>
      <c r="S70" s="41"/>
      <c r="U70" s="41">
        <v>1.8</v>
      </c>
      <c r="V70">
        <f t="shared" si="9"/>
        <v>-13.589135292908233</v>
      </c>
      <c r="W70">
        <f t="shared" si="10"/>
        <v>5.4622518133395541E-3</v>
      </c>
      <c r="Y70" s="41"/>
      <c r="AF70" s="41"/>
    </row>
    <row r="71" spans="2:32" x14ac:dyDescent="0.35">
      <c r="B71">
        <v>1.9</v>
      </c>
      <c r="C71">
        <f t="shared" si="3"/>
        <v>-18163.287323735523</v>
      </c>
      <c r="D71">
        <f t="shared" si="8"/>
        <v>3.9474487353008796E-6</v>
      </c>
      <c r="G71">
        <v>1.9</v>
      </c>
      <c r="H71">
        <f t="shared" si="4"/>
        <v>135.00049556459885</v>
      </c>
      <c r="I71">
        <f t="shared" si="5"/>
        <v>6.7390318291526887E-5</v>
      </c>
      <c r="L71" s="41"/>
      <c r="N71">
        <v>1.9</v>
      </c>
      <c r="O71">
        <f t="shared" si="6"/>
        <v>-0.27649031842314287</v>
      </c>
      <c r="P71">
        <f t="shared" si="7"/>
        <v>7.7805481506574422E-3</v>
      </c>
      <c r="S71" s="41"/>
      <c r="U71" s="41">
        <v>1.9</v>
      </c>
      <c r="V71">
        <f t="shared" si="9"/>
        <v>-15.034512785540249</v>
      </c>
      <c r="W71">
        <f t="shared" si="10"/>
        <v>4.5397008815455456E-3</v>
      </c>
      <c r="Y71" s="41"/>
      <c r="AF71" s="41"/>
    </row>
    <row r="72" spans="2:32" x14ac:dyDescent="0.35">
      <c r="B72">
        <v>2</v>
      </c>
      <c r="C72">
        <f t="shared" si="3"/>
        <v>-19825.520811098984</v>
      </c>
      <c r="D72">
        <f t="shared" si="8"/>
        <v>3.2480976303049615E-6</v>
      </c>
      <c r="G72">
        <v>2</v>
      </c>
      <c r="H72">
        <f t="shared" si="4"/>
        <v>37.63366834347471</v>
      </c>
      <c r="I72">
        <f t="shared" si="5"/>
        <v>5.5451089507694776E-5</v>
      </c>
      <c r="L72" s="41"/>
      <c r="N72">
        <v>2</v>
      </c>
      <c r="O72">
        <f t="shared" si="6"/>
        <v>-1.1198218357421688</v>
      </c>
      <c r="P72">
        <f t="shared" si="7"/>
        <v>6.402104677034599E-3</v>
      </c>
      <c r="S72" s="41"/>
      <c r="U72" s="41">
        <v>2</v>
      </c>
      <c r="V72">
        <f t="shared" si="9"/>
        <v>-16.47989027817227</v>
      </c>
      <c r="W72">
        <f t="shared" si="10"/>
        <v>3.7354232225431309E-3</v>
      </c>
      <c r="Y72" s="41"/>
      <c r="AF72" s="41"/>
    </row>
    <row r="73" spans="2:32" x14ac:dyDescent="0.35">
      <c r="B73">
        <v>2.1</v>
      </c>
      <c r="C73">
        <f t="shared" si="3"/>
        <v>-21487.754298462445</v>
      </c>
      <c r="D73">
        <f t="shared" si="8"/>
        <v>2.6460540179702114E-6</v>
      </c>
      <c r="G73">
        <v>2.1</v>
      </c>
      <c r="H73">
        <f t="shared" si="4"/>
        <v>-59.73315887764943</v>
      </c>
      <c r="I73">
        <f t="shared" si="5"/>
        <v>4.5173081259532688E-5</v>
      </c>
      <c r="L73" s="41"/>
      <c r="N73">
        <v>2.1</v>
      </c>
      <c r="O73">
        <f t="shared" si="6"/>
        <v>-1.9631533530611947</v>
      </c>
      <c r="P73">
        <f t="shared" si="7"/>
        <v>5.2154573945312008E-3</v>
      </c>
      <c r="S73" s="41"/>
      <c r="U73" s="41">
        <v>2.1</v>
      </c>
      <c r="V73">
        <f t="shared" si="9"/>
        <v>-17.92526777080429</v>
      </c>
      <c r="W73">
        <f t="shared" si="10"/>
        <v>3.0430525039056395E-3</v>
      </c>
      <c r="Y73" s="41"/>
      <c r="AF73" s="41"/>
    </row>
    <row r="74" spans="2:32" x14ac:dyDescent="0.35">
      <c r="B74">
        <v>2.2000000000000002</v>
      </c>
      <c r="C74">
        <f t="shared" si="3"/>
        <v>-23149.987785825906</v>
      </c>
      <c r="D74">
        <f t="shared" si="8"/>
        <v>2.1341522184406959E-6</v>
      </c>
      <c r="G74">
        <v>2.2000000000000002</v>
      </c>
      <c r="H74">
        <f t="shared" si="4"/>
        <v>-157.0999860987738</v>
      </c>
      <c r="I74">
        <f t="shared" si="5"/>
        <v>3.6433962016310893E-5</v>
      </c>
      <c r="L74" s="41"/>
      <c r="N74">
        <v>2.2000000000000002</v>
      </c>
      <c r="O74">
        <f t="shared" si="6"/>
        <v>-2.806484870380217</v>
      </c>
      <c r="P74">
        <f t="shared" si="7"/>
        <v>4.2064825181686825E-3</v>
      </c>
      <c r="S74" s="41"/>
      <c r="U74" s="41">
        <v>2.2000000000000002</v>
      </c>
      <c r="V74">
        <f t="shared" si="9"/>
        <v>-19.370645263436309</v>
      </c>
      <c r="W74">
        <f t="shared" si="10"/>
        <v>2.4543479490352739E-3</v>
      </c>
      <c r="Y74" s="41"/>
      <c r="AF74" s="41"/>
    </row>
    <row r="75" spans="2:32" x14ac:dyDescent="0.35">
      <c r="B75">
        <v>2.2999999999999998</v>
      </c>
      <c r="C75">
        <f t="shared" si="3"/>
        <v>-24812.22127318936</v>
      </c>
      <c r="D75">
        <f t="shared" si="8"/>
        <v>1.704155159726202E-6</v>
      </c>
      <c r="G75">
        <v>2.2999999999999998</v>
      </c>
      <c r="H75">
        <f t="shared" si="4"/>
        <v>-254.46681331989771</v>
      </c>
      <c r="I75">
        <f t="shared" si="5"/>
        <v>2.9093109583687367E-5</v>
      </c>
      <c r="L75" s="41"/>
      <c r="N75">
        <v>2.2999999999999998</v>
      </c>
      <c r="O75">
        <f t="shared" si="6"/>
        <v>-3.6498163876992393</v>
      </c>
      <c r="P75">
        <f t="shared" si="7"/>
        <v>3.3589445146854822E-3</v>
      </c>
      <c r="S75" s="41"/>
      <c r="U75" s="41">
        <v>2.2999999999999998</v>
      </c>
      <c r="V75">
        <f t="shared" si="9"/>
        <v>-20.816022756068314</v>
      </c>
      <c r="W75">
        <f t="shared" si="10"/>
        <v>1.9598366437834831E-3</v>
      </c>
      <c r="Y75" s="41"/>
      <c r="AF75" s="41"/>
    </row>
    <row r="76" spans="2:32" x14ac:dyDescent="0.35">
      <c r="B76">
        <v>2.4</v>
      </c>
      <c r="C76">
        <f t="shared" si="3"/>
        <v>-26474.454760552821</v>
      </c>
      <c r="D76">
        <f t="shared" si="8"/>
        <v>1.3472553925239366E-6</v>
      </c>
      <c r="G76">
        <v>2.4</v>
      </c>
      <c r="H76">
        <f t="shared" si="4"/>
        <v>-351.83364054102162</v>
      </c>
      <c r="I76">
        <f t="shared" si="5"/>
        <v>2.3000164361917624E-5</v>
      </c>
      <c r="L76" s="41"/>
      <c r="N76">
        <v>2.4</v>
      </c>
      <c r="O76">
        <f t="shared" si="6"/>
        <v>-4.4931479050182617</v>
      </c>
      <c r="P76">
        <f t="shared" si="7"/>
        <v>2.6554836188306813E-3</v>
      </c>
      <c r="S76" s="41"/>
      <c r="U76" s="41">
        <v>2.4</v>
      </c>
      <c r="V76">
        <f t="shared" si="9"/>
        <v>-22.261400248700333</v>
      </c>
      <c r="W76">
        <f t="shared" si="10"/>
        <v>1.5493897206094371E-3</v>
      </c>
      <c r="Y76" s="41"/>
      <c r="AF76" s="41"/>
    </row>
    <row r="77" spans="2:32" x14ac:dyDescent="0.35">
      <c r="B77">
        <v>2.5000000000000102</v>
      </c>
      <c r="C77">
        <f t="shared" si="3"/>
        <v>-28136.688247916456</v>
      </c>
      <c r="D77">
        <f t="shared" si="8"/>
        <v>1.0545029098992874E-6</v>
      </c>
      <c r="G77">
        <v>2.5000000000000102</v>
      </c>
      <c r="H77">
        <f t="shared" si="4"/>
        <v>-449.20046776215599</v>
      </c>
      <c r="I77">
        <f t="shared" si="5"/>
        <v>1.8002333026381338E-5</v>
      </c>
      <c r="L77" s="41"/>
      <c r="N77">
        <v>2.5000000000000102</v>
      </c>
      <c r="O77">
        <f t="shared" si="6"/>
        <v>-5.3364794223373728</v>
      </c>
      <c r="P77">
        <f t="shared" si="7"/>
        <v>2.0784590796856595E-3</v>
      </c>
      <c r="S77" s="41"/>
      <c r="U77" s="41">
        <v>2.5000000000000102</v>
      </c>
      <c r="V77">
        <f t="shared" si="9"/>
        <v>-23.706777741332502</v>
      </c>
      <c r="W77">
        <f t="shared" si="10"/>
        <v>1.212714365826275E-3</v>
      </c>
      <c r="Y77" s="41"/>
      <c r="AF77" s="41"/>
    </row>
    <row r="78" spans="2:32" x14ac:dyDescent="0.35">
      <c r="B78">
        <v>2.6</v>
      </c>
      <c r="C78">
        <f t="shared" si="3"/>
        <v>-29798.921735279742</v>
      </c>
      <c r="D78">
        <f t="shared" si="8"/>
        <v>8.1715170202894578E-7</v>
      </c>
      <c r="G78">
        <v>2.6</v>
      </c>
      <c r="H78">
        <f t="shared" si="4"/>
        <v>-546.56729498327036</v>
      </c>
      <c r="I78">
        <f t="shared" si="5"/>
        <v>1.3950304863932891E-5</v>
      </c>
      <c r="L78" s="41"/>
      <c r="N78">
        <v>2.6</v>
      </c>
      <c r="O78">
        <f t="shared" si="6"/>
        <v>-6.1798109396563099</v>
      </c>
      <c r="P78">
        <f t="shared" si="7"/>
        <v>1.6106322311854634E-3</v>
      </c>
      <c r="S78" s="41"/>
      <c r="U78" s="41">
        <v>2.6</v>
      </c>
      <c r="V78">
        <f t="shared" si="9"/>
        <v>-25.152155233964372</v>
      </c>
      <c r="W78">
        <f t="shared" si="10"/>
        <v>9.3975236939321423E-4</v>
      </c>
      <c r="Y78" s="41"/>
      <c r="AF78" s="41"/>
    </row>
    <row r="79" spans="2:32" x14ac:dyDescent="0.35">
      <c r="B79">
        <v>2.7</v>
      </c>
      <c r="C79">
        <f t="shared" si="3"/>
        <v>-31461.155222643203</v>
      </c>
      <c r="D79">
        <f t="shared" si="8"/>
        <v>6.2692364782950466E-7</v>
      </c>
      <c r="G79">
        <v>2.7</v>
      </c>
      <c r="H79">
        <f t="shared" si="4"/>
        <v>-643.93412220439427</v>
      </c>
      <c r="I79">
        <f t="shared" si="5"/>
        <v>1.0702756895586433E-5</v>
      </c>
      <c r="L79" s="41"/>
      <c r="N79">
        <v>2.7</v>
      </c>
      <c r="O79">
        <f t="shared" si="6"/>
        <v>-7.0231424569753358</v>
      </c>
      <c r="P79">
        <f t="shared" si="7"/>
        <v>1.2356866309883754E-3</v>
      </c>
      <c r="S79" s="41"/>
      <c r="U79" s="41">
        <v>2.7</v>
      </c>
      <c r="V79">
        <f t="shared" si="9"/>
        <v>-26.597532726596391</v>
      </c>
      <c r="W79">
        <f t="shared" si="10"/>
        <v>7.2098360930238211E-4</v>
      </c>
      <c r="Y79" s="41"/>
      <c r="AF79" s="41"/>
    </row>
    <row r="80" spans="2:32" x14ac:dyDescent="0.35">
      <c r="B80">
        <v>2.80000000000001</v>
      </c>
      <c r="C80">
        <f t="shared" si="3"/>
        <v>-33123.388710006831</v>
      </c>
      <c r="D80">
        <f t="shared" si="8"/>
        <v>4.761937262817862E-7</v>
      </c>
      <c r="G80">
        <v>2.80000000000001</v>
      </c>
      <c r="H80">
        <f t="shared" si="4"/>
        <v>-741.30094942552819</v>
      </c>
      <c r="I80">
        <f t="shared" si="5"/>
        <v>8.1295157795410351E-6</v>
      </c>
      <c r="L80" s="41"/>
      <c r="N80">
        <v>2.80000000000001</v>
      </c>
      <c r="O80">
        <f t="shared" si="6"/>
        <v>-7.8664739742944434</v>
      </c>
      <c r="P80">
        <f t="shared" si="7"/>
        <v>9.3859311794052263E-4</v>
      </c>
      <c r="S80" s="41"/>
      <c r="U80" s="41">
        <v>2.80000000000001</v>
      </c>
      <c r="V80">
        <f t="shared" si="9"/>
        <v>-28.042910219228553</v>
      </c>
      <c r="W80">
        <f t="shared" si="10"/>
        <v>5.4763905092819639E-4</v>
      </c>
      <c r="Y80" s="41"/>
      <c r="AF80" s="41"/>
    </row>
    <row r="81" spans="2:32" x14ac:dyDescent="0.35">
      <c r="B81">
        <v>2.9000000000000101</v>
      </c>
      <c r="C81">
        <f t="shared" si="3"/>
        <v>-34785.622197370292</v>
      </c>
      <c r="D81">
        <f t="shared" si="8"/>
        <v>3.5810446998136514E-7</v>
      </c>
      <c r="G81">
        <v>2.9000000000000101</v>
      </c>
      <c r="H81">
        <f t="shared" si="4"/>
        <v>-838.6677766466521</v>
      </c>
      <c r="I81">
        <f t="shared" si="5"/>
        <v>6.1135117469291969E-6</v>
      </c>
      <c r="L81" s="41"/>
      <c r="N81">
        <v>2.9000000000000101</v>
      </c>
      <c r="O81">
        <f t="shared" si="6"/>
        <v>-8.7098054916134657</v>
      </c>
      <c r="P81">
        <f t="shared" si="7"/>
        <v>7.0583540369734555E-4</v>
      </c>
      <c r="S81" s="41"/>
      <c r="U81" s="41">
        <v>2.9000000000000101</v>
      </c>
      <c r="V81">
        <f t="shared" si="9"/>
        <v>-29.488287711860572</v>
      </c>
      <c r="W81">
        <f t="shared" si="10"/>
        <v>4.1183237251994149E-4</v>
      </c>
      <c r="Y81" s="41"/>
      <c r="AF81" s="41"/>
    </row>
    <row r="82" spans="2:32" x14ac:dyDescent="0.35">
      <c r="B82">
        <v>3.0000000000000102</v>
      </c>
      <c r="C82">
        <f t="shared" si="3"/>
        <v>-36447.855684733753</v>
      </c>
      <c r="D82">
        <f t="shared" si="8"/>
        <v>2.6662008951386365E-7</v>
      </c>
      <c r="G82">
        <v>3.0000000000000102</v>
      </c>
      <c r="H82">
        <f t="shared" si="4"/>
        <v>-936.03460386777647</v>
      </c>
      <c r="I82">
        <f t="shared" si="5"/>
        <v>4.5517026059326773E-6</v>
      </c>
      <c r="L82" s="41"/>
      <c r="N82">
        <v>3.0000000000000102</v>
      </c>
      <c r="O82">
        <f t="shared" si="6"/>
        <v>-9.5531370089324916</v>
      </c>
      <c r="P82">
        <f t="shared" si="7"/>
        <v>5.2551675360442524E-4</v>
      </c>
      <c r="S82" s="41"/>
      <c r="U82" s="41">
        <v>3.0000000000000102</v>
      </c>
      <c r="V82">
        <f t="shared" si="9"/>
        <v>-30.933665204492591</v>
      </c>
      <c r="W82">
        <f t="shared" si="10"/>
        <v>3.0662221008212297E-4</v>
      </c>
      <c r="Y82" s="41"/>
      <c r="AF82" s="41"/>
    </row>
    <row r="83" spans="2:32" x14ac:dyDescent="0.35">
      <c r="L83" s="41"/>
    </row>
  </sheetData>
  <mergeCells count="1">
    <mergeCell ref="A1:XF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74" zoomScaleNormal="74" workbookViewId="0">
      <selection activeCell="H2" sqref="H2"/>
    </sheetView>
  </sheetViews>
  <sheetFormatPr defaultRowHeight="14.5" x14ac:dyDescent="0.35"/>
  <cols>
    <col min="1" max="1" width="17.26953125" bestFit="1" customWidth="1"/>
    <col min="2" max="2" width="16.7265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0.453125" bestFit="1" customWidth="1"/>
    <col min="8" max="9" width="12" bestFit="1" customWidth="1"/>
    <col min="10" max="10" width="13.26953125" customWidth="1"/>
    <col min="11" max="11" width="13.54296875" customWidth="1"/>
    <col min="12" max="12" width="12.54296875" customWidth="1"/>
    <col min="13" max="13" width="11.6328125" customWidth="1"/>
    <col min="14" max="14" width="11.90625" customWidth="1"/>
  </cols>
  <sheetData>
    <row r="1" spans="1:15" ht="39.5" thickBot="1" x14ac:dyDescent="0.4">
      <c r="A1" t="s">
        <v>152</v>
      </c>
      <c r="K1" s="2" t="s">
        <v>31</v>
      </c>
      <c r="L1" s="2" t="s">
        <v>29</v>
      </c>
      <c r="M1" s="2" t="s">
        <v>30</v>
      </c>
      <c r="N1" s="2" t="s">
        <v>135</v>
      </c>
      <c r="O1" s="2" t="s">
        <v>134</v>
      </c>
    </row>
    <row r="2" spans="1:15" ht="15.5" thickTop="1" thickBot="1" x14ac:dyDescent="0.4">
      <c r="K2" s="9">
        <v>21000</v>
      </c>
      <c r="L2" s="9">
        <v>2743.2</v>
      </c>
      <c r="M2" s="9">
        <v>6096</v>
      </c>
      <c r="N2" s="9">
        <v>15.9</v>
      </c>
      <c r="O2" s="9">
        <v>5.2</v>
      </c>
    </row>
    <row r="3" spans="1:15" x14ac:dyDescent="0.35">
      <c r="A3" s="29" t="s">
        <v>153</v>
      </c>
      <c r="B3" s="29"/>
      <c r="K3" s="9">
        <v>3000</v>
      </c>
      <c r="L3" s="9">
        <v>1219.2</v>
      </c>
      <c r="M3" s="9">
        <v>3048</v>
      </c>
      <c r="N3" s="9">
        <v>11.2</v>
      </c>
      <c r="O3" s="9">
        <v>15</v>
      </c>
    </row>
    <row r="4" spans="1:15" x14ac:dyDescent="0.35">
      <c r="A4" s="26" t="s">
        <v>154</v>
      </c>
      <c r="B4" s="26">
        <v>0.71420321594806335</v>
      </c>
      <c r="K4" s="9">
        <v>6100</v>
      </c>
      <c r="L4" s="9">
        <v>1371.6</v>
      </c>
      <c r="M4" s="9">
        <v>4267.2</v>
      </c>
      <c r="N4" s="9">
        <v>9.6999999999999993</v>
      </c>
      <c r="O4" s="9">
        <v>4.0999999999999996</v>
      </c>
    </row>
    <row r="5" spans="1:15" x14ac:dyDescent="0.35">
      <c r="A5" s="26" t="s">
        <v>155</v>
      </c>
      <c r="B5" s="26">
        <v>0.51008623367055606</v>
      </c>
      <c r="K5" s="9">
        <v>1500</v>
      </c>
      <c r="L5" s="9">
        <v>1200</v>
      </c>
      <c r="M5" s="9">
        <v>3800</v>
      </c>
      <c r="N5" s="9">
        <v>6</v>
      </c>
      <c r="O5" s="9">
        <v>3.5</v>
      </c>
    </row>
    <row r="6" spans="1:15" x14ac:dyDescent="0.35">
      <c r="A6" s="26" t="s">
        <v>156</v>
      </c>
      <c r="B6" s="26">
        <v>0.42101100342883896</v>
      </c>
      <c r="D6" s="122" t="s">
        <v>233</v>
      </c>
      <c r="E6" s="122"/>
      <c r="F6" s="122"/>
      <c r="G6" s="122"/>
      <c r="H6" s="122"/>
      <c r="K6" s="9">
        <v>4500</v>
      </c>
      <c r="L6" s="9">
        <v>1828.8</v>
      </c>
      <c r="M6" s="9">
        <v>4267.2</v>
      </c>
      <c r="N6" s="9">
        <v>9.6999999999999993</v>
      </c>
      <c r="O6" s="9">
        <v>3.4</v>
      </c>
    </row>
    <row r="7" spans="1:15" x14ac:dyDescent="0.35">
      <c r="A7" s="26" t="s">
        <v>157</v>
      </c>
      <c r="B7" s="26">
        <v>12202.912389279836</v>
      </c>
      <c r="K7" s="24">
        <v>1600</v>
      </c>
      <c r="L7" s="24">
        <v>1219.2</v>
      </c>
      <c r="M7" s="24">
        <v>1828.8</v>
      </c>
      <c r="N7" s="24">
        <v>9.5</v>
      </c>
      <c r="O7" s="24">
        <v>3.4</v>
      </c>
    </row>
    <row r="8" spans="1:15" ht="15" thickBot="1" x14ac:dyDescent="0.4">
      <c r="A8" s="27" t="s">
        <v>158</v>
      </c>
      <c r="B8" s="27">
        <v>27</v>
      </c>
      <c r="K8" s="24">
        <v>6100</v>
      </c>
      <c r="L8" s="24">
        <v>1371.6</v>
      </c>
      <c r="M8" s="24">
        <v>4267.2</v>
      </c>
      <c r="N8" s="24">
        <v>9.6999999999999993</v>
      </c>
      <c r="O8" s="24">
        <v>4.0999999999999996</v>
      </c>
    </row>
    <row r="9" spans="1:15" x14ac:dyDescent="0.35">
      <c r="K9" s="24">
        <v>50000</v>
      </c>
      <c r="L9" s="24">
        <v>4267.2</v>
      </c>
      <c r="M9" s="24">
        <v>12801.6</v>
      </c>
      <c r="N9" s="24">
        <v>22.2</v>
      </c>
      <c r="O9" s="24">
        <v>3.4</v>
      </c>
    </row>
    <row r="10" spans="1:15" ht="15" thickBot="1" x14ac:dyDescent="0.4">
      <c r="A10" t="s">
        <v>159</v>
      </c>
      <c r="K10" s="24">
        <v>25000</v>
      </c>
      <c r="L10" s="24">
        <v>3048</v>
      </c>
      <c r="M10" s="24">
        <v>9144</v>
      </c>
      <c r="N10" s="24">
        <v>20.6</v>
      </c>
      <c r="O10" s="24">
        <v>3.4</v>
      </c>
    </row>
    <row r="11" spans="1:15" x14ac:dyDescent="0.35">
      <c r="A11" s="28"/>
      <c r="B11" s="28" t="s">
        <v>164</v>
      </c>
      <c r="C11" s="28" t="s">
        <v>49</v>
      </c>
      <c r="D11" s="28" t="s">
        <v>165</v>
      </c>
      <c r="E11" s="28" t="s">
        <v>166</v>
      </c>
      <c r="F11" s="28" t="s">
        <v>167</v>
      </c>
      <c r="K11" s="24">
        <v>11500</v>
      </c>
      <c r="L11" s="24">
        <v>1676.4</v>
      </c>
      <c r="M11" s="24">
        <v>4876.8</v>
      </c>
      <c r="N11" s="24">
        <v>30.2</v>
      </c>
      <c r="O11" s="24">
        <v>36.200000000000003</v>
      </c>
    </row>
    <row r="12" spans="1:15" x14ac:dyDescent="0.35">
      <c r="A12" s="26" t="s">
        <v>160</v>
      </c>
      <c r="B12" s="26">
        <v>4</v>
      </c>
      <c r="C12" s="26">
        <v>3410936442.8303351</v>
      </c>
      <c r="D12" s="26">
        <v>852734110.70758379</v>
      </c>
      <c r="E12" s="26">
        <v>5.7264655088330567</v>
      </c>
      <c r="F12" s="26">
        <v>2.579763254692839E-3</v>
      </c>
      <c r="K12" s="24">
        <v>70000</v>
      </c>
      <c r="L12" s="24">
        <v>1828.8</v>
      </c>
      <c r="M12" s="24">
        <v>6096</v>
      </c>
      <c r="N12" s="24">
        <v>12.7</v>
      </c>
      <c r="O12" s="24">
        <v>3.4</v>
      </c>
    </row>
    <row r="13" spans="1:15" x14ac:dyDescent="0.35">
      <c r="A13" s="26" t="s">
        <v>161</v>
      </c>
      <c r="B13" s="26">
        <v>22</v>
      </c>
      <c r="C13" s="26">
        <v>3276043557.1696649</v>
      </c>
      <c r="D13" s="26">
        <v>148911070.78043932</v>
      </c>
      <c r="E13" s="26"/>
      <c r="F13" s="26"/>
      <c r="K13" s="24">
        <v>1600</v>
      </c>
      <c r="L13" s="24">
        <v>1219.2</v>
      </c>
      <c r="M13" s="24">
        <v>1828.8</v>
      </c>
      <c r="N13" s="24">
        <v>9.6999999999999993</v>
      </c>
      <c r="O13" s="24">
        <v>3.4</v>
      </c>
    </row>
    <row r="14" spans="1:15" ht="15" thickBot="1" x14ac:dyDescent="0.4">
      <c r="A14" s="27" t="s">
        <v>162</v>
      </c>
      <c r="B14" s="27">
        <v>26</v>
      </c>
      <c r="C14" s="27">
        <v>6686980000</v>
      </c>
      <c r="D14" s="27"/>
      <c r="E14" s="27"/>
      <c r="F14" s="27"/>
      <c r="K14" s="24">
        <v>1500</v>
      </c>
      <c r="L14" s="24">
        <v>1200</v>
      </c>
      <c r="M14" s="24">
        <v>3800</v>
      </c>
      <c r="N14" s="24">
        <v>6</v>
      </c>
      <c r="O14" s="24">
        <v>3.5</v>
      </c>
    </row>
    <row r="15" spans="1:15" ht="15" thickBot="1" x14ac:dyDescent="0.4">
      <c r="K15" s="24">
        <v>2500</v>
      </c>
      <c r="L15" s="24">
        <v>914.4</v>
      </c>
      <c r="M15" s="24">
        <v>3352.8</v>
      </c>
      <c r="N15" s="24">
        <v>20.6</v>
      </c>
      <c r="O15" s="24">
        <v>40</v>
      </c>
    </row>
    <row r="16" spans="1:15" x14ac:dyDescent="0.35">
      <c r="A16" s="28"/>
      <c r="B16" s="28" t="s">
        <v>168</v>
      </c>
      <c r="C16" s="28" t="s">
        <v>157</v>
      </c>
      <c r="D16" s="28" t="s">
        <v>169</v>
      </c>
      <c r="E16" s="28" t="s">
        <v>170</v>
      </c>
      <c r="F16" s="28" t="s">
        <v>171</v>
      </c>
      <c r="G16" s="28" t="s">
        <v>172</v>
      </c>
      <c r="H16" s="28" t="s">
        <v>228</v>
      </c>
      <c r="I16" s="28" t="s">
        <v>229</v>
      </c>
      <c r="J16" s="125"/>
      <c r="K16" s="24">
        <v>6500</v>
      </c>
      <c r="L16" s="24">
        <v>1981.2</v>
      </c>
      <c r="M16" s="24">
        <v>4775.2</v>
      </c>
      <c r="N16" s="24">
        <v>15.9</v>
      </c>
      <c r="O16" s="24">
        <v>12.7</v>
      </c>
    </row>
    <row r="17" spans="1:15" x14ac:dyDescent="0.35">
      <c r="A17" s="26" t="s">
        <v>163</v>
      </c>
      <c r="B17" s="126">
        <v>-9483.4170483355429</v>
      </c>
      <c r="C17" s="126">
        <v>6855.6392728360943</v>
      </c>
      <c r="D17" s="126">
        <v>-1.3833016398501914</v>
      </c>
      <c r="E17" s="126">
        <v>0.18045050750666053</v>
      </c>
      <c r="F17" s="126">
        <v>-23701.142699535456</v>
      </c>
      <c r="G17" s="126">
        <v>4734.308602864372</v>
      </c>
      <c r="H17" s="126">
        <v>-23701.142699535456</v>
      </c>
      <c r="I17" s="126">
        <v>4734.308602864372</v>
      </c>
      <c r="J17" s="26"/>
      <c r="K17" s="24">
        <v>25000</v>
      </c>
      <c r="L17" s="24">
        <v>3048</v>
      </c>
      <c r="M17" s="24">
        <v>9144</v>
      </c>
      <c r="N17" s="24">
        <v>20.6</v>
      </c>
      <c r="O17" s="24">
        <v>3.4</v>
      </c>
    </row>
    <row r="18" spans="1:15" ht="29" x14ac:dyDescent="0.35">
      <c r="A18" s="32" t="s">
        <v>29</v>
      </c>
      <c r="B18" s="126">
        <v>0.46348947434104409</v>
      </c>
      <c r="C18" s="126">
        <v>4.6845900705311978</v>
      </c>
      <c r="D18" s="126">
        <v>9.8939174476900996E-2</v>
      </c>
      <c r="E18" s="126">
        <v>0.92208255140573292</v>
      </c>
      <c r="F18" s="126">
        <v>-9.2517557071042287</v>
      </c>
      <c r="G18" s="126">
        <v>10.178734655786316</v>
      </c>
      <c r="H18" s="126">
        <v>-9.2517557071042287</v>
      </c>
      <c r="I18" s="126">
        <v>10.178734655786316</v>
      </c>
      <c r="J18" s="26"/>
      <c r="K18" s="24">
        <v>1600</v>
      </c>
      <c r="L18" s="24">
        <v>762</v>
      </c>
      <c r="M18" s="24">
        <v>1524</v>
      </c>
      <c r="N18" s="24">
        <v>25.4</v>
      </c>
      <c r="O18" s="24">
        <v>45</v>
      </c>
    </row>
    <row r="19" spans="1:15" ht="29" x14ac:dyDescent="0.35">
      <c r="A19" s="32" t="s">
        <v>30</v>
      </c>
      <c r="B19" s="126">
        <v>4.2821430493517694</v>
      </c>
      <c r="C19" s="126">
        <v>2.283176882542628</v>
      </c>
      <c r="D19" s="126">
        <v>1.8755196244729935</v>
      </c>
      <c r="E19" s="126">
        <v>7.4055455513072702E-2</v>
      </c>
      <c r="F19" s="126">
        <v>-0.45287599661445999</v>
      </c>
      <c r="G19" s="126">
        <v>9.0171620953179996</v>
      </c>
      <c r="H19" s="126">
        <v>-0.45287599661445999</v>
      </c>
      <c r="I19" s="126">
        <v>9.0171620953179996</v>
      </c>
      <c r="J19" s="26"/>
      <c r="K19" s="9">
        <v>12500</v>
      </c>
      <c r="L19" s="9">
        <v>2133.6</v>
      </c>
      <c r="M19" s="9">
        <v>5436</v>
      </c>
      <c r="N19" s="9">
        <v>33.299999999999997</v>
      </c>
      <c r="O19" s="9">
        <v>36.200000000000003</v>
      </c>
    </row>
    <row r="20" spans="1:15" ht="29" x14ac:dyDescent="0.35">
      <c r="A20" s="32" t="s">
        <v>135</v>
      </c>
      <c r="B20" s="126">
        <v>-8.5929362887218517</v>
      </c>
      <c r="C20" s="126">
        <v>796.97357640021983</v>
      </c>
      <c r="D20" s="126">
        <v>-1.0781958829218069E-2</v>
      </c>
      <c r="E20" s="126">
        <v>0.99149458586826644</v>
      </c>
      <c r="F20" s="126">
        <v>-1661.4149722162892</v>
      </c>
      <c r="G20" s="126">
        <v>1644.2290996388456</v>
      </c>
      <c r="H20" s="126">
        <v>-1661.4149722162892</v>
      </c>
      <c r="I20" s="126">
        <v>1644.2290996388456</v>
      </c>
      <c r="J20" s="26"/>
      <c r="K20" s="9">
        <v>26000</v>
      </c>
      <c r="L20" s="9">
        <v>4267.2</v>
      </c>
      <c r="M20" s="9">
        <v>7620</v>
      </c>
      <c r="N20" s="9">
        <v>15.9</v>
      </c>
      <c r="O20" s="9">
        <v>3.4</v>
      </c>
    </row>
    <row r="21" spans="1:15" ht="29.5" thickBot="1" x14ac:dyDescent="0.4">
      <c r="A21" s="30" t="s">
        <v>134</v>
      </c>
      <c r="B21" s="127">
        <v>-33.78341273564395</v>
      </c>
      <c r="C21" s="127">
        <v>460.87306097111684</v>
      </c>
      <c r="D21" s="127">
        <v>-7.3303075394465664E-2</v>
      </c>
      <c r="E21" s="127">
        <v>0.94222734112701079</v>
      </c>
      <c r="F21" s="127">
        <v>-989.57564160613322</v>
      </c>
      <c r="G21" s="127">
        <v>922.00881613484523</v>
      </c>
      <c r="H21" s="127">
        <v>-989.57564160613322</v>
      </c>
      <c r="I21" s="127">
        <v>922.00881613484523</v>
      </c>
      <c r="J21" s="26"/>
      <c r="K21" s="9">
        <v>4000</v>
      </c>
      <c r="L21" s="9">
        <v>1066.8</v>
      </c>
      <c r="M21" s="9">
        <v>4876.8</v>
      </c>
      <c r="N21" s="9">
        <v>11.1</v>
      </c>
      <c r="O21" s="9">
        <v>5.2</v>
      </c>
    </row>
    <row r="22" spans="1:15" x14ac:dyDescent="0.35">
      <c r="K22" s="9">
        <v>9300</v>
      </c>
      <c r="L22" s="9">
        <v>2438.4</v>
      </c>
      <c r="M22" s="9">
        <v>4267.2</v>
      </c>
      <c r="N22" s="9">
        <v>15.9</v>
      </c>
      <c r="O22" s="9">
        <v>11</v>
      </c>
    </row>
    <row r="23" spans="1:15" x14ac:dyDescent="0.35">
      <c r="K23" s="9">
        <v>9500</v>
      </c>
      <c r="L23" s="9">
        <v>2743.2</v>
      </c>
      <c r="M23" s="9">
        <v>3505.2</v>
      </c>
      <c r="N23" s="9">
        <v>0</v>
      </c>
      <c r="O23" s="9">
        <v>3.4</v>
      </c>
    </row>
    <row r="24" spans="1:15" x14ac:dyDescent="0.35">
      <c r="K24" s="9">
        <v>1500</v>
      </c>
      <c r="L24" s="9">
        <v>1200</v>
      </c>
      <c r="M24" s="9">
        <v>3800</v>
      </c>
      <c r="N24" s="9">
        <v>6</v>
      </c>
      <c r="O24" s="9">
        <v>3.5</v>
      </c>
    </row>
    <row r="25" spans="1:15" x14ac:dyDescent="0.35">
      <c r="K25" s="9">
        <v>25000</v>
      </c>
      <c r="L25" s="9">
        <v>3048</v>
      </c>
      <c r="M25" s="9">
        <v>9144</v>
      </c>
      <c r="N25" s="9">
        <v>20.6</v>
      </c>
      <c r="O25" s="9">
        <v>3.4</v>
      </c>
    </row>
    <row r="26" spans="1:15" x14ac:dyDescent="0.35">
      <c r="K26" s="9">
        <v>4300</v>
      </c>
      <c r="L26" s="9">
        <v>1828.8</v>
      </c>
      <c r="M26" s="9">
        <v>4572</v>
      </c>
      <c r="N26" s="9">
        <v>9.6999999999999993</v>
      </c>
      <c r="O26" s="9">
        <v>3.4</v>
      </c>
    </row>
    <row r="27" spans="1:15" x14ac:dyDescent="0.35">
      <c r="K27" s="9">
        <v>9600</v>
      </c>
      <c r="L27" s="9">
        <v>1524</v>
      </c>
      <c r="M27" s="9">
        <v>5181.6000000000004</v>
      </c>
      <c r="N27" s="9">
        <v>30.2</v>
      </c>
      <c r="O27" s="9">
        <v>37.9</v>
      </c>
    </row>
    <row r="28" spans="1:15" x14ac:dyDescent="0.35">
      <c r="K28" s="9">
        <v>12100</v>
      </c>
      <c r="L28" s="9">
        <v>2641.6</v>
      </c>
      <c r="M28" s="9">
        <v>6350</v>
      </c>
      <c r="N28" s="9">
        <v>19.100000000000001</v>
      </c>
      <c r="O28" s="9">
        <v>12.7</v>
      </c>
    </row>
  </sheetData>
  <mergeCells count="1">
    <mergeCell ref="D6:H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90" zoomScaleNormal="90" workbookViewId="0">
      <selection activeCell="E8" sqref="E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152</v>
      </c>
    </row>
    <row r="2" spans="1:9" ht="15" thickBot="1" x14ac:dyDescent="0.4"/>
    <row r="3" spans="1:9" x14ac:dyDescent="0.35">
      <c r="A3" s="29" t="s">
        <v>153</v>
      </c>
      <c r="B3" s="29"/>
    </row>
    <row r="4" spans="1:9" x14ac:dyDescent="0.35">
      <c r="A4" s="26" t="s">
        <v>154</v>
      </c>
      <c r="B4" s="26">
        <v>0.86585716208490371</v>
      </c>
    </row>
    <row r="5" spans="1:9" x14ac:dyDescent="0.35">
      <c r="A5" s="26" t="s">
        <v>155</v>
      </c>
      <c r="B5" s="26">
        <v>0.74970862513372327</v>
      </c>
    </row>
    <row r="6" spans="1:9" x14ac:dyDescent="0.35">
      <c r="A6" s="26" t="s">
        <v>156</v>
      </c>
      <c r="B6" s="26">
        <v>0.73969697013907221</v>
      </c>
    </row>
    <row r="7" spans="1:9" x14ac:dyDescent="0.35">
      <c r="A7" s="26" t="s">
        <v>157</v>
      </c>
      <c r="B7" s="26">
        <v>4175.0608409411134</v>
      </c>
      <c r="E7" s="136" t="s">
        <v>232</v>
      </c>
      <c r="F7" s="136"/>
      <c r="G7" s="136"/>
      <c r="H7" s="136"/>
      <c r="I7" s="136"/>
    </row>
    <row r="8" spans="1:9" ht="15" thickBot="1" x14ac:dyDescent="0.4">
      <c r="A8" s="27" t="s">
        <v>158</v>
      </c>
      <c r="B8" s="27">
        <v>27</v>
      </c>
    </row>
    <row r="10" spans="1:9" ht="15" thickBot="1" x14ac:dyDescent="0.4">
      <c r="A10" t="s">
        <v>159</v>
      </c>
    </row>
    <row r="11" spans="1:9" x14ac:dyDescent="0.35">
      <c r="A11" s="28"/>
      <c r="B11" s="28" t="s">
        <v>164</v>
      </c>
      <c r="C11" s="28" t="s">
        <v>49</v>
      </c>
      <c r="D11" s="28" t="s">
        <v>165</v>
      </c>
      <c r="E11" s="28" t="s">
        <v>166</v>
      </c>
      <c r="F11" s="28" t="s">
        <v>167</v>
      </c>
    </row>
    <row r="12" spans="1:9" x14ac:dyDescent="0.35">
      <c r="A12" s="26" t="s">
        <v>160</v>
      </c>
      <c r="B12" s="26">
        <v>1</v>
      </c>
      <c r="C12" s="26">
        <v>1305305744.3646977</v>
      </c>
      <c r="D12" s="26">
        <v>1305305744.3646977</v>
      </c>
      <c r="E12" s="26">
        <v>74.883585734253742</v>
      </c>
      <c r="F12" s="26">
        <v>5.4516803796921018E-9</v>
      </c>
    </row>
    <row r="13" spans="1:9" x14ac:dyDescent="0.35">
      <c r="A13" s="26" t="s">
        <v>161</v>
      </c>
      <c r="B13" s="26">
        <v>25</v>
      </c>
      <c r="C13" s="26">
        <v>435778325.63899785</v>
      </c>
      <c r="D13" s="26">
        <v>17431133.025559913</v>
      </c>
      <c r="E13" s="26"/>
      <c r="F13" s="26"/>
    </row>
    <row r="14" spans="1:9" ht="15" thickBot="1" x14ac:dyDescent="0.4">
      <c r="A14" s="27" t="s">
        <v>162</v>
      </c>
      <c r="B14" s="27">
        <v>26</v>
      </c>
      <c r="C14" s="27">
        <v>1741084070.0036955</v>
      </c>
      <c r="D14" s="27"/>
      <c r="E14" s="27"/>
      <c r="F14" s="27"/>
    </row>
    <row r="15" spans="1:9" ht="15" thickBot="1" x14ac:dyDescent="0.4"/>
    <row r="16" spans="1:9" x14ac:dyDescent="0.35">
      <c r="A16" s="28"/>
      <c r="B16" s="28" t="s">
        <v>168</v>
      </c>
      <c r="C16" s="28" t="s">
        <v>157</v>
      </c>
      <c r="D16" s="28" t="s">
        <v>169</v>
      </c>
      <c r="E16" s="28" t="s">
        <v>170</v>
      </c>
      <c r="F16" s="28" t="s">
        <v>171</v>
      </c>
      <c r="G16" s="28" t="s">
        <v>172</v>
      </c>
      <c r="H16" s="28" t="s">
        <v>228</v>
      </c>
      <c r="I16" s="28" t="s">
        <v>229</v>
      </c>
    </row>
    <row r="17" spans="1:9" x14ac:dyDescent="0.35">
      <c r="A17" s="26" t="s">
        <v>163</v>
      </c>
      <c r="B17" s="26">
        <v>14889.018329960118</v>
      </c>
      <c r="C17" s="26">
        <v>1044.3487628219816</v>
      </c>
      <c r="D17" s="26">
        <v>14.256749143579041</v>
      </c>
      <c r="E17" s="26">
        <v>1.6438360402556312E-13</v>
      </c>
      <c r="F17" s="26">
        <v>12738.141790408037</v>
      </c>
      <c r="G17" s="26">
        <v>17039.894869512198</v>
      </c>
      <c r="H17" s="26">
        <v>12738.141790408037</v>
      </c>
      <c r="I17" s="26">
        <v>17039.894869512198</v>
      </c>
    </row>
    <row r="18" spans="1:9" ht="44" thickBot="1" x14ac:dyDescent="0.4">
      <c r="A18" s="30" t="s">
        <v>31</v>
      </c>
      <c r="B18" s="27">
        <v>0.44181566739071526</v>
      </c>
      <c r="C18" s="27">
        <v>5.1056118691938428E-2</v>
      </c>
      <c r="D18" s="27">
        <v>8.653530246913899</v>
      </c>
      <c r="E18" s="27">
        <v>5.4516803796921217E-9</v>
      </c>
      <c r="F18" s="27">
        <v>0.3366636225907198</v>
      </c>
      <c r="G18" s="27">
        <v>0.54696771219071072</v>
      </c>
      <c r="H18" s="27">
        <v>0.3366636225907198</v>
      </c>
      <c r="I18" s="27">
        <v>0.54696771219071072</v>
      </c>
    </row>
  </sheetData>
  <mergeCells count="1">
    <mergeCell ref="E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7" sqref="E7:H7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6" max="6" width="12.453125" bestFit="1" customWidth="1"/>
    <col min="7" max="7" width="11.81640625" bestFit="1" customWidth="1"/>
    <col min="8" max="8" width="12.453125" bestFit="1" customWidth="1"/>
  </cols>
  <sheetData>
    <row r="1" spans="1:9" x14ac:dyDescent="0.35">
      <c r="A1" t="s">
        <v>152</v>
      </c>
    </row>
    <row r="2" spans="1:9" ht="15" thickBot="1" x14ac:dyDescent="0.4"/>
    <row r="3" spans="1:9" x14ac:dyDescent="0.35">
      <c r="A3" s="29" t="s">
        <v>153</v>
      </c>
      <c r="B3" s="29"/>
    </row>
    <row r="4" spans="1:9" x14ac:dyDescent="0.35">
      <c r="A4" s="26" t="s">
        <v>154</v>
      </c>
      <c r="B4" s="26">
        <v>0.7071215531499262</v>
      </c>
    </row>
    <row r="5" spans="1:9" x14ac:dyDescent="0.35">
      <c r="A5" s="26" t="s">
        <v>155</v>
      </c>
      <c r="B5" s="26">
        <v>0.50002089092916391</v>
      </c>
    </row>
    <row r="6" spans="1:9" x14ac:dyDescent="0.35">
      <c r="A6" s="26" t="s">
        <v>156</v>
      </c>
      <c r="B6" s="26">
        <v>0.45240383292241759</v>
      </c>
    </row>
    <row r="7" spans="1:9" x14ac:dyDescent="0.35">
      <c r="A7" s="26" t="s">
        <v>157</v>
      </c>
      <c r="B7" s="26">
        <v>12300.48475768456</v>
      </c>
      <c r="E7" s="120" t="s">
        <v>234</v>
      </c>
      <c r="F7" s="120"/>
      <c r="G7" s="120"/>
      <c r="H7" s="120"/>
    </row>
    <row r="8" spans="1:9" ht="15" thickBot="1" x14ac:dyDescent="0.4">
      <c r="A8" s="27" t="s">
        <v>158</v>
      </c>
      <c r="B8" s="27">
        <v>47</v>
      </c>
    </row>
    <row r="10" spans="1:9" ht="15" thickBot="1" x14ac:dyDescent="0.4">
      <c r="A10" t="s">
        <v>159</v>
      </c>
    </row>
    <row r="11" spans="1:9" x14ac:dyDescent="0.35">
      <c r="A11" s="28"/>
      <c r="B11" s="28" t="s">
        <v>164</v>
      </c>
      <c r="C11" s="28" t="s">
        <v>49</v>
      </c>
      <c r="D11" s="28" t="s">
        <v>165</v>
      </c>
      <c r="E11" s="28" t="s">
        <v>166</v>
      </c>
      <c r="F11" s="28" t="s">
        <v>167</v>
      </c>
    </row>
    <row r="12" spans="1:9" x14ac:dyDescent="0.35">
      <c r="A12" s="26" t="s">
        <v>160</v>
      </c>
      <c r="B12" s="26">
        <v>4</v>
      </c>
      <c r="C12" s="26">
        <v>6355211904.4481773</v>
      </c>
      <c r="D12" s="26">
        <v>1588802976.1120443</v>
      </c>
      <c r="E12" s="26">
        <v>10.500877455686615</v>
      </c>
      <c r="F12" s="26">
        <v>5.4790268997012482E-6</v>
      </c>
    </row>
    <row r="13" spans="1:9" x14ac:dyDescent="0.35">
      <c r="A13" s="26" t="s">
        <v>161</v>
      </c>
      <c r="B13" s="26">
        <v>42</v>
      </c>
      <c r="C13" s="26">
        <v>6354680861.5092678</v>
      </c>
      <c r="D13" s="26">
        <v>151301925.27403018</v>
      </c>
      <c r="E13" s="26"/>
      <c r="F13" s="26"/>
    </row>
    <row r="14" spans="1:9" ht="15" thickBot="1" x14ac:dyDescent="0.4">
      <c r="A14" s="27" t="s">
        <v>162</v>
      </c>
      <c r="B14" s="27">
        <v>46</v>
      </c>
      <c r="C14" s="27">
        <v>12709892765.957445</v>
      </c>
      <c r="D14" s="27"/>
      <c r="E14" s="27"/>
      <c r="F14" s="27"/>
    </row>
    <row r="15" spans="1:9" ht="15" thickBot="1" x14ac:dyDescent="0.4"/>
    <row r="16" spans="1:9" x14ac:dyDescent="0.35">
      <c r="A16" s="28"/>
      <c r="B16" s="28" t="s">
        <v>168</v>
      </c>
      <c r="C16" s="28" t="s">
        <v>157</v>
      </c>
      <c r="D16" s="28" t="s">
        <v>169</v>
      </c>
      <c r="E16" s="28" t="s">
        <v>170</v>
      </c>
      <c r="F16" s="28" t="s">
        <v>171</v>
      </c>
      <c r="G16" s="28" t="s">
        <v>172</v>
      </c>
      <c r="H16" s="28" t="s">
        <v>228</v>
      </c>
      <c r="I16" s="28" t="s">
        <v>229</v>
      </c>
    </row>
    <row r="17" spans="1:9" x14ac:dyDescent="0.35">
      <c r="A17" s="26" t="s">
        <v>163</v>
      </c>
      <c r="B17" s="26">
        <v>-8477.2649216505833</v>
      </c>
      <c r="C17" s="26">
        <v>5175.860522909692</v>
      </c>
      <c r="D17" s="26">
        <v>-1.6378464767603425</v>
      </c>
      <c r="E17" s="26">
        <v>0.10892528811772677</v>
      </c>
      <c r="F17" s="26">
        <v>-18922.57433927495</v>
      </c>
      <c r="G17" s="26">
        <v>1968.0444959737815</v>
      </c>
      <c r="H17" s="26">
        <v>-18922.57433927495</v>
      </c>
      <c r="I17" s="26">
        <v>1968.0444959737815</v>
      </c>
    </row>
    <row r="18" spans="1:9" ht="29" x14ac:dyDescent="0.35">
      <c r="A18" s="32" t="s">
        <v>29</v>
      </c>
      <c r="B18" s="26">
        <v>-0.259189949483351</v>
      </c>
      <c r="C18" s="26">
        <v>3.4958723273149883</v>
      </c>
      <c r="D18" s="26">
        <v>-7.4141709197493022E-2</v>
      </c>
      <c r="E18" s="26">
        <v>0.94124962774878296</v>
      </c>
      <c r="F18" s="26">
        <v>-7.3141459286270667</v>
      </c>
      <c r="G18" s="26">
        <v>6.7957660296603652</v>
      </c>
      <c r="H18" s="26">
        <v>-7.3141459286270667</v>
      </c>
      <c r="I18" s="26">
        <v>6.7957660296603652</v>
      </c>
    </row>
    <row r="19" spans="1:9" ht="29" x14ac:dyDescent="0.35">
      <c r="A19" s="32" t="s">
        <v>30</v>
      </c>
      <c r="B19" s="26">
        <v>4.5860639173989304</v>
      </c>
      <c r="C19" s="26">
        <v>1.7018511814808661</v>
      </c>
      <c r="D19" s="26">
        <v>2.6947502621283057</v>
      </c>
      <c r="E19" s="26">
        <v>1.0084952946287886E-2</v>
      </c>
      <c r="F19" s="26">
        <v>1.1515891871324397</v>
      </c>
      <c r="G19" s="26">
        <v>8.0205386476654219</v>
      </c>
      <c r="H19" s="26">
        <v>1.1515891871324397</v>
      </c>
      <c r="I19" s="26">
        <v>8.0205386476654219</v>
      </c>
    </row>
    <row r="20" spans="1:9" ht="43.5" x14ac:dyDescent="0.35">
      <c r="A20" s="32" t="s">
        <v>135</v>
      </c>
      <c r="B20" s="26">
        <v>-21.959156851863472</v>
      </c>
      <c r="C20" s="26">
        <v>585.71803627358884</v>
      </c>
      <c r="D20" s="26">
        <v>-3.7491003335957292E-2</v>
      </c>
      <c r="E20" s="26">
        <v>0.97027114845551654</v>
      </c>
      <c r="F20" s="26">
        <v>-1203.986008866344</v>
      </c>
      <c r="G20" s="26">
        <v>1160.0676951626169</v>
      </c>
      <c r="H20" s="26">
        <v>-1203.986008866344</v>
      </c>
      <c r="I20" s="26">
        <v>1160.0676951626169</v>
      </c>
    </row>
    <row r="21" spans="1:9" ht="29.5" thickBot="1" x14ac:dyDescent="0.4">
      <c r="A21" s="30" t="s">
        <v>134</v>
      </c>
      <c r="B21" s="27">
        <v>-54.353497267510811</v>
      </c>
      <c r="C21" s="27">
        <v>334.66838980449711</v>
      </c>
      <c r="D21" s="27">
        <v>-0.16241001218926723</v>
      </c>
      <c r="E21" s="27">
        <v>0.87176185979420373</v>
      </c>
      <c r="F21" s="27">
        <v>-729.74165124367778</v>
      </c>
      <c r="G21" s="27">
        <v>621.03465670865626</v>
      </c>
      <c r="H21" s="27">
        <v>-729.74165124367778</v>
      </c>
      <c r="I21" s="27">
        <v>621.03465670865626</v>
      </c>
    </row>
  </sheetData>
  <mergeCells count="1">
    <mergeCell ref="E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D24" sqref="D24"/>
    </sheetView>
  </sheetViews>
  <sheetFormatPr defaultRowHeight="14.5" x14ac:dyDescent="0.35"/>
  <cols>
    <col min="1" max="1" width="17.26953125" bestFit="1" customWidth="1"/>
    <col min="2" max="2" width="12.26953125" bestFit="1" customWidth="1"/>
    <col min="3" max="3" width="13.7265625" bestFit="1" customWidth="1"/>
    <col min="5" max="5" width="12.26953125" bestFit="1" customWidth="1"/>
    <col min="6" max="6" width="12.7265625" bestFit="1" customWidth="1"/>
    <col min="7" max="7" width="12.26953125" bestFit="1" customWidth="1"/>
    <col min="8" max="9" width="12.36328125" bestFit="1" customWidth="1"/>
    <col min="14" max="14" width="10.1796875" bestFit="1" customWidth="1"/>
  </cols>
  <sheetData>
    <row r="1" spans="1:14" ht="39.5" thickBot="1" x14ac:dyDescent="0.4">
      <c r="A1" t="s">
        <v>152</v>
      </c>
      <c r="M1" s="2" t="s">
        <v>31</v>
      </c>
      <c r="N1" s="85" t="s">
        <v>221</v>
      </c>
    </row>
    <row r="2" spans="1:14" ht="15.5" thickTop="1" thickBot="1" x14ac:dyDescent="0.4">
      <c r="M2" s="9">
        <v>70000</v>
      </c>
      <c r="N2" s="86">
        <v>528181.34234234225</v>
      </c>
    </row>
    <row r="3" spans="1:14" x14ac:dyDescent="0.35">
      <c r="A3" s="29" t="s">
        <v>153</v>
      </c>
      <c r="B3" s="29"/>
      <c r="M3" s="9">
        <v>1600</v>
      </c>
      <c r="N3" s="86">
        <v>79425.76576576574</v>
      </c>
    </row>
    <row r="4" spans="1:14" x14ac:dyDescent="0.35">
      <c r="A4" s="26" t="s">
        <v>154</v>
      </c>
      <c r="B4" s="26">
        <v>0.93018364707874701</v>
      </c>
      <c r="M4" s="9">
        <v>26000</v>
      </c>
      <c r="N4" s="86">
        <v>343257.69174579979</v>
      </c>
    </row>
    <row r="5" spans="1:14" x14ac:dyDescent="0.35">
      <c r="A5" s="26" t="s">
        <v>155</v>
      </c>
      <c r="B5" s="26">
        <v>0.86524161729271898</v>
      </c>
      <c r="M5" s="9">
        <v>6100</v>
      </c>
      <c r="N5" s="86">
        <v>170387.22455563667</v>
      </c>
    </row>
    <row r="6" spans="1:14" x14ac:dyDescent="0.35">
      <c r="A6" s="26" t="s">
        <v>156</v>
      </c>
      <c r="B6" s="26">
        <v>0.85775504047564788</v>
      </c>
      <c r="E6" s="122" t="s">
        <v>236</v>
      </c>
      <c r="F6" s="122"/>
      <c r="M6" s="9">
        <v>11500</v>
      </c>
      <c r="N6" s="86">
        <v>210318.02198198196</v>
      </c>
    </row>
    <row r="7" spans="1:14" x14ac:dyDescent="0.35">
      <c r="A7" s="26" t="s">
        <v>157</v>
      </c>
      <c r="B7" s="26">
        <v>51478.493972318203</v>
      </c>
      <c r="M7" s="9">
        <v>1600</v>
      </c>
      <c r="N7" s="86">
        <v>87998.476846846854</v>
      </c>
    </row>
    <row r="8" spans="1:14" ht="15" thickBot="1" x14ac:dyDescent="0.4">
      <c r="A8" s="27" t="s">
        <v>158</v>
      </c>
      <c r="B8" s="27">
        <v>20</v>
      </c>
      <c r="M8" s="9">
        <v>12100</v>
      </c>
      <c r="N8" s="86">
        <v>219000.7342342342</v>
      </c>
    </row>
    <row r="9" spans="1:14" x14ac:dyDescent="0.35">
      <c r="M9" s="9">
        <v>4500</v>
      </c>
      <c r="N9" s="86">
        <v>138097.1572072072</v>
      </c>
    </row>
    <row r="10" spans="1:14" ht="15" thickBot="1" x14ac:dyDescent="0.4">
      <c r="A10" t="s">
        <v>159</v>
      </c>
      <c r="M10" s="9">
        <v>4300</v>
      </c>
      <c r="N10" s="86">
        <v>129416.76446846846</v>
      </c>
    </row>
    <row r="11" spans="1:14" x14ac:dyDescent="0.35">
      <c r="A11" s="28"/>
      <c r="B11" s="28" t="s">
        <v>164</v>
      </c>
      <c r="C11" s="28" t="s">
        <v>49</v>
      </c>
      <c r="D11" s="28" t="s">
        <v>165</v>
      </c>
      <c r="E11" s="28" t="s">
        <v>166</v>
      </c>
      <c r="F11" s="28" t="s">
        <v>167</v>
      </c>
      <c r="M11" s="9">
        <v>1500</v>
      </c>
      <c r="N11" s="86">
        <v>88180.155019884754</v>
      </c>
    </row>
    <row r="12" spans="1:14" x14ac:dyDescent="0.35">
      <c r="A12" s="26" t="s">
        <v>160</v>
      </c>
      <c r="B12" s="26">
        <v>1</v>
      </c>
      <c r="C12" s="26">
        <v>306270932754.02307</v>
      </c>
      <c r="D12" s="26">
        <v>306270932754.02307</v>
      </c>
      <c r="E12" s="26">
        <v>115.57239555997917</v>
      </c>
      <c r="F12" s="26">
        <v>2.8999021519495561E-9</v>
      </c>
      <c r="M12" s="9">
        <v>2500</v>
      </c>
      <c r="N12" s="86">
        <v>104167.24324324323</v>
      </c>
    </row>
    <row r="13" spans="1:14" x14ac:dyDescent="0.35">
      <c r="A13" s="26" t="s">
        <v>161</v>
      </c>
      <c r="B13" s="26">
        <v>18</v>
      </c>
      <c r="C13" s="26">
        <v>47700636149.844025</v>
      </c>
      <c r="D13" s="26">
        <v>2650035341.6580014</v>
      </c>
      <c r="E13" s="26"/>
      <c r="F13" s="26"/>
      <c r="M13" s="9">
        <v>9500</v>
      </c>
      <c r="N13" s="86">
        <v>205289.59783783779</v>
      </c>
    </row>
    <row r="14" spans="1:14" ht="15" thickBot="1" x14ac:dyDescent="0.4">
      <c r="A14" s="27" t="s">
        <v>162</v>
      </c>
      <c r="B14" s="27">
        <v>19</v>
      </c>
      <c r="C14" s="27">
        <v>353971568903.86707</v>
      </c>
      <c r="D14" s="27"/>
      <c r="E14" s="27"/>
      <c r="F14" s="27"/>
      <c r="M14" s="9">
        <v>25000</v>
      </c>
      <c r="N14" s="86">
        <v>383561.47837026208</v>
      </c>
    </row>
    <row r="15" spans="1:14" ht="15" thickBot="1" x14ac:dyDescent="0.4">
      <c r="M15" s="9">
        <v>21000</v>
      </c>
      <c r="N15" s="86">
        <v>374857.55539323104</v>
      </c>
    </row>
    <row r="16" spans="1:14" x14ac:dyDescent="0.35">
      <c r="A16" s="28"/>
      <c r="B16" s="28" t="s">
        <v>168</v>
      </c>
      <c r="C16" s="28" t="s">
        <v>157</v>
      </c>
      <c r="D16" s="28" t="s">
        <v>169</v>
      </c>
      <c r="E16" s="28" t="s">
        <v>170</v>
      </c>
      <c r="F16" s="28" t="s">
        <v>171</v>
      </c>
      <c r="G16" s="28" t="s">
        <v>172</v>
      </c>
      <c r="H16" s="28" t="s">
        <v>228</v>
      </c>
      <c r="I16" s="28" t="s">
        <v>229</v>
      </c>
      <c r="M16" s="9">
        <v>4000</v>
      </c>
      <c r="N16" s="86">
        <v>127103.0145945946</v>
      </c>
    </row>
    <row r="17" spans="1:14" x14ac:dyDescent="0.35">
      <c r="A17" s="26" t="s">
        <v>163</v>
      </c>
      <c r="B17" s="26">
        <v>124198.5033315297</v>
      </c>
      <c r="C17" s="26">
        <v>14750.012521804631</v>
      </c>
      <c r="D17" s="26">
        <v>8.4202303657661091</v>
      </c>
      <c r="E17" s="26">
        <v>1.1731743334914797E-7</v>
      </c>
      <c r="F17" s="26">
        <v>93209.87693063906</v>
      </c>
      <c r="G17" s="26">
        <v>155187.12973242035</v>
      </c>
      <c r="H17" s="26">
        <v>93209.87693063906</v>
      </c>
      <c r="I17" s="26">
        <v>155187.12973242035</v>
      </c>
      <c r="M17" s="9">
        <v>1600</v>
      </c>
      <c r="N17" s="86">
        <v>105806.56805454103</v>
      </c>
    </row>
    <row r="18" spans="1:14" ht="29.5" thickBot="1" x14ac:dyDescent="0.4">
      <c r="A18" s="30" t="s">
        <v>31</v>
      </c>
      <c r="B18" s="27">
        <v>7.1356577192552297</v>
      </c>
      <c r="C18" s="27">
        <v>0.66375369557634911</v>
      </c>
      <c r="D18" s="27">
        <v>10.750460248751175</v>
      </c>
      <c r="E18" s="27">
        <v>2.8999021519495561E-9</v>
      </c>
      <c r="F18" s="27">
        <v>5.7411629509274373</v>
      </c>
      <c r="G18" s="27">
        <v>8.5301524875830221</v>
      </c>
      <c r="H18" s="27">
        <v>5.7411629509274373</v>
      </c>
      <c r="I18" s="27">
        <v>8.5301524875830221</v>
      </c>
      <c r="M18" s="9">
        <v>9600</v>
      </c>
      <c r="N18" s="86">
        <v>258595.13513513518</v>
      </c>
    </row>
    <row r="19" spans="1:14" x14ac:dyDescent="0.35">
      <c r="M19" s="9">
        <v>12500</v>
      </c>
      <c r="N19" s="86">
        <v>279568.24527229927</v>
      </c>
    </row>
    <row r="20" spans="1:14" x14ac:dyDescent="0.35">
      <c r="M20" s="9">
        <v>3000</v>
      </c>
      <c r="N20" s="86">
        <v>140597.07004301599</v>
      </c>
    </row>
    <row r="21" spans="1:14" x14ac:dyDescent="0.35">
      <c r="M21" s="9">
        <v>50000</v>
      </c>
      <c r="N21" s="86">
        <v>493160.10469929385</v>
      </c>
    </row>
  </sheetData>
  <mergeCells count="1"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</vt:lpstr>
      <vt:lpstr>Historical Quotations</vt:lpstr>
      <vt:lpstr>MODEL</vt:lpstr>
      <vt:lpstr>Correlation</vt:lpstr>
      <vt:lpstr>Individual Variables</vt:lpstr>
      <vt:lpstr>CS-Regression Analysis</vt:lpstr>
      <vt:lpstr>CS-Cost Regression</vt:lpstr>
      <vt:lpstr>SS-Regression</vt:lpstr>
      <vt:lpstr>SS-Cost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Bakare</dc:creator>
  <cp:lastModifiedBy>Kamal Bakare</cp:lastModifiedBy>
  <dcterms:created xsi:type="dcterms:W3CDTF">2020-03-10T10:03:24Z</dcterms:created>
  <dcterms:modified xsi:type="dcterms:W3CDTF">2023-02-02T01:14:35Z</dcterms:modified>
</cp:coreProperties>
</file>