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showObjects="none"/>
  <mc:AlternateContent xmlns:mc="http://schemas.openxmlformats.org/markup-compatibility/2006">
    <mc:Choice Requires="x15">
      <x15ac:absPath xmlns:x15ac="http://schemas.microsoft.com/office/spreadsheetml/2010/11/ac" url="/Users/indecseta/Desktop/18L/"/>
    </mc:Choice>
  </mc:AlternateContent>
  <bookViews>
    <workbookView xWindow="12740" yWindow="760" windowWidth="20720" windowHeight="14080" tabRatio="500" activeTab="3"/>
  </bookViews>
  <sheets>
    <sheet name="lab1-ish" sheetId="1" r:id="rId1"/>
    <sheet name="lab2" sheetId="2" r:id="rId2"/>
    <sheet name="lab3 (2)" sheetId="5" r:id="rId3"/>
    <sheet name="lab3" sheetId="3" r:id="rId4"/>
    <sheet name="lab4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5" l="1"/>
  <c r="C43" i="5"/>
  <c r="F42" i="5"/>
  <c r="C42" i="5"/>
  <c r="F41" i="5"/>
  <c r="C41" i="5"/>
  <c r="F40" i="5"/>
  <c r="C40" i="5"/>
  <c r="F39" i="5"/>
  <c r="C39" i="5"/>
  <c r="F38" i="5"/>
  <c r="C38" i="5"/>
  <c r="C37" i="5"/>
  <c r="C36" i="5"/>
  <c r="C35" i="5"/>
  <c r="C34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C25" i="5"/>
  <c r="D18" i="5"/>
  <c r="G18" i="5"/>
  <c r="D17" i="5"/>
  <c r="G17" i="5"/>
  <c r="D16" i="5"/>
  <c r="G16" i="5"/>
  <c r="D11" i="5"/>
  <c r="G11" i="5"/>
  <c r="D10" i="5"/>
  <c r="G10" i="5"/>
  <c r="D9" i="5"/>
  <c r="G9" i="5"/>
  <c r="M4" i="5"/>
  <c r="L4" i="5"/>
  <c r="K4" i="5"/>
  <c r="D4" i="5"/>
  <c r="G4" i="5"/>
  <c r="M3" i="5"/>
  <c r="D3" i="5"/>
  <c r="G3" i="5"/>
  <c r="L3" i="5"/>
  <c r="D2" i="5"/>
  <c r="G2" i="5"/>
  <c r="K3" i="5"/>
  <c r="M2" i="5"/>
  <c r="L2" i="5"/>
  <c r="K2" i="5"/>
  <c r="D11" i="4"/>
  <c r="I27" i="4"/>
  <c r="B11" i="4"/>
  <c r="F40" i="4"/>
  <c r="E40" i="4"/>
  <c r="E39" i="4"/>
  <c r="F39" i="4"/>
  <c r="F35" i="4"/>
  <c r="F36" i="4"/>
  <c r="F37" i="4"/>
  <c r="F38" i="4"/>
  <c r="F3" i="4"/>
  <c r="F6" i="4"/>
  <c r="F5" i="4"/>
  <c r="F8" i="4"/>
  <c r="F7" i="4"/>
  <c r="D22" i="4"/>
  <c r="D21" i="4"/>
  <c r="D19" i="4"/>
  <c r="D18" i="4"/>
  <c r="D15" i="4"/>
  <c r="D14" i="4"/>
  <c r="D13" i="4"/>
  <c r="E3" i="4"/>
  <c r="E4" i="4"/>
  <c r="E5" i="4"/>
  <c r="E6" i="4"/>
  <c r="E7" i="4"/>
  <c r="E8" i="4"/>
  <c r="D8" i="4"/>
  <c r="D7" i="4"/>
  <c r="D6" i="4"/>
  <c r="G2" i="4"/>
  <c r="G27" i="4"/>
  <c r="D5" i="4"/>
  <c r="D39" i="4"/>
  <c r="D40" i="4"/>
  <c r="D4" i="4"/>
  <c r="D3" i="4"/>
  <c r="D31" i="4"/>
  <c r="E31" i="4"/>
  <c r="F31" i="4"/>
  <c r="D32" i="4"/>
  <c r="E32" i="4"/>
  <c r="F32" i="4"/>
  <c r="D33" i="4"/>
  <c r="E33" i="4"/>
  <c r="F33" i="4"/>
  <c r="D35" i="4"/>
  <c r="E35" i="4"/>
  <c r="D36" i="4"/>
  <c r="E36" i="4"/>
  <c r="D37" i="4"/>
  <c r="E37" i="4"/>
  <c r="D38" i="4"/>
  <c r="E38" i="4"/>
  <c r="D28" i="4"/>
  <c r="E28" i="4"/>
  <c r="F28" i="4"/>
  <c r="D29" i="4"/>
  <c r="E29" i="4"/>
  <c r="F29" i="4"/>
  <c r="D27" i="4"/>
  <c r="E27" i="4"/>
  <c r="F27" i="4"/>
  <c r="F41" i="1"/>
  <c r="F40" i="1"/>
  <c r="F38" i="1"/>
  <c r="B46" i="1"/>
  <c r="G19" i="1"/>
  <c r="H20" i="2"/>
  <c r="H21" i="2"/>
  <c r="H22" i="2"/>
  <c r="H23" i="2"/>
  <c r="H19" i="2"/>
  <c r="G20" i="2"/>
  <c r="G21" i="2"/>
  <c r="G22" i="2"/>
  <c r="G23" i="2"/>
  <c r="G19" i="2"/>
  <c r="D11" i="2"/>
  <c r="D12" i="2"/>
  <c r="D13" i="2"/>
  <c r="D14" i="2"/>
  <c r="D15" i="2"/>
  <c r="C11" i="2"/>
  <c r="M4" i="3"/>
  <c r="L4" i="3"/>
  <c r="K4" i="3"/>
  <c r="M3" i="3"/>
  <c r="L3" i="3"/>
  <c r="D2" i="3"/>
  <c r="G2" i="3"/>
  <c r="K3" i="3"/>
  <c r="M2" i="3"/>
  <c r="L2" i="3"/>
  <c r="K2" i="3"/>
  <c r="D18" i="3"/>
  <c r="G18" i="3"/>
  <c r="D17" i="3"/>
  <c r="G17" i="3"/>
  <c r="D16" i="3"/>
  <c r="G16" i="3"/>
  <c r="D11" i="3"/>
  <c r="G11" i="3"/>
  <c r="D10" i="3"/>
  <c r="G10" i="3"/>
  <c r="D9" i="3"/>
  <c r="G9" i="3"/>
  <c r="D3" i="3"/>
  <c r="G3" i="3"/>
  <c r="D4" i="3"/>
  <c r="G4" i="3"/>
  <c r="H12" i="2"/>
  <c r="H13" i="2"/>
  <c r="H14" i="2"/>
  <c r="H15" i="2"/>
  <c r="H11" i="2"/>
  <c r="J8" i="2"/>
  <c r="E2" i="2"/>
  <c r="C12" i="2"/>
  <c r="C13" i="2"/>
  <c r="C14" i="2"/>
  <c r="C15" i="2"/>
  <c r="J11" i="2"/>
  <c r="K4" i="1"/>
  <c r="K5" i="1"/>
  <c r="K6" i="1"/>
  <c r="K7" i="1"/>
  <c r="K8" i="1"/>
  <c r="K9" i="1"/>
  <c r="K10" i="1"/>
  <c r="K11" i="1"/>
  <c r="K3" i="1"/>
  <c r="G12" i="2"/>
  <c r="G13" i="2"/>
  <c r="G14" i="2"/>
  <c r="G15" i="2"/>
  <c r="G11" i="2"/>
  <c r="G2" i="2"/>
  <c r="B6" i="2"/>
  <c r="C6" i="2"/>
  <c r="E6" i="2"/>
  <c r="F6" i="2"/>
  <c r="L6" i="2"/>
  <c r="G6" i="2"/>
  <c r="H6" i="2"/>
  <c r="D6" i="2"/>
  <c r="I6" i="2"/>
  <c r="B5" i="2"/>
  <c r="C5" i="2"/>
  <c r="E5" i="2"/>
  <c r="F5" i="2"/>
  <c r="L5" i="2"/>
  <c r="G5" i="2"/>
  <c r="H5" i="2"/>
  <c r="D5" i="2"/>
  <c r="I5" i="2"/>
  <c r="B4" i="2"/>
  <c r="C4" i="2"/>
  <c r="E4" i="2"/>
  <c r="F4" i="2"/>
  <c r="L4" i="2"/>
  <c r="G4" i="2"/>
  <c r="H4" i="2"/>
  <c r="D4" i="2"/>
  <c r="I4" i="2"/>
  <c r="B3" i="2"/>
  <c r="C3" i="2"/>
  <c r="E3" i="2"/>
  <c r="F3" i="2"/>
  <c r="L3" i="2"/>
  <c r="G3" i="2"/>
  <c r="H3" i="2"/>
  <c r="D3" i="2"/>
  <c r="I3" i="2"/>
  <c r="B2" i="2"/>
  <c r="C2" i="2"/>
  <c r="F2" i="2"/>
  <c r="L2" i="2"/>
  <c r="H2" i="2"/>
  <c r="D2" i="2"/>
  <c r="I2" i="2"/>
  <c r="M16" i="1"/>
  <c r="M17" i="1"/>
  <c r="M18" i="1"/>
  <c r="M19" i="1"/>
  <c r="M15" i="1"/>
  <c r="K16" i="1"/>
  <c r="K17" i="1"/>
  <c r="K18" i="1"/>
  <c r="K19" i="1"/>
  <c r="K15" i="1"/>
  <c r="J16" i="1"/>
  <c r="J17" i="1"/>
  <c r="J18" i="1"/>
  <c r="J19" i="1"/>
  <c r="J15" i="1"/>
  <c r="I16" i="1"/>
  <c r="I17" i="1"/>
  <c r="I18" i="1"/>
  <c r="I19" i="1"/>
  <c r="I15" i="1"/>
  <c r="I3" i="1"/>
  <c r="H16" i="1"/>
  <c r="H17" i="1"/>
  <c r="H18" i="1"/>
  <c r="H19" i="1"/>
  <c r="H15" i="1"/>
  <c r="G16" i="1"/>
  <c r="G17" i="1"/>
  <c r="G18" i="1"/>
  <c r="G15" i="1"/>
  <c r="F16" i="1"/>
  <c r="F17" i="1"/>
  <c r="F18" i="1"/>
  <c r="F19" i="1"/>
  <c r="F15" i="1"/>
  <c r="E16" i="1"/>
  <c r="E17" i="1"/>
  <c r="E18" i="1"/>
  <c r="E19" i="1"/>
  <c r="E15" i="1"/>
  <c r="D19" i="1"/>
  <c r="D16" i="1"/>
  <c r="D17" i="1"/>
  <c r="D18" i="1"/>
  <c r="D15" i="1"/>
  <c r="C19" i="1"/>
  <c r="C18" i="1"/>
  <c r="C17" i="1"/>
  <c r="C16" i="1"/>
  <c r="C15" i="1"/>
  <c r="D28" i="1"/>
  <c r="D29" i="1"/>
  <c r="D30" i="1"/>
  <c r="D31" i="1"/>
  <c r="D27" i="1"/>
  <c r="M4" i="1"/>
  <c r="M5" i="1"/>
  <c r="M6" i="1"/>
  <c r="M7" i="1"/>
  <c r="M8" i="1"/>
  <c r="M9" i="1"/>
  <c r="M10" i="1"/>
  <c r="M11" i="1"/>
  <c r="M3" i="1"/>
  <c r="I4" i="1"/>
  <c r="I5" i="1"/>
  <c r="I6" i="1"/>
  <c r="I7" i="1"/>
  <c r="I8" i="1"/>
  <c r="I9" i="1"/>
  <c r="I10" i="1"/>
  <c r="H3" i="1"/>
  <c r="J4" i="1"/>
  <c r="J5" i="1"/>
  <c r="J6" i="1"/>
  <c r="J7" i="1"/>
  <c r="J8" i="1"/>
  <c r="J9" i="1"/>
  <c r="J10" i="1"/>
  <c r="J11" i="1"/>
  <c r="J3" i="1"/>
  <c r="I11" i="1"/>
  <c r="H4" i="1"/>
  <c r="H5" i="1"/>
  <c r="H6" i="1"/>
  <c r="H7" i="1"/>
  <c r="H8" i="1"/>
  <c r="H9" i="1"/>
  <c r="H10" i="1"/>
  <c r="H11" i="1"/>
  <c r="C5" i="1"/>
  <c r="F4" i="1"/>
  <c r="F5" i="1"/>
  <c r="F6" i="1"/>
  <c r="F7" i="1"/>
  <c r="F8" i="1"/>
  <c r="F9" i="1"/>
  <c r="F10" i="1"/>
  <c r="F11" i="1"/>
  <c r="F3" i="1"/>
  <c r="G4" i="1"/>
  <c r="G5" i="1"/>
  <c r="G6" i="1"/>
  <c r="G7" i="1"/>
  <c r="G8" i="1"/>
  <c r="G9" i="1"/>
  <c r="G10" i="1"/>
  <c r="G11" i="1"/>
  <c r="G3" i="1"/>
  <c r="E4" i="1"/>
  <c r="E5" i="1"/>
  <c r="E6" i="1"/>
  <c r="E7" i="1"/>
  <c r="E8" i="1"/>
  <c r="E9" i="1"/>
  <c r="E10" i="1"/>
  <c r="E11" i="1"/>
  <c r="E3" i="1"/>
  <c r="D11" i="1"/>
  <c r="D4" i="1"/>
  <c r="D5" i="1"/>
  <c r="D6" i="1"/>
  <c r="D7" i="1"/>
  <c r="D8" i="1"/>
  <c r="D9" i="1"/>
  <c r="D10" i="1"/>
  <c r="D3" i="1"/>
  <c r="C10" i="1"/>
  <c r="C9" i="1"/>
  <c r="C8" i="1"/>
  <c r="C11" i="1"/>
  <c r="C7" i="1"/>
  <c r="C6" i="1"/>
  <c r="C4" i="1"/>
  <c r="C3" i="1"/>
</calcChain>
</file>

<file path=xl/sharedStrings.xml><?xml version="1.0" encoding="utf-8"?>
<sst xmlns="http://schemas.openxmlformats.org/spreadsheetml/2006/main" count="171" uniqueCount="83">
  <si>
    <t>R</t>
  </si>
  <si>
    <t>D</t>
  </si>
  <si>
    <t>Err [R]</t>
  </si>
  <si>
    <t>e/m</t>
  </si>
  <si>
    <t>B</t>
  </si>
  <si>
    <t>V</t>
  </si>
  <si>
    <t>err (e/m)</t>
  </si>
  <si>
    <t>err(V)/V</t>
  </si>
  <si>
    <t>err[R]/R</t>
  </si>
  <si>
    <t>err(B)/B =err(I)/I</t>
  </si>
  <si>
    <t>Percent err</t>
  </si>
  <si>
    <t>I</t>
  </si>
  <si>
    <t>B (not scale)</t>
  </si>
  <si>
    <t>B (scaled)</t>
  </si>
  <si>
    <t>ERR[R]</t>
  </si>
  <si>
    <t>R^2</t>
  </si>
  <si>
    <t>B^2</t>
  </si>
  <si>
    <t>1/R^2</t>
  </si>
  <si>
    <t>B^2/2</t>
  </si>
  <si>
    <t>Difference</t>
  </si>
  <si>
    <t>new angle</t>
  </si>
  <si>
    <t>alpha</t>
  </si>
  <si>
    <t>Length</t>
  </si>
  <si>
    <t>given density g/m^3</t>
  </si>
  <si>
    <t xml:space="preserve"> angle</t>
  </si>
  <si>
    <t>long</t>
  </si>
  <si>
    <t>short</t>
  </si>
  <si>
    <t>mystery'</t>
  </si>
  <si>
    <t>error of alpha</t>
  </si>
  <si>
    <t>g</t>
  </si>
  <si>
    <t>b</t>
  </si>
  <si>
    <t>r</t>
  </si>
  <si>
    <t>err (r^2)</t>
  </si>
  <si>
    <t>err (b)</t>
  </si>
  <si>
    <t>err(b^2)</t>
  </si>
  <si>
    <t>strong</t>
  </si>
  <si>
    <t>1st</t>
  </si>
  <si>
    <t>2nd</t>
  </si>
  <si>
    <t>weak, 1st</t>
  </si>
  <si>
    <t xml:space="preserve">The 3$^{rd}$ order diffraction angle of UV light (365nm) is </t>
  </si>
  <si>
    <t>Order</t>
  </si>
  <si>
    <t>Hydrogen</t>
  </si>
  <si>
    <t>Session 2</t>
  </si>
  <si>
    <t>Order (m)</t>
  </si>
  <si>
    <t>Lines</t>
  </si>
  <si>
    <t>α</t>
  </si>
  <si>
    <t>β</t>
  </si>
  <si>
    <t>γ</t>
  </si>
  <si>
    <t>δ</t>
  </si>
  <si>
    <t>Angle (lower)</t>
  </si>
  <si>
    <t>Anlge (upper)</t>
  </si>
  <si>
    <t>Angle</t>
  </si>
  <si>
    <t>abs differnece</t>
  </si>
  <si>
    <t>SLIT (sess 1)</t>
  </si>
  <si>
    <t>/</t>
  </si>
  <si>
    <t>Line</t>
  </si>
  <si>
    <t>Sodium, yellow</t>
  </si>
  <si>
    <t xml:space="preserve">doublet L </t>
  </si>
  <si>
    <t xml:space="preserve"> doubletR</t>
  </si>
  <si>
    <t>δθ</t>
  </si>
  <si>
    <t>Tube 2 (CO2)</t>
  </si>
  <si>
    <t>R (635nm)</t>
  </si>
  <si>
    <t xml:space="preserve">G </t>
  </si>
  <si>
    <t>Tube 1(H)</t>
  </si>
  <si>
    <t>pm 5nm</t>
  </si>
  <si>
    <t>Purple</t>
  </si>
  <si>
    <t>Cyan</t>
  </si>
  <si>
    <t>Green</t>
  </si>
  <si>
    <t>Yellow</t>
  </si>
  <si>
    <t>Red</t>
  </si>
  <si>
    <t>m=1</t>
  </si>
  <si>
    <t>SLIT Calibration</t>
  </si>
  <si>
    <t>differnece</t>
  </si>
  <si>
    <t>d</t>
  </si>
  <si>
    <t>doublet R (λ2)</t>
  </si>
  <si>
    <t>doubletL(λ2)</t>
  </si>
  <si>
    <t>Avg of λ2 angel</t>
  </si>
  <si>
    <t>λ2</t>
  </si>
  <si>
    <t>Calculated wavelength(nm)</t>
  </si>
  <si>
    <t>angle</t>
  </si>
  <si>
    <t>corrected</t>
  </si>
  <si>
    <t>$\alpha$ [Deg]</t>
  </si>
  <si>
    <t>Intensity [Lux]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</si>
</sst>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"/>
    <numFmt numFmtId="168" formatCode="0.000000000"/>
    <numFmt numFmtId="173" formatCode="0.0000"/>
    <numFmt numFmtId="174" formatCode="0.00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  <font>
      <sz val="12"/>
      <color rgb="FF222222"/>
      <name val="Arial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9" fontId="0" fillId="0" borderId="0" xfId="1" applyFont="1"/>
    <xf numFmtId="9" fontId="0" fillId="2" borderId="0" xfId="1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168" fontId="0" fillId="0" borderId="0" xfId="0" applyNumberFormat="1"/>
    <xf numFmtId="173" fontId="0" fillId="0" borderId="0" xfId="0" applyNumberFormat="1"/>
    <xf numFmtId="0" fontId="4" fillId="0" borderId="0" xfId="0" applyFont="1"/>
    <xf numFmtId="174" fontId="4" fillId="0" borderId="0" xfId="0" applyNumberFormat="1" applyFont="1"/>
    <xf numFmtId="0" fontId="5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1" fontId="6" fillId="0" borderId="0" xfId="0" applyNumberFormat="1" applyFont="1"/>
    <xf numFmtId="0" fontId="0" fillId="11" borderId="0" xfId="0" applyFill="1"/>
    <xf numFmtId="0" fontId="0" fillId="12" borderId="0" xfId="0" applyFill="1"/>
    <xf numFmtId="2" fontId="0" fillId="12" borderId="0" xfId="0" applyNumberFormat="1" applyFill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topLeftCell="A33" workbookViewId="0">
      <selection activeCell="F44" sqref="F44"/>
    </sheetView>
  </sheetViews>
  <sheetFormatPr baseColWidth="10" defaultRowHeight="16" x14ac:dyDescent="0.2"/>
  <cols>
    <col min="7" max="7" width="11.1640625" customWidth="1"/>
    <col min="8" max="8" width="12.33203125" bestFit="1" customWidth="1"/>
    <col min="9" max="9" width="14.6640625" customWidth="1"/>
    <col min="11" max="11" width="15.1640625" customWidth="1"/>
  </cols>
  <sheetData>
    <row r="2" spans="2:14" x14ac:dyDescent="0.2">
      <c r="B2" s="8" t="s">
        <v>5</v>
      </c>
      <c r="C2" s="9" t="s">
        <v>1</v>
      </c>
      <c r="D2" s="8" t="s">
        <v>0</v>
      </c>
      <c r="E2" s="8" t="s">
        <v>2</v>
      </c>
      <c r="F2" s="8" t="s">
        <v>4</v>
      </c>
      <c r="G2" s="11" t="s">
        <v>3</v>
      </c>
      <c r="H2" t="s">
        <v>7</v>
      </c>
      <c r="I2" t="s">
        <v>9</v>
      </c>
      <c r="J2" t="s">
        <v>8</v>
      </c>
      <c r="K2" s="11" t="s">
        <v>6</v>
      </c>
      <c r="M2" t="s">
        <v>10</v>
      </c>
    </row>
    <row r="3" spans="2:14" x14ac:dyDescent="0.2">
      <c r="B3">
        <v>100</v>
      </c>
      <c r="C3">
        <f>2.8+2.5</f>
        <v>5.3</v>
      </c>
      <c r="D3">
        <f>C3/2</f>
        <v>2.65</v>
      </c>
      <c r="E3">
        <f xml:space="preserve"> 0.6</f>
        <v>0.6</v>
      </c>
      <c r="F3">
        <f>7.8*1.5*10^-4</f>
        <v>1.17E-3</v>
      </c>
      <c r="G3" s="3">
        <f>(2*B3)/((D3*10^-2)^2* F3^2)</f>
        <v>208049427134.60205</v>
      </c>
      <c r="H3">
        <f>0.3/B3</f>
        <v>3.0000000000000001E-3</v>
      </c>
      <c r="I3">
        <f>0.05/1.5</f>
        <v>3.3333333333333333E-2</v>
      </c>
      <c r="J3">
        <f>E3/D3</f>
        <v>0.22641509433962265</v>
      </c>
      <c r="K3">
        <f>SQRT(H3^2+4*I3^2+4*J3^2)</f>
        <v>0.45772112057859571</v>
      </c>
      <c r="M3" s="6">
        <f>ABS(170000000000 - G3)/(1.7*10^11)</f>
        <v>0.22382015961530619</v>
      </c>
    </row>
    <row r="4" spans="2:14" x14ac:dyDescent="0.2">
      <c r="B4">
        <v>120</v>
      </c>
      <c r="C4">
        <f>2.3+4.2</f>
        <v>6.5</v>
      </c>
      <c r="D4">
        <f t="shared" ref="D4:D11" si="0">C4/2</f>
        <v>3.25</v>
      </c>
      <c r="E4">
        <f t="shared" ref="E4:E11" si="1" xml:space="preserve"> 0.6</f>
        <v>0.6</v>
      </c>
      <c r="F4">
        <f t="shared" ref="F4:F11" si="2">7.8*1.5*10^-4</f>
        <v>1.17E-3</v>
      </c>
      <c r="G4" s="3">
        <f t="shared" ref="G4:G11" si="3">(2*B4)/((D4*10^-2)^2* F4^2)</f>
        <v>165986511002.44177</v>
      </c>
      <c r="H4">
        <f t="shared" ref="H4:H11" si="4">0.3/B4</f>
        <v>2.5000000000000001E-3</v>
      </c>
      <c r="I4">
        <f t="shared" ref="I4:I11" si="5">0.05/1.5</f>
        <v>3.3333333333333333E-2</v>
      </c>
      <c r="J4">
        <f t="shared" ref="J4:J11" si="6">E4/D4</f>
        <v>0.1846153846153846</v>
      </c>
      <c r="K4">
        <f t="shared" ref="K4:K11" si="7">SQRT(H4^2+4*I4^2+4*J4^2)</f>
        <v>0.37520934875238648</v>
      </c>
      <c r="M4" s="6">
        <f t="shared" ref="M4:M11" si="8">ABS(170000000000 - G4)/(1.7*10^11)</f>
        <v>2.3608758809166044E-2</v>
      </c>
    </row>
    <row r="5" spans="2:14" x14ac:dyDescent="0.2">
      <c r="B5" s="4">
        <v>130</v>
      </c>
      <c r="C5" s="4">
        <f>3.8+4.5</f>
        <v>8.3000000000000007</v>
      </c>
      <c r="D5" s="4">
        <f t="shared" si="0"/>
        <v>4.1500000000000004</v>
      </c>
      <c r="E5" s="4">
        <f t="shared" si="1"/>
        <v>0.6</v>
      </c>
      <c r="F5" s="4">
        <f t="shared" si="2"/>
        <v>1.17E-3</v>
      </c>
      <c r="G5" s="5">
        <f t="shared" si="3"/>
        <v>110282202506.52144</v>
      </c>
      <c r="H5" s="4">
        <f t="shared" si="4"/>
        <v>2.3076923076923075E-3</v>
      </c>
      <c r="I5" s="4">
        <f t="shared" si="5"/>
        <v>3.3333333333333333E-2</v>
      </c>
      <c r="J5" s="4">
        <f t="shared" si="6"/>
        <v>0.14457831325301204</v>
      </c>
      <c r="K5">
        <f t="shared" si="7"/>
        <v>0.29675128397460343</v>
      </c>
      <c r="L5" s="4"/>
      <c r="M5" s="7">
        <f t="shared" si="8"/>
        <v>0.35128116172634449</v>
      </c>
      <c r="N5" s="4"/>
    </row>
    <row r="6" spans="2:14" x14ac:dyDescent="0.2">
      <c r="B6">
        <v>132</v>
      </c>
      <c r="C6">
        <f>3.8+3.2</f>
        <v>7</v>
      </c>
      <c r="D6">
        <f t="shared" si="0"/>
        <v>3.5</v>
      </c>
      <c r="E6">
        <f t="shared" si="1"/>
        <v>0.6</v>
      </c>
      <c r="F6">
        <f t="shared" si="2"/>
        <v>1.17E-3</v>
      </c>
      <c r="G6" s="3">
        <f t="shared" si="3"/>
        <v>157433124466.09146</v>
      </c>
      <c r="H6">
        <f t="shared" si="4"/>
        <v>2.2727272727272726E-3</v>
      </c>
      <c r="I6">
        <f t="shared" si="5"/>
        <v>3.3333333333333333E-2</v>
      </c>
      <c r="J6">
        <f t="shared" si="6"/>
        <v>0.17142857142857143</v>
      </c>
      <c r="K6">
        <f t="shared" si="7"/>
        <v>0.349285885975749</v>
      </c>
      <c r="M6" s="6">
        <f t="shared" si="8"/>
        <v>7.3922797258285516E-2</v>
      </c>
    </row>
    <row r="7" spans="2:14" x14ac:dyDescent="0.2">
      <c r="B7">
        <v>140</v>
      </c>
      <c r="C7">
        <f>2.3+5.5</f>
        <v>7.8</v>
      </c>
      <c r="D7">
        <f t="shared" si="0"/>
        <v>3.9</v>
      </c>
      <c r="E7">
        <f t="shared" si="1"/>
        <v>0.6</v>
      </c>
      <c r="F7">
        <f t="shared" si="2"/>
        <v>1.17E-3</v>
      </c>
      <c r="G7" s="3">
        <f t="shared" si="3"/>
        <v>134479812154.75607</v>
      </c>
      <c r="H7">
        <f t="shared" si="4"/>
        <v>2.142857142857143E-3</v>
      </c>
      <c r="I7">
        <f t="shared" si="5"/>
        <v>3.3333333333333333E-2</v>
      </c>
      <c r="J7">
        <f t="shared" si="6"/>
        <v>0.15384615384615385</v>
      </c>
      <c r="K7">
        <f t="shared" si="7"/>
        <v>0.31483899455784842</v>
      </c>
      <c r="M7" s="6">
        <f t="shared" si="8"/>
        <v>0.20894228144261134</v>
      </c>
    </row>
    <row r="8" spans="2:14" x14ac:dyDescent="0.2">
      <c r="B8" s="4">
        <v>143</v>
      </c>
      <c r="C8" s="4">
        <f>3.8+4</f>
        <v>7.8</v>
      </c>
      <c r="D8" s="4">
        <f t="shared" si="0"/>
        <v>3.9</v>
      </c>
      <c r="E8" s="4">
        <f t="shared" si="1"/>
        <v>0.6</v>
      </c>
      <c r="F8" s="4">
        <f t="shared" si="2"/>
        <v>1.17E-3</v>
      </c>
      <c r="G8" s="5">
        <f t="shared" si="3"/>
        <v>137361522415.21513</v>
      </c>
      <c r="H8" s="4">
        <f t="shared" si="4"/>
        <v>2.0979020979020979E-3</v>
      </c>
      <c r="I8" s="4">
        <f t="shared" si="5"/>
        <v>3.3333333333333333E-2</v>
      </c>
      <c r="J8" s="4">
        <f t="shared" si="6"/>
        <v>0.15384615384615385</v>
      </c>
      <c r="K8">
        <f t="shared" si="7"/>
        <v>0.31483869179418622</v>
      </c>
      <c r="L8" s="4"/>
      <c r="M8" s="7">
        <f t="shared" si="8"/>
        <v>0.19199104461638156</v>
      </c>
      <c r="N8" s="4"/>
    </row>
    <row r="9" spans="2:14" x14ac:dyDescent="0.2">
      <c r="B9" s="4">
        <v>152</v>
      </c>
      <c r="C9" s="4">
        <f>4.1+4.1</f>
        <v>8.1999999999999993</v>
      </c>
      <c r="D9" s="4">
        <f t="shared" si="0"/>
        <v>4.0999999999999996</v>
      </c>
      <c r="E9" s="4">
        <f t="shared" si="1"/>
        <v>0.6</v>
      </c>
      <c r="F9" s="4">
        <f t="shared" si="2"/>
        <v>1.17E-3</v>
      </c>
      <c r="G9" s="5">
        <f t="shared" si="3"/>
        <v>132109529751.3486</v>
      </c>
      <c r="H9" s="4">
        <f t="shared" si="4"/>
        <v>1.9736842105263159E-3</v>
      </c>
      <c r="I9" s="4">
        <f t="shared" si="5"/>
        <v>3.3333333333333333E-2</v>
      </c>
      <c r="J9" s="4">
        <f t="shared" si="6"/>
        <v>0.14634146341463417</v>
      </c>
      <c r="K9">
        <f t="shared" si="7"/>
        <v>0.30018600155762454</v>
      </c>
      <c r="L9" s="4"/>
      <c r="M9" s="7">
        <f t="shared" si="8"/>
        <v>0.22288511910971409</v>
      </c>
      <c r="N9" s="4"/>
    </row>
    <row r="10" spans="2:14" x14ac:dyDescent="0.2">
      <c r="B10" s="4">
        <v>162</v>
      </c>
      <c r="C10" s="4">
        <f>4.5+4.5</f>
        <v>9</v>
      </c>
      <c r="D10" s="4">
        <f t="shared" si="0"/>
        <v>4.5</v>
      </c>
      <c r="E10" s="4">
        <f t="shared" si="1"/>
        <v>0.6</v>
      </c>
      <c r="F10" s="4">
        <f t="shared" si="2"/>
        <v>1.17E-3</v>
      </c>
      <c r="G10" s="5">
        <f t="shared" si="3"/>
        <v>116882168164.21944</v>
      </c>
      <c r="H10" s="4">
        <f t="shared" si="4"/>
        <v>1.8518518518518517E-3</v>
      </c>
      <c r="I10" s="4">
        <f t="shared" si="5"/>
        <v>3.3333333333333333E-2</v>
      </c>
      <c r="J10" s="4">
        <f t="shared" si="6"/>
        <v>0.13333333333333333</v>
      </c>
      <c r="K10">
        <f t="shared" si="7"/>
        <v>0.27487994635992774</v>
      </c>
      <c r="L10" s="4"/>
      <c r="M10" s="7">
        <f t="shared" si="8"/>
        <v>0.31245783432812096</v>
      </c>
      <c r="N10" s="4"/>
    </row>
    <row r="11" spans="2:14" x14ac:dyDescent="0.2">
      <c r="B11">
        <v>165</v>
      </c>
      <c r="C11">
        <f>3.9+4.2</f>
        <v>8.1</v>
      </c>
      <c r="D11">
        <f>C11/2</f>
        <v>4.05</v>
      </c>
      <c r="E11">
        <f t="shared" si="1"/>
        <v>0.6</v>
      </c>
      <c r="F11">
        <f t="shared" si="2"/>
        <v>1.17E-3</v>
      </c>
      <c r="G11" s="3">
        <f t="shared" si="3"/>
        <v>146971176246.73224</v>
      </c>
      <c r="H11">
        <f t="shared" si="4"/>
        <v>1.8181818181818182E-3</v>
      </c>
      <c r="I11">
        <f t="shared" si="5"/>
        <v>3.3333333333333333E-2</v>
      </c>
      <c r="J11">
        <f t="shared" si="6"/>
        <v>0.14814814814814814</v>
      </c>
      <c r="K11">
        <f t="shared" si="7"/>
        <v>0.3037091461060582</v>
      </c>
      <c r="M11" s="6">
        <f t="shared" si="8"/>
        <v>0.13546366913686919</v>
      </c>
    </row>
    <row r="14" spans="2:14" x14ac:dyDescent="0.2">
      <c r="B14" s="8" t="s">
        <v>11</v>
      </c>
      <c r="C14" t="s">
        <v>1</v>
      </c>
      <c r="D14" s="8" t="s">
        <v>0</v>
      </c>
      <c r="E14" s="8" t="s">
        <v>14</v>
      </c>
      <c r="F14" s="10" t="s">
        <v>4</v>
      </c>
      <c r="G14" s="11" t="s">
        <v>3</v>
      </c>
      <c r="H14" t="s">
        <v>7</v>
      </c>
      <c r="I14" t="s">
        <v>9</v>
      </c>
      <c r="J14" t="s">
        <v>8</v>
      </c>
      <c r="K14" s="11" t="s">
        <v>6</v>
      </c>
      <c r="M14" t="s">
        <v>10</v>
      </c>
    </row>
    <row r="15" spans="2:14" x14ac:dyDescent="0.2">
      <c r="B15">
        <v>1</v>
      </c>
      <c r="C15">
        <f>5.6+5.6</f>
        <v>11.2</v>
      </c>
      <c r="D15">
        <f>C15/2</f>
        <v>5.6</v>
      </c>
      <c r="E15">
        <f>0.6</f>
        <v>0.6</v>
      </c>
      <c r="F15">
        <f>7.8*B15*10^-4</f>
        <v>7.7999999999999999E-4</v>
      </c>
      <c r="G15">
        <f>(2*150)/((D15*10^-2)^2* F15^2)</f>
        <v>157237451193.49521</v>
      </c>
      <c r="H15">
        <f>0.5/150</f>
        <v>3.3333333333333335E-3</v>
      </c>
      <c r="I15">
        <f>0.05/B15</f>
        <v>0.05</v>
      </c>
      <c r="J15">
        <f>E15/D15</f>
        <v>0.10714285714285715</v>
      </c>
      <c r="K15" s="1">
        <f>SQRT(H15^2+I15^2+J15^2)</f>
        <v>0.118282301921487</v>
      </c>
      <c r="M15" s="6">
        <f>ABS(170000000000 - G15)/(1.7*10^11)</f>
        <v>7.5073816508851712E-2</v>
      </c>
    </row>
    <row r="16" spans="2:14" x14ac:dyDescent="0.2">
      <c r="B16">
        <v>1.2</v>
      </c>
      <c r="C16">
        <f>4.7+5.3</f>
        <v>10</v>
      </c>
      <c r="D16">
        <f t="shared" ref="D16:D19" si="9">C16/2</f>
        <v>5</v>
      </c>
      <c r="E16">
        <f t="shared" ref="E16:E19" si="10">0.6</f>
        <v>0.6</v>
      </c>
      <c r="F16">
        <f t="shared" ref="F16:F19" si="11">7.8*B16*10^-4</f>
        <v>9.3599999999999998E-4</v>
      </c>
      <c r="G16">
        <f t="shared" ref="G16:G19" si="12">(2*150)/((D16*10^-2)^2* F16^2)</f>
        <v>136971290817.44463</v>
      </c>
      <c r="H16">
        <f t="shared" ref="H16:H19" si="13">0.5/150</f>
        <v>3.3333333333333335E-3</v>
      </c>
      <c r="I16">
        <f t="shared" ref="I16:I19" si="14">0.05/B16</f>
        <v>4.1666666666666671E-2</v>
      </c>
      <c r="J16">
        <f t="shared" ref="J16:J19" si="15">E16/D16</f>
        <v>0.12</v>
      </c>
      <c r="K16" s="1">
        <f t="shared" ref="K16:K19" si="16">SQRT(H16^2+I16^2+J16^2)</f>
        <v>0.12707172078091264</v>
      </c>
      <c r="M16" s="6">
        <f t="shared" ref="M16:M19" si="17">ABS(170000000000 - G16)/(1.7*10^11)</f>
        <v>0.1942865246032669</v>
      </c>
    </row>
    <row r="17" spans="2:13" x14ac:dyDescent="0.2">
      <c r="B17">
        <v>1.4</v>
      </c>
      <c r="C17">
        <f>3.4+4.6</f>
        <v>8</v>
      </c>
      <c r="D17">
        <f t="shared" si="9"/>
        <v>4</v>
      </c>
      <c r="E17">
        <f t="shared" si="10"/>
        <v>0.6</v>
      </c>
      <c r="F17">
        <f t="shared" si="11"/>
        <v>1.0920000000000001E-3</v>
      </c>
      <c r="G17">
        <f t="shared" si="12"/>
        <v>157237451193.49509</v>
      </c>
      <c r="H17">
        <f t="shared" si="13"/>
        <v>3.3333333333333335E-3</v>
      </c>
      <c r="I17">
        <f t="shared" si="14"/>
        <v>3.5714285714285719E-2</v>
      </c>
      <c r="J17">
        <f t="shared" si="15"/>
        <v>0.15</v>
      </c>
      <c r="K17" s="1">
        <f t="shared" si="16"/>
        <v>0.15422911954359575</v>
      </c>
      <c r="M17" s="6">
        <f t="shared" si="17"/>
        <v>7.5073816508852434E-2</v>
      </c>
    </row>
    <row r="18" spans="2:13" x14ac:dyDescent="0.2">
      <c r="B18">
        <v>1.6</v>
      </c>
      <c r="C18">
        <f>4.2+3.3</f>
        <v>7.5</v>
      </c>
      <c r="D18">
        <f t="shared" si="9"/>
        <v>3.75</v>
      </c>
      <c r="E18">
        <f t="shared" si="10"/>
        <v>0.6</v>
      </c>
      <c r="F18">
        <f t="shared" si="11"/>
        <v>1.2480000000000002E-3</v>
      </c>
      <c r="G18">
        <f t="shared" si="12"/>
        <v>136971290817.44463</v>
      </c>
      <c r="H18">
        <f t="shared" si="13"/>
        <v>3.3333333333333335E-3</v>
      </c>
      <c r="I18">
        <f t="shared" si="14"/>
        <v>3.125E-2</v>
      </c>
      <c r="J18">
        <f t="shared" si="15"/>
        <v>0.16</v>
      </c>
      <c r="K18" s="1">
        <f t="shared" si="16"/>
        <v>0.16305727095444444</v>
      </c>
      <c r="M18" s="6">
        <f t="shared" si="17"/>
        <v>0.1942865246032669</v>
      </c>
    </row>
    <row r="19" spans="2:13" x14ac:dyDescent="0.2">
      <c r="B19">
        <v>2</v>
      </c>
      <c r="C19">
        <f>2.4+3.6</f>
        <v>6</v>
      </c>
      <c r="D19">
        <f t="shared" si="9"/>
        <v>3</v>
      </c>
      <c r="E19">
        <f t="shared" si="10"/>
        <v>0.6</v>
      </c>
      <c r="F19">
        <f t="shared" si="11"/>
        <v>1.56E-3</v>
      </c>
      <c r="G19">
        <f t="shared" si="12"/>
        <v>136971290817.44469</v>
      </c>
      <c r="H19">
        <f t="shared" si="13"/>
        <v>3.3333333333333335E-3</v>
      </c>
      <c r="I19">
        <f t="shared" si="14"/>
        <v>2.5000000000000001E-2</v>
      </c>
      <c r="J19">
        <f t="shared" si="15"/>
        <v>0.19999999999999998</v>
      </c>
      <c r="K19" s="1">
        <f t="shared" si="16"/>
        <v>0.20158400509740623</v>
      </c>
      <c r="M19" s="6">
        <f t="shared" si="17"/>
        <v>0.19428652460326654</v>
      </c>
    </row>
    <row r="26" spans="2:13" ht="19" x14ac:dyDescent="0.25">
      <c r="B26" s="8" t="s">
        <v>11</v>
      </c>
      <c r="C26" s="8" t="s">
        <v>12</v>
      </c>
      <c r="D26" t="s">
        <v>13</v>
      </c>
      <c r="F26" s="14"/>
    </row>
    <row r="27" spans="2:13" x14ac:dyDescent="0.2">
      <c r="B27">
        <v>1</v>
      </c>
      <c r="C27">
        <v>0.8</v>
      </c>
      <c r="D27">
        <f>C27*10</f>
        <v>8</v>
      </c>
      <c r="H27" s="12"/>
    </row>
    <row r="28" spans="2:13" x14ac:dyDescent="0.2">
      <c r="B28">
        <v>1.2</v>
      </c>
      <c r="C28">
        <v>0.94</v>
      </c>
      <c r="D28">
        <f t="shared" ref="D28:D31" si="18">C28*10</f>
        <v>9.3999999999999986</v>
      </c>
    </row>
    <row r="29" spans="2:13" x14ac:dyDescent="0.2">
      <c r="B29">
        <v>1.4</v>
      </c>
      <c r="C29">
        <v>1.1000000000000001</v>
      </c>
      <c r="D29">
        <f t="shared" si="18"/>
        <v>11</v>
      </c>
    </row>
    <row r="30" spans="2:13" x14ac:dyDescent="0.2">
      <c r="B30">
        <v>1.6</v>
      </c>
      <c r="C30">
        <v>1.25</v>
      </c>
      <c r="D30">
        <f t="shared" si="18"/>
        <v>12.5</v>
      </c>
    </row>
    <row r="31" spans="2:13" x14ac:dyDescent="0.2">
      <c r="B31">
        <v>2</v>
      </c>
      <c r="C31">
        <v>1.52</v>
      </c>
      <c r="D31">
        <f t="shared" si="18"/>
        <v>15.2</v>
      </c>
    </row>
    <row r="36" spans="1:6" x14ac:dyDescent="0.2">
      <c r="A36" t="s">
        <v>35</v>
      </c>
    </row>
    <row r="37" spans="1:6" x14ac:dyDescent="0.2">
      <c r="A37" t="s">
        <v>36</v>
      </c>
      <c r="B37">
        <v>0.64900000000000002</v>
      </c>
      <c r="F37" t="s">
        <v>39</v>
      </c>
    </row>
    <row r="38" spans="1:6" x14ac:dyDescent="0.2">
      <c r="B38">
        <v>0.64459999999999995</v>
      </c>
      <c r="F38">
        <f xml:space="preserve"> (3*365*10^-9)/(1.67*10^-6)</f>
        <v>0.65568862275449113</v>
      </c>
    </row>
    <row r="39" spans="1:6" x14ac:dyDescent="0.2">
      <c r="A39" t="s">
        <v>37</v>
      </c>
      <c r="B39">
        <v>0.57750000000000001</v>
      </c>
    </row>
    <row r="40" spans="1:6" x14ac:dyDescent="0.2">
      <c r="B40">
        <v>0.5635</v>
      </c>
      <c r="F40">
        <f xml:space="preserve"> (2*578*10^-9)/(1.67*10^-6)</f>
        <v>0.69221556886227553</v>
      </c>
    </row>
    <row r="41" spans="1:6" x14ac:dyDescent="0.2">
      <c r="A41" t="s">
        <v>38</v>
      </c>
      <c r="B41">
        <v>0.62</v>
      </c>
      <c r="F41">
        <f>(4.1357-3.9574)/4.1357</f>
        <v>4.3112411441835752E-2</v>
      </c>
    </row>
    <row r="42" spans="1:6" x14ac:dyDescent="0.2">
      <c r="B42">
        <v>0.60199999999999998</v>
      </c>
    </row>
    <row r="43" spans="1:6" x14ac:dyDescent="0.2">
      <c r="A43" t="s">
        <v>37</v>
      </c>
      <c r="B43">
        <v>0.51400000000000001</v>
      </c>
    </row>
    <row r="44" spans="1:6" x14ac:dyDescent="0.2">
      <c r="B44">
        <v>0.48849999999999999</v>
      </c>
    </row>
    <row r="46" spans="1:6" x14ac:dyDescent="0.2">
      <c r="B46">
        <f>_xlfn.STDEV.P(B37:B44)</f>
        <v>5.4748640108682148E-2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19" sqref="H19"/>
    </sheetView>
  </sheetViews>
  <sheetFormatPr baseColWidth="10" defaultRowHeight="16" x14ac:dyDescent="0.2"/>
  <cols>
    <col min="2" max="2" width="13.6640625" bestFit="1" customWidth="1"/>
    <col min="10" max="10" width="11.6640625" bestFit="1" customWidth="1"/>
  </cols>
  <sheetData>
    <row r="1" spans="1:12" x14ac:dyDescent="0.2">
      <c r="A1" s="8" t="s">
        <v>5</v>
      </c>
      <c r="B1" s="9" t="s">
        <v>1</v>
      </c>
      <c r="C1" s="8" t="s">
        <v>0</v>
      </c>
      <c r="D1" s="8" t="s">
        <v>2</v>
      </c>
      <c r="E1" s="8" t="s">
        <v>4</v>
      </c>
      <c r="F1" s="11" t="s">
        <v>3</v>
      </c>
      <c r="G1" t="s">
        <v>7</v>
      </c>
      <c r="H1" t="s">
        <v>9</v>
      </c>
      <c r="I1" t="s">
        <v>8</v>
      </c>
      <c r="J1" s="11" t="s">
        <v>6</v>
      </c>
      <c r="L1" t="s">
        <v>10</v>
      </c>
    </row>
    <row r="2" spans="1:12" x14ac:dyDescent="0.2">
      <c r="A2">
        <v>100</v>
      </c>
      <c r="B2">
        <f>2.8+2.5</f>
        <v>5.3</v>
      </c>
      <c r="C2">
        <f>B2/2</f>
        <v>2.65</v>
      </c>
      <c r="D2">
        <f xml:space="preserve"> 0.6</f>
        <v>0.6</v>
      </c>
      <c r="E2">
        <f>7.8*1.5*10^-4</f>
        <v>1.17E-3</v>
      </c>
      <c r="F2" s="3">
        <f>(2*A2)/((C2*10^-2)^2* E2^2)</f>
        <v>208049427134.60205</v>
      </c>
      <c r="G2">
        <f>0.3/A2</f>
        <v>3.0000000000000001E-3</v>
      </c>
      <c r="H2">
        <f>0.05/1.5</f>
        <v>3.3333333333333333E-2</v>
      </c>
      <c r="I2">
        <f>D2/C2</f>
        <v>0.22641509433962265</v>
      </c>
      <c r="J2" s="13">
        <v>0.45772112057859571</v>
      </c>
      <c r="L2" s="6">
        <f>ABS(170000000000 - F2)/(1.7*10^11)</f>
        <v>0.22382015961530619</v>
      </c>
    </row>
    <row r="3" spans="1:12" x14ac:dyDescent="0.2">
      <c r="A3">
        <v>120</v>
      </c>
      <c r="B3">
        <f>2.3+4.2</f>
        <v>6.5</v>
      </c>
      <c r="C3">
        <f t="shared" ref="C3:C5" si="0">B3/2</f>
        <v>3.25</v>
      </c>
      <c r="D3">
        <f t="shared" ref="D3:D6" si="1" xml:space="preserve"> 0.6</f>
        <v>0.6</v>
      </c>
      <c r="E3">
        <f t="shared" ref="E3:E6" si="2">7.8*1.5*10^-4</f>
        <v>1.17E-3</v>
      </c>
      <c r="F3" s="3">
        <f t="shared" ref="F3:F6" si="3">(2*A3)/((C3*10^-2)^2* E3^2)</f>
        <v>165986511002.44177</v>
      </c>
      <c r="G3">
        <f t="shared" ref="G3:G6" si="4">0.3/A3</f>
        <v>2.5000000000000001E-3</v>
      </c>
      <c r="H3">
        <f t="shared" ref="H3:H6" si="5">0.05/1.5</f>
        <v>3.3333333333333333E-2</v>
      </c>
      <c r="I3">
        <f t="shared" ref="I3:I6" si="6">D3/C3</f>
        <v>0.1846153846153846</v>
      </c>
      <c r="J3" s="13">
        <v>0.37520934875238648</v>
      </c>
      <c r="L3" s="6">
        <f t="shared" ref="L3:L6" si="7">ABS(170000000000 - F3)/(1.7*10^11)</f>
        <v>2.3608758809166044E-2</v>
      </c>
    </row>
    <row r="4" spans="1:12" x14ac:dyDescent="0.2">
      <c r="A4">
        <v>132</v>
      </c>
      <c r="B4">
        <f>3.8+3.2</f>
        <v>7</v>
      </c>
      <c r="C4">
        <f t="shared" si="0"/>
        <v>3.5</v>
      </c>
      <c r="D4">
        <f t="shared" si="1"/>
        <v>0.6</v>
      </c>
      <c r="E4">
        <f t="shared" si="2"/>
        <v>1.17E-3</v>
      </c>
      <c r="F4" s="3">
        <f t="shared" si="3"/>
        <v>157433124466.09146</v>
      </c>
      <c r="G4">
        <f t="shared" si="4"/>
        <v>2.2727272727272726E-3</v>
      </c>
      <c r="H4">
        <f t="shared" si="5"/>
        <v>3.3333333333333333E-2</v>
      </c>
      <c r="I4">
        <f t="shared" si="6"/>
        <v>0.17142857142857143</v>
      </c>
      <c r="J4" s="13">
        <v>0.349285885975749</v>
      </c>
      <c r="L4" s="6">
        <f t="shared" si="7"/>
        <v>7.3922797258285516E-2</v>
      </c>
    </row>
    <row r="5" spans="1:12" x14ac:dyDescent="0.2">
      <c r="A5">
        <v>140</v>
      </c>
      <c r="B5">
        <f>2.3+5.5</f>
        <v>7.8</v>
      </c>
      <c r="C5">
        <f t="shared" si="0"/>
        <v>3.9</v>
      </c>
      <c r="D5">
        <f t="shared" si="1"/>
        <v>0.6</v>
      </c>
      <c r="E5">
        <f t="shared" si="2"/>
        <v>1.17E-3</v>
      </c>
      <c r="F5" s="3">
        <f t="shared" si="3"/>
        <v>134479812154.75607</v>
      </c>
      <c r="G5">
        <f t="shared" si="4"/>
        <v>2.142857142857143E-3</v>
      </c>
      <c r="H5">
        <f t="shared" si="5"/>
        <v>3.3333333333333333E-2</v>
      </c>
      <c r="I5">
        <f t="shared" si="6"/>
        <v>0.15384615384615385</v>
      </c>
      <c r="J5" s="13">
        <v>0.31483899455784842</v>
      </c>
      <c r="L5" s="6">
        <f t="shared" si="7"/>
        <v>0.20894228144261134</v>
      </c>
    </row>
    <row r="6" spans="1:12" x14ac:dyDescent="0.2">
      <c r="A6">
        <v>165</v>
      </c>
      <c r="B6">
        <f>3.9+4.2</f>
        <v>8.1</v>
      </c>
      <c r="C6">
        <f>B6/2</f>
        <v>4.05</v>
      </c>
      <c r="D6">
        <f t="shared" si="1"/>
        <v>0.6</v>
      </c>
      <c r="E6">
        <f t="shared" si="2"/>
        <v>1.17E-3</v>
      </c>
      <c r="F6" s="3">
        <f t="shared" si="3"/>
        <v>146971176246.73224</v>
      </c>
      <c r="G6">
        <f t="shared" si="4"/>
        <v>1.8181818181818182E-3</v>
      </c>
      <c r="H6">
        <f t="shared" si="5"/>
        <v>3.3333333333333333E-2</v>
      </c>
      <c r="I6">
        <f t="shared" si="6"/>
        <v>0.14814814814814814</v>
      </c>
      <c r="J6" s="13">
        <v>0.3037091461060582</v>
      </c>
      <c r="L6" s="6">
        <f t="shared" si="7"/>
        <v>0.13546366913686919</v>
      </c>
    </row>
    <row r="7" spans="1:12" x14ac:dyDescent="0.2">
      <c r="J7" s="13"/>
    </row>
    <row r="8" spans="1:12" x14ac:dyDescent="0.2">
      <c r="J8">
        <f>_xlfn.STDEV.P(J2:J6)</f>
        <v>5.49610656551889E-2</v>
      </c>
    </row>
    <row r="10" spans="1:12" x14ac:dyDescent="0.2">
      <c r="B10" t="s">
        <v>5</v>
      </c>
      <c r="C10" t="s">
        <v>15</v>
      </c>
      <c r="D10" t="s">
        <v>32</v>
      </c>
      <c r="E10" t="s">
        <v>4</v>
      </c>
      <c r="F10" t="s">
        <v>0</v>
      </c>
      <c r="G10" t="s">
        <v>16</v>
      </c>
      <c r="H10" t="s">
        <v>17</v>
      </c>
      <c r="J10" t="s">
        <v>18</v>
      </c>
    </row>
    <row r="11" spans="1:12" x14ac:dyDescent="0.2">
      <c r="B11">
        <v>100</v>
      </c>
      <c r="C11">
        <f>(C2*10^-2)^2</f>
        <v>7.0224999999999997E-4</v>
      </c>
      <c r="D11">
        <f>(D2*10^-2)*2</f>
        <v>1.2E-2</v>
      </c>
      <c r="E11">
        <v>7.7999999999999999E-4</v>
      </c>
      <c r="F11">
        <v>5.6</v>
      </c>
      <c r="G11">
        <f>E11^2</f>
        <v>6.0839999999999997E-7</v>
      </c>
      <c r="H11">
        <f>1/(F11*10^-2)^2</f>
        <v>318.87755102040819</v>
      </c>
      <c r="J11">
        <f>G11/2</f>
        <v>3.0419999999999998E-7</v>
      </c>
    </row>
    <row r="12" spans="1:12" x14ac:dyDescent="0.2">
      <c r="B12">
        <v>120</v>
      </c>
      <c r="C12">
        <f t="shared" ref="C12:C15" si="8">(C3*10^-2)^2</f>
        <v>1.0562500000000001E-3</v>
      </c>
      <c r="D12">
        <f t="shared" ref="D12:D15" si="9">(D3*10^-2)*2</f>
        <v>1.2E-2</v>
      </c>
      <c r="E12">
        <v>9.3599999999999998E-4</v>
      </c>
      <c r="F12">
        <v>5</v>
      </c>
      <c r="G12">
        <f>E12^2</f>
        <v>8.7609599999999996E-7</v>
      </c>
      <c r="H12">
        <f t="shared" ref="H12:H15" si="10">1/(F12*10^-2)^2</f>
        <v>399.99999999999994</v>
      </c>
    </row>
    <row r="13" spans="1:12" x14ac:dyDescent="0.2">
      <c r="B13">
        <v>132</v>
      </c>
      <c r="C13">
        <f t="shared" si="8"/>
        <v>1.2250000000000002E-3</v>
      </c>
      <c r="D13">
        <f t="shared" si="9"/>
        <v>1.2E-2</v>
      </c>
      <c r="E13">
        <v>1.0920000000000001E-3</v>
      </c>
      <c r="F13">
        <v>4</v>
      </c>
      <c r="G13">
        <f>E13^2</f>
        <v>1.1924640000000003E-6</v>
      </c>
      <c r="H13">
        <f t="shared" si="10"/>
        <v>625</v>
      </c>
    </row>
    <row r="14" spans="1:12" x14ac:dyDescent="0.2">
      <c r="B14">
        <v>140</v>
      </c>
      <c r="C14">
        <f t="shared" si="8"/>
        <v>1.521E-3</v>
      </c>
      <c r="D14">
        <f t="shared" si="9"/>
        <v>1.2E-2</v>
      </c>
      <c r="E14">
        <v>1.2480000000000002E-3</v>
      </c>
      <c r="F14">
        <v>3.75</v>
      </c>
      <c r="G14">
        <f>E14^2</f>
        <v>1.5575040000000004E-6</v>
      </c>
      <c r="H14">
        <f t="shared" si="10"/>
        <v>711.11111111111109</v>
      </c>
    </row>
    <row r="15" spans="1:12" x14ac:dyDescent="0.2">
      <c r="B15">
        <v>165</v>
      </c>
      <c r="C15">
        <f t="shared" si="8"/>
        <v>1.64025E-3</v>
      </c>
      <c r="D15">
        <f t="shared" si="9"/>
        <v>1.2E-2</v>
      </c>
      <c r="E15">
        <v>1.56E-3</v>
      </c>
      <c r="F15">
        <v>3</v>
      </c>
      <c r="G15">
        <f>E15^2</f>
        <v>2.4335999999999999E-6</v>
      </c>
      <c r="H15">
        <f t="shared" si="10"/>
        <v>1111.1111111111111</v>
      </c>
    </row>
    <row r="18" spans="2:8" x14ac:dyDescent="0.2">
      <c r="G18" t="s">
        <v>33</v>
      </c>
      <c r="H18" t="s">
        <v>34</v>
      </c>
    </row>
    <row r="19" spans="2:8" x14ac:dyDescent="0.2">
      <c r="G19">
        <f>0.05*E11</f>
        <v>3.8999999999999999E-5</v>
      </c>
      <c r="H19">
        <f>2*G19</f>
        <v>7.7999999999999999E-5</v>
      </c>
    </row>
    <row r="20" spans="2:8" x14ac:dyDescent="0.2">
      <c r="G20">
        <f t="shared" ref="G20:G23" si="11">0.05*E12</f>
        <v>4.6799999999999999E-5</v>
      </c>
      <c r="H20">
        <f t="shared" ref="H20:H23" si="12">2*G20</f>
        <v>9.3599999999999998E-5</v>
      </c>
    </row>
    <row r="21" spans="2:8" x14ac:dyDescent="0.2">
      <c r="G21">
        <f t="shared" si="11"/>
        <v>5.4600000000000006E-5</v>
      </c>
      <c r="H21">
        <f t="shared" si="12"/>
        <v>1.0920000000000001E-4</v>
      </c>
    </row>
    <row r="22" spans="2:8" x14ac:dyDescent="0.2">
      <c r="G22">
        <f t="shared" si="11"/>
        <v>6.2400000000000012E-5</v>
      </c>
      <c r="H22">
        <f t="shared" si="12"/>
        <v>1.2480000000000002E-4</v>
      </c>
    </row>
    <row r="23" spans="2:8" x14ac:dyDescent="0.2">
      <c r="G23">
        <f t="shared" si="11"/>
        <v>7.7999999999999999E-5</v>
      </c>
      <c r="H23">
        <f t="shared" si="12"/>
        <v>1.56E-4</v>
      </c>
    </row>
    <row r="25" spans="2:8" ht="19" x14ac:dyDescent="0.25">
      <c r="B25" s="15">
        <v>171674544067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2" workbookViewId="0">
      <selection activeCell="H43" sqref="H43"/>
    </sheetView>
  </sheetViews>
  <sheetFormatPr baseColWidth="10" defaultRowHeight="16" x14ac:dyDescent="0.2"/>
  <cols>
    <col min="6" max="6" width="20" customWidth="1"/>
  </cols>
  <sheetData>
    <row r="1" spans="1:13" x14ac:dyDescent="0.2">
      <c r="A1" t="s">
        <v>25</v>
      </c>
      <c r="B1" t="s">
        <v>24</v>
      </c>
      <c r="C1" t="s">
        <v>20</v>
      </c>
      <c r="D1" t="s">
        <v>19</v>
      </c>
      <c r="E1" t="s">
        <v>22</v>
      </c>
      <c r="F1" t="s">
        <v>23</v>
      </c>
      <c r="G1" t="s">
        <v>21</v>
      </c>
      <c r="H1" t="s">
        <v>28</v>
      </c>
      <c r="K1" t="s">
        <v>31</v>
      </c>
      <c r="L1" t="s">
        <v>29</v>
      </c>
      <c r="M1" t="s">
        <v>30</v>
      </c>
    </row>
    <row r="2" spans="1:13" x14ac:dyDescent="0.2">
      <c r="A2">
        <v>650</v>
      </c>
      <c r="B2">
        <v>272.5</v>
      </c>
      <c r="C2">
        <v>199</v>
      </c>
      <c r="D2">
        <f>ABS(B2-C2)</f>
        <v>73.5</v>
      </c>
      <c r="E2">
        <v>0.32</v>
      </c>
      <c r="F2">
        <v>500</v>
      </c>
      <c r="G2">
        <f>D2/(E2*F2)</f>
        <v>0.45937499999999998</v>
      </c>
      <c r="K2">
        <f>G2/G9</f>
        <v>2.4235991379310344</v>
      </c>
      <c r="L2">
        <f>G3/G10</f>
        <v>1.7986607142857143</v>
      </c>
      <c r="M2">
        <f>G4/G11</f>
        <v>0.82874999999999999</v>
      </c>
    </row>
    <row r="3" spans="1:13" x14ac:dyDescent="0.2">
      <c r="A3">
        <v>600</v>
      </c>
      <c r="B3">
        <v>272</v>
      </c>
      <c r="C3">
        <v>351</v>
      </c>
      <c r="D3">
        <f t="shared" ref="D3:D4" si="0">ABS(B3-C3)</f>
        <v>79</v>
      </c>
      <c r="E3">
        <v>0.32</v>
      </c>
      <c r="F3">
        <v>500</v>
      </c>
      <c r="G3">
        <f t="shared" ref="G3:G4" si="1">D3/(E3*F3)</f>
        <v>0.49375000000000002</v>
      </c>
      <c r="K3">
        <f>G2/G16</f>
        <v>1.4059659090909089</v>
      </c>
      <c r="L3">
        <f>G3/G17</f>
        <v>1.0389322916666668</v>
      </c>
      <c r="M3">
        <f>G4/G18</f>
        <v>0.51289062500000004</v>
      </c>
    </row>
    <row r="4" spans="1:13" x14ac:dyDescent="0.2">
      <c r="A4">
        <v>530</v>
      </c>
      <c r="B4">
        <v>270</v>
      </c>
      <c r="C4">
        <v>322</v>
      </c>
      <c r="D4">
        <f t="shared" si="0"/>
        <v>52</v>
      </c>
      <c r="E4">
        <v>0.32</v>
      </c>
      <c r="F4">
        <v>500</v>
      </c>
      <c r="G4">
        <f t="shared" si="1"/>
        <v>0.32500000000000001</v>
      </c>
      <c r="K4" s="11">
        <f>G9/G16</f>
        <v>0.58011487423252128</v>
      </c>
      <c r="L4" s="11">
        <f>G10/G17</f>
        <v>0.57761437908496738</v>
      </c>
      <c r="M4" s="11">
        <f>G11/G18</f>
        <v>0.61887254901960786</v>
      </c>
    </row>
    <row r="8" spans="1:13" x14ac:dyDescent="0.2">
      <c r="A8" t="s">
        <v>26</v>
      </c>
      <c r="B8" t="s">
        <v>24</v>
      </c>
      <c r="C8" t="s">
        <v>20</v>
      </c>
      <c r="D8" t="s">
        <v>19</v>
      </c>
      <c r="E8" t="s">
        <v>22</v>
      </c>
      <c r="F8" t="s">
        <v>23</v>
      </c>
      <c r="G8" t="s">
        <v>21</v>
      </c>
    </row>
    <row r="9" spans="1:13" x14ac:dyDescent="0.2">
      <c r="A9">
        <v>650</v>
      </c>
      <c r="B9">
        <v>272.5</v>
      </c>
      <c r="C9">
        <v>287</v>
      </c>
      <c r="D9">
        <f>ABS(B9-C9)</f>
        <v>14.5</v>
      </c>
      <c r="E9">
        <v>0.153</v>
      </c>
      <c r="F9">
        <v>500</v>
      </c>
      <c r="G9">
        <f>D9/(E9*F9)</f>
        <v>0.18954248366013071</v>
      </c>
    </row>
    <row r="10" spans="1:13" x14ac:dyDescent="0.2">
      <c r="A10">
        <v>600</v>
      </c>
      <c r="B10">
        <v>272</v>
      </c>
      <c r="C10">
        <v>293</v>
      </c>
      <c r="D10">
        <f t="shared" ref="D10:D11" si="2">ABS(B10-C10)</f>
        <v>21</v>
      </c>
      <c r="E10">
        <v>0.153</v>
      </c>
      <c r="F10">
        <v>500</v>
      </c>
      <c r="G10">
        <f t="shared" ref="G10:G11" si="3">D10/(E10*F10)</f>
        <v>0.27450980392156865</v>
      </c>
    </row>
    <row r="11" spans="1:13" x14ac:dyDescent="0.2">
      <c r="A11">
        <v>530</v>
      </c>
      <c r="B11">
        <v>270</v>
      </c>
      <c r="C11">
        <v>300</v>
      </c>
      <c r="D11">
        <f t="shared" si="2"/>
        <v>30</v>
      </c>
      <c r="E11">
        <v>0.153</v>
      </c>
      <c r="F11">
        <v>500</v>
      </c>
      <c r="G11">
        <f t="shared" si="3"/>
        <v>0.39215686274509803</v>
      </c>
    </row>
    <row r="15" spans="1:13" x14ac:dyDescent="0.2">
      <c r="A15" t="s">
        <v>27</v>
      </c>
      <c r="B15" t="s">
        <v>24</v>
      </c>
      <c r="C15" t="s">
        <v>20</v>
      </c>
      <c r="D15" t="s">
        <v>19</v>
      </c>
      <c r="E15" t="s">
        <v>22</v>
      </c>
      <c r="F15" t="s">
        <v>23</v>
      </c>
      <c r="G15" t="s">
        <v>21</v>
      </c>
    </row>
    <row r="16" spans="1:13" x14ac:dyDescent="0.2">
      <c r="A16">
        <v>650</v>
      </c>
      <c r="B16">
        <v>272.5</v>
      </c>
      <c r="C16">
        <v>289</v>
      </c>
      <c r="D16">
        <f>ABS(B16-C16)</f>
        <v>16.5</v>
      </c>
      <c r="E16">
        <v>0.10100000000000001</v>
      </c>
      <c r="F16">
        <v>500</v>
      </c>
      <c r="G16">
        <f>D16/(E16*F16)</f>
        <v>0.32673267326732675</v>
      </c>
    </row>
    <row r="17" spans="1:7" x14ac:dyDescent="0.2">
      <c r="A17">
        <v>600</v>
      </c>
      <c r="B17">
        <v>272</v>
      </c>
      <c r="C17">
        <v>296</v>
      </c>
      <c r="D17">
        <f t="shared" ref="D17:D18" si="4">ABS(B17-C17)</f>
        <v>24</v>
      </c>
      <c r="E17">
        <v>0.10100000000000001</v>
      </c>
      <c r="F17">
        <v>500</v>
      </c>
      <c r="G17">
        <f t="shared" ref="G17:G18" si="5">D17/(E17*F17)</f>
        <v>0.47524752475247523</v>
      </c>
    </row>
    <row r="18" spans="1:7" x14ac:dyDescent="0.2">
      <c r="A18">
        <v>530</v>
      </c>
      <c r="B18">
        <v>270</v>
      </c>
      <c r="C18">
        <v>302</v>
      </c>
      <c r="D18">
        <f t="shared" si="4"/>
        <v>32</v>
      </c>
      <c r="E18">
        <v>0.10100000000000001</v>
      </c>
      <c r="F18">
        <v>500</v>
      </c>
      <c r="G18">
        <f t="shared" si="5"/>
        <v>0.63366336633663367</v>
      </c>
    </row>
    <row r="24" spans="1:7" x14ac:dyDescent="0.2">
      <c r="A24" t="s">
        <v>79</v>
      </c>
      <c r="C24" s="24" t="s">
        <v>80</v>
      </c>
      <c r="F24" s="24" t="s">
        <v>80</v>
      </c>
    </row>
    <row r="25" spans="1:7" x14ac:dyDescent="0.2">
      <c r="A25" s="19">
        <v>0</v>
      </c>
      <c r="B25" s="1">
        <v>3.64</v>
      </c>
      <c r="C25" s="24">
        <f>B25*10</f>
        <v>36.4</v>
      </c>
      <c r="F25" s="25"/>
    </row>
    <row r="26" spans="1:7" x14ac:dyDescent="0.2">
      <c r="A26" s="19">
        <v>10</v>
      </c>
      <c r="B26" s="1">
        <v>3.49</v>
      </c>
      <c r="C26" s="24">
        <f t="shared" ref="C26:C32" si="6">B26*10</f>
        <v>34.900000000000006</v>
      </c>
      <c r="D26" s="19">
        <v>190</v>
      </c>
      <c r="E26">
        <v>3.67</v>
      </c>
      <c r="F26" s="25">
        <f>E26*10</f>
        <v>36.700000000000003</v>
      </c>
    </row>
    <row r="27" spans="1:7" x14ac:dyDescent="0.2">
      <c r="A27" s="19">
        <v>20</v>
      </c>
      <c r="B27" s="1">
        <v>3.25</v>
      </c>
      <c r="C27" s="24">
        <f t="shared" si="6"/>
        <v>32.5</v>
      </c>
      <c r="D27" s="19">
        <v>200</v>
      </c>
      <c r="E27">
        <v>3.4</v>
      </c>
      <c r="F27" s="25">
        <f t="shared" ref="F27:F32" si="7">E27*10</f>
        <v>34</v>
      </c>
    </row>
    <row r="28" spans="1:7" x14ac:dyDescent="0.2">
      <c r="A28" s="19">
        <v>30</v>
      </c>
      <c r="B28" s="1">
        <v>2.75</v>
      </c>
      <c r="C28" s="24">
        <f t="shared" si="6"/>
        <v>27.5</v>
      </c>
      <c r="D28" s="19">
        <v>210</v>
      </c>
      <c r="E28">
        <v>2.8</v>
      </c>
      <c r="F28" s="25">
        <f t="shared" si="7"/>
        <v>28</v>
      </c>
    </row>
    <row r="29" spans="1:7" x14ac:dyDescent="0.2">
      <c r="A29" s="19">
        <v>40</v>
      </c>
      <c r="B29" s="1">
        <v>2.1</v>
      </c>
      <c r="C29" s="24">
        <f t="shared" si="6"/>
        <v>21</v>
      </c>
      <c r="D29" s="19">
        <v>220</v>
      </c>
      <c r="E29">
        <v>2.19</v>
      </c>
      <c r="F29" s="25">
        <f t="shared" si="7"/>
        <v>21.9</v>
      </c>
    </row>
    <row r="30" spans="1:7" x14ac:dyDescent="0.2">
      <c r="A30" s="19">
        <v>50</v>
      </c>
      <c r="B30" s="1">
        <v>1.42</v>
      </c>
      <c r="C30" s="24">
        <f t="shared" si="6"/>
        <v>14.2</v>
      </c>
      <c r="D30" s="19">
        <v>230</v>
      </c>
      <c r="E30">
        <v>1.21</v>
      </c>
      <c r="F30" s="25">
        <f t="shared" si="7"/>
        <v>12.1</v>
      </c>
    </row>
    <row r="31" spans="1:7" x14ac:dyDescent="0.2">
      <c r="A31" s="19">
        <v>60</v>
      </c>
      <c r="B31" s="1">
        <v>0.9</v>
      </c>
      <c r="C31" s="24">
        <f t="shared" si="6"/>
        <v>9</v>
      </c>
      <c r="D31" s="19">
        <v>240</v>
      </c>
      <c r="E31">
        <v>0.83</v>
      </c>
      <c r="F31" s="25">
        <f t="shared" si="7"/>
        <v>8.2999999999999989</v>
      </c>
    </row>
    <row r="32" spans="1:7" x14ac:dyDescent="0.2">
      <c r="A32" s="19">
        <v>70</v>
      </c>
      <c r="B32" s="1">
        <v>0.4</v>
      </c>
      <c r="C32" s="24">
        <f t="shared" si="6"/>
        <v>4</v>
      </c>
      <c r="D32" s="19">
        <v>250</v>
      </c>
      <c r="E32">
        <v>0.41</v>
      </c>
      <c r="F32" s="25">
        <f t="shared" si="7"/>
        <v>4.0999999999999996</v>
      </c>
    </row>
    <row r="33" spans="1:6" x14ac:dyDescent="0.2">
      <c r="A33" s="23">
        <v>80</v>
      </c>
      <c r="B33" s="1">
        <v>0.12</v>
      </c>
      <c r="C33" s="24">
        <f>B33*1</f>
        <v>0.12</v>
      </c>
      <c r="D33">
        <v>260</v>
      </c>
      <c r="E33">
        <v>0.8</v>
      </c>
      <c r="F33" s="25">
        <v>0.8</v>
      </c>
    </row>
    <row r="34" spans="1:6" x14ac:dyDescent="0.2">
      <c r="A34" s="23">
        <v>90</v>
      </c>
      <c r="B34" s="1">
        <v>0</v>
      </c>
      <c r="C34" s="24">
        <f>B34*10</f>
        <v>0</v>
      </c>
      <c r="D34">
        <v>270</v>
      </c>
      <c r="E34">
        <v>0</v>
      </c>
      <c r="F34" s="25">
        <v>0</v>
      </c>
    </row>
    <row r="35" spans="1:6" x14ac:dyDescent="0.2">
      <c r="A35" s="23">
        <v>100</v>
      </c>
      <c r="B35" s="1">
        <v>7.0000000000000007E-2</v>
      </c>
      <c r="C35" s="24">
        <f t="shared" ref="C35:C40" si="8">B35*10</f>
        <v>0.70000000000000007</v>
      </c>
      <c r="D35">
        <v>280</v>
      </c>
      <c r="E35">
        <v>1.02</v>
      </c>
      <c r="F35" s="25">
        <v>1.02</v>
      </c>
    </row>
    <row r="36" spans="1:6" x14ac:dyDescent="0.2">
      <c r="A36" s="23">
        <v>11</v>
      </c>
      <c r="B36" s="1">
        <v>0.31</v>
      </c>
      <c r="C36" s="24">
        <f t="shared" si="8"/>
        <v>3.1</v>
      </c>
      <c r="D36">
        <v>290</v>
      </c>
      <c r="E36">
        <v>3.77</v>
      </c>
      <c r="F36" s="25">
        <v>3.77</v>
      </c>
    </row>
    <row r="37" spans="1:6" x14ac:dyDescent="0.2">
      <c r="A37" s="23">
        <v>120</v>
      </c>
      <c r="B37" s="1">
        <v>0.75</v>
      </c>
      <c r="C37" s="24">
        <f t="shared" si="8"/>
        <v>7.5</v>
      </c>
      <c r="D37">
        <v>300</v>
      </c>
      <c r="E37">
        <v>9.6</v>
      </c>
      <c r="F37" s="25">
        <v>9.6</v>
      </c>
    </row>
    <row r="38" spans="1:6" x14ac:dyDescent="0.2">
      <c r="A38" s="23">
        <v>130</v>
      </c>
      <c r="B38" s="1">
        <v>1.35</v>
      </c>
      <c r="C38" s="24">
        <f t="shared" si="8"/>
        <v>13.5</v>
      </c>
      <c r="D38" s="19">
        <v>310</v>
      </c>
      <c r="E38">
        <v>1.61</v>
      </c>
      <c r="F38" s="25">
        <f>E38*10</f>
        <v>16.100000000000001</v>
      </c>
    </row>
    <row r="39" spans="1:6" x14ac:dyDescent="0.2">
      <c r="A39" s="23">
        <v>140</v>
      </c>
      <c r="B39" s="1">
        <v>2.04</v>
      </c>
      <c r="C39" s="24">
        <f t="shared" si="8"/>
        <v>20.399999999999999</v>
      </c>
      <c r="D39" s="19">
        <v>320</v>
      </c>
      <c r="E39">
        <v>2.4</v>
      </c>
      <c r="F39" s="25">
        <f t="shared" ref="F39:F43" si="9">E39*10</f>
        <v>24</v>
      </c>
    </row>
    <row r="40" spans="1:6" x14ac:dyDescent="0.2">
      <c r="A40" s="23">
        <v>150</v>
      </c>
      <c r="B40" s="1">
        <v>2.68</v>
      </c>
      <c r="C40" s="24">
        <f t="shared" si="8"/>
        <v>26.8</v>
      </c>
      <c r="D40" s="19">
        <v>330</v>
      </c>
      <c r="E40">
        <v>3.01</v>
      </c>
      <c r="F40" s="25">
        <f t="shared" si="9"/>
        <v>30.099999999999998</v>
      </c>
    </row>
    <row r="41" spans="1:6" x14ac:dyDescent="0.2">
      <c r="A41" s="19">
        <v>160</v>
      </c>
      <c r="B41" s="1">
        <v>3.22</v>
      </c>
      <c r="C41" s="24">
        <f>B41*10</f>
        <v>32.200000000000003</v>
      </c>
      <c r="D41" s="19">
        <v>340</v>
      </c>
      <c r="E41">
        <v>3.62</v>
      </c>
      <c r="F41" s="25">
        <f t="shared" si="9"/>
        <v>36.200000000000003</v>
      </c>
    </row>
    <row r="42" spans="1:6" x14ac:dyDescent="0.2">
      <c r="A42" s="19">
        <v>170</v>
      </c>
      <c r="B42" s="1">
        <v>3.6</v>
      </c>
      <c r="C42" s="24">
        <f t="shared" ref="C42:C43" si="10">B42*10</f>
        <v>36</v>
      </c>
      <c r="D42" s="19">
        <v>350</v>
      </c>
      <c r="E42">
        <v>3.96</v>
      </c>
      <c r="F42" s="25">
        <f t="shared" si="9"/>
        <v>39.6</v>
      </c>
    </row>
    <row r="43" spans="1:6" x14ac:dyDescent="0.2">
      <c r="A43" s="19">
        <v>180</v>
      </c>
      <c r="B43" s="1">
        <v>3.8</v>
      </c>
      <c r="C43" s="24">
        <f t="shared" si="10"/>
        <v>38</v>
      </c>
      <c r="D43" s="19">
        <v>360</v>
      </c>
      <c r="E43">
        <v>4.0999999999999996</v>
      </c>
      <c r="F43" s="25">
        <f t="shared" si="9"/>
        <v>41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36" workbookViewId="0">
      <selection activeCell="D48" sqref="D48"/>
    </sheetView>
  </sheetViews>
  <sheetFormatPr baseColWidth="10" defaultRowHeight="16" x14ac:dyDescent="0.2"/>
  <cols>
    <col min="6" max="6" width="20" customWidth="1"/>
  </cols>
  <sheetData>
    <row r="1" spans="1:13" x14ac:dyDescent="0.2">
      <c r="A1" t="s">
        <v>25</v>
      </c>
      <c r="B1" t="s">
        <v>24</v>
      </c>
      <c r="C1" t="s">
        <v>20</v>
      </c>
      <c r="D1" t="s">
        <v>19</v>
      </c>
      <c r="E1" t="s">
        <v>22</v>
      </c>
      <c r="F1" t="s">
        <v>23</v>
      </c>
      <c r="G1" t="s">
        <v>21</v>
      </c>
      <c r="H1" t="s">
        <v>28</v>
      </c>
      <c r="K1" t="s">
        <v>31</v>
      </c>
      <c r="L1" t="s">
        <v>29</v>
      </c>
      <c r="M1" t="s">
        <v>30</v>
      </c>
    </row>
    <row r="2" spans="1:13" x14ac:dyDescent="0.2">
      <c r="A2">
        <v>650</v>
      </c>
      <c r="B2">
        <v>272.5</v>
      </c>
      <c r="C2">
        <v>199</v>
      </c>
      <c r="D2">
        <f>ABS(B2-C2)</f>
        <v>73.5</v>
      </c>
      <c r="E2">
        <v>0.32</v>
      </c>
      <c r="F2">
        <v>500</v>
      </c>
      <c r="G2">
        <f>D2/(E2*F2)</f>
        <v>0.45937499999999998</v>
      </c>
      <c r="K2">
        <f>G2/G9</f>
        <v>2.4235991379310344</v>
      </c>
      <c r="L2">
        <f>G3/G10</f>
        <v>1.7986607142857143</v>
      </c>
      <c r="M2">
        <f>G4/G11</f>
        <v>0.82874999999999999</v>
      </c>
    </row>
    <row r="3" spans="1:13" x14ac:dyDescent="0.2">
      <c r="A3">
        <v>600</v>
      </c>
      <c r="B3">
        <v>272</v>
      </c>
      <c r="C3">
        <v>351</v>
      </c>
      <c r="D3">
        <f t="shared" ref="D3:D4" si="0">ABS(B3-C3)</f>
        <v>79</v>
      </c>
      <c r="E3">
        <v>0.32</v>
      </c>
      <c r="F3">
        <v>500</v>
      </c>
      <c r="G3">
        <f t="shared" ref="G3:G4" si="1">D3/(E3*F3)</f>
        <v>0.49375000000000002</v>
      </c>
      <c r="K3">
        <f>G2/G16</f>
        <v>1.4059659090909089</v>
      </c>
      <c r="L3">
        <f>G3/G17</f>
        <v>1.0389322916666668</v>
      </c>
      <c r="M3">
        <f>G4/G18</f>
        <v>0.51289062500000004</v>
      </c>
    </row>
    <row r="4" spans="1:13" x14ac:dyDescent="0.2">
      <c r="A4">
        <v>530</v>
      </c>
      <c r="B4">
        <v>270</v>
      </c>
      <c r="C4">
        <v>322</v>
      </c>
      <c r="D4">
        <f t="shared" si="0"/>
        <v>52</v>
      </c>
      <c r="E4">
        <v>0.32</v>
      </c>
      <c r="F4">
        <v>500</v>
      </c>
      <c r="G4">
        <f t="shared" si="1"/>
        <v>0.32500000000000001</v>
      </c>
      <c r="K4" s="11">
        <f>G9/G16</f>
        <v>0.58011487423252128</v>
      </c>
      <c r="L4" s="11">
        <f>G10/G17</f>
        <v>0.57761437908496738</v>
      </c>
      <c r="M4" s="11">
        <f>G11/G18</f>
        <v>0.61887254901960786</v>
      </c>
    </row>
    <row r="8" spans="1:13" x14ac:dyDescent="0.2">
      <c r="A8" t="s">
        <v>26</v>
      </c>
      <c r="B8" t="s">
        <v>24</v>
      </c>
      <c r="C8" t="s">
        <v>20</v>
      </c>
      <c r="D8" t="s">
        <v>19</v>
      </c>
      <c r="E8" t="s">
        <v>22</v>
      </c>
      <c r="F8" t="s">
        <v>23</v>
      </c>
      <c r="G8" t="s">
        <v>21</v>
      </c>
    </row>
    <row r="9" spans="1:13" x14ac:dyDescent="0.2">
      <c r="A9">
        <v>650</v>
      </c>
      <c r="B9">
        <v>272.5</v>
      </c>
      <c r="C9">
        <v>287</v>
      </c>
      <c r="D9">
        <f>ABS(B9-C9)</f>
        <v>14.5</v>
      </c>
      <c r="E9">
        <v>0.153</v>
      </c>
      <c r="F9">
        <v>500</v>
      </c>
      <c r="G9">
        <f>D9/(E9*F9)</f>
        <v>0.18954248366013071</v>
      </c>
    </row>
    <row r="10" spans="1:13" x14ac:dyDescent="0.2">
      <c r="A10">
        <v>600</v>
      </c>
      <c r="B10">
        <v>272</v>
      </c>
      <c r="C10">
        <v>293</v>
      </c>
      <c r="D10">
        <f t="shared" ref="D10:D11" si="2">ABS(B10-C10)</f>
        <v>21</v>
      </c>
      <c r="E10">
        <v>0.153</v>
      </c>
      <c r="F10">
        <v>500</v>
      </c>
      <c r="G10">
        <f t="shared" ref="G10:G11" si="3">D10/(E10*F10)</f>
        <v>0.27450980392156865</v>
      </c>
    </row>
    <row r="11" spans="1:13" x14ac:dyDescent="0.2">
      <c r="A11">
        <v>530</v>
      </c>
      <c r="B11">
        <v>270</v>
      </c>
      <c r="C11">
        <v>300</v>
      </c>
      <c r="D11">
        <f t="shared" si="2"/>
        <v>30</v>
      </c>
      <c r="E11">
        <v>0.153</v>
      </c>
      <c r="F11">
        <v>500</v>
      </c>
      <c r="G11">
        <f t="shared" si="3"/>
        <v>0.39215686274509803</v>
      </c>
    </row>
    <row r="15" spans="1:13" x14ac:dyDescent="0.2">
      <c r="A15" t="s">
        <v>27</v>
      </c>
      <c r="B15" t="s">
        <v>24</v>
      </c>
      <c r="C15" t="s">
        <v>20</v>
      </c>
      <c r="D15" t="s">
        <v>19</v>
      </c>
      <c r="E15" t="s">
        <v>22</v>
      </c>
      <c r="F15" t="s">
        <v>23</v>
      </c>
      <c r="G15" t="s">
        <v>21</v>
      </c>
    </row>
    <row r="16" spans="1:13" x14ac:dyDescent="0.2">
      <c r="A16">
        <v>650</v>
      </c>
      <c r="B16">
        <v>272.5</v>
      </c>
      <c r="C16">
        <v>289</v>
      </c>
      <c r="D16">
        <f>ABS(B16-C16)</f>
        <v>16.5</v>
      </c>
      <c r="E16">
        <v>0.10100000000000001</v>
      </c>
      <c r="F16">
        <v>500</v>
      </c>
      <c r="G16">
        <f>D16/(E16*F16)</f>
        <v>0.32673267326732675</v>
      </c>
    </row>
    <row r="17" spans="1:7" x14ac:dyDescent="0.2">
      <c r="A17">
        <v>600</v>
      </c>
      <c r="B17">
        <v>272</v>
      </c>
      <c r="C17">
        <v>296</v>
      </c>
      <c r="D17">
        <f t="shared" ref="D17:D18" si="4">ABS(B17-C17)</f>
        <v>24</v>
      </c>
      <c r="E17">
        <v>0.10100000000000001</v>
      </c>
      <c r="F17">
        <v>500</v>
      </c>
      <c r="G17">
        <f t="shared" ref="G17:G18" si="5">D17/(E17*F17)</f>
        <v>0.47524752475247523</v>
      </c>
    </row>
    <row r="18" spans="1:7" x14ac:dyDescent="0.2">
      <c r="A18">
        <v>530</v>
      </c>
      <c r="B18">
        <v>270</v>
      </c>
      <c r="C18">
        <v>302</v>
      </c>
      <c r="D18">
        <f t="shared" si="4"/>
        <v>32</v>
      </c>
      <c r="E18">
        <v>0.10100000000000001</v>
      </c>
      <c r="F18">
        <v>500</v>
      </c>
      <c r="G18">
        <f t="shared" si="5"/>
        <v>0.63366336633663367</v>
      </c>
    </row>
    <row r="24" spans="1:7" x14ac:dyDescent="0.2">
      <c r="C24" s="24"/>
      <c r="F24" s="24"/>
    </row>
    <row r="25" spans="1:7" x14ac:dyDescent="0.2">
      <c r="A25" s="19"/>
      <c r="B25" s="1"/>
      <c r="C25" s="25"/>
      <c r="F25" s="25"/>
    </row>
    <row r="26" spans="1:7" x14ac:dyDescent="0.2">
      <c r="A26" s="19"/>
      <c r="B26" s="1"/>
      <c r="C26" s="25"/>
      <c r="D26" s="19"/>
      <c r="F26" s="25"/>
    </row>
    <row r="27" spans="1:7" x14ac:dyDescent="0.2">
      <c r="A27" s="19"/>
      <c r="B27" s="1"/>
      <c r="C27" s="25"/>
      <c r="D27" s="19"/>
      <c r="F27" s="25"/>
    </row>
    <row r="28" spans="1:7" x14ac:dyDescent="0.2">
      <c r="A28" s="19"/>
      <c r="B28" s="1"/>
      <c r="C28" s="25"/>
      <c r="D28" s="19"/>
      <c r="F28" s="25"/>
    </row>
    <row r="29" spans="1:7" x14ac:dyDescent="0.2">
      <c r="A29" s="19"/>
      <c r="B29" s="1"/>
      <c r="C29" s="25"/>
      <c r="D29" s="19"/>
      <c r="F29" s="25"/>
    </row>
    <row r="30" spans="1:7" x14ac:dyDescent="0.2">
      <c r="A30" s="19"/>
      <c r="B30" s="1"/>
      <c r="C30" s="25"/>
      <c r="D30" s="19"/>
      <c r="F30" s="25"/>
    </row>
    <row r="31" spans="1:7" x14ac:dyDescent="0.2">
      <c r="A31" s="19"/>
      <c r="B31" s="1"/>
      <c r="C31" s="25"/>
      <c r="D31" s="19"/>
      <c r="F31" s="25"/>
    </row>
    <row r="32" spans="1:7" x14ac:dyDescent="0.2">
      <c r="A32" s="19"/>
      <c r="B32" s="1"/>
      <c r="C32" s="25"/>
      <c r="D32" s="19"/>
      <c r="F32" s="25"/>
    </row>
    <row r="33" spans="1:6" x14ac:dyDescent="0.2">
      <c r="A33" s="23"/>
      <c r="B33" s="1"/>
      <c r="C33" s="25"/>
      <c r="F33" s="25"/>
    </row>
    <row r="34" spans="1:6" x14ac:dyDescent="0.2">
      <c r="A34" s="23"/>
      <c r="B34" s="1"/>
      <c r="C34" s="25"/>
      <c r="F34" s="25"/>
    </row>
    <row r="35" spans="1:6" x14ac:dyDescent="0.2">
      <c r="A35" s="23"/>
      <c r="B35" s="1"/>
      <c r="C35" s="25"/>
      <c r="F35" s="25"/>
    </row>
    <row r="36" spans="1:6" x14ac:dyDescent="0.2">
      <c r="A36" s="23"/>
      <c r="B36" s="1"/>
      <c r="C36" s="25"/>
      <c r="F36" s="25"/>
    </row>
    <row r="37" spans="1:6" x14ac:dyDescent="0.2">
      <c r="A37" s="23"/>
      <c r="B37" s="1"/>
      <c r="C37" s="25"/>
      <c r="F37" s="25"/>
    </row>
    <row r="38" spans="1:6" x14ac:dyDescent="0.2">
      <c r="A38" s="23"/>
      <c r="B38" s="1"/>
      <c r="C38" s="25"/>
      <c r="D38" s="19"/>
      <c r="F38" s="25"/>
    </row>
    <row r="39" spans="1:6" x14ac:dyDescent="0.2">
      <c r="A39" s="23"/>
      <c r="B39" s="1"/>
      <c r="C39" s="25"/>
      <c r="D39" s="19"/>
      <c r="F39" s="25"/>
    </row>
    <row r="40" spans="1:6" x14ac:dyDescent="0.2">
      <c r="A40" s="23"/>
      <c r="B40" s="1"/>
      <c r="C40" s="25"/>
      <c r="D40" s="19"/>
      <c r="F40" s="25"/>
    </row>
    <row r="41" spans="1:6" x14ac:dyDescent="0.2">
      <c r="A41" s="19"/>
      <c r="B41" s="1"/>
      <c r="C41" s="25"/>
      <c r="D41" s="19"/>
      <c r="F41" s="25"/>
    </row>
    <row r="42" spans="1:6" x14ac:dyDescent="0.2">
      <c r="A42" s="19"/>
      <c r="B42" s="1"/>
      <c r="C42" s="25"/>
      <c r="D42" s="19"/>
      <c r="F42" s="25"/>
    </row>
    <row r="43" spans="1:6" x14ac:dyDescent="0.2">
      <c r="A43" s="19"/>
      <c r="B43" s="1"/>
      <c r="C43" s="25"/>
      <c r="D43" s="19"/>
      <c r="F43" s="25"/>
    </row>
    <row r="48" spans="1:6" x14ac:dyDescent="0.2">
      <c r="A48" t="s">
        <v>81</v>
      </c>
      <c r="B48" s="1" t="s">
        <v>82</v>
      </c>
      <c r="C48" t="s">
        <v>79</v>
      </c>
      <c r="D48" s="1"/>
    </row>
    <row r="49" spans="1:4" x14ac:dyDescent="0.2">
      <c r="A49" s="19">
        <v>0</v>
      </c>
      <c r="B49" s="1">
        <v>36.4</v>
      </c>
    </row>
    <row r="50" spans="1:4" x14ac:dyDescent="0.2">
      <c r="A50" s="19">
        <v>10</v>
      </c>
      <c r="B50" s="1">
        <v>34.900000000000006</v>
      </c>
      <c r="C50" s="19">
        <v>190</v>
      </c>
      <c r="D50" s="1">
        <v>36.700000000000003</v>
      </c>
    </row>
    <row r="51" spans="1:4" x14ac:dyDescent="0.2">
      <c r="A51" s="19">
        <v>20</v>
      </c>
      <c r="B51" s="1">
        <v>32.5</v>
      </c>
      <c r="C51" s="19">
        <v>200</v>
      </c>
      <c r="D51" s="1">
        <v>34</v>
      </c>
    </row>
    <row r="52" spans="1:4" x14ac:dyDescent="0.2">
      <c r="A52" s="19">
        <v>30</v>
      </c>
      <c r="B52" s="1">
        <v>27.5</v>
      </c>
      <c r="C52" s="19">
        <v>210</v>
      </c>
      <c r="D52" s="1">
        <v>28</v>
      </c>
    </row>
    <row r="53" spans="1:4" x14ac:dyDescent="0.2">
      <c r="A53" s="19">
        <v>40</v>
      </c>
      <c r="B53" s="1">
        <v>21</v>
      </c>
      <c r="C53" s="19">
        <v>220</v>
      </c>
      <c r="D53" s="1">
        <v>21.9</v>
      </c>
    </row>
    <row r="54" spans="1:4" x14ac:dyDescent="0.2">
      <c r="A54" s="19">
        <v>50</v>
      </c>
      <c r="B54" s="1">
        <v>14.2</v>
      </c>
      <c r="C54" s="19">
        <v>230</v>
      </c>
      <c r="D54" s="1">
        <v>12.1</v>
      </c>
    </row>
    <row r="55" spans="1:4" x14ac:dyDescent="0.2">
      <c r="A55" s="19">
        <v>60</v>
      </c>
      <c r="B55" s="1">
        <v>9</v>
      </c>
      <c r="C55" s="19">
        <v>240</v>
      </c>
      <c r="D55" s="1">
        <v>8.2999999999999989</v>
      </c>
    </row>
    <row r="56" spans="1:4" x14ac:dyDescent="0.2">
      <c r="A56" s="19">
        <v>70</v>
      </c>
      <c r="B56" s="1">
        <v>4</v>
      </c>
      <c r="C56" s="19">
        <v>250</v>
      </c>
      <c r="D56" s="1">
        <v>4.0999999999999996</v>
      </c>
    </row>
    <row r="57" spans="1:4" x14ac:dyDescent="0.2">
      <c r="A57" s="23">
        <v>80</v>
      </c>
      <c r="B57" s="1">
        <v>0.12</v>
      </c>
      <c r="C57">
        <v>260</v>
      </c>
      <c r="D57" s="1">
        <v>0.8</v>
      </c>
    </row>
    <row r="58" spans="1:4" x14ac:dyDescent="0.2">
      <c r="A58" s="23">
        <v>90</v>
      </c>
      <c r="B58" s="1">
        <v>0</v>
      </c>
      <c r="C58">
        <v>270</v>
      </c>
      <c r="D58" s="1">
        <v>0</v>
      </c>
    </row>
    <row r="59" spans="1:4" x14ac:dyDescent="0.2">
      <c r="A59" s="23">
        <v>100</v>
      </c>
      <c r="B59" s="1">
        <v>0.70000000000000007</v>
      </c>
      <c r="C59">
        <v>280</v>
      </c>
      <c r="D59" s="1">
        <v>1.02</v>
      </c>
    </row>
    <row r="60" spans="1:4" x14ac:dyDescent="0.2">
      <c r="A60" s="23">
        <v>11</v>
      </c>
      <c r="B60" s="1">
        <v>3.1</v>
      </c>
      <c r="C60">
        <v>290</v>
      </c>
      <c r="D60" s="1">
        <v>3.77</v>
      </c>
    </row>
    <row r="61" spans="1:4" x14ac:dyDescent="0.2">
      <c r="A61" s="23">
        <v>120</v>
      </c>
      <c r="B61" s="1">
        <v>7.5</v>
      </c>
      <c r="C61">
        <v>300</v>
      </c>
      <c r="D61" s="1">
        <v>9.6</v>
      </c>
    </row>
    <row r="62" spans="1:4" x14ac:dyDescent="0.2">
      <c r="A62" s="23">
        <v>130</v>
      </c>
      <c r="B62" s="1">
        <v>13.5</v>
      </c>
      <c r="C62" s="19">
        <v>310</v>
      </c>
      <c r="D62" s="1">
        <v>16.100000000000001</v>
      </c>
    </row>
    <row r="63" spans="1:4" x14ac:dyDescent="0.2">
      <c r="A63" s="23">
        <v>140</v>
      </c>
      <c r="B63" s="1">
        <v>20.399999999999999</v>
      </c>
      <c r="C63" s="19">
        <v>320</v>
      </c>
      <c r="D63" s="1">
        <v>24</v>
      </c>
    </row>
    <row r="64" spans="1:4" x14ac:dyDescent="0.2">
      <c r="A64" s="23">
        <v>150</v>
      </c>
      <c r="B64" s="1">
        <v>26.8</v>
      </c>
      <c r="C64" s="19">
        <v>330</v>
      </c>
      <c r="D64" s="1">
        <v>30.099999999999998</v>
      </c>
    </row>
    <row r="65" spans="1:4" x14ac:dyDescent="0.2">
      <c r="A65" s="19">
        <v>160</v>
      </c>
      <c r="B65" s="1">
        <v>32.200000000000003</v>
      </c>
      <c r="C65" s="19">
        <v>340</v>
      </c>
      <c r="D65" s="1">
        <v>36.200000000000003</v>
      </c>
    </row>
    <row r="66" spans="1:4" x14ac:dyDescent="0.2">
      <c r="A66" s="19">
        <v>170</v>
      </c>
      <c r="B66" s="1">
        <v>36</v>
      </c>
      <c r="C66" s="19">
        <v>350</v>
      </c>
      <c r="D66" s="1">
        <v>39.6</v>
      </c>
    </row>
    <row r="67" spans="1:4" x14ac:dyDescent="0.2">
      <c r="A67" s="19">
        <v>180</v>
      </c>
      <c r="B67" s="1">
        <v>38</v>
      </c>
      <c r="C67" s="19">
        <v>360</v>
      </c>
      <c r="D67" s="1">
        <v>41</v>
      </c>
    </row>
    <row r="68" spans="1:4" x14ac:dyDescent="0.2">
      <c r="D68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" workbookViewId="0">
      <selection activeCell="E21" sqref="E21"/>
    </sheetView>
  </sheetViews>
  <sheetFormatPr baseColWidth="10" defaultRowHeight="16" x14ac:dyDescent="0.2"/>
  <cols>
    <col min="1" max="1" width="13" customWidth="1"/>
    <col min="4" max="4" width="11.83203125" bestFit="1" customWidth="1"/>
    <col min="5" max="5" width="13.83203125" bestFit="1" customWidth="1"/>
    <col min="6" max="6" width="12.6640625" bestFit="1" customWidth="1"/>
  </cols>
  <sheetData>
    <row r="1" spans="1:7" x14ac:dyDescent="0.2">
      <c r="A1" t="s">
        <v>40</v>
      </c>
      <c r="B1" t="s">
        <v>55</v>
      </c>
      <c r="C1" t="s">
        <v>49</v>
      </c>
      <c r="D1" t="s">
        <v>50</v>
      </c>
      <c r="E1" t="s">
        <v>51</v>
      </c>
      <c r="F1" t="s">
        <v>72</v>
      </c>
      <c r="G1" t="s">
        <v>59</v>
      </c>
    </row>
    <row r="2" spans="1:7" x14ac:dyDescent="0.2">
      <c r="A2">
        <v>0</v>
      </c>
      <c r="B2" t="s">
        <v>56</v>
      </c>
      <c r="C2" t="s">
        <v>54</v>
      </c>
      <c r="D2" t="s">
        <v>54</v>
      </c>
      <c r="E2" t="s">
        <v>54</v>
      </c>
      <c r="F2" t="s">
        <v>54</v>
      </c>
      <c r="G2">
        <f>3/120</f>
        <v>2.5000000000000001E-2</v>
      </c>
    </row>
    <row r="3" spans="1:7" x14ac:dyDescent="0.2">
      <c r="A3">
        <v>1</v>
      </c>
      <c r="B3" t="s">
        <v>56</v>
      </c>
      <c r="C3">
        <v>20</v>
      </c>
      <c r="D3">
        <f>30/60</f>
        <v>0.5</v>
      </c>
      <c r="E3">
        <f>C3+D3</f>
        <v>20.5</v>
      </c>
      <c r="F3">
        <f>D3+E3</f>
        <v>21</v>
      </c>
    </row>
    <row r="4" spans="1:7" x14ac:dyDescent="0.2">
      <c r="A4">
        <v>-1</v>
      </c>
      <c r="B4" t="s">
        <v>56</v>
      </c>
      <c r="C4">
        <v>33</v>
      </c>
      <c r="D4">
        <f>15/60</f>
        <v>0.25</v>
      </c>
      <c r="E4">
        <f t="shared" ref="E4:F8" si="0">C4+D4</f>
        <v>33.25</v>
      </c>
    </row>
    <row r="5" spans="1:7" x14ac:dyDescent="0.2">
      <c r="A5">
        <v>2</v>
      </c>
      <c r="B5" t="s">
        <v>74</v>
      </c>
      <c r="C5">
        <v>44</v>
      </c>
      <c r="D5" s="2">
        <f>31/60</f>
        <v>0.51666666666666672</v>
      </c>
      <c r="E5" s="2">
        <f t="shared" si="0"/>
        <v>44.516666666666666</v>
      </c>
      <c r="F5" s="2">
        <f t="shared" si="0"/>
        <v>45.033333333333331</v>
      </c>
    </row>
    <row r="6" spans="1:7" x14ac:dyDescent="0.2">
      <c r="B6" t="s">
        <v>57</v>
      </c>
      <c r="C6">
        <v>44</v>
      </c>
      <c r="D6" s="2">
        <f>29/60</f>
        <v>0.48333333333333334</v>
      </c>
      <c r="E6" s="2">
        <f t="shared" si="0"/>
        <v>44.483333333333334</v>
      </c>
      <c r="F6" s="2">
        <f t="shared" si="0"/>
        <v>44.966666666666669</v>
      </c>
    </row>
    <row r="7" spans="1:7" x14ac:dyDescent="0.2">
      <c r="A7">
        <v>-2</v>
      </c>
      <c r="B7" t="s">
        <v>58</v>
      </c>
      <c r="C7">
        <v>316</v>
      </c>
      <c r="D7" s="2">
        <f>25/60</f>
        <v>0.41666666666666669</v>
      </c>
      <c r="E7" s="2">
        <f t="shared" si="0"/>
        <v>316.41666666666669</v>
      </c>
      <c r="F7" s="2">
        <f>360-E7</f>
        <v>43.583333333333314</v>
      </c>
    </row>
    <row r="8" spans="1:7" x14ac:dyDescent="0.2">
      <c r="B8" t="s">
        <v>75</v>
      </c>
      <c r="C8">
        <v>316</v>
      </c>
      <c r="D8" s="2">
        <f>19/60</f>
        <v>0.31666666666666665</v>
      </c>
      <c r="E8" s="2">
        <f t="shared" si="0"/>
        <v>316.31666666666666</v>
      </c>
      <c r="F8" s="2">
        <f>360-E8</f>
        <v>43.683333333333337</v>
      </c>
    </row>
    <row r="10" spans="1:7" x14ac:dyDescent="0.2">
      <c r="A10" t="s">
        <v>71</v>
      </c>
      <c r="B10" t="s">
        <v>76</v>
      </c>
      <c r="C10" t="s">
        <v>77</v>
      </c>
      <c r="D10" t="s">
        <v>73</v>
      </c>
    </row>
    <row r="11" spans="1:7" x14ac:dyDescent="0.2">
      <c r="B11">
        <f>(E5+F7)/2</f>
        <v>44.04999999999999</v>
      </c>
      <c r="C11">
        <v>589.59</v>
      </c>
      <c r="D11" s="3">
        <f>(2*C11)/(SIN(B11*PI()/180))*0.00000001</f>
        <v>1.6959643331337043E-5</v>
      </c>
    </row>
    <row r="12" spans="1:7" x14ac:dyDescent="0.2">
      <c r="A12" s="21" t="s">
        <v>63</v>
      </c>
      <c r="B12" t="s">
        <v>64</v>
      </c>
    </row>
    <row r="13" spans="1:7" x14ac:dyDescent="0.2">
      <c r="B13" t="s">
        <v>61</v>
      </c>
      <c r="C13">
        <v>22.5</v>
      </c>
      <c r="D13">
        <f>25/60</f>
        <v>0.41666666666666669</v>
      </c>
    </row>
    <row r="14" spans="1:7" x14ac:dyDescent="0.2">
      <c r="B14" t="s">
        <v>62</v>
      </c>
      <c r="C14">
        <v>16.5</v>
      </c>
      <c r="D14">
        <f>13/60</f>
        <v>0.21666666666666667</v>
      </c>
    </row>
    <row r="15" spans="1:7" x14ac:dyDescent="0.2">
      <c r="B15" t="s">
        <v>4</v>
      </c>
      <c r="C15">
        <v>14.5</v>
      </c>
      <c r="D15">
        <f>27/60</f>
        <v>0.45</v>
      </c>
    </row>
    <row r="17" spans="1:14" x14ac:dyDescent="0.2">
      <c r="A17" t="s">
        <v>60</v>
      </c>
    </row>
    <row r="18" spans="1:14" x14ac:dyDescent="0.2">
      <c r="A18" t="s">
        <v>70</v>
      </c>
      <c r="B18" t="s">
        <v>65</v>
      </c>
      <c r="C18">
        <v>15</v>
      </c>
      <c r="D18">
        <f>29/60</f>
        <v>0.48333333333333334</v>
      </c>
    </row>
    <row r="19" spans="1:14" x14ac:dyDescent="0.2">
      <c r="B19" t="s">
        <v>66</v>
      </c>
      <c r="C19">
        <v>16.5</v>
      </c>
      <c r="D19" s="1">
        <f>11/60</f>
        <v>0.18333333333333332</v>
      </c>
    </row>
    <row r="20" spans="1:14" x14ac:dyDescent="0.2">
      <c r="B20" t="s">
        <v>67</v>
      </c>
      <c r="C20">
        <v>18</v>
      </c>
      <c r="D20">
        <v>0</v>
      </c>
    </row>
    <row r="21" spans="1:14" x14ac:dyDescent="0.2">
      <c r="B21" t="s">
        <v>68</v>
      </c>
      <c r="C21">
        <v>19</v>
      </c>
      <c r="D21">
        <f>29/60</f>
        <v>0.48333333333333334</v>
      </c>
    </row>
    <row r="22" spans="1:14" x14ac:dyDescent="0.2">
      <c r="B22" t="s">
        <v>69</v>
      </c>
      <c r="C22">
        <v>21</v>
      </c>
      <c r="D22">
        <f>11/60</f>
        <v>0.18333333333333332</v>
      </c>
    </row>
    <row r="25" spans="1:14" x14ac:dyDescent="0.2">
      <c r="A25" s="20" t="s">
        <v>42</v>
      </c>
      <c r="B25" s="20" t="s">
        <v>41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x14ac:dyDescent="0.2">
      <c r="A26" t="s">
        <v>43</v>
      </c>
      <c r="B26" t="s">
        <v>44</v>
      </c>
      <c r="C26" s="17" t="s">
        <v>49</v>
      </c>
      <c r="D26" s="17" t="s">
        <v>50</v>
      </c>
      <c r="E26" t="s">
        <v>51</v>
      </c>
      <c r="F26" s="18" t="s">
        <v>52</v>
      </c>
      <c r="G26" t="s">
        <v>59</v>
      </c>
      <c r="H26" t="s">
        <v>53</v>
      </c>
      <c r="I26" t="s">
        <v>78</v>
      </c>
    </row>
    <row r="27" spans="1:14" x14ac:dyDescent="0.2">
      <c r="A27">
        <v>-1</v>
      </c>
      <c r="B27" t="s">
        <v>45</v>
      </c>
      <c r="C27">
        <v>345</v>
      </c>
      <c r="D27" s="2">
        <f>13/60</f>
        <v>0.21666666666666667</v>
      </c>
      <c r="E27" s="2">
        <f>C27+D27</f>
        <v>345.21666666666664</v>
      </c>
      <c r="F27" s="2">
        <f>ABS(360-E27)</f>
        <v>14.78333333333336</v>
      </c>
      <c r="G27">
        <f>3/120</f>
        <v>2.5000000000000001E-2</v>
      </c>
      <c r="H27" s="22">
        <v>1.7E-5</v>
      </c>
      <c r="I27" s="3">
        <f>(H27*SIN(F27*3.1415/180))*10000000000</f>
        <v>43376.715821662969</v>
      </c>
    </row>
    <row r="28" spans="1:14" x14ac:dyDescent="0.2">
      <c r="B28" s="16" t="s">
        <v>46</v>
      </c>
      <c r="C28">
        <v>342</v>
      </c>
      <c r="D28" s="2">
        <f>26/60</f>
        <v>0.43333333333333335</v>
      </c>
      <c r="E28" s="2">
        <f t="shared" ref="E28:E38" si="1">C28+D28</f>
        <v>342.43333333333334</v>
      </c>
      <c r="F28" s="2">
        <f t="shared" ref="F28:F38" si="2">ABS(360-E28)</f>
        <v>17.566666666666663</v>
      </c>
      <c r="H28" s="22">
        <v>1.7E-5</v>
      </c>
    </row>
    <row r="29" spans="1:14" x14ac:dyDescent="0.2">
      <c r="B29" s="16" t="s">
        <v>47</v>
      </c>
      <c r="C29">
        <v>337</v>
      </c>
      <c r="D29" s="2">
        <f>19/60</f>
        <v>0.31666666666666665</v>
      </c>
      <c r="E29" s="2">
        <f t="shared" si="1"/>
        <v>337.31666666666666</v>
      </c>
      <c r="F29" s="2">
        <f t="shared" si="2"/>
        <v>22.683333333333337</v>
      </c>
      <c r="H29" s="22">
        <v>1.7E-5</v>
      </c>
    </row>
    <row r="30" spans="1:14" x14ac:dyDescent="0.2">
      <c r="B30" s="16" t="s">
        <v>48</v>
      </c>
      <c r="C30" t="s">
        <v>54</v>
      </c>
      <c r="D30" s="2"/>
      <c r="E30" s="2"/>
      <c r="F30" s="2"/>
    </row>
    <row r="31" spans="1:14" x14ac:dyDescent="0.2">
      <c r="A31">
        <v>-2</v>
      </c>
      <c r="B31" t="s">
        <v>45</v>
      </c>
      <c r="C31">
        <v>309</v>
      </c>
      <c r="D31" s="2">
        <f>15/60</f>
        <v>0.25</v>
      </c>
      <c r="E31" s="2">
        <f t="shared" si="1"/>
        <v>309.25</v>
      </c>
      <c r="F31" s="2">
        <f t="shared" si="2"/>
        <v>50.75</v>
      </c>
    </row>
    <row r="32" spans="1:14" x14ac:dyDescent="0.2">
      <c r="B32" s="16" t="s">
        <v>46</v>
      </c>
      <c r="C32">
        <v>325</v>
      </c>
      <c r="D32" s="2">
        <f>10/60</f>
        <v>0.16666666666666666</v>
      </c>
      <c r="E32" s="2">
        <f t="shared" si="1"/>
        <v>325.16666666666669</v>
      </c>
      <c r="F32" s="2">
        <f t="shared" si="2"/>
        <v>34.833333333333314</v>
      </c>
    </row>
    <row r="33" spans="1:7" x14ac:dyDescent="0.2">
      <c r="B33" s="16" t="s">
        <v>47</v>
      </c>
      <c r="C33">
        <v>329</v>
      </c>
      <c r="D33" s="2">
        <f>18/60</f>
        <v>0.3</v>
      </c>
      <c r="E33" s="2">
        <f t="shared" si="1"/>
        <v>329.3</v>
      </c>
      <c r="F33" s="2">
        <f t="shared" si="2"/>
        <v>30.699999999999989</v>
      </c>
    </row>
    <row r="34" spans="1:7" x14ac:dyDescent="0.2">
      <c r="B34" s="16" t="s">
        <v>48</v>
      </c>
      <c r="C34" t="s">
        <v>54</v>
      </c>
      <c r="D34" s="2"/>
      <c r="E34" s="2"/>
      <c r="F34" s="2"/>
    </row>
    <row r="35" spans="1:7" x14ac:dyDescent="0.2">
      <c r="A35">
        <v>1</v>
      </c>
      <c r="B35" t="s">
        <v>45</v>
      </c>
      <c r="C35">
        <v>16.5</v>
      </c>
      <c r="D35" s="2">
        <f>14/60</f>
        <v>0.23333333333333334</v>
      </c>
      <c r="E35" s="2">
        <f t="shared" si="1"/>
        <v>16.733333333333334</v>
      </c>
      <c r="F35" s="2">
        <f t="shared" ref="F35:F40" si="3">D35+E35</f>
        <v>16.966666666666669</v>
      </c>
      <c r="G35" s="2"/>
    </row>
    <row r="36" spans="1:7" x14ac:dyDescent="0.2">
      <c r="B36" s="16" t="s">
        <v>46</v>
      </c>
      <c r="C36">
        <v>17.5</v>
      </c>
      <c r="D36" s="2">
        <f>10/60</f>
        <v>0.16666666666666666</v>
      </c>
      <c r="E36" s="2">
        <f t="shared" si="1"/>
        <v>17.666666666666668</v>
      </c>
      <c r="F36" s="2">
        <f t="shared" si="3"/>
        <v>17.833333333333336</v>
      </c>
      <c r="G36" s="2"/>
    </row>
    <row r="37" spans="1:7" x14ac:dyDescent="0.2">
      <c r="B37" s="16" t="s">
        <v>47</v>
      </c>
      <c r="C37">
        <v>14.5</v>
      </c>
      <c r="D37" s="2">
        <f>22/60</f>
        <v>0.36666666666666664</v>
      </c>
      <c r="E37" s="2">
        <f t="shared" si="1"/>
        <v>14.866666666666667</v>
      </c>
      <c r="F37" s="2">
        <f t="shared" si="3"/>
        <v>15.233333333333334</v>
      </c>
      <c r="G37" s="2"/>
    </row>
    <row r="38" spans="1:7" x14ac:dyDescent="0.2">
      <c r="B38" s="16" t="s">
        <v>48</v>
      </c>
      <c r="C38">
        <v>14</v>
      </c>
      <c r="D38" s="2">
        <f>2/60</f>
        <v>3.3333333333333333E-2</v>
      </c>
      <c r="E38" s="2">
        <f t="shared" si="1"/>
        <v>14.033333333333333</v>
      </c>
      <c r="F38" s="2">
        <f t="shared" si="3"/>
        <v>14.066666666666666</v>
      </c>
      <c r="G38" s="2"/>
    </row>
    <row r="39" spans="1:7" x14ac:dyDescent="0.2">
      <c r="A39">
        <v>2</v>
      </c>
      <c r="B39" t="s">
        <v>45</v>
      </c>
      <c r="C39">
        <v>51</v>
      </c>
      <c r="D39" s="2">
        <f>20/60</f>
        <v>0.33333333333333331</v>
      </c>
      <c r="E39" s="2">
        <f>C39+D39</f>
        <v>51.333333333333336</v>
      </c>
      <c r="F39" s="2">
        <f t="shared" si="3"/>
        <v>51.666666666666671</v>
      </c>
    </row>
    <row r="40" spans="1:7" x14ac:dyDescent="0.2">
      <c r="B40" s="16" t="s">
        <v>46</v>
      </c>
      <c r="C40">
        <v>35</v>
      </c>
      <c r="D40" s="2">
        <f>4/60</f>
        <v>6.6666666666666666E-2</v>
      </c>
      <c r="E40" s="2">
        <f>C40+D40</f>
        <v>35.06666666666667</v>
      </c>
      <c r="F40" s="2">
        <f t="shared" si="3"/>
        <v>35.13333333333334</v>
      </c>
    </row>
    <row r="41" spans="1:7" x14ac:dyDescent="0.2">
      <c r="B41" s="16" t="s">
        <v>47</v>
      </c>
    </row>
    <row r="42" spans="1:7" x14ac:dyDescent="0.2">
      <c r="B42" s="1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lab1-ish</vt:lpstr>
      <vt:lpstr>lab2</vt:lpstr>
      <vt:lpstr>lab3 (2)</vt:lpstr>
      <vt:lpstr>lab3</vt:lpstr>
      <vt:lpstr>lab4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2019-01-19T01:34:01Z</dcterms:created>
  <dcterms:modified xsi:type="dcterms:W3CDTF">2019-02-03T04:30:52Z</dcterms:modified>
</cp:coreProperties>
</file>