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vvrdesktops01\gvvrdesktops01\HolvayCs.v2\Desktop\takarmany-api\"/>
    </mc:Choice>
  </mc:AlternateContent>
  <bookViews>
    <workbookView xWindow="240" yWindow="195" windowWidth="15990" windowHeight="7875"/>
  </bookViews>
  <sheets>
    <sheet name="Adatbázis" sheetId="1" r:id="rId1"/>
  </sheets>
  <definedNames>
    <definedName name="_xlnm._FilterDatabase" localSheetId="0" hidden="1">Adatbázis!$M$31:$M$363</definedName>
  </definedNames>
  <calcPr calcId="162913"/>
</workbook>
</file>

<file path=xl/calcChain.xml><?xml version="1.0" encoding="utf-8"?>
<calcChain xmlns="http://schemas.openxmlformats.org/spreadsheetml/2006/main">
  <c r="T3" i="1" l="1"/>
  <c r="N3" i="1" s="1"/>
  <c r="U4" i="1"/>
  <c r="W4" i="1"/>
  <c r="T5" i="1"/>
  <c r="W5" i="1" s="1"/>
  <c r="C32" i="1"/>
  <c r="AC32" i="1" s="1"/>
  <c r="E32" i="1"/>
  <c r="F32" i="1"/>
  <c r="G32" i="1"/>
  <c r="H32" i="1"/>
  <c r="I32" i="1"/>
  <c r="J32" i="1"/>
  <c r="K32" i="1"/>
  <c r="L32" i="1"/>
  <c r="N32" i="1"/>
  <c r="U32" i="1"/>
  <c r="C33" i="1"/>
  <c r="AC33" i="1" s="1"/>
  <c r="E33" i="1"/>
  <c r="F33" i="1"/>
  <c r="G33" i="1"/>
  <c r="H33" i="1"/>
  <c r="I33" i="1"/>
  <c r="J33" i="1"/>
  <c r="K33" i="1"/>
  <c r="L33" i="1"/>
  <c r="N33" i="1"/>
  <c r="U33" i="1"/>
  <c r="A4" i="1" l="1"/>
  <c r="AC5" i="1"/>
  <c r="V5" i="1"/>
  <c r="AB3" i="1"/>
  <c r="U5" i="1"/>
  <c r="Y3" i="1"/>
  <c r="X3" i="1"/>
  <c r="W3" i="1"/>
  <c r="V3" i="1"/>
  <c r="U3" i="1"/>
  <c r="N4" i="1"/>
  <c r="AC3" i="1"/>
  <c r="A3" i="1"/>
  <c r="AB5" i="1"/>
  <c r="A5" i="1"/>
  <c r="X5" i="1"/>
  <c r="AA3" i="1"/>
  <c r="P3" i="1"/>
  <c r="AA5" i="1"/>
  <c r="N5" i="1"/>
  <c r="Z5" i="1"/>
  <c r="Y5" i="1"/>
  <c r="Z3" i="1"/>
  <c r="Q361" i="1"/>
  <c r="Q2" i="1" s="1"/>
  <c r="S178" i="1"/>
  <c r="T178" i="1"/>
  <c r="U178" i="1"/>
  <c r="AC178" i="1"/>
  <c r="T312" i="1"/>
  <c r="S312" i="1"/>
  <c r="U312" i="1"/>
  <c r="AC312" i="1"/>
  <c r="T316" i="1"/>
  <c r="S316" i="1"/>
  <c r="U316" i="1"/>
  <c r="AC316" i="1"/>
  <c r="S208" i="1"/>
  <c r="T208" i="1"/>
  <c r="U208" i="1"/>
  <c r="AC208" i="1"/>
  <c r="S305" i="1"/>
  <c r="T305" i="1"/>
  <c r="U305" i="1"/>
  <c r="AC305" i="1"/>
  <c r="S322" i="1"/>
  <c r="T322" i="1"/>
  <c r="U322" i="1"/>
  <c r="AC322" i="1"/>
  <c r="S183" i="1"/>
  <c r="T183" i="1"/>
  <c r="AD183" i="1" s="1"/>
  <c r="U183" i="1"/>
  <c r="AC183" i="1"/>
  <c r="T141" i="1"/>
  <c r="AD141" i="1" s="1"/>
  <c r="T140" i="1"/>
  <c r="AD140" i="1" s="1"/>
  <c r="T139" i="1"/>
  <c r="AD139" i="1" s="1"/>
  <c r="T138" i="1"/>
  <c r="AD138" i="1" s="1"/>
  <c r="T137" i="1"/>
  <c r="AD137" i="1" s="1"/>
  <c r="S141" i="1"/>
  <c r="U141" i="1"/>
  <c r="AC141" i="1"/>
  <c r="S137" i="1"/>
  <c r="U137" i="1"/>
  <c r="AC137" i="1"/>
  <c r="S138" i="1"/>
  <c r="U138" i="1"/>
  <c r="AC138" i="1"/>
  <c r="S140" i="1"/>
  <c r="U140" i="1"/>
  <c r="AC140" i="1"/>
  <c r="S139" i="1"/>
  <c r="U139" i="1"/>
  <c r="AC139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6" i="1"/>
  <c r="AD71" i="1"/>
  <c r="AD90" i="1"/>
  <c r="AD96" i="1"/>
  <c r="AD97" i="1"/>
  <c r="AD99" i="1"/>
  <c r="S264" i="1"/>
  <c r="T264" i="1"/>
  <c r="U264" i="1"/>
  <c r="AC264" i="1"/>
  <c r="S262" i="1"/>
  <c r="T262" i="1"/>
  <c r="U262" i="1"/>
  <c r="AC262" i="1"/>
  <c r="T223" i="1"/>
  <c r="S223" i="1"/>
  <c r="T222" i="1"/>
  <c r="S222" i="1"/>
  <c r="T221" i="1"/>
  <c r="S221" i="1"/>
  <c r="U218" i="1"/>
  <c r="AC218" i="1"/>
  <c r="U219" i="1"/>
  <c r="AC219" i="1"/>
  <c r="U220" i="1"/>
  <c r="AC220" i="1"/>
  <c r="U221" i="1"/>
  <c r="AC221" i="1"/>
  <c r="U222" i="1"/>
  <c r="AC222" i="1"/>
  <c r="U223" i="1"/>
  <c r="AC223" i="1"/>
  <c r="T219" i="1"/>
  <c r="S219" i="1"/>
  <c r="T218" i="1"/>
  <c r="S218" i="1"/>
  <c r="S220" i="1"/>
  <c r="T220" i="1"/>
  <c r="S225" i="1"/>
  <c r="T225" i="1"/>
  <c r="U225" i="1"/>
  <c r="AC225" i="1"/>
  <c r="T215" i="1"/>
  <c r="S215" i="1"/>
  <c r="U215" i="1"/>
  <c r="AC215" i="1"/>
  <c r="S214" i="1"/>
  <c r="T214" i="1"/>
  <c r="T311" i="1"/>
  <c r="S247" i="1"/>
  <c r="T247" i="1"/>
  <c r="U247" i="1"/>
  <c r="AC247" i="1"/>
  <c r="S246" i="1"/>
  <c r="T246" i="1"/>
  <c r="U246" i="1"/>
  <c r="AC246" i="1"/>
  <c r="S245" i="1"/>
  <c r="T231" i="1"/>
  <c r="S231" i="1"/>
  <c r="U231" i="1"/>
  <c r="AC231" i="1"/>
  <c r="T224" i="1"/>
  <c r="S224" i="1"/>
  <c r="T306" i="1"/>
  <c r="S306" i="1"/>
  <c r="U304" i="1"/>
  <c r="AC304" i="1"/>
  <c r="U306" i="1"/>
  <c r="AC306" i="1"/>
  <c r="U307" i="1"/>
  <c r="AC307" i="1"/>
  <c r="T304" i="1"/>
  <c r="S304" i="1"/>
  <c r="T318" i="1"/>
  <c r="S318" i="1"/>
  <c r="U318" i="1"/>
  <c r="AC318" i="1"/>
  <c r="S113" i="1"/>
  <c r="T113" i="1"/>
  <c r="AD113" i="1" s="1"/>
  <c r="U113" i="1"/>
  <c r="AC113" i="1"/>
  <c r="T320" i="1"/>
  <c r="S320" i="1"/>
  <c r="U320" i="1"/>
  <c r="AC320" i="1"/>
  <c r="U214" i="1"/>
  <c r="AC214" i="1"/>
  <c r="S213" i="1"/>
  <c r="T213" i="1"/>
  <c r="U213" i="1"/>
  <c r="AC213" i="1"/>
  <c r="S193" i="1"/>
  <c r="T193" i="1"/>
  <c r="AD193" i="1" s="1"/>
  <c r="U193" i="1"/>
  <c r="AC193" i="1"/>
  <c r="T331" i="1"/>
  <c r="S331" i="1"/>
  <c r="U331" i="1"/>
  <c r="AC331" i="1"/>
  <c r="S159" i="1"/>
  <c r="T159" i="1"/>
  <c r="AD159" i="1" s="1"/>
  <c r="U159" i="1"/>
  <c r="AC159" i="1"/>
  <c r="T127" i="1"/>
  <c r="AD127" i="1" s="1"/>
  <c r="S127" i="1"/>
  <c r="U127" i="1"/>
  <c r="AC127" i="1"/>
  <c r="S194" i="1"/>
  <c r="T194" i="1"/>
  <c r="AD194" i="1" s="1"/>
  <c r="U194" i="1"/>
  <c r="AC194" i="1"/>
  <c r="T216" i="1"/>
  <c r="S216" i="1"/>
  <c r="T349" i="1"/>
  <c r="T348" i="1"/>
  <c r="S348" i="1"/>
  <c r="S349" i="1"/>
  <c r="T235" i="1"/>
  <c r="S235" i="1"/>
  <c r="S68" i="1"/>
  <c r="T68" i="1"/>
  <c r="AD68" i="1" s="1"/>
  <c r="S69" i="1"/>
  <c r="T69" i="1"/>
  <c r="AD69" i="1" s="1"/>
  <c r="S229" i="1"/>
  <c r="S206" i="1"/>
  <c r="S202" i="1"/>
  <c r="T230" i="1"/>
  <c r="T130" i="1"/>
  <c r="AD130" i="1" s="1"/>
  <c r="S130" i="1"/>
  <c r="S129" i="1"/>
  <c r="T129" i="1"/>
  <c r="AD129" i="1" s="1"/>
  <c r="S86" i="1"/>
  <c r="T86" i="1"/>
  <c r="AD86" i="1" s="1"/>
  <c r="AC86" i="1"/>
  <c r="U86" i="1"/>
  <c r="AD312" i="1" l="1"/>
  <c r="AA32" i="1"/>
  <c r="AB32" i="1"/>
  <c r="Z33" i="1"/>
  <c r="V32" i="1"/>
  <c r="W32" i="1"/>
  <c r="AB33" i="1"/>
  <c r="X32" i="1"/>
  <c r="V33" i="1"/>
  <c r="W33" i="1"/>
  <c r="X33" i="1"/>
  <c r="Y33" i="1"/>
  <c r="AA33" i="1"/>
  <c r="Z32" i="1"/>
  <c r="Y32" i="1"/>
  <c r="AD305" i="1"/>
  <c r="AD221" i="1"/>
  <c r="AD262" i="1"/>
  <c r="AD322" i="1"/>
  <c r="AD247" i="1"/>
  <c r="AD304" i="1"/>
  <c r="AD264" i="1"/>
  <c r="AD246" i="1"/>
  <c r="AD218" i="1"/>
  <c r="AD220" i="1"/>
  <c r="AD225" i="1"/>
  <c r="AD223" i="1"/>
  <c r="AD222" i="1"/>
  <c r="AD219" i="1"/>
  <c r="AD215" i="1"/>
  <c r="AD318" i="1"/>
  <c r="AD231" i="1"/>
  <c r="AD306" i="1"/>
  <c r="AD320" i="1"/>
  <c r="AD213" i="1"/>
  <c r="AD214" i="1"/>
  <c r="AD331" i="1"/>
  <c r="S179" i="1"/>
  <c r="T179" i="1"/>
  <c r="AD179" i="1" s="1"/>
  <c r="U179" i="1"/>
  <c r="AC179" i="1"/>
  <c r="S167" i="1"/>
  <c r="T167" i="1"/>
  <c r="AD167" i="1" s="1"/>
  <c r="U167" i="1"/>
  <c r="AC167" i="1"/>
  <c r="S150" i="1"/>
  <c r="T150" i="1"/>
  <c r="AD150" i="1" s="1"/>
  <c r="U150" i="1"/>
  <c r="AC150" i="1"/>
  <c r="T234" i="1"/>
  <c r="S234" i="1"/>
  <c r="U234" i="1"/>
  <c r="AC234" i="1"/>
  <c r="T294" i="1"/>
  <c r="S294" i="1"/>
  <c r="U294" i="1"/>
  <c r="AC294" i="1"/>
  <c r="T177" i="1"/>
  <c r="AD177" i="1" s="1"/>
  <c r="S177" i="1"/>
  <c r="U177" i="1"/>
  <c r="AC177" i="1"/>
  <c r="S315" i="1"/>
  <c r="T315" i="1"/>
  <c r="U315" i="1"/>
  <c r="AC315" i="1"/>
  <c r="S143" i="1"/>
  <c r="T143" i="1"/>
  <c r="AD143" i="1" s="1"/>
  <c r="U143" i="1"/>
  <c r="AC143" i="1"/>
  <c r="AD234" i="1" l="1"/>
  <c r="AD294" i="1"/>
  <c r="T357" i="1"/>
  <c r="S357" i="1"/>
  <c r="T98" i="1"/>
  <c r="AD98" i="1" s="1"/>
  <c r="S98" i="1"/>
  <c r="U98" i="1"/>
  <c r="AC98" i="1"/>
  <c r="S161" i="1"/>
  <c r="T161" i="1"/>
  <c r="AD161" i="1" s="1"/>
  <c r="U161" i="1"/>
  <c r="AC161" i="1"/>
  <c r="U55" i="1"/>
  <c r="AC55" i="1"/>
  <c r="T334" i="1"/>
  <c r="S334" i="1"/>
  <c r="U334" i="1"/>
  <c r="AC334" i="1"/>
  <c r="S169" i="1"/>
  <c r="T169" i="1"/>
  <c r="AD169" i="1" s="1"/>
  <c r="U169" i="1"/>
  <c r="AC169" i="1"/>
  <c r="T323" i="1"/>
  <c r="S323" i="1"/>
  <c r="U323" i="1"/>
  <c r="AC323" i="1"/>
  <c r="S207" i="1"/>
  <c r="T207" i="1"/>
  <c r="U207" i="1"/>
  <c r="AC207" i="1"/>
  <c r="S168" i="1"/>
  <c r="T168" i="1"/>
  <c r="AD168" i="1" s="1"/>
  <c r="U168" i="1"/>
  <c r="AC168" i="1"/>
  <c r="S330" i="1"/>
  <c r="T330" i="1"/>
  <c r="U330" i="1"/>
  <c r="AC330" i="1"/>
  <c r="AE63" i="1"/>
  <c r="T333" i="1"/>
  <c r="S333" i="1"/>
  <c r="U333" i="1"/>
  <c r="AC333" i="1"/>
  <c r="S112" i="1"/>
  <c r="T112" i="1"/>
  <c r="AD112" i="1" s="1"/>
  <c r="U112" i="1"/>
  <c r="AC112" i="1"/>
  <c r="S123" i="1"/>
  <c r="T123" i="1"/>
  <c r="AD123" i="1" s="1"/>
  <c r="U123" i="1"/>
  <c r="AC123" i="1"/>
  <c r="T162" i="1"/>
  <c r="AD162" i="1" s="1"/>
  <c r="S162" i="1"/>
  <c r="U162" i="1"/>
  <c r="AC162" i="1"/>
  <c r="S327" i="1"/>
  <c r="T327" i="1"/>
  <c r="U327" i="1"/>
  <c r="AC327" i="1"/>
  <c r="T325" i="1"/>
  <c r="S325" i="1"/>
  <c r="U325" i="1"/>
  <c r="AC325" i="1"/>
  <c r="S309" i="1"/>
  <c r="T309" i="1"/>
  <c r="U309" i="1"/>
  <c r="AC309" i="1"/>
  <c r="S135" i="1"/>
  <c r="T135" i="1"/>
  <c r="AD135" i="1" s="1"/>
  <c r="U135" i="1"/>
  <c r="AC135" i="1"/>
  <c r="T267" i="1"/>
  <c r="S267" i="1"/>
  <c r="U267" i="1"/>
  <c r="AC267" i="1"/>
  <c r="T337" i="1"/>
  <c r="S337" i="1"/>
  <c r="U337" i="1"/>
  <c r="AC337" i="1"/>
  <c r="S336" i="1"/>
  <c r="T336" i="1"/>
  <c r="U336" i="1"/>
  <c r="AC336" i="1"/>
  <c r="S128" i="1"/>
  <c r="S340" i="1"/>
  <c r="T340" i="1"/>
  <c r="T200" i="1"/>
  <c r="AD200" i="1" s="1"/>
  <c r="T347" i="1"/>
  <c r="S347" i="1"/>
  <c r="U347" i="1"/>
  <c r="AC347" i="1"/>
  <c r="T346" i="1"/>
  <c r="S346" i="1"/>
  <c r="U346" i="1"/>
  <c r="AC346" i="1"/>
  <c r="T355" i="1"/>
  <c r="S355" i="1"/>
  <c r="U355" i="1"/>
  <c r="AC355" i="1"/>
  <c r="AD334" i="1" l="1"/>
  <c r="AD346" i="1"/>
  <c r="AD347" i="1"/>
  <c r="AD267" i="1"/>
  <c r="AD357" i="1"/>
  <c r="AD327" i="1"/>
  <c r="AD336" i="1"/>
  <c r="AD309" i="1"/>
  <c r="AD325" i="1"/>
  <c r="AD333" i="1"/>
  <c r="AD330" i="1"/>
  <c r="AD207" i="1"/>
  <c r="AD323" i="1"/>
  <c r="AE64" i="1"/>
  <c r="S157" i="1"/>
  <c r="T157" i="1"/>
  <c r="AD157" i="1" s="1"/>
  <c r="U157" i="1"/>
  <c r="AC157" i="1"/>
  <c r="S151" i="1"/>
  <c r="T151" i="1"/>
  <c r="AD151" i="1" s="1"/>
  <c r="U151" i="1"/>
  <c r="AC151" i="1"/>
  <c r="S176" i="1"/>
  <c r="T176" i="1"/>
  <c r="AD176" i="1" s="1"/>
  <c r="U176" i="1"/>
  <c r="AC176" i="1"/>
  <c r="S166" i="1"/>
  <c r="T166" i="1"/>
  <c r="AD166" i="1" s="1"/>
  <c r="U166" i="1"/>
  <c r="AC166" i="1"/>
  <c r="U97" i="1"/>
  <c r="AC97" i="1"/>
  <c r="T249" i="1"/>
  <c r="S249" i="1"/>
  <c r="U249" i="1"/>
  <c r="AC249" i="1"/>
  <c r="S148" i="1"/>
  <c r="T148" i="1"/>
  <c r="AD148" i="1" s="1"/>
  <c r="U148" i="1"/>
  <c r="AC148" i="1"/>
  <c r="AD249" i="1" l="1"/>
  <c r="S200" i="1"/>
  <c r="U200" i="1"/>
  <c r="AC200" i="1"/>
  <c r="S244" i="1" l="1"/>
  <c r="T244" i="1"/>
  <c r="U244" i="1"/>
  <c r="AC244" i="1"/>
  <c r="S118" i="1"/>
  <c r="T118" i="1"/>
  <c r="AD118" i="1" s="1"/>
  <c r="U118" i="1"/>
  <c r="AC118" i="1"/>
  <c r="S72" i="1"/>
  <c r="T72" i="1"/>
  <c r="AD72" i="1" s="1"/>
  <c r="T204" i="1"/>
  <c r="S204" i="1"/>
  <c r="U204" i="1"/>
  <c r="AC204" i="1"/>
  <c r="S185" i="1"/>
  <c r="T185" i="1"/>
  <c r="AD185" i="1" s="1"/>
  <c r="U185" i="1"/>
  <c r="AC185" i="1"/>
  <c r="T92" i="1"/>
  <c r="AD92" i="1" s="1"/>
  <c r="S92" i="1"/>
  <c r="S153" i="1"/>
  <c r="T153" i="1"/>
  <c r="AD153" i="1" s="1"/>
  <c r="U153" i="1"/>
  <c r="AC153" i="1"/>
  <c r="S144" i="1"/>
  <c r="T144" i="1"/>
  <c r="AD144" i="1" s="1"/>
  <c r="U144" i="1"/>
  <c r="AC144" i="1"/>
  <c r="S271" i="1"/>
  <c r="T271" i="1"/>
  <c r="U271" i="1"/>
  <c r="AC271" i="1"/>
  <c r="S160" i="1"/>
  <c r="T160" i="1"/>
  <c r="AD160" i="1" s="1"/>
  <c r="U160" i="1"/>
  <c r="AC160" i="1"/>
  <c r="T314" i="1"/>
  <c r="S314" i="1"/>
  <c r="U314" i="1"/>
  <c r="AC314" i="1"/>
  <c r="S181" i="1"/>
  <c r="T181" i="1"/>
  <c r="AD181" i="1" s="1"/>
  <c r="U181" i="1"/>
  <c r="AC181" i="1"/>
  <c r="S353" i="1"/>
  <c r="U353" i="1"/>
  <c r="AC353" i="1"/>
  <c r="S199" i="1"/>
  <c r="T199" i="1"/>
  <c r="AD199" i="1" s="1"/>
  <c r="U199" i="1"/>
  <c r="AC199" i="1"/>
  <c r="T209" i="1"/>
  <c r="S209" i="1"/>
  <c r="U340" i="1"/>
  <c r="AC340" i="1"/>
  <c r="S163" i="1"/>
  <c r="T163" i="1"/>
  <c r="AD163" i="1" s="1"/>
  <c r="U163" i="1"/>
  <c r="AC163" i="1"/>
  <c r="S174" i="1"/>
  <c r="T174" i="1"/>
  <c r="AD174" i="1" s="1"/>
  <c r="U174" i="1"/>
  <c r="AC174" i="1"/>
  <c r="T170" i="1"/>
  <c r="AD170" i="1" s="1"/>
  <c r="T165" i="1"/>
  <c r="AD165" i="1" s="1"/>
  <c r="T164" i="1"/>
  <c r="AD164" i="1" s="1"/>
  <c r="S170" i="1"/>
  <c r="U170" i="1"/>
  <c r="AC170" i="1"/>
  <c r="AD271" i="1" l="1"/>
  <c r="AD204" i="1"/>
  <c r="AD244" i="1"/>
  <c r="AD209" i="1"/>
  <c r="T301" i="1"/>
  <c r="S301" i="1"/>
  <c r="S302" i="1"/>
  <c r="T302" i="1"/>
  <c r="U302" i="1"/>
  <c r="AC302" i="1"/>
  <c r="T308" i="1"/>
  <c r="S308" i="1"/>
  <c r="T307" i="1"/>
  <c r="S307" i="1"/>
  <c r="U308" i="1"/>
  <c r="AC308" i="1"/>
  <c r="U335" i="1"/>
  <c r="AC335" i="1"/>
  <c r="T125" i="1"/>
  <c r="AD125" i="1" s="1"/>
  <c r="S125" i="1"/>
  <c r="T104" i="1"/>
  <c r="AD104" i="1" s="1"/>
  <c r="S104" i="1"/>
  <c r="S108" i="1"/>
  <c r="T108" i="1"/>
  <c r="AD108" i="1" s="1"/>
  <c r="S109" i="1"/>
  <c r="T109" i="1"/>
  <c r="AD109" i="1" s="1"/>
  <c r="T85" i="1"/>
  <c r="AD85" i="1" s="1"/>
  <c r="T84" i="1"/>
  <c r="AD84" i="1" s="1"/>
  <c r="T93" i="1"/>
  <c r="AD93" i="1" s="1"/>
  <c r="S93" i="1"/>
  <c r="S85" i="1"/>
  <c r="S84" i="1"/>
  <c r="T81" i="1"/>
  <c r="AD81" i="1" s="1"/>
  <c r="S81" i="1"/>
  <c r="S149" i="1"/>
  <c r="T149" i="1"/>
  <c r="AD149" i="1" s="1"/>
  <c r="U149" i="1"/>
  <c r="AC149" i="1"/>
  <c r="S90" i="1"/>
  <c r="U90" i="1"/>
  <c r="AC90" i="1"/>
  <c r="T203" i="1"/>
  <c r="S203" i="1"/>
  <c r="T202" i="1"/>
  <c r="AD202" i="1" s="1"/>
  <c r="T313" i="1"/>
  <c r="S313" i="1"/>
  <c r="S311" i="1"/>
  <c r="S310" i="1"/>
  <c r="T310" i="1"/>
  <c r="U311" i="1"/>
  <c r="AC311" i="1"/>
  <c r="U310" i="1"/>
  <c r="AC310" i="1"/>
  <c r="U313" i="1"/>
  <c r="AC313" i="1"/>
  <c r="T295" i="1"/>
  <c r="S295" i="1"/>
  <c r="U295" i="1"/>
  <c r="AC295" i="1"/>
  <c r="T296" i="1"/>
  <c r="S296" i="1"/>
  <c r="U296" i="1"/>
  <c r="AC296" i="1"/>
  <c r="S326" i="1"/>
  <c r="T326" i="1"/>
  <c r="U326" i="1"/>
  <c r="AC326" i="1"/>
  <c r="S192" i="1"/>
  <c r="T192" i="1"/>
  <c r="AD192" i="1" s="1"/>
  <c r="U192" i="1"/>
  <c r="AC192" i="1"/>
  <c r="U339" i="1"/>
  <c r="AC339" i="1"/>
  <c r="T339" i="1"/>
  <c r="S339" i="1"/>
  <c r="S65" i="1"/>
  <c r="T65" i="1"/>
  <c r="AD65" i="1" s="1"/>
  <c r="U65" i="1"/>
  <c r="T298" i="1"/>
  <c r="S298" i="1"/>
  <c r="U298" i="1"/>
  <c r="AC298" i="1"/>
  <c r="T251" i="1"/>
  <c r="S251" i="1"/>
  <c r="U251" i="1"/>
  <c r="AC251" i="1"/>
  <c r="S233" i="1"/>
  <c r="T233" i="1"/>
  <c r="U233" i="1"/>
  <c r="AC233" i="1"/>
  <c r="S201" i="1"/>
  <c r="T201" i="1"/>
  <c r="AD201" i="1" s="1"/>
  <c r="U201" i="1"/>
  <c r="AC201" i="1"/>
  <c r="S182" i="1"/>
  <c r="T182" i="1"/>
  <c r="AD182" i="1" s="1"/>
  <c r="U182" i="1"/>
  <c r="AC182" i="1"/>
  <c r="U329" i="1"/>
  <c r="AC329" i="1"/>
  <c r="T329" i="1"/>
  <c r="S329" i="1"/>
  <c r="T319" i="1"/>
  <c r="S319" i="1"/>
  <c r="U319" i="1"/>
  <c r="AC319" i="1"/>
  <c r="S289" i="1"/>
  <c r="T289" i="1"/>
  <c r="T243" i="1"/>
  <c r="S243" i="1"/>
  <c r="U243" i="1"/>
  <c r="AC243" i="1"/>
  <c r="S175" i="1"/>
  <c r="T175" i="1"/>
  <c r="AD175" i="1" s="1"/>
  <c r="U175" i="1"/>
  <c r="AC175" i="1"/>
  <c r="U96" i="1"/>
  <c r="AC96" i="1"/>
  <c r="U99" i="1"/>
  <c r="AC99" i="1"/>
  <c r="S230" i="1"/>
  <c r="AD230" i="1" s="1"/>
  <c r="U230" i="1"/>
  <c r="AC230" i="1"/>
  <c r="S158" i="1"/>
  <c r="T158" i="1"/>
  <c r="AD158" i="1" s="1"/>
  <c r="U158" i="1"/>
  <c r="AC158" i="1"/>
  <c r="U324" i="1"/>
  <c r="AC324" i="1"/>
  <c r="T324" i="1"/>
  <c r="S324" i="1"/>
  <c r="U74" i="1"/>
  <c r="AC74" i="1"/>
  <c r="T74" i="1"/>
  <c r="AD74" i="1" s="1"/>
  <c r="S74" i="1"/>
  <c r="V178" i="1" l="1"/>
  <c r="Z178" i="1"/>
  <c r="Y178" i="1"/>
  <c r="X178" i="1"/>
  <c r="AB178" i="1"/>
  <c r="W178" i="1"/>
  <c r="AA178" i="1"/>
  <c r="V312" i="1"/>
  <c r="Z312" i="1"/>
  <c r="Y312" i="1"/>
  <c r="X312" i="1"/>
  <c r="AB312" i="1"/>
  <c r="W312" i="1"/>
  <c r="AA312" i="1"/>
  <c r="V316" i="1"/>
  <c r="Z316" i="1"/>
  <c r="Y316" i="1"/>
  <c r="X316" i="1"/>
  <c r="AB316" i="1"/>
  <c r="W316" i="1"/>
  <c r="AA316" i="1"/>
  <c r="V208" i="1"/>
  <c r="Z208" i="1"/>
  <c r="Y208" i="1"/>
  <c r="X208" i="1"/>
  <c r="AB208" i="1"/>
  <c r="W208" i="1"/>
  <c r="AA208" i="1"/>
  <c r="V305" i="1"/>
  <c r="X305" i="1"/>
  <c r="Z305" i="1"/>
  <c r="AB305" i="1"/>
  <c r="W305" i="1"/>
  <c r="Y305" i="1"/>
  <c r="AA305" i="1"/>
  <c r="V322" i="1"/>
  <c r="X322" i="1"/>
  <c r="Z322" i="1"/>
  <c r="AB322" i="1"/>
  <c r="W322" i="1"/>
  <c r="Y322" i="1"/>
  <c r="AA322" i="1"/>
  <c r="V183" i="1"/>
  <c r="X183" i="1"/>
  <c r="Z183" i="1"/>
  <c r="AB183" i="1"/>
  <c r="W183" i="1"/>
  <c r="Y183" i="1"/>
  <c r="AA183" i="1"/>
  <c r="W141" i="1"/>
  <c r="Y141" i="1"/>
  <c r="AA141" i="1"/>
  <c r="V141" i="1"/>
  <c r="X141" i="1"/>
  <c r="Z141" i="1"/>
  <c r="AB141" i="1"/>
  <c r="W137" i="1"/>
  <c r="Y137" i="1"/>
  <c r="AA137" i="1"/>
  <c r="V137" i="1"/>
  <c r="X137" i="1"/>
  <c r="Z137" i="1"/>
  <c r="AB137" i="1"/>
  <c r="W138" i="1"/>
  <c r="Y138" i="1"/>
  <c r="AA138" i="1"/>
  <c r="V138" i="1"/>
  <c r="X138" i="1"/>
  <c r="Z138" i="1"/>
  <c r="AB138" i="1"/>
  <c r="W140" i="1"/>
  <c r="Y140" i="1"/>
  <c r="AA140" i="1"/>
  <c r="V140" i="1"/>
  <c r="X140" i="1"/>
  <c r="Z140" i="1"/>
  <c r="AB140" i="1"/>
  <c r="V139" i="1"/>
  <c r="X139" i="1"/>
  <c r="Z139" i="1"/>
  <c r="AB139" i="1"/>
  <c r="W139" i="1"/>
  <c r="Y139" i="1"/>
  <c r="AA139" i="1"/>
  <c r="V264" i="1"/>
  <c r="X264" i="1"/>
  <c r="Z264" i="1"/>
  <c r="AB264" i="1"/>
  <c r="W264" i="1"/>
  <c r="Y264" i="1"/>
  <c r="AA264" i="1"/>
  <c r="V262" i="1"/>
  <c r="X262" i="1"/>
  <c r="Z262" i="1"/>
  <c r="AB262" i="1"/>
  <c r="V218" i="1"/>
  <c r="X218" i="1"/>
  <c r="Z218" i="1"/>
  <c r="AB218" i="1"/>
  <c r="W219" i="1"/>
  <c r="Y219" i="1"/>
  <c r="AA219" i="1"/>
  <c r="V220" i="1"/>
  <c r="X220" i="1"/>
  <c r="Z220" i="1"/>
  <c r="AB220" i="1"/>
  <c r="W221" i="1"/>
  <c r="Y221" i="1"/>
  <c r="AA221" i="1"/>
  <c r="V222" i="1"/>
  <c r="X222" i="1"/>
  <c r="Z222" i="1"/>
  <c r="AB222" i="1"/>
  <c r="W223" i="1"/>
  <c r="Y223" i="1"/>
  <c r="AA223" i="1"/>
  <c r="W262" i="1"/>
  <c r="Y262" i="1"/>
  <c r="AA262" i="1"/>
  <c r="W218" i="1"/>
  <c r="Y218" i="1"/>
  <c r="AA218" i="1"/>
  <c r="V219" i="1"/>
  <c r="X219" i="1"/>
  <c r="Z219" i="1"/>
  <c r="AB219" i="1"/>
  <c r="W220" i="1"/>
  <c r="Y220" i="1"/>
  <c r="AA220" i="1"/>
  <c r="V221" i="1"/>
  <c r="X221" i="1"/>
  <c r="Z221" i="1"/>
  <c r="AB221" i="1"/>
  <c r="W222" i="1"/>
  <c r="Y222" i="1"/>
  <c r="AA222" i="1"/>
  <c r="V223" i="1"/>
  <c r="X223" i="1"/>
  <c r="Z223" i="1"/>
  <c r="AB223" i="1"/>
  <c r="V225" i="1"/>
  <c r="X225" i="1"/>
  <c r="Z225" i="1"/>
  <c r="AB225" i="1"/>
  <c r="W225" i="1"/>
  <c r="Y225" i="1"/>
  <c r="AA225" i="1"/>
  <c r="V215" i="1"/>
  <c r="X215" i="1"/>
  <c r="Z215" i="1"/>
  <c r="AB215" i="1"/>
  <c r="W215" i="1"/>
  <c r="Y215" i="1"/>
  <c r="AA215" i="1"/>
  <c r="V247" i="1"/>
  <c r="X247" i="1"/>
  <c r="Z247" i="1"/>
  <c r="AB247" i="1"/>
  <c r="W247" i="1"/>
  <c r="Y247" i="1"/>
  <c r="AA247" i="1"/>
  <c r="V246" i="1"/>
  <c r="X246" i="1"/>
  <c r="Z246" i="1"/>
  <c r="AB246" i="1"/>
  <c r="W246" i="1"/>
  <c r="Y246" i="1"/>
  <c r="AA246" i="1"/>
  <c r="V231" i="1"/>
  <c r="X231" i="1"/>
  <c r="Z231" i="1"/>
  <c r="AB231" i="1"/>
  <c r="W231" i="1"/>
  <c r="Y231" i="1"/>
  <c r="AA231" i="1"/>
  <c r="V304" i="1"/>
  <c r="X304" i="1"/>
  <c r="Z304" i="1"/>
  <c r="AB304" i="1"/>
  <c r="W306" i="1"/>
  <c r="Y306" i="1"/>
  <c r="AA306" i="1"/>
  <c r="V307" i="1"/>
  <c r="X307" i="1"/>
  <c r="Z307" i="1"/>
  <c r="AB307" i="1"/>
  <c r="W304" i="1"/>
  <c r="Y304" i="1"/>
  <c r="AA304" i="1"/>
  <c r="V306" i="1"/>
  <c r="X306" i="1"/>
  <c r="Z306" i="1"/>
  <c r="AB306" i="1"/>
  <c r="W307" i="1"/>
  <c r="Y307" i="1"/>
  <c r="AA307" i="1"/>
  <c r="V318" i="1"/>
  <c r="X318" i="1"/>
  <c r="Z318" i="1"/>
  <c r="AB318" i="1"/>
  <c r="Y318" i="1"/>
  <c r="AA318" i="1"/>
  <c r="W318" i="1"/>
  <c r="V113" i="1"/>
  <c r="X113" i="1"/>
  <c r="Z113" i="1"/>
  <c r="AB113" i="1"/>
  <c r="Y113" i="1"/>
  <c r="AA113" i="1"/>
  <c r="W113" i="1"/>
  <c r="V320" i="1"/>
  <c r="X320" i="1"/>
  <c r="Z320" i="1"/>
  <c r="AB320" i="1"/>
  <c r="Y320" i="1"/>
  <c r="AA320" i="1"/>
  <c r="W320" i="1"/>
  <c r="V214" i="1"/>
  <c r="X214" i="1"/>
  <c r="Z214" i="1"/>
  <c r="AB214" i="1"/>
  <c r="W214" i="1"/>
  <c r="Y214" i="1"/>
  <c r="AA214" i="1"/>
  <c r="V213" i="1"/>
  <c r="X213" i="1"/>
  <c r="Z213" i="1"/>
  <c r="AB213" i="1"/>
  <c r="W213" i="1"/>
  <c r="Y213" i="1"/>
  <c r="AA213" i="1"/>
  <c r="AD307" i="1"/>
  <c r="AD308" i="1"/>
  <c r="AD301" i="1"/>
  <c r="V193" i="1"/>
  <c r="X193" i="1"/>
  <c r="Z193" i="1"/>
  <c r="AB193" i="1"/>
  <c r="W193" i="1"/>
  <c r="Y193" i="1"/>
  <c r="AA193" i="1"/>
  <c r="V331" i="1"/>
  <c r="X331" i="1"/>
  <c r="Z331" i="1"/>
  <c r="AB331" i="1"/>
  <c r="W331" i="1"/>
  <c r="Y331" i="1"/>
  <c r="AA331" i="1"/>
  <c r="V159" i="1"/>
  <c r="X159" i="1"/>
  <c r="Z159" i="1"/>
  <c r="AB159" i="1"/>
  <c r="Y159" i="1"/>
  <c r="AA159" i="1"/>
  <c r="W159" i="1"/>
  <c r="AD289" i="1"/>
  <c r="AD319" i="1"/>
  <c r="AD329" i="1"/>
  <c r="AD251" i="1"/>
  <c r="AD298" i="1"/>
  <c r="AD296" i="1"/>
  <c r="AD295" i="1"/>
  <c r="AD313" i="1"/>
  <c r="V127" i="1"/>
  <c r="X127" i="1"/>
  <c r="Z127" i="1"/>
  <c r="AB127" i="1"/>
  <c r="W127" i="1"/>
  <c r="Y127" i="1"/>
  <c r="AA127" i="1"/>
  <c r="V194" i="1"/>
  <c r="X194" i="1"/>
  <c r="Z194" i="1"/>
  <c r="AB194" i="1"/>
  <c r="Y194" i="1"/>
  <c r="AA194" i="1"/>
  <c r="W194" i="1"/>
  <c r="AD311" i="1"/>
  <c r="AD203" i="1"/>
  <c r="AD324" i="1"/>
  <c r="AD243" i="1"/>
  <c r="AD233" i="1"/>
  <c r="AD326" i="1"/>
  <c r="AD310" i="1"/>
  <c r="AD302" i="1"/>
  <c r="AB86" i="1"/>
  <c r="Z86" i="1"/>
  <c r="X86" i="1"/>
  <c r="V86" i="1"/>
  <c r="AA86" i="1"/>
  <c r="Y86" i="1"/>
  <c r="W86" i="1"/>
  <c r="V179" i="1"/>
  <c r="X179" i="1"/>
  <c r="Z179" i="1"/>
  <c r="AB179" i="1"/>
  <c r="W179" i="1"/>
  <c r="Y179" i="1"/>
  <c r="AA179" i="1"/>
  <c r="V167" i="1"/>
  <c r="X167" i="1"/>
  <c r="Z167" i="1"/>
  <c r="AB167" i="1"/>
  <c r="W167" i="1"/>
  <c r="Y167" i="1"/>
  <c r="AA167" i="1"/>
  <c r="V150" i="1"/>
  <c r="X150" i="1"/>
  <c r="Z150" i="1"/>
  <c r="AB150" i="1"/>
  <c r="Y150" i="1"/>
  <c r="AA150" i="1"/>
  <c r="W150" i="1"/>
  <c r="V234" i="1"/>
  <c r="X234" i="1"/>
  <c r="Z234" i="1"/>
  <c r="AB234" i="1"/>
  <c r="Y234" i="1"/>
  <c r="AA234" i="1"/>
  <c r="W234" i="1"/>
  <c r="V294" i="1"/>
  <c r="X294" i="1"/>
  <c r="Z294" i="1"/>
  <c r="AB294" i="1"/>
  <c r="Y294" i="1"/>
  <c r="AA294" i="1"/>
  <c r="W294" i="1"/>
  <c r="V177" i="1"/>
  <c r="X177" i="1"/>
  <c r="Z177" i="1"/>
  <c r="AB177" i="1"/>
  <c r="W177" i="1"/>
  <c r="Y177" i="1"/>
  <c r="AA177" i="1"/>
  <c r="V315" i="1"/>
  <c r="X315" i="1"/>
  <c r="Z315" i="1"/>
  <c r="AB315" i="1"/>
  <c r="W315" i="1"/>
  <c r="Y315" i="1"/>
  <c r="AA315" i="1"/>
  <c r="V143" i="1"/>
  <c r="X143" i="1"/>
  <c r="Z143" i="1"/>
  <c r="AB143" i="1"/>
  <c r="Y143" i="1"/>
  <c r="AA143" i="1"/>
  <c r="W143" i="1"/>
  <c r="V98" i="1"/>
  <c r="X98" i="1"/>
  <c r="Z98" i="1"/>
  <c r="AB98" i="1"/>
  <c r="W98" i="1"/>
  <c r="Y98" i="1"/>
  <c r="AA98" i="1"/>
  <c r="V161" i="1"/>
  <c r="X161" i="1"/>
  <c r="Z161" i="1"/>
  <c r="AB161" i="1"/>
  <c r="W161" i="1"/>
  <c r="Y161" i="1"/>
  <c r="AA161" i="1"/>
  <c r="V55" i="1"/>
  <c r="X55" i="1"/>
  <c r="Z55" i="1"/>
  <c r="AB55" i="1"/>
  <c r="W55" i="1"/>
  <c r="Y55" i="1"/>
  <c r="AA55" i="1"/>
  <c r="V334" i="1"/>
  <c r="X334" i="1"/>
  <c r="Z334" i="1"/>
  <c r="AB334" i="1"/>
  <c r="W334" i="1"/>
  <c r="Y334" i="1"/>
  <c r="AA334" i="1"/>
  <c r="V169" i="1"/>
  <c r="X169" i="1"/>
  <c r="Z169" i="1"/>
  <c r="AB169" i="1"/>
  <c r="AA169" i="1"/>
  <c r="W169" i="1"/>
  <c r="Y169" i="1"/>
  <c r="V323" i="1"/>
  <c r="X323" i="1"/>
  <c r="Z323" i="1"/>
  <c r="AB323" i="1"/>
  <c r="W323" i="1"/>
  <c r="Y323" i="1"/>
  <c r="AA323" i="1"/>
  <c r="W207" i="1"/>
  <c r="Y207" i="1"/>
  <c r="AA207" i="1"/>
  <c r="V207" i="1"/>
  <c r="X207" i="1"/>
  <c r="Z207" i="1"/>
  <c r="AB207" i="1"/>
  <c r="V168" i="1"/>
  <c r="X168" i="1"/>
  <c r="Z168" i="1"/>
  <c r="AB168" i="1"/>
  <c r="W168" i="1"/>
  <c r="Y168" i="1"/>
  <c r="AA168" i="1"/>
  <c r="V330" i="1"/>
  <c r="X330" i="1"/>
  <c r="Z330" i="1"/>
  <c r="AB330" i="1"/>
  <c r="W330" i="1"/>
  <c r="Y330" i="1"/>
  <c r="AA330" i="1"/>
  <c r="V333" i="1"/>
  <c r="X333" i="1"/>
  <c r="Z333" i="1"/>
  <c r="AB333" i="1"/>
  <c r="W333" i="1"/>
  <c r="Y333" i="1"/>
  <c r="AA333" i="1"/>
  <c r="V112" i="1"/>
  <c r="X112" i="1"/>
  <c r="Z112" i="1"/>
  <c r="AB112" i="1"/>
  <c r="W112" i="1"/>
  <c r="Y112" i="1"/>
  <c r="AA112" i="1"/>
  <c r="V123" i="1"/>
  <c r="X123" i="1"/>
  <c r="Z123" i="1"/>
  <c r="AB123" i="1"/>
  <c r="W123" i="1"/>
  <c r="Y123" i="1"/>
  <c r="AA123" i="1"/>
  <c r="V162" i="1"/>
  <c r="X162" i="1"/>
  <c r="Z162" i="1"/>
  <c r="AB162" i="1"/>
  <c r="W162" i="1"/>
  <c r="Y162" i="1"/>
  <c r="AA162" i="1"/>
  <c r="V327" i="1"/>
  <c r="X327" i="1"/>
  <c r="Z327" i="1"/>
  <c r="AB327" i="1"/>
  <c r="W327" i="1"/>
  <c r="Y327" i="1"/>
  <c r="AA327" i="1"/>
  <c r="V325" i="1"/>
  <c r="X325" i="1"/>
  <c r="Z325" i="1"/>
  <c r="AB325" i="1"/>
  <c r="W325" i="1"/>
  <c r="Y325" i="1"/>
  <c r="AA325" i="1"/>
  <c r="V309" i="1"/>
  <c r="X309" i="1"/>
  <c r="Z309" i="1"/>
  <c r="AB309" i="1"/>
  <c r="Y309" i="1"/>
  <c r="AA309" i="1"/>
  <c r="W309" i="1"/>
  <c r="V135" i="1"/>
  <c r="X135" i="1"/>
  <c r="Z135" i="1"/>
  <c r="AB135" i="1"/>
  <c r="Y135" i="1"/>
  <c r="AA135" i="1"/>
  <c r="W135" i="1"/>
  <c r="V267" i="1"/>
  <c r="X267" i="1"/>
  <c r="Z267" i="1"/>
  <c r="AB267" i="1"/>
  <c r="Y267" i="1"/>
  <c r="AA267" i="1"/>
  <c r="W267" i="1"/>
  <c r="V337" i="1"/>
  <c r="X337" i="1"/>
  <c r="Z337" i="1"/>
  <c r="AB337" i="1"/>
  <c r="W337" i="1"/>
  <c r="Y337" i="1"/>
  <c r="AA337" i="1"/>
  <c r="V336" i="1"/>
  <c r="X336" i="1"/>
  <c r="Z336" i="1"/>
  <c r="AB336" i="1"/>
  <c r="Y336" i="1"/>
  <c r="AA336" i="1"/>
  <c r="W336" i="1"/>
  <c r="V347" i="1"/>
  <c r="X347" i="1"/>
  <c r="Z347" i="1"/>
  <c r="AB347" i="1"/>
  <c r="W347" i="1"/>
  <c r="Y347" i="1"/>
  <c r="AA347" i="1"/>
  <c r="V346" i="1"/>
  <c r="X346" i="1"/>
  <c r="Z346" i="1"/>
  <c r="AB346" i="1"/>
  <c r="Y346" i="1"/>
  <c r="AA346" i="1"/>
  <c r="W346" i="1"/>
  <c r="V355" i="1"/>
  <c r="X355" i="1"/>
  <c r="Z355" i="1"/>
  <c r="AB355" i="1"/>
  <c r="W355" i="1"/>
  <c r="Y355" i="1"/>
  <c r="AA355" i="1"/>
  <c r="V157" i="1"/>
  <c r="X157" i="1"/>
  <c r="Z157" i="1"/>
  <c r="AB157" i="1"/>
  <c r="Y157" i="1"/>
  <c r="AA157" i="1"/>
  <c r="W157" i="1"/>
  <c r="V151" i="1"/>
  <c r="X151" i="1"/>
  <c r="Z151" i="1"/>
  <c r="AB151" i="1"/>
  <c r="W151" i="1"/>
  <c r="Y151" i="1"/>
  <c r="AA151" i="1"/>
  <c r="V176" i="1"/>
  <c r="X176" i="1"/>
  <c r="Z176" i="1"/>
  <c r="AB176" i="1"/>
  <c r="Y176" i="1"/>
  <c r="AA176" i="1"/>
  <c r="W176" i="1"/>
  <c r="V166" i="1"/>
  <c r="X166" i="1"/>
  <c r="Z166" i="1"/>
  <c r="AB166" i="1"/>
  <c r="Y166" i="1"/>
  <c r="AA166" i="1"/>
  <c r="W166" i="1"/>
  <c r="V97" i="1"/>
  <c r="X97" i="1"/>
  <c r="Z97" i="1"/>
  <c r="AB97" i="1"/>
  <c r="W97" i="1"/>
  <c r="Y97" i="1"/>
  <c r="AA97" i="1"/>
  <c r="V249" i="1"/>
  <c r="X249" i="1"/>
  <c r="Z249" i="1"/>
  <c r="AB249" i="1"/>
  <c r="W249" i="1"/>
  <c r="Y249" i="1"/>
  <c r="AA249" i="1"/>
  <c r="V148" i="1"/>
  <c r="X148" i="1"/>
  <c r="Z148" i="1"/>
  <c r="AB148" i="1"/>
  <c r="W148" i="1"/>
  <c r="Y148" i="1"/>
  <c r="AA148" i="1"/>
  <c r="V200" i="1"/>
  <c r="X200" i="1"/>
  <c r="Z200" i="1"/>
  <c r="AB200" i="1"/>
  <c r="W200" i="1"/>
  <c r="Y200" i="1"/>
  <c r="AA200" i="1"/>
  <c r="V244" i="1"/>
  <c r="X244" i="1"/>
  <c r="Z244" i="1"/>
  <c r="AB244" i="1"/>
  <c r="W244" i="1"/>
  <c r="Y244" i="1"/>
  <c r="AA244" i="1"/>
  <c r="V118" i="1"/>
  <c r="X118" i="1"/>
  <c r="Z118" i="1"/>
  <c r="AB118" i="1"/>
  <c r="W118" i="1"/>
  <c r="Y118" i="1"/>
  <c r="AA118" i="1"/>
  <c r="V204" i="1"/>
  <c r="X204" i="1"/>
  <c r="Z204" i="1"/>
  <c r="AB204" i="1"/>
  <c r="W204" i="1"/>
  <c r="Y204" i="1"/>
  <c r="AA204" i="1"/>
  <c r="V185" i="1"/>
  <c r="X185" i="1"/>
  <c r="Z185" i="1"/>
  <c r="AB185" i="1"/>
  <c r="W185" i="1"/>
  <c r="Y185" i="1"/>
  <c r="AA185" i="1"/>
  <c r="V153" i="1"/>
  <c r="X153" i="1"/>
  <c r="Z153" i="1"/>
  <c r="AB153" i="1"/>
  <c r="W153" i="1"/>
  <c r="Y153" i="1"/>
  <c r="AA153" i="1"/>
  <c r="V144" i="1"/>
  <c r="X144" i="1"/>
  <c r="Z144" i="1"/>
  <c r="AB144" i="1"/>
  <c r="W144" i="1"/>
  <c r="Y144" i="1"/>
  <c r="AA144" i="1"/>
  <c r="V271" i="1"/>
  <c r="X271" i="1"/>
  <c r="Z271" i="1"/>
  <c r="AB271" i="1"/>
  <c r="W271" i="1"/>
  <c r="Y271" i="1"/>
  <c r="AA271" i="1"/>
  <c r="V160" i="1"/>
  <c r="X160" i="1"/>
  <c r="Z160" i="1"/>
  <c r="AB160" i="1"/>
  <c r="W160" i="1"/>
  <c r="Y160" i="1"/>
  <c r="AA160" i="1"/>
  <c r="V314" i="1"/>
  <c r="X314" i="1"/>
  <c r="Z314" i="1"/>
  <c r="AB314" i="1"/>
  <c r="W314" i="1"/>
  <c r="Y314" i="1"/>
  <c r="AA314" i="1"/>
  <c r="V181" i="1"/>
  <c r="X181" i="1"/>
  <c r="Z181" i="1"/>
  <c r="AB181" i="1"/>
  <c r="Y181" i="1"/>
  <c r="W181" i="1"/>
  <c r="AA181" i="1"/>
  <c r="V353" i="1"/>
  <c r="X353" i="1"/>
  <c r="Z353" i="1"/>
  <c r="AB353" i="1"/>
  <c r="W353" i="1"/>
  <c r="Y353" i="1"/>
  <c r="AA353" i="1"/>
  <c r="V199" i="1"/>
  <c r="X199" i="1"/>
  <c r="Z199" i="1"/>
  <c r="AB199" i="1"/>
  <c r="W199" i="1"/>
  <c r="Y199" i="1"/>
  <c r="AA199" i="1"/>
  <c r="V340" i="1"/>
  <c r="X340" i="1"/>
  <c r="Z340" i="1"/>
  <c r="AB340" i="1"/>
  <c r="W340" i="1"/>
  <c r="Y340" i="1"/>
  <c r="AA340" i="1"/>
  <c r="V163" i="1"/>
  <c r="X163" i="1"/>
  <c r="Z163" i="1"/>
  <c r="AB163" i="1"/>
  <c r="W163" i="1"/>
  <c r="Y163" i="1"/>
  <c r="AA163" i="1"/>
  <c r="V174" i="1"/>
  <c r="X174" i="1"/>
  <c r="Z174" i="1"/>
  <c r="AB174" i="1"/>
  <c r="W174" i="1"/>
  <c r="Y174" i="1"/>
  <c r="AA174" i="1"/>
  <c r="V170" i="1"/>
  <c r="X170" i="1"/>
  <c r="Z170" i="1"/>
  <c r="AB170" i="1"/>
  <c r="W170" i="1"/>
  <c r="Y170" i="1"/>
  <c r="AA170" i="1"/>
  <c r="AA152" i="1"/>
  <c r="AA302" i="1"/>
  <c r="Y302" i="1"/>
  <c r="W302" i="1"/>
  <c r="AB302" i="1"/>
  <c r="Z302" i="1"/>
  <c r="X302" i="1"/>
  <c r="V302" i="1"/>
  <c r="AB308" i="1"/>
  <c r="Z308" i="1"/>
  <c r="X308" i="1"/>
  <c r="V308" i="1"/>
  <c r="AA308" i="1"/>
  <c r="Y308" i="1"/>
  <c r="W308" i="1"/>
  <c r="AA335" i="1"/>
  <c r="Y335" i="1"/>
  <c r="W335" i="1"/>
  <c r="AB335" i="1"/>
  <c r="Z335" i="1"/>
  <c r="X335" i="1"/>
  <c r="V335" i="1"/>
  <c r="AA149" i="1"/>
  <c r="Y149" i="1"/>
  <c r="W149" i="1"/>
  <c r="AB149" i="1"/>
  <c r="Z149" i="1"/>
  <c r="X149" i="1"/>
  <c r="V149" i="1"/>
  <c r="AA90" i="1"/>
  <c r="Y90" i="1"/>
  <c r="W90" i="1"/>
  <c r="AB90" i="1"/>
  <c r="Z90" i="1"/>
  <c r="X90" i="1"/>
  <c r="V90" i="1"/>
  <c r="T332" i="1"/>
  <c r="S332" i="1"/>
  <c r="U332" i="1"/>
  <c r="AC332" i="1"/>
  <c r="S133" i="1"/>
  <c r="T133" i="1"/>
  <c r="AD133" i="1" s="1"/>
  <c r="U133" i="1"/>
  <c r="AC133" i="1"/>
  <c r="T288" i="1"/>
  <c r="S288" i="1"/>
  <c r="T287" i="1"/>
  <c r="S287" i="1"/>
  <c r="T284" i="1"/>
  <c r="S284" i="1"/>
  <c r="T283" i="1"/>
  <c r="S283" i="1"/>
  <c r="T282" i="1"/>
  <c r="S282" i="1"/>
  <c r="T281" i="1"/>
  <c r="S281" i="1"/>
  <c r="T280" i="1"/>
  <c r="S280" i="1"/>
  <c r="AD280" i="1" l="1"/>
  <c r="AD281" i="1"/>
  <c r="AD282" i="1"/>
  <c r="AD283" i="1"/>
  <c r="AD284" i="1"/>
  <c r="AD287" i="1"/>
  <c r="AD288" i="1"/>
  <c r="AD332" i="1"/>
  <c r="T279" i="1"/>
  <c r="S279" i="1"/>
  <c r="T278" i="1"/>
  <c r="S278" i="1"/>
  <c r="T277" i="1"/>
  <c r="S277" i="1"/>
  <c r="U289" i="1"/>
  <c r="AC289" i="1"/>
  <c r="U277" i="1"/>
  <c r="AC277" i="1"/>
  <c r="U278" i="1"/>
  <c r="AC278" i="1"/>
  <c r="U279" i="1"/>
  <c r="AC279" i="1"/>
  <c r="U280" i="1"/>
  <c r="AC280" i="1"/>
  <c r="U281" i="1"/>
  <c r="AC281" i="1"/>
  <c r="U282" i="1"/>
  <c r="AC282" i="1"/>
  <c r="U283" i="1"/>
  <c r="AC283" i="1"/>
  <c r="U284" i="1"/>
  <c r="AC284" i="1"/>
  <c r="S285" i="1"/>
  <c r="T285" i="1"/>
  <c r="U285" i="1"/>
  <c r="AC285" i="1"/>
  <c r="S286" i="1"/>
  <c r="T286" i="1"/>
  <c r="U286" i="1"/>
  <c r="AC286" i="1"/>
  <c r="U287" i="1"/>
  <c r="AC287" i="1"/>
  <c r="U288" i="1"/>
  <c r="AC288" i="1"/>
  <c r="T276" i="1"/>
  <c r="S276" i="1"/>
  <c r="T275" i="1"/>
  <c r="S275" i="1"/>
  <c r="T273" i="1"/>
  <c r="S273" i="1"/>
  <c r="T272" i="1"/>
  <c r="S272" i="1"/>
  <c r="T270" i="1"/>
  <c r="S270" i="1"/>
  <c r="T269" i="1"/>
  <c r="S269" i="1"/>
  <c r="U269" i="1"/>
  <c r="AC269" i="1"/>
  <c r="U270" i="1"/>
  <c r="AC270" i="1"/>
  <c r="U272" i="1"/>
  <c r="AC272" i="1"/>
  <c r="U273" i="1"/>
  <c r="AC273" i="1"/>
  <c r="S274" i="1"/>
  <c r="T274" i="1"/>
  <c r="U274" i="1"/>
  <c r="AC274" i="1"/>
  <c r="U275" i="1"/>
  <c r="AC275" i="1"/>
  <c r="U276" i="1"/>
  <c r="AC276" i="1"/>
  <c r="T303" i="1"/>
  <c r="S303" i="1"/>
  <c r="U303" i="1"/>
  <c r="AC303" i="1"/>
  <c r="S198" i="1"/>
  <c r="T198" i="1"/>
  <c r="AD198" i="1" s="1"/>
  <c r="U198" i="1"/>
  <c r="AC198" i="1"/>
  <c r="T297" i="1"/>
  <c r="S297" i="1"/>
  <c r="U297" i="1"/>
  <c r="AC297" i="1"/>
  <c r="S345" i="1"/>
  <c r="T345" i="1"/>
  <c r="U345" i="1"/>
  <c r="AC345" i="1"/>
  <c r="T191" i="1"/>
  <c r="AD191" i="1" s="1"/>
  <c r="T156" i="1"/>
  <c r="AD156" i="1" s="1"/>
  <c r="T173" i="1"/>
  <c r="AD173" i="1" s="1"/>
  <c r="T172" i="1"/>
  <c r="AD172" i="1" s="1"/>
  <c r="T171" i="1"/>
  <c r="AD171" i="1" s="1"/>
  <c r="T115" i="1"/>
  <c r="AD115" i="1" s="1"/>
  <c r="T114" i="1"/>
  <c r="AD114" i="1" s="1"/>
  <c r="S114" i="1"/>
  <c r="S115" i="1"/>
  <c r="T124" i="1"/>
  <c r="AD124" i="1" s="1"/>
  <c r="T126" i="1"/>
  <c r="AD126" i="1" s="1"/>
  <c r="S142" i="1"/>
  <c r="T107" i="1"/>
  <c r="AD107" i="1" s="1"/>
  <c r="S107" i="1"/>
  <c r="T100" i="1"/>
  <c r="AD100" i="1" s="1"/>
  <c r="S100" i="1"/>
  <c r="T105" i="1"/>
  <c r="AD105" i="1" s="1"/>
  <c r="S105" i="1"/>
  <c r="T106" i="1"/>
  <c r="AD106" i="1" s="1"/>
  <c r="S106" i="1"/>
  <c r="T102" i="1"/>
  <c r="AD102" i="1" s="1"/>
  <c r="S102" i="1"/>
  <c r="T101" i="1"/>
  <c r="AD101" i="1" s="1"/>
  <c r="S101" i="1"/>
  <c r="T184" i="1"/>
  <c r="AD184" i="1" s="1"/>
  <c r="S184" i="1"/>
  <c r="S356" i="1"/>
  <c r="T354" i="1"/>
  <c r="T356" i="1"/>
  <c r="S354" i="1"/>
  <c r="T142" i="1"/>
  <c r="AD142" i="1" s="1"/>
  <c r="T91" i="1"/>
  <c r="AD91" i="1" s="1"/>
  <c r="S87" i="1"/>
  <c r="T87" i="1"/>
  <c r="AD87" i="1" s="1"/>
  <c r="S154" i="1"/>
  <c r="T154" i="1"/>
  <c r="AD154" i="1" s="1"/>
  <c r="U154" i="1"/>
  <c r="AC154" i="1"/>
  <c r="T155" i="1"/>
  <c r="AD155" i="1" s="1"/>
  <c r="T152" i="1"/>
  <c r="AD152" i="1" s="1"/>
  <c r="T147" i="1"/>
  <c r="AD147" i="1" s="1"/>
  <c r="T146" i="1"/>
  <c r="AD146" i="1" s="1"/>
  <c r="T145" i="1"/>
  <c r="AD145" i="1" s="1"/>
  <c r="T83" i="1"/>
  <c r="AD83" i="1" s="1"/>
  <c r="S83" i="1"/>
  <c r="T82" i="1"/>
  <c r="AD82" i="1" s="1"/>
  <c r="S78" i="1"/>
  <c r="T128" i="1"/>
  <c r="AD128" i="1" s="1"/>
  <c r="U128" i="1"/>
  <c r="AC128" i="1"/>
  <c r="T94" i="1"/>
  <c r="AD94" i="1" s="1"/>
  <c r="S94" i="1"/>
  <c r="U94" i="1"/>
  <c r="AC94" i="1"/>
  <c r="U301" i="1"/>
  <c r="AC301" i="1"/>
  <c r="T317" i="1"/>
  <c r="S317" i="1"/>
  <c r="U317" i="1"/>
  <c r="AC317" i="1"/>
  <c r="S171" i="1"/>
  <c r="U171" i="1"/>
  <c r="AC171" i="1"/>
  <c r="S172" i="1"/>
  <c r="U172" i="1"/>
  <c r="AC172" i="1"/>
  <c r="T352" i="1"/>
  <c r="T351" i="1"/>
  <c r="T350" i="1"/>
  <c r="S352" i="1"/>
  <c r="S351" i="1"/>
  <c r="S350" i="1"/>
  <c r="U352" i="1"/>
  <c r="AC352" i="1"/>
  <c r="U351" i="1"/>
  <c r="AC351" i="1"/>
  <c r="U350" i="1"/>
  <c r="AC350" i="1"/>
  <c r="AD317" i="1" l="1"/>
  <c r="AD297" i="1"/>
  <c r="AD269" i="1"/>
  <c r="AD270" i="1"/>
  <c r="AD272" i="1"/>
  <c r="AD273" i="1"/>
  <c r="AD275" i="1"/>
  <c r="AD276" i="1"/>
  <c r="AD277" i="1"/>
  <c r="AD278" i="1"/>
  <c r="AD279" i="1"/>
  <c r="AD345" i="1"/>
  <c r="AD303" i="1"/>
  <c r="AD274" i="1"/>
  <c r="AD286" i="1"/>
  <c r="AD285" i="1"/>
  <c r="T260" i="1"/>
  <c r="S260" i="1"/>
  <c r="T259" i="1"/>
  <c r="S259" i="1"/>
  <c r="T245" i="1"/>
  <c r="T232" i="1"/>
  <c r="S232" i="1"/>
  <c r="S136" i="1"/>
  <c r="S132" i="1"/>
  <c r="S103" i="1"/>
  <c r="U259" i="1"/>
  <c r="AC259" i="1"/>
  <c r="U260" i="1"/>
  <c r="AC260" i="1"/>
  <c r="U338" i="1"/>
  <c r="AC338" i="1"/>
  <c r="T328" i="1"/>
  <c r="S328" i="1"/>
  <c r="U328" i="1"/>
  <c r="AC328" i="1"/>
  <c r="T266" i="1"/>
  <c r="S266" i="1"/>
  <c r="U266" i="1"/>
  <c r="AC266" i="1"/>
  <c r="T205" i="1"/>
  <c r="S205" i="1"/>
  <c r="T291" i="1"/>
  <c r="S291" i="1"/>
  <c r="T290" i="1"/>
  <c r="S290" i="1"/>
  <c r="U290" i="1"/>
  <c r="AC290" i="1"/>
  <c r="U291" i="1"/>
  <c r="AC291" i="1"/>
  <c r="U293" i="1"/>
  <c r="AC293" i="1"/>
  <c r="T293" i="1"/>
  <c r="S293" i="1"/>
  <c r="U292" i="1"/>
  <c r="AC292" i="1"/>
  <c r="T292" i="1"/>
  <c r="S292" i="1"/>
  <c r="U242" i="1"/>
  <c r="AC242" i="1"/>
  <c r="T242" i="1"/>
  <c r="S242" i="1"/>
  <c r="S341" i="1"/>
  <c r="T78" i="1"/>
  <c r="AD78" i="1" s="1"/>
  <c r="T341" i="1"/>
  <c r="U341" i="1"/>
  <c r="AC341" i="1"/>
  <c r="U46" i="1"/>
  <c r="T299" i="1"/>
  <c r="S299" i="1"/>
  <c r="U299" i="1"/>
  <c r="AC299" i="1"/>
  <c r="U300" i="1"/>
  <c r="AC300" i="1"/>
  <c r="S38" i="1"/>
  <c r="T38" i="1"/>
  <c r="AD38" i="1" s="1"/>
  <c r="U38" i="1"/>
  <c r="AC38" i="1"/>
  <c r="U39" i="1"/>
  <c r="AC39" i="1"/>
  <c r="U40" i="1"/>
  <c r="AC40" i="1"/>
  <c r="U41" i="1"/>
  <c r="AC41" i="1"/>
  <c r="U42" i="1"/>
  <c r="AC42" i="1"/>
  <c r="U43" i="1"/>
  <c r="AC43" i="1"/>
  <c r="U44" i="1"/>
  <c r="AC44" i="1"/>
  <c r="U45" i="1"/>
  <c r="AC45" i="1"/>
  <c r="AC46" i="1"/>
  <c r="U47" i="1"/>
  <c r="AC47" i="1"/>
  <c r="U48" i="1"/>
  <c r="AC48" i="1"/>
  <c r="U49" i="1"/>
  <c r="AC49" i="1"/>
  <c r="U50" i="1"/>
  <c r="AC50" i="1"/>
  <c r="U51" i="1"/>
  <c r="AC51" i="1"/>
  <c r="U52" i="1"/>
  <c r="AC52" i="1"/>
  <c r="U53" i="1"/>
  <c r="AC53" i="1"/>
  <c r="U54" i="1"/>
  <c r="AC54" i="1"/>
  <c r="U56" i="1"/>
  <c r="AC56" i="1"/>
  <c r="U57" i="1"/>
  <c r="AC57" i="1"/>
  <c r="U58" i="1"/>
  <c r="AC58" i="1"/>
  <c r="U59" i="1"/>
  <c r="AC59" i="1"/>
  <c r="U60" i="1"/>
  <c r="AC60" i="1"/>
  <c r="U61" i="1"/>
  <c r="AC61" i="1"/>
  <c r="U62" i="1"/>
  <c r="AC62" i="1"/>
  <c r="AD299" i="1" l="1"/>
  <c r="AD242" i="1"/>
  <c r="AD292" i="1"/>
  <c r="AD293" i="1"/>
  <c r="AD290" i="1"/>
  <c r="AD291" i="1"/>
  <c r="AD205" i="1"/>
  <c r="AD266" i="1"/>
  <c r="AD232" i="1"/>
  <c r="AD245" i="1"/>
  <c r="AD259" i="1"/>
  <c r="AD260" i="1"/>
  <c r="AD328" i="1"/>
  <c r="U343" i="1"/>
  <c r="AC343" i="1"/>
  <c r="U344" i="1"/>
  <c r="AC344" i="1"/>
  <c r="U254" i="1"/>
  <c r="AC254" i="1"/>
  <c r="U255" i="1"/>
  <c r="AC255" i="1"/>
  <c r="U256" i="1"/>
  <c r="AC256" i="1"/>
  <c r="U257" i="1"/>
  <c r="AC257" i="1"/>
  <c r="U258" i="1"/>
  <c r="AC258" i="1"/>
  <c r="T321" i="1"/>
  <c r="S321" i="1"/>
  <c r="S343" i="1"/>
  <c r="T343" i="1"/>
  <c r="S344" i="1"/>
  <c r="T344" i="1"/>
  <c r="T342" i="1"/>
  <c r="S342" i="1"/>
  <c r="AC232" i="1"/>
  <c r="U232" i="1"/>
  <c r="AC229" i="1"/>
  <c r="U229" i="1"/>
  <c r="T229" i="1"/>
  <c r="AD229" i="1" s="1"/>
  <c r="AC228" i="1"/>
  <c r="U228" i="1"/>
  <c r="S228" i="1"/>
  <c r="AD228" i="1" s="1"/>
  <c r="AC245" i="1"/>
  <c r="U245" i="1"/>
  <c r="T253" i="1"/>
  <c r="T258" i="1"/>
  <c r="T257" i="1"/>
  <c r="S258" i="1"/>
  <c r="S257" i="1"/>
  <c r="S255" i="1"/>
  <c r="T255" i="1"/>
  <c r="T256" i="1"/>
  <c r="S256" i="1"/>
  <c r="T254" i="1"/>
  <c r="S254" i="1"/>
  <c r="S253" i="1"/>
  <c r="S252" i="1"/>
  <c r="T252" i="1"/>
  <c r="U252" i="1"/>
  <c r="AC252" i="1"/>
  <c r="U253" i="1"/>
  <c r="AC253" i="1"/>
  <c r="T34" i="1"/>
  <c r="AD34" i="1" s="1"/>
  <c r="AD257" i="1" l="1"/>
  <c r="AD258" i="1"/>
  <c r="AD342" i="1"/>
  <c r="AD321" i="1"/>
  <c r="AD253" i="1"/>
  <c r="AD252" i="1"/>
  <c r="AD254" i="1"/>
  <c r="AD256" i="1"/>
  <c r="AD344" i="1"/>
  <c r="AD343" i="1"/>
  <c r="AD255" i="1"/>
  <c r="S155" i="1"/>
  <c r="U155" i="1"/>
  <c r="AC155" i="1"/>
  <c r="U354" i="1" l="1"/>
  <c r="AC354" i="1"/>
  <c r="U356" i="1"/>
  <c r="AC356" i="1"/>
  <c r="S180" i="1"/>
  <c r="T180" i="1"/>
  <c r="AD180" i="1" s="1"/>
  <c r="U180" i="1"/>
  <c r="AC180" i="1"/>
  <c r="T95" i="1"/>
  <c r="AD95" i="1" s="1"/>
  <c r="S95" i="1"/>
  <c r="U95" i="1"/>
  <c r="AC95" i="1"/>
  <c r="U358" i="1"/>
  <c r="U357" i="1"/>
  <c r="AC357" i="1"/>
  <c r="V311" i="1" l="1"/>
  <c r="X311" i="1"/>
  <c r="Z311" i="1"/>
  <c r="AB311" i="1"/>
  <c r="W311" i="1"/>
  <c r="Y311" i="1"/>
  <c r="AA311" i="1"/>
  <c r="V310" i="1"/>
  <c r="X310" i="1"/>
  <c r="Z310" i="1"/>
  <c r="AB310" i="1"/>
  <c r="W313" i="1"/>
  <c r="Y313" i="1"/>
  <c r="AA313" i="1"/>
  <c r="W310" i="1"/>
  <c r="Y310" i="1"/>
  <c r="AA310" i="1"/>
  <c r="V313" i="1"/>
  <c r="X313" i="1"/>
  <c r="Z313" i="1"/>
  <c r="AB313" i="1"/>
  <c r="V295" i="1"/>
  <c r="X295" i="1"/>
  <c r="Z295" i="1"/>
  <c r="AB295" i="1"/>
  <c r="W295" i="1"/>
  <c r="Y295" i="1"/>
  <c r="AA295" i="1"/>
  <c r="V296" i="1"/>
  <c r="X296" i="1"/>
  <c r="Z296" i="1"/>
  <c r="AB296" i="1"/>
  <c r="W296" i="1"/>
  <c r="Y296" i="1"/>
  <c r="AA296" i="1"/>
  <c r="V326" i="1"/>
  <c r="X326" i="1"/>
  <c r="Z326" i="1"/>
  <c r="AB326" i="1"/>
  <c r="W326" i="1"/>
  <c r="Y326" i="1"/>
  <c r="AA326" i="1"/>
  <c r="V192" i="1"/>
  <c r="X192" i="1"/>
  <c r="Z192" i="1"/>
  <c r="AB192" i="1"/>
  <c r="W192" i="1"/>
  <c r="Y192" i="1"/>
  <c r="AA192" i="1"/>
  <c r="V339" i="1"/>
  <c r="X339" i="1"/>
  <c r="Z339" i="1"/>
  <c r="AB339" i="1"/>
  <c r="W339" i="1"/>
  <c r="Y339" i="1"/>
  <c r="AA339" i="1"/>
  <c r="V298" i="1"/>
  <c r="X298" i="1"/>
  <c r="Z298" i="1"/>
  <c r="AB298" i="1"/>
  <c r="W298" i="1"/>
  <c r="Y298" i="1"/>
  <c r="AA298" i="1"/>
  <c r="V251" i="1"/>
  <c r="X251" i="1"/>
  <c r="Z251" i="1"/>
  <c r="AB251" i="1"/>
  <c r="W251" i="1"/>
  <c r="Y251" i="1"/>
  <c r="AA251" i="1"/>
  <c r="V233" i="1"/>
  <c r="X233" i="1"/>
  <c r="Z233" i="1"/>
  <c r="AB233" i="1"/>
  <c r="W233" i="1"/>
  <c r="Y233" i="1"/>
  <c r="AA233" i="1"/>
  <c r="V201" i="1"/>
  <c r="X201" i="1"/>
  <c r="Z201" i="1"/>
  <c r="AB201" i="1"/>
  <c r="W201" i="1"/>
  <c r="Y201" i="1"/>
  <c r="AA201" i="1"/>
  <c r="V182" i="1"/>
  <c r="X182" i="1"/>
  <c r="Z182" i="1"/>
  <c r="AB182" i="1"/>
  <c r="W182" i="1"/>
  <c r="Y182" i="1"/>
  <c r="AA182" i="1"/>
  <c r="V329" i="1"/>
  <c r="X329" i="1"/>
  <c r="Z329" i="1"/>
  <c r="AB329" i="1"/>
  <c r="W329" i="1"/>
  <c r="Y329" i="1"/>
  <c r="AA329" i="1"/>
  <c r="V319" i="1"/>
  <c r="X319" i="1"/>
  <c r="Z319" i="1"/>
  <c r="AB319" i="1"/>
  <c r="W319" i="1"/>
  <c r="Y319" i="1"/>
  <c r="AA319" i="1"/>
  <c r="V243" i="1"/>
  <c r="X243" i="1"/>
  <c r="Z243" i="1"/>
  <c r="AB243" i="1"/>
  <c r="W243" i="1"/>
  <c r="Y243" i="1"/>
  <c r="AA243" i="1"/>
  <c r="V175" i="1"/>
  <c r="X175" i="1"/>
  <c r="Z175" i="1"/>
  <c r="AB175" i="1"/>
  <c r="W175" i="1"/>
  <c r="Y175" i="1"/>
  <c r="AA175" i="1"/>
  <c r="V96" i="1"/>
  <c r="X96" i="1"/>
  <c r="Z96" i="1"/>
  <c r="AB96" i="1"/>
  <c r="W99" i="1"/>
  <c r="Y99" i="1"/>
  <c r="AA99" i="1"/>
  <c r="Y96" i="1"/>
  <c r="AA96" i="1"/>
  <c r="V99" i="1"/>
  <c r="X99" i="1"/>
  <c r="Z99" i="1"/>
  <c r="AB99" i="1"/>
  <c r="W96" i="1"/>
  <c r="V230" i="1"/>
  <c r="X230" i="1"/>
  <c r="Z230" i="1"/>
  <c r="AB230" i="1"/>
  <c r="W230" i="1"/>
  <c r="Y230" i="1"/>
  <c r="AA230" i="1"/>
  <c r="V158" i="1"/>
  <c r="X158" i="1"/>
  <c r="Z158" i="1"/>
  <c r="AB158" i="1"/>
  <c r="W158" i="1"/>
  <c r="Y158" i="1"/>
  <c r="AA158" i="1"/>
  <c r="V324" i="1"/>
  <c r="X324" i="1"/>
  <c r="Z324" i="1"/>
  <c r="AB324" i="1"/>
  <c r="W324" i="1"/>
  <c r="Y324" i="1"/>
  <c r="AA324" i="1"/>
  <c r="V74" i="1"/>
  <c r="X74" i="1"/>
  <c r="Z74" i="1"/>
  <c r="AB74" i="1"/>
  <c r="Y74" i="1"/>
  <c r="AA74" i="1"/>
  <c r="W74" i="1"/>
  <c r="V332" i="1"/>
  <c r="X332" i="1"/>
  <c r="Z332" i="1"/>
  <c r="AB332" i="1"/>
  <c r="W332" i="1"/>
  <c r="Y332" i="1"/>
  <c r="AA332" i="1"/>
  <c r="V133" i="1"/>
  <c r="X133" i="1"/>
  <c r="Z133" i="1"/>
  <c r="AB133" i="1"/>
  <c r="Y133" i="1"/>
  <c r="AA133" i="1"/>
  <c r="W133" i="1"/>
  <c r="W289" i="1"/>
  <c r="Y289" i="1"/>
  <c r="AA289" i="1"/>
  <c r="V289" i="1"/>
  <c r="X289" i="1"/>
  <c r="Z289" i="1"/>
  <c r="AB289" i="1"/>
  <c r="V277" i="1"/>
  <c r="X277" i="1"/>
  <c r="Z277" i="1"/>
  <c r="AB277" i="1"/>
  <c r="W278" i="1"/>
  <c r="Y278" i="1"/>
  <c r="AA278" i="1"/>
  <c r="V279" i="1"/>
  <c r="X279" i="1"/>
  <c r="Z279" i="1"/>
  <c r="AB279" i="1"/>
  <c r="W280" i="1"/>
  <c r="Y280" i="1"/>
  <c r="AA280" i="1"/>
  <c r="V281" i="1"/>
  <c r="X281" i="1"/>
  <c r="Z281" i="1"/>
  <c r="AB281" i="1"/>
  <c r="W282" i="1"/>
  <c r="Y282" i="1"/>
  <c r="AA282" i="1"/>
  <c r="V283" i="1"/>
  <c r="X283" i="1"/>
  <c r="Z283" i="1"/>
  <c r="AB283" i="1"/>
  <c r="W284" i="1"/>
  <c r="Y284" i="1"/>
  <c r="AA284" i="1"/>
  <c r="V285" i="1"/>
  <c r="X285" i="1"/>
  <c r="Z285" i="1"/>
  <c r="AB285" i="1"/>
  <c r="W286" i="1"/>
  <c r="Y286" i="1"/>
  <c r="AA286" i="1"/>
  <c r="V287" i="1"/>
  <c r="X287" i="1"/>
  <c r="Z287" i="1"/>
  <c r="AB287" i="1"/>
  <c r="W288" i="1"/>
  <c r="Y288" i="1"/>
  <c r="AA288" i="1"/>
  <c r="W277" i="1"/>
  <c r="Y277" i="1"/>
  <c r="AA277" i="1"/>
  <c r="V278" i="1"/>
  <c r="X278" i="1"/>
  <c r="Z278" i="1"/>
  <c r="AB278" i="1"/>
  <c r="W279" i="1"/>
  <c r="Y279" i="1"/>
  <c r="AA279" i="1"/>
  <c r="V280" i="1"/>
  <c r="X280" i="1"/>
  <c r="Z280" i="1"/>
  <c r="AB280" i="1"/>
  <c r="W281" i="1"/>
  <c r="Y281" i="1"/>
  <c r="AA281" i="1"/>
  <c r="V282" i="1"/>
  <c r="X282" i="1"/>
  <c r="Z282" i="1"/>
  <c r="AB282" i="1"/>
  <c r="W283" i="1"/>
  <c r="Y283" i="1"/>
  <c r="AA283" i="1"/>
  <c r="V284" i="1"/>
  <c r="X284" i="1"/>
  <c r="Z284" i="1"/>
  <c r="AB284" i="1"/>
  <c r="W285" i="1"/>
  <c r="Y285" i="1"/>
  <c r="AA285" i="1"/>
  <c r="V286" i="1"/>
  <c r="X286" i="1"/>
  <c r="Z286" i="1"/>
  <c r="AB286" i="1"/>
  <c r="W287" i="1"/>
  <c r="Y287" i="1"/>
  <c r="AA287" i="1"/>
  <c r="V288" i="1"/>
  <c r="X288" i="1"/>
  <c r="Z288" i="1"/>
  <c r="AB288" i="1"/>
  <c r="V269" i="1"/>
  <c r="X269" i="1"/>
  <c r="Z269" i="1"/>
  <c r="AB269" i="1"/>
  <c r="W270" i="1"/>
  <c r="Y270" i="1"/>
  <c r="AA270" i="1"/>
  <c r="V272" i="1"/>
  <c r="X272" i="1"/>
  <c r="Z272" i="1"/>
  <c r="AB272" i="1"/>
  <c r="W273" i="1"/>
  <c r="Y273" i="1"/>
  <c r="AA273" i="1"/>
  <c r="V274" i="1"/>
  <c r="X274" i="1"/>
  <c r="Z274" i="1"/>
  <c r="AB274" i="1"/>
  <c r="W275" i="1"/>
  <c r="Y275" i="1"/>
  <c r="AA275" i="1"/>
  <c r="V276" i="1"/>
  <c r="X276" i="1"/>
  <c r="Z276" i="1"/>
  <c r="AB276" i="1"/>
  <c r="W269" i="1"/>
  <c r="Y269" i="1"/>
  <c r="AA269" i="1"/>
  <c r="V270" i="1"/>
  <c r="X270" i="1"/>
  <c r="Z270" i="1"/>
  <c r="AB270" i="1"/>
  <c r="W272" i="1"/>
  <c r="Y272" i="1"/>
  <c r="AA272" i="1"/>
  <c r="V273" i="1"/>
  <c r="X273" i="1"/>
  <c r="Z273" i="1"/>
  <c r="AB273" i="1"/>
  <c r="W274" i="1"/>
  <c r="Y274" i="1"/>
  <c r="AA274" i="1"/>
  <c r="V275" i="1"/>
  <c r="X275" i="1"/>
  <c r="Z275" i="1"/>
  <c r="AB275" i="1"/>
  <c r="W276" i="1"/>
  <c r="Y276" i="1"/>
  <c r="AA276" i="1"/>
  <c r="V303" i="1"/>
  <c r="X303" i="1"/>
  <c r="Z303" i="1"/>
  <c r="AB303" i="1"/>
  <c r="W303" i="1"/>
  <c r="Y303" i="1"/>
  <c r="AA303" i="1"/>
  <c r="V198" i="1"/>
  <c r="X198" i="1"/>
  <c r="Z198" i="1"/>
  <c r="AB198" i="1"/>
  <c r="W198" i="1"/>
  <c r="Y198" i="1"/>
  <c r="AA198" i="1"/>
  <c r="V297" i="1"/>
  <c r="X297" i="1"/>
  <c r="Z297" i="1"/>
  <c r="AB297" i="1"/>
  <c r="W297" i="1"/>
  <c r="Y297" i="1"/>
  <c r="AA297" i="1"/>
  <c r="V345" i="1"/>
  <c r="X345" i="1"/>
  <c r="Z345" i="1"/>
  <c r="AB345" i="1"/>
  <c r="W345" i="1"/>
  <c r="Y345" i="1"/>
  <c r="AA345" i="1"/>
  <c r="V154" i="1"/>
  <c r="X154" i="1"/>
  <c r="Z154" i="1"/>
  <c r="AB154" i="1"/>
  <c r="Y154" i="1"/>
  <c r="AA154" i="1"/>
  <c r="W154" i="1"/>
  <c r="V128" i="1"/>
  <c r="X128" i="1"/>
  <c r="Z128" i="1"/>
  <c r="AB128" i="1"/>
  <c r="Y128" i="1"/>
  <c r="AA128" i="1"/>
  <c r="W128" i="1"/>
  <c r="V94" i="1"/>
  <c r="X94" i="1"/>
  <c r="Z94" i="1"/>
  <c r="AB94" i="1"/>
  <c r="W94" i="1"/>
  <c r="Y94" i="1"/>
  <c r="AA94" i="1"/>
  <c r="V301" i="1"/>
  <c r="X301" i="1"/>
  <c r="Z301" i="1"/>
  <c r="AB301" i="1"/>
  <c r="Y301" i="1"/>
  <c r="AA301" i="1"/>
  <c r="W301" i="1"/>
  <c r="V317" i="1"/>
  <c r="X317" i="1"/>
  <c r="Z317" i="1"/>
  <c r="AB317" i="1"/>
  <c r="W317" i="1"/>
  <c r="Y317" i="1"/>
  <c r="AA317" i="1"/>
  <c r="V171" i="1"/>
  <c r="X171" i="1"/>
  <c r="Z171" i="1"/>
  <c r="AB171" i="1"/>
  <c r="W172" i="1"/>
  <c r="Y172" i="1"/>
  <c r="AA172" i="1"/>
  <c r="W171" i="1"/>
  <c r="Y171" i="1"/>
  <c r="AA171" i="1"/>
  <c r="V172" i="1"/>
  <c r="X172" i="1"/>
  <c r="Z172" i="1"/>
  <c r="AB172" i="1"/>
  <c r="V352" i="1"/>
  <c r="X352" i="1"/>
  <c r="Z352" i="1"/>
  <c r="AB352" i="1"/>
  <c r="W352" i="1"/>
  <c r="Y352" i="1"/>
  <c r="AA352" i="1"/>
  <c r="V351" i="1"/>
  <c r="X351" i="1"/>
  <c r="Z351" i="1"/>
  <c r="AB351" i="1"/>
  <c r="W351" i="1"/>
  <c r="Y351" i="1"/>
  <c r="AA351" i="1"/>
  <c r="V350" i="1"/>
  <c r="X350" i="1"/>
  <c r="Z350" i="1"/>
  <c r="AB350" i="1"/>
  <c r="W350" i="1"/>
  <c r="Y350" i="1"/>
  <c r="AA350" i="1"/>
  <c r="V259" i="1"/>
  <c r="X259" i="1"/>
  <c r="Z259" i="1"/>
  <c r="AB259" i="1"/>
  <c r="W260" i="1"/>
  <c r="Y260" i="1"/>
  <c r="AA260" i="1"/>
  <c r="W259" i="1"/>
  <c r="Y259" i="1"/>
  <c r="AA259" i="1"/>
  <c r="V260" i="1"/>
  <c r="X260" i="1"/>
  <c r="Z260" i="1"/>
  <c r="AB260" i="1"/>
  <c r="V338" i="1"/>
  <c r="X338" i="1"/>
  <c r="Z338" i="1"/>
  <c r="AB338" i="1"/>
  <c r="W338" i="1"/>
  <c r="Y338" i="1"/>
  <c r="AA338" i="1"/>
  <c r="V328" i="1"/>
  <c r="X328" i="1"/>
  <c r="Z328" i="1"/>
  <c r="AB328" i="1"/>
  <c r="W328" i="1"/>
  <c r="Y328" i="1"/>
  <c r="AA328" i="1"/>
  <c r="V266" i="1"/>
  <c r="X266" i="1"/>
  <c r="Z266" i="1"/>
  <c r="AB266" i="1"/>
  <c r="W266" i="1"/>
  <c r="Y266" i="1"/>
  <c r="AA266" i="1"/>
  <c r="V290" i="1"/>
  <c r="X290" i="1"/>
  <c r="Z290" i="1"/>
  <c r="AB290" i="1"/>
  <c r="W291" i="1"/>
  <c r="Y291" i="1"/>
  <c r="AA291" i="1"/>
  <c r="W290" i="1"/>
  <c r="Y290" i="1"/>
  <c r="AA290" i="1"/>
  <c r="V291" i="1"/>
  <c r="X291" i="1"/>
  <c r="Z291" i="1"/>
  <c r="AB291" i="1"/>
  <c r="V293" i="1"/>
  <c r="X293" i="1"/>
  <c r="Z293" i="1"/>
  <c r="AB293" i="1"/>
  <c r="W292" i="1"/>
  <c r="Y292" i="1"/>
  <c r="AA292" i="1"/>
  <c r="W293" i="1"/>
  <c r="Y293" i="1"/>
  <c r="AA293" i="1"/>
  <c r="V292" i="1"/>
  <c r="X292" i="1"/>
  <c r="Z292" i="1"/>
  <c r="AB292" i="1"/>
  <c r="V242" i="1"/>
  <c r="X242" i="1"/>
  <c r="Z242" i="1"/>
  <c r="AB242" i="1"/>
  <c r="W242" i="1"/>
  <c r="Y242" i="1"/>
  <c r="AA242" i="1"/>
  <c r="V341" i="1"/>
  <c r="X341" i="1"/>
  <c r="Z341" i="1"/>
  <c r="AB341" i="1"/>
  <c r="W341" i="1"/>
  <c r="Y341" i="1"/>
  <c r="AA341" i="1"/>
  <c r="V299" i="1"/>
  <c r="X299" i="1"/>
  <c r="Z299" i="1"/>
  <c r="AB299" i="1"/>
  <c r="W300" i="1"/>
  <c r="Y300" i="1"/>
  <c r="AA300" i="1"/>
  <c r="W299" i="1"/>
  <c r="Y299" i="1"/>
  <c r="AA299" i="1"/>
  <c r="V300" i="1"/>
  <c r="X300" i="1"/>
  <c r="Z300" i="1"/>
  <c r="AB300" i="1"/>
  <c r="W38" i="1"/>
  <c r="Y38" i="1"/>
  <c r="AA38" i="1"/>
  <c r="V39" i="1"/>
  <c r="X39" i="1"/>
  <c r="Z39" i="1"/>
  <c r="AB39" i="1"/>
  <c r="W40" i="1"/>
  <c r="Y40" i="1"/>
  <c r="AA40" i="1"/>
  <c r="V41" i="1"/>
  <c r="X41" i="1"/>
  <c r="Z41" i="1"/>
  <c r="AB41" i="1"/>
  <c r="W42" i="1"/>
  <c r="Y42" i="1"/>
  <c r="AA42" i="1"/>
  <c r="V43" i="1"/>
  <c r="X43" i="1"/>
  <c r="Z43" i="1"/>
  <c r="AB43" i="1"/>
  <c r="W44" i="1"/>
  <c r="Y44" i="1"/>
  <c r="AA44" i="1"/>
  <c r="V45" i="1"/>
  <c r="X45" i="1"/>
  <c r="Z45" i="1"/>
  <c r="AB45" i="1"/>
  <c r="W46" i="1"/>
  <c r="Y46" i="1"/>
  <c r="AA46" i="1"/>
  <c r="V47" i="1"/>
  <c r="X47" i="1"/>
  <c r="Z47" i="1"/>
  <c r="AB47" i="1"/>
  <c r="W48" i="1"/>
  <c r="Y48" i="1"/>
  <c r="AA48" i="1"/>
  <c r="V49" i="1"/>
  <c r="X49" i="1"/>
  <c r="Z49" i="1"/>
  <c r="AB49" i="1"/>
  <c r="W50" i="1"/>
  <c r="Y50" i="1"/>
  <c r="AA50" i="1"/>
  <c r="V51" i="1"/>
  <c r="X51" i="1"/>
  <c r="Z51" i="1"/>
  <c r="AB51" i="1"/>
  <c r="W52" i="1"/>
  <c r="Y52" i="1"/>
  <c r="AA52" i="1"/>
  <c r="V53" i="1"/>
  <c r="X53" i="1"/>
  <c r="Z53" i="1"/>
  <c r="AB53" i="1"/>
  <c r="W54" i="1"/>
  <c r="Y54" i="1"/>
  <c r="AA54" i="1"/>
  <c r="V56" i="1"/>
  <c r="X56" i="1"/>
  <c r="Z56" i="1"/>
  <c r="AB56" i="1"/>
  <c r="W57" i="1"/>
  <c r="Y57" i="1"/>
  <c r="AA57" i="1"/>
  <c r="V58" i="1"/>
  <c r="X58" i="1"/>
  <c r="Z58" i="1"/>
  <c r="AB58" i="1"/>
  <c r="W59" i="1"/>
  <c r="Y59" i="1"/>
  <c r="AA59" i="1"/>
  <c r="V60" i="1"/>
  <c r="X60" i="1"/>
  <c r="Z60" i="1"/>
  <c r="AB60" i="1"/>
  <c r="W61" i="1"/>
  <c r="Y61" i="1"/>
  <c r="AA61" i="1"/>
  <c r="V62" i="1"/>
  <c r="X62" i="1"/>
  <c r="Z62" i="1"/>
  <c r="AB62" i="1"/>
  <c r="V38" i="1"/>
  <c r="X38" i="1"/>
  <c r="Z38" i="1"/>
  <c r="AB38" i="1"/>
  <c r="W39" i="1"/>
  <c r="Y39" i="1"/>
  <c r="AA39" i="1"/>
  <c r="V40" i="1"/>
  <c r="X40" i="1"/>
  <c r="Z40" i="1"/>
  <c r="AB40" i="1"/>
  <c r="W41" i="1"/>
  <c r="Y41" i="1"/>
  <c r="AA41" i="1"/>
  <c r="V42" i="1"/>
  <c r="X42" i="1"/>
  <c r="Z42" i="1"/>
  <c r="AB42" i="1"/>
  <c r="W43" i="1"/>
  <c r="Y43" i="1"/>
  <c r="AA43" i="1"/>
  <c r="V44" i="1"/>
  <c r="X44" i="1"/>
  <c r="Z44" i="1"/>
  <c r="AB44" i="1"/>
  <c r="W45" i="1"/>
  <c r="Y45" i="1"/>
  <c r="AA45" i="1"/>
  <c r="V46" i="1"/>
  <c r="X46" i="1"/>
  <c r="Z46" i="1"/>
  <c r="AB46" i="1"/>
  <c r="W47" i="1"/>
  <c r="Y47" i="1"/>
  <c r="AA47" i="1"/>
  <c r="V48" i="1"/>
  <c r="X48" i="1"/>
  <c r="Z48" i="1"/>
  <c r="AB48" i="1"/>
  <c r="W49" i="1"/>
  <c r="Y49" i="1"/>
  <c r="AA49" i="1"/>
  <c r="V50" i="1"/>
  <c r="X50" i="1"/>
  <c r="Z50" i="1"/>
  <c r="AB50" i="1"/>
  <c r="W51" i="1"/>
  <c r="Y51" i="1"/>
  <c r="AA51" i="1"/>
  <c r="V52" i="1"/>
  <c r="X52" i="1"/>
  <c r="Z52" i="1"/>
  <c r="AB52" i="1"/>
  <c r="W53" i="1"/>
  <c r="Y53" i="1"/>
  <c r="AA53" i="1"/>
  <c r="V54" i="1"/>
  <c r="X54" i="1"/>
  <c r="Z54" i="1"/>
  <c r="AB54" i="1"/>
  <c r="W56" i="1"/>
  <c r="Y56" i="1"/>
  <c r="AA56" i="1"/>
  <c r="V57" i="1"/>
  <c r="X57" i="1"/>
  <c r="Z57" i="1"/>
  <c r="AB57" i="1"/>
  <c r="W58" i="1"/>
  <c r="Y58" i="1"/>
  <c r="AA58" i="1"/>
  <c r="V59" i="1"/>
  <c r="X59" i="1"/>
  <c r="Z59" i="1"/>
  <c r="AB59" i="1"/>
  <c r="W60" i="1"/>
  <c r="Y60" i="1"/>
  <c r="AA60" i="1"/>
  <c r="V61" i="1"/>
  <c r="X61" i="1"/>
  <c r="Z61" i="1"/>
  <c r="AB61" i="1"/>
  <c r="W62" i="1"/>
  <c r="Y62" i="1"/>
  <c r="AA62" i="1"/>
  <c r="V343" i="1"/>
  <c r="X343" i="1"/>
  <c r="Z343" i="1"/>
  <c r="AB343" i="1"/>
  <c r="W344" i="1"/>
  <c r="Y344" i="1"/>
  <c r="AA344" i="1"/>
  <c r="V254" i="1"/>
  <c r="X254" i="1"/>
  <c r="Z254" i="1"/>
  <c r="AB254" i="1"/>
  <c r="W255" i="1"/>
  <c r="Y255" i="1"/>
  <c r="AA255" i="1"/>
  <c r="V256" i="1"/>
  <c r="X256" i="1"/>
  <c r="Z256" i="1"/>
  <c r="AB256" i="1"/>
  <c r="W257" i="1"/>
  <c r="Y257" i="1"/>
  <c r="AA257" i="1"/>
  <c r="V258" i="1"/>
  <c r="X258" i="1"/>
  <c r="Z258" i="1"/>
  <c r="AB258" i="1"/>
  <c r="W343" i="1"/>
  <c r="Y343" i="1"/>
  <c r="AA343" i="1"/>
  <c r="V344" i="1"/>
  <c r="X344" i="1"/>
  <c r="Z344" i="1"/>
  <c r="AB344" i="1"/>
  <c r="W254" i="1"/>
  <c r="Y254" i="1"/>
  <c r="AA254" i="1"/>
  <c r="V255" i="1"/>
  <c r="X255" i="1"/>
  <c r="Z255" i="1"/>
  <c r="AB255" i="1"/>
  <c r="W256" i="1"/>
  <c r="Y256" i="1"/>
  <c r="AA256" i="1"/>
  <c r="V257" i="1"/>
  <c r="X257" i="1"/>
  <c r="Z257" i="1"/>
  <c r="AB257" i="1"/>
  <c r="W258" i="1"/>
  <c r="Y258" i="1"/>
  <c r="AA258" i="1"/>
  <c r="AB232" i="1"/>
  <c r="Z232" i="1"/>
  <c r="X232" i="1"/>
  <c r="V232" i="1"/>
  <c r="AA232" i="1"/>
  <c r="Y232" i="1"/>
  <c r="W232" i="1"/>
  <c r="AB229" i="1"/>
  <c r="Z229" i="1"/>
  <c r="X229" i="1"/>
  <c r="V229" i="1"/>
  <c r="AA228" i="1"/>
  <c r="Y228" i="1"/>
  <c r="W228" i="1"/>
  <c r="AA229" i="1"/>
  <c r="Y229" i="1"/>
  <c r="W229" i="1"/>
  <c r="AB228" i="1"/>
  <c r="Z228" i="1"/>
  <c r="X228" i="1"/>
  <c r="V228" i="1"/>
  <c r="AB245" i="1"/>
  <c r="Z245" i="1"/>
  <c r="X245" i="1"/>
  <c r="V245" i="1"/>
  <c r="Y245" i="1"/>
  <c r="W245" i="1"/>
  <c r="AA245" i="1"/>
  <c r="V252" i="1"/>
  <c r="X252" i="1"/>
  <c r="Z252" i="1"/>
  <c r="AB252" i="1"/>
  <c r="W253" i="1"/>
  <c r="Y253" i="1"/>
  <c r="AA253" i="1"/>
  <c r="Y252" i="1"/>
  <c r="AA252" i="1"/>
  <c r="V253" i="1"/>
  <c r="X253" i="1"/>
  <c r="Z253" i="1"/>
  <c r="AB253" i="1"/>
  <c r="W252" i="1"/>
  <c r="Y155" i="1"/>
  <c r="V155" i="1"/>
  <c r="X155" i="1"/>
  <c r="Z155" i="1"/>
  <c r="AB155" i="1"/>
  <c r="W155" i="1"/>
  <c r="AA155" i="1"/>
  <c r="V354" i="1"/>
  <c r="X354" i="1"/>
  <c r="Z354" i="1"/>
  <c r="AB354" i="1"/>
  <c r="W356" i="1"/>
  <c r="Y356" i="1"/>
  <c r="AA356" i="1"/>
  <c r="W354" i="1"/>
  <c r="Y354" i="1"/>
  <c r="AA354" i="1"/>
  <c r="V356" i="1"/>
  <c r="X356" i="1"/>
  <c r="Z356" i="1"/>
  <c r="AB356" i="1"/>
  <c r="T136" i="1"/>
  <c r="AD136" i="1" s="1"/>
  <c r="U136" i="1"/>
  <c r="AC136" i="1"/>
  <c r="U107" i="1"/>
  <c r="AC107" i="1"/>
  <c r="T88" i="1"/>
  <c r="AD88" i="1" s="1"/>
  <c r="S88" i="1"/>
  <c r="U88" i="1"/>
  <c r="AC88" i="1"/>
  <c r="U134" i="1" l="1"/>
  <c r="AC134" i="1"/>
  <c r="S134" i="1"/>
  <c r="T134" i="1"/>
  <c r="AD134" i="1" s="1"/>
  <c r="T131" i="1" l="1"/>
  <c r="AD131" i="1" s="1"/>
  <c r="S131" i="1"/>
  <c r="U195" i="1"/>
  <c r="AC195" i="1"/>
  <c r="U196" i="1"/>
  <c r="AC196" i="1"/>
  <c r="S195" i="1"/>
  <c r="T195" i="1"/>
  <c r="AD195" i="1" s="1"/>
  <c r="S196" i="1"/>
  <c r="T196" i="1"/>
  <c r="AD196" i="1" s="1"/>
  <c r="S261" i="1"/>
  <c r="T261" i="1"/>
  <c r="S263" i="1"/>
  <c r="T263" i="1"/>
  <c r="U261" i="1"/>
  <c r="AC261" i="1"/>
  <c r="U263" i="1"/>
  <c r="AC263" i="1"/>
  <c r="S190" i="1"/>
  <c r="T190" i="1"/>
  <c r="AD190" i="1" s="1"/>
  <c r="U190" i="1"/>
  <c r="AC190" i="1"/>
  <c r="S37" i="1"/>
  <c r="T37" i="1"/>
  <c r="AD37" i="1" s="1"/>
  <c r="S36" i="1"/>
  <c r="T36" i="1"/>
  <c r="AD36" i="1" s="1"/>
  <c r="U36" i="1"/>
  <c r="AC36" i="1"/>
  <c r="U37" i="1"/>
  <c r="AC37" i="1"/>
  <c r="T268" i="1"/>
  <c r="S268" i="1"/>
  <c r="T265" i="1"/>
  <c r="S265" i="1"/>
  <c r="U265" i="1"/>
  <c r="AC265" i="1"/>
  <c r="U268" i="1"/>
  <c r="AC268" i="1"/>
  <c r="AD265" i="1" l="1"/>
  <c r="AD268" i="1"/>
  <c r="AD263" i="1"/>
  <c r="AD261" i="1"/>
  <c r="U235" i="1"/>
  <c r="AC235" i="1"/>
  <c r="S360" i="1"/>
  <c r="U348" i="1"/>
  <c r="AC348" i="1"/>
  <c r="T360" i="1"/>
  <c r="T358" i="1"/>
  <c r="S358" i="1"/>
  <c r="S359" i="1"/>
  <c r="AC358" i="1"/>
  <c r="T359" i="1"/>
  <c r="U359" i="1"/>
  <c r="AC359" i="1"/>
  <c r="AD360" i="1" l="1"/>
  <c r="AD358" i="1"/>
  <c r="AD359" i="1"/>
  <c r="T132" i="1"/>
  <c r="AD132" i="1" s="1"/>
  <c r="T186" i="1"/>
  <c r="AD186" i="1" s="1"/>
  <c r="S186" i="1"/>
  <c r="T189" i="1"/>
  <c r="AD189" i="1" s="1"/>
  <c r="T188" i="1"/>
  <c r="AD188" i="1" s="1"/>
  <c r="T187" i="1"/>
  <c r="AD187" i="1" s="1"/>
  <c r="S187" i="1"/>
  <c r="S188" i="1"/>
  <c r="S189" i="1"/>
  <c r="S191" i="1"/>
  <c r="S35" i="1"/>
  <c r="T35" i="1"/>
  <c r="AD35" i="1" s="1"/>
  <c r="S34" i="1"/>
  <c r="T103" i="1"/>
  <c r="AD103" i="1" s="1"/>
  <c r="U349" i="1"/>
  <c r="AC349" i="1"/>
  <c r="U93" i="1"/>
  <c r="AC93" i="1"/>
  <c r="S156" i="1"/>
  <c r="U156" i="1"/>
  <c r="AC156" i="1"/>
  <c r="U92" i="1"/>
  <c r="AC92" i="1"/>
  <c r="U81" i="1"/>
  <c r="AC81" i="1"/>
  <c r="U87" i="1"/>
  <c r="AC87" i="1"/>
  <c r="U70" i="1"/>
  <c r="AC70" i="1"/>
  <c r="U69" i="1"/>
  <c r="AC69" i="1"/>
  <c r="U68" i="1"/>
  <c r="AC68" i="1"/>
  <c r="U85" i="1"/>
  <c r="AC85" i="1"/>
  <c r="U84" i="1"/>
  <c r="AC84" i="1"/>
  <c r="T79" i="1"/>
  <c r="AD79" i="1" s="1"/>
  <c r="U79" i="1"/>
  <c r="AC79" i="1"/>
  <c r="S79" i="1"/>
  <c r="S77" i="1"/>
  <c r="T77" i="1"/>
  <c r="AD77" i="1" s="1"/>
  <c r="U77" i="1"/>
  <c r="AC77" i="1"/>
  <c r="S64" i="1"/>
  <c r="T64" i="1"/>
  <c r="AD64" i="1" s="1"/>
  <c r="U64" i="1"/>
  <c r="AC64" i="1"/>
  <c r="T250" i="1"/>
  <c r="S250" i="1"/>
  <c r="T248" i="1"/>
  <c r="S248" i="1"/>
  <c r="S210" i="1"/>
  <c r="T241" i="1"/>
  <c r="S241" i="1"/>
  <c r="T240" i="1"/>
  <c r="S240" i="1"/>
  <c r="T239" i="1"/>
  <c r="S239" i="1"/>
  <c r="T237" i="1"/>
  <c r="S237" i="1"/>
  <c r="T236" i="1"/>
  <c r="S236" i="1"/>
  <c r="S227" i="1"/>
  <c r="T227" i="1"/>
  <c r="S238" i="1"/>
  <c r="T238" i="1"/>
  <c r="S226" i="1"/>
  <c r="T226" i="1"/>
  <c r="S217" i="1"/>
  <c r="T217" i="1"/>
  <c r="S212" i="1"/>
  <c r="T212" i="1"/>
  <c r="T211" i="1"/>
  <c r="S211" i="1"/>
  <c r="T210" i="1"/>
  <c r="S197" i="1"/>
  <c r="T206" i="1"/>
  <c r="AD206" i="1" s="1"/>
  <c r="T197" i="1"/>
  <c r="AD197" i="1" s="1"/>
  <c r="S173" i="1"/>
  <c r="S152" i="1"/>
  <c r="S147" i="1"/>
  <c r="S146" i="1"/>
  <c r="S145" i="1"/>
  <c r="S165" i="1"/>
  <c r="S164" i="1"/>
  <c r="S122" i="1"/>
  <c r="T122" i="1"/>
  <c r="AD122" i="1" s="1"/>
  <c r="S126" i="1"/>
  <c r="S124" i="1"/>
  <c r="S117" i="1"/>
  <c r="T117" i="1"/>
  <c r="AD117" i="1" s="1"/>
  <c r="S119" i="1"/>
  <c r="T119" i="1"/>
  <c r="AD119" i="1" s="1"/>
  <c r="S120" i="1"/>
  <c r="T120" i="1"/>
  <c r="AD120" i="1" s="1"/>
  <c r="S121" i="1"/>
  <c r="T121" i="1"/>
  <c r="AD121" i="1" s="1"/>
  <c r="T116" i="1"/>
  <c r="AD116" i="1" s="1"/>
  <c r="S116" i="1"/>
  <c r="T111" i="1"/>
  <c r="AD111" i="1" s="1"/>
  <c r="T110" i="1"/>
  <c r="AD110" i="1" s="1"/>
  <c r="S110" i="1"/>
  <c r="S91" i="1"/>
  <c r="T89" i="1"/>
  <c r="AD89" i="1" s="1"/>
  <c r="S89" i="1"/>
  <c r="S82" i="1"/>
  <c r="T80" i="1"/>
  <c r="AD80" i="1" s="1"/>
  <c r="S80" i="1"/>
  <c r="T76" i="1"/>
  <c r="AD76" i="1" s="1"/>
  <c r="S76" i="1"/>
  <c r="T75" i="1"/>
  <c r="AD75" i="1" s="1"/>
  <c r="T73" i="1"/>
  <c r="AD73" i="1" s="1"/>
  <c r="S73" i="1"/>
  <c r="S71" i="1"/>
  <c r="T70" i="1"/>
  <c r="AD70" i="1" s="1"/>
  <c r="S70" i="1"/>
  <c r="T67" i="1"/>
  <c r="AD67" i="1" s="1"/>
  <c r="S66" i="1"/>
  <c r="S67" i="1"/>
  <c r="S75" i="1"/>
  <c r="S111" i="1"/>
  <c r="S63" i="1"/>
  <c r="T63" i="1"/>
  <c r="AD63" i="1" s="1"/>
  <c r="Y4" i="1" l="1"/>
  <c r="X4" i="1"/>
  <c r="AD212" i="1"/>
  <c r="AD217" i="1"/>
  <c r="AD224" i="1"/>
  <c r="AD226" i="1"/>
  <c r="AD238" i="1"/>
  <c r="AD248" i="1"/>
  <c r="AD250" i="1"/>
  <c r="AD236" i="1"/>
  <c r="AD227" i="1"/>
  <c r="AD211" i="1"/>
  <c r="AD216" i="1"/>
  <c r="AD237" i="1"/>
  <c r="AD239" i="1"/>
  <c r="AD240" i="1"/>
  <c r="AD241" i="1"/>
  <c r="AD210" i="1"/>
  <c r="U35" i="1"/>
  <c r="U63" i="1"/>
  <c r="U66" i="1"/>
  <c r="U67" i="1"/>
  <c r="U71" i="1"/>
  <c r="U72" i="1"/>
  <c r="U73" i="1"/>
  <c r="U75" i="1"/>
  <c r="U76" i="1"/>
  <c r="U78" i="1"/>
  <c r="U80" i="1"/>
  <c r="U82" i="1"/>
  <c r="U83" i="1"/>
  <c r="U89" i="1"/>
  <c r="U91" i="1"/>
  <c r="U100" i="1"/>
  <c r="U101" i="1"/>
  <c r="U102" i="1"/>
  <c r="U103" i="1"/>
  <c r="U105" i="1"/>
  <c r="U106" i="1"/>
  <c r="U108" i="1"/>
  <c r="U109" i="1"/>
  <c r="U110" i="1"/>
  <c r="U111" i="1"/>
  <c r="U114" i="1"/>
  <c r="U115" i="1"/>
  <c r="U116" i="1"/>
  <c r="U117" i="1"/>
  <c r="U119" i="1"/>
  <c r="U120" i="1"/>
  <c r="U121" i="1"/>
  <c r="U124" i="1"/>
  <c r="U126" i="1"/>
  <c r="U122" i="1"/>
  <c r="U129" i="1"/>
  <c r="U130" i="1"/>
  <c r="U131" i="1"/>
  <c r="U104" i="1"/>
  <c r="U125" i="1"/>
  <c r="U164" i="1"/>
  <c r="U165" i="1"/>
  <c r="U142" i="1"/>
  <c r="U145" i="1"/>
  <c r="U146" i="1"/>
  <c r="U147" i="1"/>
  <c r="U152" i="1"/>
  <c r="U132" i="1"/>
  <c r="U173" i="1"/>
  <c r="U184" i="1"/>
  <c r="U186" i="1"/>
  <c r="U187" i="1"/>
  <c r="U188" i="1"/>
  <c r="U189" i="1"/>
  <c r="U191" i="1"/>
  <c r="U197" i="1"/>
  <c r="U202" i="1"/>
  <c r="U203" i="1"/>
  <c r="U205" i="1"/>
  <c r="U206" i="1"/>
  <c r="U209" i="1"/>
  <c r="U210" i="1"/>
  <c r="U211" i="1"/>
  <c r="U212" i="1"/>
  <c r="U216" i="1"/>
  <c r="U217" i="1"/>
  <c r="U224" i="1"/>
  <c r="U226" i="1"/>
  <c r="U227" i="1"/>
  <c r="U236" i="1"/>
  <c r="U237" i="1"/>
  <c r="U238" i="1"/>
  <c r="U239" i="1"/>
  <c r="U240" i="1"/>
  <c r="U241" i="1"/>
  <c r="U248" i="1"/>
  <c r="U250" i="1"/>
  <c r="U321" i="1"/>
  <c r="U342" i="1"/>
  <c r="U360" i="1"/>
  <c r="U34" i="1"/>
  <c r="AC35" i="1"/>
  <c r="AC63" i="1"/>
  <c r="AC65" i="1"/>
  <c r="AC66" i="1"/>
  <c r="AC67" i="1"/>
  <c r="AC71" i="1"/>
  <c r="AC72" i="1"/>
  <c r="AC73" i="1"/>
  <c r="AC75" i="1"/>
  <c r="AC76" i="1"/>
  <c r="AC78" i="1"/>
  <c r="AC80" i="1"/>
  <c r="AC82" i="1"/>
  <c r="AC83" i="1"/>
  <c r="AC89" i="1"/>
  <c r="AC91" i="1"/>
  <c r="AC100" i="1"/>
  <c r="AC101" i="1"/>
  <c r="AC102" i="1"/>
  <c r="AC103" i="1"/>
  <c r="AC105" i="1"/>
  <c r="AC106" i="1"/>
  <c r="AC108" i="1"/>
  <c r="AC109" i="1"/>
  <c r="AC110" i="1"/>
  <c r="AC111" i="1"/>
  <c r="AC114" i="1"/>
  <c r="AC115" i="1"/>
  <c r="AC116" i="1"/>
  <c r="AC117" i="1"/>
  <c r="AC119" i="1"/>
  <c r="AC120" i="1"/>
  <c r="AC121" i="1"/>
  <c r="AC124" i="1"/>
  <c r="AC126" i="1"/>
  <c r="AC122" i="1"/>
  <c r="AC129" i="1"/>
  <c r="AC130" i="1"/>
  <c r="AC131" i="1"/>
  <c r="AC104" i="1"/>
  <c r="AC125" i="1"/>
  <c r="AC164" i="1"/>
  <c r="AC165" i="1"/>
  <c r="AC142" i="1"/>
  <c r="AC145" i="1"/>
  <c r="AC146" i="1"/>
  <c r="AC147" i="1"/>
  <c r="AC152" i="1"/>
  <c r="AC132" i="1"/>
  <c r="AC173" i="1"/>
  <c r="AC184" i="1"/>
  <c r="AC186" i="1"/>
  <c r="AC187" i="1"/>
  <c r="AC188" i="1"/>
  <c r="AC189" i="1"/>
  <c r="AC191" i="1"/>
  <c r="AC197" i="1"/>
  <c r="AC202" i="1"/>
  <c r="AC203" i="1"/>
  <c r="AC205" i="1"/>
  <c r="AC206" i="1"/>
  <c r="AC209" i="1"/>
  <c r="AC210" i="1"/>
  <c r="AC211" i="1"/>
  <c r="AC212" i="1"/>
  <c r="AC216" i="1"/>
  <c r="AC217" i="1"/>
  <c r="AC224" i="1"/>
  <c r="AC226" i="1"/>
  <c r="AC227" i="1"/>
  <c r="AC236" i="1"/>
  <c r="AC237" i="1"/>
  <c r="AC238" i="1"/>
  <c r="AC239" i="1"/>
  <c r="AC240" i="1"/>
  <c r="AC241" i="1"/>
  <c r="AC248" i="1"/>
  <c r="AC250" i="1"/>
  <c r="AC321" i="1"/>
  <c r="AC342" i="1"/>
  <c r="AC360" i="1"/>
  <c r="AC34" i="1"/>
  <c r="V4" i="1" l="1"/>
  <c r="AC361" i="1"/>
  <c r="U361" i="1"/>
  <c r="U2" i="1" s="1"/>
  <c r="V180" i="1"/>
  <c r="X180" i="1"/>
  <c r="Z180" i="1"/>
  <c r="AB180" i="1"/>
  <c r="W95" i="1"/>
  <c r="Y95" i="1"/>
  <c r="AA95" i="1"/>
  <c r="W180" i="1"/>
  <c r="Y180" i="1"/>
  <c r="AA180" i="1"/>
  <c r="V95" i="1"/>
  <c r="X95" i="1"/>
  <c r="Z95" i="1"/>
  <c r="AB95" i="1"/>
  <c r="W357" i="1"/>
  <c r="Y357" i="1"/>
  <c r="AA357" i="1"/>
  <c r="V357" i="1"/>
  <c r="X357" i="1"/>
  <c r="Z357" i="1"/>
  <c r="AB357" i="1"/>
  <c r="W136" i="1"/>
  <c r="V136" i="1"/>
  <c r="X136" i="1"/>
  <c r="Z136" i="1"/>
  <c r="AB136" i="1"/>
  <c r="W107" i="1"/>
  <c r="Y107" i="1"/>
  <c r="AA107" i="1"/>
  <c r="V88" i="1"/>
  <c r="X88" i="1"/>
  <c r="Z88" i="1"/>
  <c r="AB88" i="1"/>
  <c r="Y136" i="1"/>
  <c r="AA136" i="1"/>
  <c r="V107" i="1"/>
  <c r="X107" i="1"/>
  <c r="Z107" i="1"/>
  <c r="AB107" i="1"/>
  <c r="W88" i="1"/>
  <c r="Y88" i="1"/>
  <c r="AA88" i="1"/>
  <c r="V134" i="1"/>
  <c r="X134" i="1"/>
  <c r="Z134" i="1"/>
  <c r="AB134" i="1"/>
  <c r="Y134" i="1"/>
  <c r="AA134" i="1"/>
  <c r="W134" i="1"/>
  <c r="V195" i="1"/>
  <c r="X195" i="1"/>
  <c r="Z195" i="1"/>
  <c r="AB195" i="1"/>
  <c r="W196" i="1"/>
  <c r="Y196" i="1"/>
  <c r="AA196" i="1"/>
  <c r="W195" i="1"/>
  <c r="Y195" i="1"/>
  <c r="AA195" i="1"/>
  <c r="V196" i="1"/>
  <c r="X196" i="1"/>
  <c r="Z196" i="1"/>
  <c r="AB196" i="1"/>
  <c r="V261" i="1"/>
  <c r="X261" i="1"/>
  <c r="Z261" i="1"/>
  <c r="AB261" i="1"/>
  <c r="W263" i="1"/>
  <c r="Y263" i="1"/>
  <c r="AA263" i="1"/>
  <c r="W261" i="1"/>
  <c r="Y261" i="1"/>
  <c r="AA261" i="1"/>
  <c r="V263" i="1"/>
  <c r="X263" i="1"/>
  <c r="Z263" i="1"/>
  <c r="AB263" i="1"/>
  <c r="V190" i="1"/>
  <c r="X190" i="1"/>
  <c r="Z190" i="1"/>
  <c r="AB190" i="1"/>
  <c r="W190" i="1"/>
  <c r="Y190" i="1"/>
  <c r="AA190" i="1"/>
  <c r="W36" i="1"/>
  <c r="Y36" i="1"/>
  <c r="AA36" i="1"/>
  <c r="V37" i="1"/>
  <c r="X37" i="1"/>
  <c r="Z37" i="1"/>
  <c r="AB37" i="1"/>
  <c r="V36" i="1"/>
  <c r="X36" i="1"/>
  <c r="Z36" i="1"/>
  <c r="AB36" i="1"/>
  <c r="W37" i="1"/>
  <c r="Y37" i="1"/>
  <c r="AA37" i="1"/>
  <c r="V265" i="1"/>
  <c r="X265" i="1"/>
  <c r="Z265" i="1"/>
  <c r="AB265" i="1"/>
  <c r="W268" i="1"/>
  <c r="Y268" i="1"/>
  <c r="AA268" i="1"/>
  <c r="W265" i="1"/>
  <c r="Y265" i="1"/>
  <c r="AA265" i="1"/>
  <c r="V268" i="1"/>
  <c r="X268" i="1"/>
  <c r="Z268" i="1"/>
  <c r="AB268" i="1"/>
  <c r="V235" i="1"/>
  <c r="X235" i="1"/>
  <c r="Z235" i="1"/>
  <c r="AB235" i="1"/>
  <c r="W235" i="1"/>
  <c r="Y235" i="1"/>
  <c r="AA235" i="1"/>
  <c r="V348" i="1"/>
  <c r="Y348" i="1"/>
  <c r="AA348" i="1"/>
  <c r="W348" i="1"/>
  <c r="X348" i="1"/>
  <c r="Z348" i="1"/>
  <c r="AB348" i="1"/>
  <c r="W358" i="1"/>
  <c r="V358" i="1"/>
  <c r="Y358" i="1"/>
  <c r="AA358" i="1"/>
  <c r="X358" i="1"/>
  <c r="Z358" i="1"/>
  <c r="AB358" i="1"/>
  <c r="V359" i="1"/>
  <c r="Y359" i="1"/>
  <c r="AA359" i="1"/>
  <c r="W359" i="1"/>
  <c r="X359" i="1"/>
  <c r="Z359" i="1"/>
  <c r="AB359" i="1"/>
  <c r="V349" i="1"/>
  <c r="Y349" i="1"/>
  <c r="AA349" i="1"/>
  <c r="V93" i="1"/>
  <c r="Y93" i="1"/>
  <c r="AA93" i="1"/>
  <c r="V156" i="1"/>
  <c r="Y156" i="1"/>
  <c r="AA156" i="1"/>
  <c r="V92" i="1"/>
  <c r="Y92" i="1"/>
  <c r="AA92" i="1"/>
  <c r="W349" i="1"/>
  <c r="X349" i="1"/>
  <c r="Z349" i="1"/>
  <c r="AB349" i="1"/>
  <c r="W93" i="1"/>
  <c r="X93" i="1"/>
  <c r="Z93" i="1"/>
  <c r="AB93" i="1"/>
  <c r="W156" i="1"/>
  <c r="X156" i="1"/>
  <c r="Z156" i="1"/>
  <c r="AB156" i="1"/>
  <c r="W92" i="1"/>
  <c r="X92" i="1"/>
  <c r="Z92" i="1"/>
  <c r="AB92" i="1"/>
  <c r="V81" i="1"/>
  <c r="Y81" i="1"/>
  <c r="AA81" i="1"/>
  <c r="V87" i="1"/>
  <c r="Y87" i="1"/>
  <c r="AA87" i="1"/>
  <c r="W81" i="1"/>
  <c r="X81" i="1"/>
  <c r="Z81" i="1"/>
  <c r="AB81" i="1"/>
  <c r="W87" i="1"/>
  <c r="X87" i="1"/>
  <c r="Z87" i="1"/>
  <c r="AB87" i="1"/>
  <c r="W70" i="1"/>
  <c r="X70" i="1"/>
  <c r="Z70" i="1"/>
  <c r="AB70" i="1"/>
  <c r="V69" i="1"/>
  <c r="Y69" i="1"/>
  <c r="AA69" i="1"/>
  <c r="W68" i="1"/>
  <c r="X68" i="1"/>
  <c r="Z68" i="1"/>
  <c r="AB68" i="1"/>
  <c r="V85" i="1"/>
  <c r="Y85" i="1"/>
  <c r="AA85" i="1"/>
  <c r="W84" i="1"/>
  <c r="X84" i="1"/>
  <c r="Z84" i="1"/>
  <c r="AB84" i="1"/>
  <c r="W79" i="1"/>
  <c r="X79" i="1"/>
  <c r="Z79" i="1"/>
  <c r="AB79" i="1"/>
  <c r="V70" i="1"/>
  <c r="Y70" i="1"/>
  <c r="AA70" i="1"/>
  <c r="W69" i="1"/>
  <c r="X69" i="1"/>
  <c r="Z69" i="1"/>
  <c r="AB69" i="1"/>
  <c r="V68" i="1"/>
  <c r="Y68" i="1"/>
  <c r="AA68" i="1"/>
  <c r="W85" i="1"/>
  <c r="X85" i="1"/>
  <c r="Z85" i="1"/>
  <c r="AB85" i="1"/>
  <c r="V84" i="1"/>
  <c r="Y84" i="1"/>
  <c r="AA84" i="1"/>
  <c r="V79" i="1"/>
  <c r="Y79" i="1"/>
  <c r="AA79" i="1"/>
  <c r="V77" i="1"/>
  <c r="Y77" i="1"/>
  <c r="AA77" i="1"/>
  <c r="W77" i="1"/>
  <c r="X77" i="1"/>
  <c r="Z77" i="1"/>
  <c r="AB77" i="1"/>
  <c r="W64" i="1"/>
  <c r="X64" i="1"/>
  <c r="Z64" i="1"/>
  <c r="AB64" i="1"/>
  <c r="V64" i="1"/>
  <c r="Y64" i="1"/>
  <c r="AA64" i="1"/>
  <c r="W35" i="1"/>
  <c r="X35" i="1"/>
  <c r="Z35" i="1"/>
  <c r="AB35" i="1"/>
  <c r="V63" i="1"/>
  <c r="Y63" i="1"/>
  <c r="AA63" i="1"/>
  <c r="W65" i="1"/>
  <c r="X65" i="1"/>
  <c r="Z65" i="1"/>
  <c r="AB65" i="1"/>
  <c r="V66" i="1"/>
  <c r="Y66" i="1"/>
  <c r="AA66" i="1"/>
  <c r="V67" i="1"/>
  <c r="Y67" i="1"/>
  <c r="AA67" i="1"/>
  <c r="V71" i="1"/>
  <c r="Y71" i="1"/>
  <c r="AA71" i="1"/>
  <c r="W72" i="1"/>
  <c r="X72" i="1"/>
  <c r="Z72" i="1"/>
  <c r="AB72" i="1"/>
  <c r="V73" i="1"/>
  <c r="Y73" i="1"/>
  <c r="AA73" i="1"/>
  <c r="W75" i="1"/>
  <c r="X75" i="1"/>
  <c r="Z75" i="1"/>
  <c r="AB75" i="1"/>
  <c r="V76" i="1"/>
  <c r="Y76" i="1"/>
  <c r="AA76" i="1"/>
  <c r="W78" i="1"/>
  <c r="X78" i="1"/>
  <c r="Z78" i="1"/>
  <c r="AB78" i="1"/>
  <c r="V80" i="1"/>
  <c r="Y80" i="1"/>
  <c r="AA80" i="1"/>
  <c r="W82" i="1"/>
  <c r="X82" i="1"/>
  <c r="Z82" i="1"/>
  <c r="AB82" i="1"/>
  <c r="V83" i="1"/>
  <c r="Y83" i="1"/>
  <c r="AA83" i="1"/>
  <c r="W89" i="1"/>
  <c r="X89" i="1"/>
  <c r="Z89" i="1"/>
  <c r="AB89" i="1"/>
  <c r="V91" i="1"/>
  <c r="Y91" i="1"/>
  <c r="AA91" i="1"/>
  <c r="W100" i="1"/>
  <c r="X100" i="1"/>
  <c r="Z100" i="1"/>
  <c r="AB100" i="1"/>
  <c r="V101" i="1"/>
  <c r="Y101" i="1"/>
  <c r="AA101" i="1"/>
  <c r="W102" i="1"/>
  <c r="X102" i="1"/>
  <c r="Z102" i="1"/>
  <c r="AB102" i="1"/>
  <c r="V103" i="1"/>
  <c r="Y103" i="1"/>
  <c r="AA103" i="1"/>
  <c r="W105" i="1"/>
  <c r="X105" i="1"/>
  <c r="Z105" i="1"/>
  <c r="AB105" i="1"/>
  <c r="V106" i="1"/>
  <c r="Y106" i="1"/>
  <c r="AA106" i="1"/>
  <c r="W108" i="1"/>
  <c r="X108" i="1"/>
  <c r="Z108" i="1"/>
  <c r="AB108" i="1"/>
  <c r="V109" i="1"/>
  <c r="Y109" i="1"/>
  <c r="AA109" i="1"/>
  <c r="W110" i="1"/>
  <c r="X110" i="1"/>
  <c r="Z110" i="1"/>
  <c r="AB110" i="1"/>
  <c r="V111" i="1"/>
  <c r="Y111" i="1"/>
  <c r="AA111" i="1"/>
  <c r="W114" i="1"/>
  <c r="X114" i="1"/>
  <c r="Z114" i="1"/>
  <c r="AB114" i="1"/>
  <c r="V115" i="1"/>
  <c r="Y115" i="1"/>
  <c r="AA115" i="1"/>
  <c r="W116" i="1"/>
  <c r="X116" i="1"/>
  <c r="Z116" i="1"/>
  <c r="AB116" i="1"/>
  <c r="V117" i="1"/>
  <c r="Y117" i="1"/>
  <c r="AA117" i="1"/>
  <c r="W119" i="1"/>
  <c r="X119" i="1"/>
  <c r="Z119" i="1"/>
  <c r="AB119" i="1"/>
  <c r="V120" i="1"/>
  <c r="Y120" i="1"/>
  <c r="AA120" i="1"/>
  <c r="W121" i="1"/>
  <c r="X121" i="1"/>
  <c r="Z121" i="1"/>
  <c r="AB121" i="1"/>
  <c r="V124" i="1"/>
  <c r="Y124" i="1"/>
  <c r="AA124" i="1"/>
  <c r="W126" i="1"/>
  <c r="X126" i="1"/>
  <c r="Z126" i="1"/>
  <c r="AB126" i="1"/>
  <c r="V122" i="1"/>
  <c r="Y122" i="1"/>
  <c r="AA122" i="1"/>
  <c r="W129" i="1"/>
  <c r="X129" i="1"/>
  <c r="Z129" i="1"/>
  <c r="AB129" i="1"/>
  <c r="V130" i="1"/>
  <c r="Y130" i="1"/>
  <c r="AA130" i="1"/>
  <c r="W131" i="1"/>
  <c r="X131" i="1"/>
  <c r="Z131" i="1"/>
  <c r="AB131" i="1"/>
  <c r="V104" i="1"/>
  <c r="Y104" i="1"/>
  <c r="AA104" i="1"/>
  <c r="W125" i="1"/>
  <c r="X125" i="1"/>
  <c r="Z125" i="1"/>
  <c r="AB125" i="1"/>
  <c r="V164" i="1"/>
  <c r="Y164" i="1"/>
  <c r="AA164" i="1"/>
  <c r="W165" i="1"/>
  <c r="X165" i="1"/>
  <c r="Z165" i="1"/>
  <c r="AB165" i="1"/>
  <c r="V142" i="1"/>
  <c r="Y142" i="1"/>
  <c r="AA142" i="1"/>
  <c r="W145" i="1"/>
  <c r="X145" i="1"/>
  <c r="Z145" i="1"/>
  <c r="AB145" i="1"/>
  <c r="V146" i="1"/>
  <c r="Y146" i="1"/>
  <c r="AA146" i="1"/>
  <c r="W147" i="1"/>
  <c r="X147" i="1"/>
  <c r="Z147" i="1"/>
  <c r="AB147" i="1"/>
  <c r="V152" i="1"/>
  <c r="Y152" i="1"/>
  <c r="W132" i="1"/>
  <c r="X132" i="1"/>
  <c r="Z132" i="1"/>
  <c r="AB132" i="1"/>
  <c r="V173" i="1"/>
  <c r="Y173" i="1"/>
  <c r="AA173" i="1"/>
  <c r="W184" i="1"/>
  <c r="X184" i="1"/>
  <c r="Z184" i="1"/>
  <c r="V35" i="1"/>
  <c r="Y35" i="1"/>
  <c r="X63" i="1"/>
  <c r="AB63" i="1"/>
  <c r="V65" i="1"/>
  <c r="Y65" i="1"/>
  <c r="X66" i="1"/>
  <c r="AB66" i="1"/>
  <c r="W67" i="1"/>
  <c r="Z67" i="1"/>
  <c r="X71" i="1"/>
  <c r="AB71" i="1"/>
  <c r="AA72" i="1"/>
  <c r="W73" i="1"/>
  <c r="Z73" i="1"/>
  <c r="V75" i="1"/>
  <c r="Y75" i="1"/>
  <c r="X76" i="1"/>
  <c r="AB76" i="1"/>
  <c r="AA78" i="1"/>
  <c r="W80" i="1"/>
  <c r="Z80" i="1"/>
  <c r="V82" i="1"/>
  <c r="Y82" i="1"/>
  <c r="X83" i="1"/>
  <c r="AB83" i="1"/>
  <c r="AA89" i="1"/>
  <c r="W91" i="1"/>
  <c r="Z91" i="1"/>
  <c r="V100" i="1"/>
  <c r="Y100" i="1"/>
  <c r="X101" i="1"/>
  <c r="AB101" i="1"/>
  <c r="AA102" i="1"/>
  <c r="W103" i="1"/>
  <c r="Z103" i="1"/>
  <c r="V105" i="1"/>
  <c r="Y105" i="1"/>
  <c r="X106" i="1"/>
  <c r="AB106" i="1"/>
  <c r="AA108" i="1"/>
  <c r="W109" i="1"/>
  <c r="Z109" i="1"/>
  <c r="V110" i="1"/>
  <c r="Y110" i="1"/>
  <c r="X111" i="1"/>
  <c r="AB111" i="1"/>
  <c r="AA114" i="1"/>
  <c r="W115" i="1"/>
  <c r="Z115" i="1"/>
  <c r="V116" i="1"/>
  <c r="Y116" i="1"/>
  <c r="X117" i="1"/>
  <c r="AB117" i="1"/>
  <c r="AA119" i="1"/>
  <c r="W120" i="1"/>
  <c r="Z120" i="1"/>
  <c r="V121" i="1"/>
  <c r="Y121" i="1"/>
  <c r="X124" i="1"/>
  <c r="AB124" i="1"/>
  <c r="AA126" i="1"/>
  <c r="W122" i="1"/>
  <c r="Z122" i="1"/>
  <c r="V129" i="1"/>
  <c r="Y129" i="1"/>
  <c r="X130" i="1"/>
  <c r="AB130" i="1"/>
  <c r="AA131" i="1"/>
  <c r="W104" i="1"/>
  <c r="Z104" i="1"/>
  <c r="V125" i="1"/>
  <c r="Y125" i="1"/>
  <c r="X164" i="1"/>
  <c r="AB164" i="1"/>
  <c r="AA165" i="1"/>
  <c r="W142" i="1"/>
  <c r="Z142" i="1"/>
  <c r="V145" i="1"/>
  <c r="Y145" i="1"/>
  <c r="X146" i="1"/>
  <c r="AB146" i="1"/>
  <c r="AA147" i="1"/>
  <c r="W152" i="1"/>
  <c r="Z152" i="1"/>
  <c r="V132" i="1"/>
  <c r="Y132" i="1"/>
  <c r="X173" i="1"/>
  <c r="AB173" i="1"/>
  <c r="AA184" i="1"/>
  <c r="W186" i="1"/>
  <c r="X186" i="1"/>
  <c r="Z186" i="1"/>
  <c r="AB186" i="1"/>
  <c r="V187" i="1"/>
  <c r="Y187" i="1"/>
  <c r="AA187" i="1"/>
  <c r="W188" i="1"/>
  <c r="X188" i="1"/>
  <c r="Z188" i="1"/>
  <c r="AB188" i="1"/>
  <c r="V189" i="1"/>
  <c r="Y189" i="1"/>
  <c r="AA189" i="1"/>
  <c r="W191" i="1"/>
  <c r="X191" i="1"/>
  <c r="Z191" i="1"/>
  <c r="AB191" i="1"/>
  <c r="V197" i="1"/>
  <c r="Y197" i="1"/>
  <c r="AA197" i="1"/>
  <c r="W202" i="1"/>
  <c r="X202" i="1"/>
  <c r="Z202" i="1"/>
  <c r="AB202" i="1"/>
  <c r="V203" i="1"/>
  <c r="Y203" i="1"/>
  <c r="AA203" i="1"/>
  <c r="W205" i="1"/>
  <c r="X205" i="1"/>
  <c r="Z205" i="1"/>
  <c r="AB205" i="1"/>
  <c r="V206" i="1"/>
  <c r="Y206" i="1"/>
  <c r="AA206" i="1"/>
  <c r="W209" i="1"/>
  <c r="X209" i="1"/>
  <c r="Z209" i="1"/>
  <c r="AB209" i="1"/>
  <c r="V210" i="1"/>
  <c r="Y210" i="1"/>
  <c r="AA210" i="1"/>
  <c r="W211" i="1"/>
  <c r="X211" i="1"/>
  <c r="Z211" i="1"/>
  <c r="AB211" i="1"/>
  <c r="V212" i="1"/>
  <c r="Y212" i="1"/>
  <c r="AA212" i="1"/>
  <c r="W216" i="1"/>
  <c r="X216" i="1"/>
  <c r="Z216" i="1"/>
  <c r="AB216" i="1"/>
  <c r="V217" i="1"/>
  <c r="Y217" i="1"/>
  <c r="AA217" i="1"/>
  <c r="W224" i="1"/>
  <c r="X224" i="1"/>
  <c r="Z224" i="1"/>
  <c r="AB224" i="1"/>
  <c r="V226" i="1"/>
  <c r="Y226" i="1"/>
  <c r="AA226" i="1"/>
  <c r="W227" i="1"/>
  <c r="X227" i="1"/>
  <c r="Z227" i="1"/>
  <c r="AB227" i="1"/>
  <c r="V236" i="1"/>
  <c r="Y236" i="1"/>
  <c r="AA236" i="1"/>
  <c r="W237" i="1"/>
  <c r="X237" i="1"/>
  <c r="Z237" i="1"/>
  <c r="AB237" i="1"/>
  <c r="V238" i="1"/>
  <c r="Y238" i="1"/>
  <c r="AA238" i="1"/>
  <c r="W239" i="1"/>
  <c r="X239" i="1"/>
  <c r="Z239" i="1"/>
  <c r="AB239" i="1"/>
  <c r="V240" i="1"/>
  <c r="Y240" i="1"/>
  <c r="AA240" i="1"/>
  <c r="W241" i="1"/>
  <c r="X241" i="1"/>
  <c r="Z241" i="1"/>
  <c r="AB241" i="1"/>
  <c r="V248" i="1"/>
  <c r="Y248" i="1"/>
  <c r="AA248" i="1"/>
  <c r="W250" i="1"/>
  <c r="X250" i="1"/>
  <c r="Z250" i="1"/>
  <c r="AB250" i="1"/>
  <c r="V321" i="1"/>
  <c r="Y321" i="1"/>
  <c r="AA321" i="1"/>
  <c r="W63" i="1"/>
  <c r="AA65" i="1"/>
  <c r="Z66" i="1"/>
  <c r="X67" i="1"/>
  <c r="W71" i="1"/>
  <c r="V72" i="1"/>
  <c r="AB73" i="1"/>
  <c r="AA75" i="1"/>
  <c r="Z76" i="1"/>
  <c r="Y78" i="1"/>
  <c r="X80" i="1"/>
  <c r="W83" i="1"/>
  <c r="V89" i="1"/>
  <c r="AB91" i="1"/>
  <c r="AA100" i="1"/>
  <c r="Z101" i="1"/>
  <c r="Y102" i="1"/>
  <c r="X103" i="1"/>
  <c r="W106" i="1"/>
  <c r="V108" i="1"/>
  <c r="AB109" i="1"/>
  <c r="AA110" i="1"/>
  <c r="Z111" i="1"/>
  <c r="Y114" i="1"/>
  <c r="X115" i="1"/>
  <c r="W117" i="1"/>
  <c r="V119" i="1"/>
  <c r="AB120" i="1"/>
  <c r="AA121" i="1"/>
  <c r="Z124" i="1"/>
  <c r="Y126" i="1"/>
  <c r="X122" i="1"/>
  <c r="W130" i="1"/>
  <c r="V131" i="1"/>
  <c r="AB104" i="1"/>
  <c r="AA125" i="1"/>
  <c r="Z164" i="1"/>
  <c r="Y165" i="1"/>
  <c r="X142" i="1"/>
  <c r="W146" i="1"/>
  <c r="V147" i="1"/>
  <c r="AB152" i="1"/>
  <c r="AA132" i="1"/>
  <c r="Z173" i="1"/>
  <c r="Y184" i="1"/>
  <c r="V186" i="1"/>
  <c r="Y186" i="1"/>
  <c r="X187" i="1"/>
  <c r="AB187" i="1"/>
  <c r="AA188" i="1"/>
  <c r="W189" i="1"/>
  <c r="Z189" i="1"/>
  <c r="V191" i="1"/>
  <c r="Y191" i="1"/>
  <c r="X197" i="1"/>
  <c r="AB197" i="1"/>
  <c r="AA202" i="1"/>
  <c r="W203" i="1"/>
  <c r="Z203" i="1"/>
  <c r="V205" i="1"/>
  <c r="Y205" i="1"/>
  <c r="X206" i="1"/>
  <c r="AB206" i="1"/>
  <c r="AA209" i="1"/>
  <c r="W210" i="1"/>
  <c r="Z210" i="1"/>
  <c r="V211" i="1"/>
  <c r="Y211" i="1"/>
  <c r="X212" i="1"/>
  <c r="AB212" i="1"/>
  <c r="AA216" i="1"/>
  <c r="W217" i="1"/>
  <c r="Z217" i="1"/>
  <c r="V224" i="1"/>
  <c r="Y224" i="1"/>
  <c r="X226" i="1"/>
  <c r="AB226" i="1"/>
  <c r="AA227" i="1"/>
  <c r="W236" i="1"/>
  <c r="Z236" i="1"/>
  <c r="V237" i="1"/>
  <c r="Y237" i="1"/>
  <c r="X238" i="1"/>
  <c r="AB238" i="1"/>
  <c r="AA239" i="1"/>
  <c r="W240" i="1"/>
  <c r="Z240" i="1"/>
  <c r="V241" i="1"/>
  <c r="Y241" i="1"/>
  <c r="X248" i="1"/>
  <c r="AB248" i="1"/>
  <c r="AA250" i="1"/>
  <c r="W321" i="1"/>
  <c r="Z321" i="1"/>
  <c r="W342" i="1"/>
  <c r="X342" i="1"/>
  <c r="Z342" i="1"/>
  <c r="AB342" i="1"/>
  <c r="V360" i="1"/>
  <c r="Y360" i="1"/>
  <c r="AA360" i="1"/>
  <c r="V34" i="1"/>
  <c r="Y34" i="1"/>
  <c r="AA34" i="1"/>
  <c r="AA35" i="1"/>
  <c r="Z63" i="1"/>
  <c r="W66" i="1"/>
  <c r="AB67" i="1"/>
  <c r="Z71" i="1"/>
  <c r="Y72" i="1"/>
  <c r="X73" i="1"/>
  <c r="W76" i="1"/>
  <c r="V78" i="1"/>
  <c r="AB80" i="1"/>
  <c r="AA82" i="1"/>
  <c r="Z83" i="1"/>
  <c r="Y89" i="1"/>
  <c r="X91" i="1"/>
  <c r="W101" i="1"/>
  <c r="V102" i="1"/>
  <c r="AB103" i="1"/>
  <c r="AA105" i="1"/>
  <c r="Z106" i="1"/>
  <c r="Y108" i="1"/>
  <c r="X109" i="1"/>
  <c r="W111" i="1"/>
  <c r="V114" i="1"/>
  <c r="AB115" i="1"/>
  <c r="AA116" i="1"/>
  <c r="Z117" i="1"/>
  <c r="Y119" i="1"/>
  <c r="X120" i="1"/>
  <c r="W124" i="1"/>
  <c r="V126" i="1"/>
  <c r="AB122" i="1"/>
  <c r="AA129" i="1"/>
  <c r="Z130" i="1"/>
  <c r="Y131" i="1"/>
  <c r="X104" i="1"/>
  <c r="W164" i="1"/>
  <c r="V165" i="1"/>
  <c r="AB142" i="1"/>
  <c r="AA145" i="1"/>
  <c r="Z146" i="1"/>
  <c r="Y147" i="1"/>
  <c r="X152" i="1"/>
  <c r="W173" i="1"/>
  <c r="V184" i="1"/>
  <c r="AB184" i="1"/>
  <c r="AA186" i="1"/>
  <c r="W187" i="1"/>
  <c r="Z187" i="1"/>
  <c r="V188" i="1"/>
  <c r="Y188" i="1"/>
  <c r="X189" i="1"/>
  <c r="AB189" i="1"/>
  <c r="AA191" i="1"/>
  <c r="W197" i="1"/>
  <c r="Z197" i="1"/>
  <c r="V202" i="1"/>
  <c r="Y202" i="1"/>
  <c r="X203" i="1"/>
  <c r="AB203" i="1"/>
  <c r="AA205" i="1"/>
  <c r="W206" i="1"/>
  <c r="Z206" i="1"/>
  <c r="V209" i="1"/>
  <c r="Y209" i="1"/>
  <c r="X210" i="1"/>
  <c r="AB210" i="1"/>
  <c r="AA211" i="1"/>
  <c r="W212" i="1"/>
  <c r="Z212" i="1"/>
  <c r="V216" i="1"/>
  <c r="Y216" i="1"/>
  <c r="X217" i="1"/>
  <c r="AB217" i="1"/>
  <c r="AA224" i="1"/>
  <c r="W226" i="1"/>
  <c r="Z226" i="1"/>
  <c r="V227" i="1"/>
  <c r="Y227" i="1"/>
  <c r="X236" i="1"/>
  <c r="AB236" i="1"/>
  <c r="AA237" i="1"/>
  <c r="W238" i="1"/>
  <c r="Z238" i="1"/>
  <c r="V239" i="1"/>
  <c r="Y239" i="1"/>
  <c r="X240" i="1"/>
  <c r="AB240" i="1"/>
  <c r="AA241" i="1"/>
  <c r="W248" i="1"/>
  <c r="Z248" i="1"/>
  <c r="V250" i="1"/>
  <c r="Y250" i="1"/>
  <c r="X321" i="1"/>
  <c r="AB321" i="1"/>
  <c r="V342" i="1"/>
  <c r="Y342" i="1"/>
  <c r="AA342" i="1"/>
  <c r="W360" i="1"/>
  <c r="X360" i="1"/>
  <c r="Z360" i="1"/>
  <c r="AB360" i="1"/>
  <c r="W34" i="1"/>
  <c r="X34" i="1"/>
  <c r="Z34" i="1"/>
  <c r="AB34" i="1"/>
  <c r="V361" i="1" l="1"/>
  <c r="V2" i="1" s="1"/>
  <c r="Z361" i="1"/>
  <c r="Z2" i="1" s="1"/>
  <c r="W361" i="1"/>
  <c r="W2" i="1" s="1"/>
  <c r="AA361" i="1"/>
  <c r="AA2" i="1" s="1"/>
  <c r="X361" i="1"/>
  <c r="X2" i="1" s="1"/>
  <c r="AB361" i="1"/>
  <c r="AB2" i="1" s="1"/>
  <c r="Y361" i="1"/>
  <c r="Y2" i="1" s="1"/>
  <c r="AC363" i="1"/>
  <c r="AC2" i="1" s="1"/>
</calcChain>
</file>

<file path=xl/sharedStrings.xml><?xml version="1.0" encoding="utf-8"?>
<sst xmlns="http://schemas.openxmlformats.org/spreadsheetml/2006/main" count="1221" uniqueCount="484">
  <si>
    <t>Fajta</t>
  </si>
  <si>
    <t>Árpa</t>
  </si>
  <si>
    <t>Zab</t>
  </si>
  <si>
    <t>Összesen:</t>
  </si>
  <si>
    <t>Durum búza</t>
  </si>
  <si>
    <t>Tritikálé</t>
  </si>
  <si>
    <t>Rozs</t>
  </si>
  <si>
    <t>Ár</t>
  </si>
  <si>
    <t>Kg</t>
  </si>
  <si>
    <t>Ca</t>
  </si>
  <si>
    <t>P</t>
  </si>
  <si>
    <t>Só</t>
  </si>
  <si>
    <t>Komfort mix</t>
  </si>
  <si>
    <t>Ft/Kg</t>
  </si>
  <si>
    <t>Ft</t>
  </si>
  <si>
    <t>%</t>
  </si>
  <si>
    <t>Tyúk</t>
  </si>
  <si>
    <t>Fürj</t>
  </si>
  <si>
    <t>Fácán</t>
  </si>
  <si>
    <t>Pulyka</t>
  </si>
  <si>
    <t>Fogoly</t>
  </si>
  <si>
    <t>Kacsa</t>
  </si>
  <si>
    <t>Liba</t>
  </si>
  <si>
    <t>Táp típus</t>
  </si>
  <si>
    <t>Állat</t>
  </si>
  <si>
    <t>indító</t>
  </si>
  <si>
    <t>nevelő</t>
  </si>
  <si>
    <t>befejező</t>
  </si>
  <si>
    <t>hízlaló</t>
  </si>
  <si>
    <t>Lucerna pellet</t>
  </si>
  <si>
    <t>ME MJ/kg</t>
  </si>
  <si>
    <t>Nyers fehérje</t>
  </si>
  <si>
    <t>Ners zsír</t>
  </si>
  <si>
    <t>Nyers rost</t>
  </si>
  <si>
    <t>Lóbab</t>
  </si>
  <si>
    <t>Repce</t>
  </si>
  <si>
    <t>Gabonamagvak</t>
  </si>
  <si>
    <t>Csillagfürt édes</t>
  </si>
  <si>
    <t>Hüvelyes magvak</t>
  </si>
  <si>
    <t>Olajos magvak</t>
  </si>
  <si>
    <t>Magvak és termések</t>
  </si>
  <si>
    <t>Búzacsíra</t>
  </si>
  <si>
    <t>Búzakorpa</t>
  </si>
  <si>
    <t>Búza takarmány liszt</t>
  </si>
  <si>
    <t>Kukoricacsíra</t>
  </si>
  <si>
    <t>kukorica korpa</t>
  </si>
  <si>
    <t>Kukorica takarmányliszt</t>
  </si>
  <si>
    <t>Malomipari takarmányok</t>
  </si>
  <si>
    <t>Lizin</t>
  </si>
  <si>
    <t>Metionin</t>
  </si>
  <si>
    <t>Extrahált gyapotmagdara</t>
  </si>
  <si>
    <t>Melasz</t>
  </si>
  <si>
    <t xml:space="preserve">Sör és szeszipari </t>
  </si>
  <si>
    <t>Keményítőgyári</t>
  </si>
  <si>
    <t>Olajipari</t>
  </si>
  <si>
    <t>Cukor ip.</t>
  </si>
  <si>
    <t>Baromfi ipari húspép</t>
  </si>
  <si>
    <t xml:space="preserve">Dán halliszt </t>
  </si>
  <si>
    <t>Északi tengeri halliszt (és FR)</t>
  </si>
  <si>
    <t>Sertés hemoglobin</t>
  </si>
  <si>
    <t>Lengyel halliszt (spanyol)</t>
  </si>
  <si>
    <t xml:space="preserve">Állati eredetű </t>
  </si>
  <si>
    <t>Növényi</t>
  </si>
  <si>
    <t>Ipari termékek vagy melléktermékek</t>
  </si>
  <si>
    <t>Ásványi anyag kiegészítés</t>
  </si>
  <si>
    <t>Befejező koncentrátum 30%</t>
  </si>
  <si>
    <t>Nevelő koncentrátum 30%</t>
  </si>
  <si>
    <t>Indító koncentrátum 35%</t>
  </si>
  <si>
    <t>Bábolna</t>
  </si>
  <si>
    <t>Brojler Indító koncentrátum 35%</t>
  </si>
  <si>
    <t>Brojler nevelő koncentrátum 30%</t>
  </si>
  <si>
    <t>Brojler befejező koncentrátum 25%</t>
  </si>
  <si>
    <t>Tojó extra premix 5%</t>
  </si>
  <si>
    <t>Tojó extra premix 1,25%</t>
  </si>
  <si>
    <t>Purina</t>
  </si>
  <si>
    <t>Takarmány kiegészítők</t>
  </si>
  <si>
    <t>MJ/kg</t>
  </si>
  <si>
    <t>indító 0%</t>
  </si>
  <si>
    <t>nevelő 2-10%</t>
  </si>
  <si>
    <t>tojó 10%</t>
  </si>
  <si>
    <t>Pulyka 10%</t>
  </si>
  <si>
    <t>brojler 10%</t>
  </si>
  <si>
    <t>tojó 15%</t>
  </si>
  <si>
    <t>pulyka 10%</t>
  </si>
  <si>
    <t>Árpa (sör)</t>
  </si>
  <si>
    <t>Bükköny</t>
  </si>
  <si>
    <t>Dió bél</t>
  </si>
  <si>
    <t>Fenyőmag</t>
  </si>
  <si>
    <t>Fény mag</t>
  </si>
  <si>
    <t>Hajdina</t>
  </si>
  <si>
    <t>Kendermag</t>
  </si>
  <si>
    <t>Kukorica (átlag)</t>
  </si>
  <si>
    <t>Len mag</t>
  </si>
  <si>
    <t>Sáfrányos szeklice</t>
  </si>
  <si>
    <t>Szezám mag</t>
  </si>
  <si>
    <t>Tojás (főtt)</t>
  </si>
  <si>
    <t>Szódabikarbóna</t>
  </si>
  <si>
    <t>Aszkorbinsav</t>
  </si>
  <si>
    <t>A só egy részét helyettesíti ha teszünk bele</t>
  </si>
  <si>
    <t xml:space="preserve">  </t>
  </si>
  <si>
    <t>Túró</t>
  </si>
  <si>
    <t>Agrifirm</t>
  </si>
  <si>
    <t>Nyáron ez eltérhet a minimum mennyiségtől</t>
  </si>
  <si>
    <t>Brojler indító premix 4%</t>
  </si>
  <si>
    <t>Brojler nevelő premix 3,5%</t>
  </si>
  <si>
    <t>Brojler befejező premix 3%</t>
  </si>
  <si>
    <t>Vitafort</t>
  </si>
  <si>
    <t>Emu</t>
  </si>
  <si>
    <t>Strucc</t>
  </si>
  <si>
    <t>Nandu</t>
  </si>
  <si>
    <t>tenyész</t>
  </si>
  <si>
    <t>Csontliszt</t>
  </si>
  <si>
    <t>Saját beltartalom:</t>
  </si>
  <si>
    <t>Ners zsír min.</t>
  </si>
  <si>
    <t>Katona légy lárva nyers (BSFL)</t>
  </si>
  <si>
    <t>Katona légy lárva liszt (BSFL)</t>
  </si>
  <si>
    <t>Réti széna pellet</t>
  </si>
  <si>
    <t>Mák kék</t>
  </si>
  <si>
    <t>Zabpehely</t>
  </si>
  <si>
    <t>Kokcifos</t>
  </si>
  <si>
    <t>Ennyit akarok keverni:</t>
  </si>
  <si>
    <t>Gyógy. adalék</t>
  </si>
  <si>
    <t>Adalék típus</t>
  </si>
  <si>
    <t>Súly</t>
  </si>
  <si>
    <t>Tökmag</t>
  </si>
  <si>
    <t>Főtt cukorrépa</t>
  </si>
  <si>
    <t>Extrahált szójadara (53,9%)</t>
  </si>
  <si>
    <t>Extrahált szójadara (51,8%)</t>
  </si>
  <si>
    <t>Extrahált szójadara (45%)</t>
  </si>
  <si>
    <t>Sörélesztő I.o. (53,9%)</t>
  </si>
  <si>
    <t>Szeszipari élesztő (45%)</t>
  </si>
  <si>
    <t>Extrahált földimogyoró közepes</t>
  </si>
  <si>
    <t>Extrahált földimogyoró jó</t>
  </si>
  <si>
    <t>kg</t>
  </si>
  <si>
    <t>Min</t>
  </si>
  <si>
    <t>Max</t>
  </si>
  <si>
    <t>Tojást zöldre színezheti, szagosíthatja ezért inkább viziszárnyasoknak ajánlják.</t>
  </si>
  <si>
    <t>Ügyeljünk arra, hogy a baromfi tápban 10%-ot, míg a sertés tápban 20%-ot ne haladja meg a hüvelyesek összessége, ami ezekben a sorokban vannak. Ha édes csillagfürtöt tartalmaz a hüvelyes, akkor plusz 5%-al számolhatunk, tehát brmfi 15%.</t>
  </si>
  <si>
    <t>Takarmány mész (liszt, gríz, gritt)</t>
  </si>
  <si>
    <t>ZOOLIT / ZEOLIT ásványi takarmány</t>
  </si>
  <si>
    <t>Receptúra a csomagoláson.</t>
  </si>
  <si>
    <t>Sano</t>
  </si>
  <si>
    <t>QQRQ tojó koncentrátum 30%</t>
  </si>
  <si>
    <t>Big egg 1,25% tojó premix</t>
  </si>
  <si>
    <t>Broiler premix 1,5% (indító/nevelőhöz)</t>
  </si>
  <si>
    <t>Broiler premix 3,5% (indító/nevelőhöz)</t>
  </si>
  <si>
    <t>Poultry premix 1,5% (befejező/hízlaló)</t>
  </si>
  <si>
    <t>Poultry premix 3% (befejező/hízlaló)</t>
  </si>
  <si>
    <t>Nádudvari</t>
  </si>
  <si>
    <t>Napraforgó olaj</t>
  </si>
  <si>
    <t>Szójaolaj</t>
  </si>
  <si>
    <t>Repceolaj</t>
  </si>
  <si>
    <t>Premix</t>
  </si>
  <si>
    <t>Gyógynövények és fűszerek</t>
  </si>
  <si>
    <t>Zöldtakarmányok</t>
  </si>
  <si>
    <t>Szárított növények</t>
  </si>
  <si>
    <t>Bazsalikom</t>
  </si>
  <si>
    <t>Borsmenta</t>
  </si>
  <si>
    <t>Csalán</t>
  </si>
  <si>
    <t>Cickafark</t>
  </si>
  <si>
    <t>Csipkebogyó</t>
  </si>
  <si>
    <t>Echinacea (kasvirág)</t>
  </si>
  <si>
    <t>Édeskömény</t>
  </si>
  <si>
    <t>Fahéj</t>
  </si>
  <si>
    <t>Fokhagymapor</t>
  </si>
  <si>
    <t>Gyermekláncfű</t>
  </si>
  <si>
    <t>Kakukkfű</t>
  </si>
  <si>
    <t>Kapor mag</t>
  </si>
  <si>
    <t>Kapor levél</t>
  </si>
  <si>
    <t>Koriander</t>
  </si>
  <si>
    <t>Levendula</t>
  </si>
  <si>
    <t>Majoranna</t>
  </si>
  <si>
    <t>Máriatövis</t>
  </si>
  <si>
    <t>Oregánó</t>
  </si>
  <si>
    <t>Petrezselyem</t>
  </si>
  <si>
    <t>Rozmaring</t>
  </si>
  <si>
    <t>Szegfűszeg</t>
  </si>
  <si>
    <t>Szurokfű</t>
  </si>
  <si>
    <t>Tárkony</t>
  </si>
  <si>
    <t>Zsálya</t>
  </si>
  <si>
    <t>nem</t>
  </si>
  <si>
    <t>ismert</t>
  </si>
  <si>
    <t>Napraforgó, borsó koncentrátum</t>
  </si>
  <si>
    <t>30% mellett borsó napraforgó már nem kell</t>
  </si>
  <si>
    <t>Purimix tojó szuperkoncentrátum 10%</t>
  </si>
  <si>
    <t>ENERGYS</t>
  </si>
  <si>
    <t>PIG UNI 15 sertés koncentrátum</t>
  </si>
  <si>
    <t>Sertés 35 kg-ig -&gt; 16% PIG UNI 15, 25% árpa, 59% búza/Sertés 35 - 65 kg-ig 14% PIG UNI 15, 46% árpa, 40% búza/Sertés 65 kg felett 11% PIG UNI 15, 60% árpa, 29% búza</t>
  </si>
  <si>
    <t>Baromfi UNI 30 univerzális koncentrátum</t>
  </si>
  <si>
    <t>Monokalcium foszfát (MCP)</t>
  </si>
  <si>
    <t>Takarmánysó</t>
  </si>
  <si>
    <t>Tojó koncentrátum 30%</t>
  </si>
  <si>
    <t>Farmer mix prémium tojó konc 30-35%</t>
  </si>
  <si>
    <t>Koncent.</t>
  </si>
  <si>
    <t>Gyöngytyúk</t>
  </si>
  <si>
    <t>Extrahált repcedara (37,8%)</t>
  </si>
  <si>
    <t>Extrahált lenmagdara (32,9%)</t>
  </si>
  <si>
    <t>Borsós takarmánykeverék granulátum</t>
  </si>
  <si>
    <t>Nyúl</t>
  </si>
  <si>
    <t>Tojássárgája por</t>
  </si>
  <si>
    <t>Tojás fehérje por</t>
  </si>
  <si>
    <t>Tojás egész por</t>
  </si>
  <si>
    <t>Ovo-Stim Immuno</t>
  </si>
  <si>
    <t>magmix</t>
  </si>
  <si>
    <t>Szőlőmag pellet</t>
  </si>
  <si>
    <t>Hántolt formában nagyobb mennyiség is mehet a keverékbe.</t>
  </si>
  <si>
    <t>20% fölötti bekeverésnél NSP enzim használata javasolt.</t>
  </si>
  <si>
    <t>25% fölötti bekeverésnél XILÁZ enzim használata javasolt.</t>
  </si>
  <si>
    <t>15% fölötti bekeverésnél GLÜKANÁZ enzim használata javasolt.</t>
  </si>
  <si>
    <t>A kukorica egy részét helyettesíti 5-10% ig.</t>
  </si>
  <si>
    <t>Tanninszegény lóbabból 25% is lehet.</t>
  </si>
  <si>
    <t>Proteáz enzim hozzáadásával 36-38% ig felmehet.</t>
  </si>
  <si>
    <t>Extrahált szójadara (43%)</t>
  </si>
  <si>
    <t>A tollképződésre jó hatással van tollváltáskor.</t>
  </si>
  <si>
    <t>Tojó előkészítő és tojótápokba ajánlott csak.</t>
  </si>
  <si>
    <t>Aflatoxin tartalma miatt, baromfival főleg kacsával nem etethető.</t>
  </si>
  <si>
    <t>Brojler takarmányokba max 2-3% mehet.</t>
  </si>
  <si>
    <t>Sertészsír</t>
  </si>
  <si>
    <t>Korcsoporttól függően a kukoricát helyettesíti 20-50%-ban. Kukoricával ellentétben nincs benne színező anyag</t>
  </si>
  <si>
    <t>tojó 1</t>
  </si>
  <si>
    <t>tojó 2</t>
  </si>
  <si>
    <t>tojó 3</t>
  </si>
  <si>
    <t>IntraPro .</t>
  </si>
  <si>
    <t>Vita-Pro 68 vagy PL-68 feh. Konc.</t>
  </si>
  <si>
    <t>Qualifeed</t>
  </si>
  <si>
    <t xml:space="preserve">Árutojó kpr. 3% + színező </t>
  </si>
  <si>
    <t>Árutojó koncentrátum 30%</t>
  </si>
  <si>
    <t>Pulyka indító kpr. 5%</t>
  </si>
  <si>
    <t>Pulyka nevelő-befejező kpr. 4%</t>
  </si>
  <si>
    <t>Víziszárnyas indító-nevelő pr. 2,5%</t>
  </si>
  <si>
    <t>Víziszárnyas tojó pr. 2%</t>
  </si>
  <si>
    <t>Strucc indító-nevelő kpr. 4%</t>
  </si>
  <si>
    <t>Malac starter supplement 10% probio</t>
  </si>
  <si>
    <t>Malac nevelő kpr. 3,5%</t>
  </si>
  <si>
    <t>Hízósertés kpr. 3% (cikksz: 420-500)</t>
  </si>
  <si>
    <t>Hízósertés kpr. 3% (cikksz: 420-502)</t>
  </si>
  <si>
    <t>Hízó kpr. 3% (cikksz: 420-503)</t>
  </si>
  <si>
    <t>Hízósertés kpr. 3% (cikksz: 420-508)</t>
  </si>
  <si>
    <t>Szoptatókoca kpr. 3,5% (cikksz: 420-201)</t>
  </si>
  <si>
    <t>Vemheskoca kpr. 3,5% (cikksz: 420-100)</t>
  </si>
  <si>
    <t>Hízómarha kpr. 4% + aroma</t>
  </si>
  <si>
    <t>Tejelőtehén kpr. 4% + aroma</t>
  </si>
  <si>
    <t>Szárazonálló tehén pr. 2%</t>
  </si>
  <si>
    <t>Üsző pr. 1,5%</t>
  </si>
  <si>
    <t>Polmass KM tejelőtehén premix</t>
  </si>
  <si>
    <t>Szászi MEGA tojó koncentrátum</t>
  </si>
  <si>
    <t>Gyógynövény</t>
  </si>
  <si>
    <t>Gyógyszer</t>
  </si>
  <si>
    <t>25% fölötti bekeverésnél XILÁZ és GLÜKANÁZ enzim használata javasolt.</t>
  </si>
  <si>
    <t>Salvana Tojó premix 2%</t>
  </si>
  <si>
    <t>Van</t>
  </si>
  <si>
    <t>kondícionáló</t>
  </si>
  <si>
    <t>Szójapehely (33%)</t>
  </si>
  <si>
    <t>OVOCOLOR 1%</t>
  </si>
  <si>
    <t>Magkeverékek</t>
  </si>
  <si>
    <t>Csőrike magmix</t>
  </si>
  <si>
    <t>6 magos galamb mix</t>
  </si>
  <si>
    <t>Borsót már nem szabad hozzá tenni!</t>
  </si>
  <si>
    <t>Purimix tojó plusz koncentrátum 26%</t>
  </si>
  <si>
    <t>ASF trade Tojó intenzív előkeverék 30%</t>
  </si>
  <si>
    <t>Extrahált szójadara (48%)</t>
  </si>
  <si>
    <t>0,2% fölött tartalmaz anyanyrozst az rontja a termékenységet, sőt meddőséget is okozhat.</t>
  </si>
  <si>
    <t>Diamond 78 baktérium fehérjeliszt</t>
  </si>
  <si>
    <t>KSP-631 Hízó sertés premix 3%</t>
  </si>
  <si>
    <t>Sertés extra hízlaló komplett premix 3%</t>
  </si>
  <si>
    <t>Galamb</t>
  </si>
  <si>
    <t>Borsós napraforgós keverék</t>
  </si>
  <si>
    <t>Lisztkukac szárított</t>
  </si>
  <si>
    <t>Feed SAEFETY FS broiler indító px 2%</t>
  </si>
  <si>
    <t>ISV</t>
  </si>
  <si>
    <t>Broiler starter KPR. +szalinomicin 3,5%</t>
  </si>
  <si>
    <t>Tenyésztojó KPR. +színező 4%</t>
  </si>
  <si>
    <t>RoBIOmix</t>
  </si>
  <si>
    <t>Broiler előkeverék 2%</t>
  </si>
  <si>
    <t>Tojótyúk premix 5%</t>
  </si>
  <si>
    <t>Keszőhidegkúti</t>
  </si>
  <si>
    <t>Baromfi koncentrátum</t>
  </si>
  <si>
    <t>Fehérje-energia koncentrátum</t>
  </si>
  <si>
    <t>Külföldi</t>
  </si>
  <si>
    <t>Egyéb alapanyag</t>
  </si>
  <si>
    <t>Egyéb kiegészítők</t>
  </si>
  <si>
    <t>Univit-B (enzimek nélküli premix)</t>
  </si>
  <si>
    <t>Gyengébb, mint a Nutrifort3 vagy az UnivetB</t>
  </si>
  <si>
    <t>Nosnice vitaminos (enzimek nélküli kpr.)</t>
  </si>
  <si>
    <t>Mineral (ásványi kiegészítő)</t>
  </si>
  <si>
    <t>Mészkő őrlemény</t>
  </si>
  <si>
    <t>Mikros (Cseh)</t>
  </si>
  <si>
    <t>Páva</t>
  </si>
  <si>
    <t>Díszmadár</t>
  </si>
  <si>
    <t>Sertés</t>
  </si>
  <si>
    <t>Itt kell kiválasztani a megfelelő paramétereket!</t>
  </si>
  <si>
    <t>Ehhez a táphoz szeretném hasonlítani a sajátomat (tápok beltartalma fülről a táp sorszáma):</t>
  </si>
  <si>
    <r>
      <t>Jó számolást!</t>
    </r>
    <r>
      <rPr>
        <b/>
        <sz val="8"/>
        <color theme="1"/>
        <rFont val="Calibri"/>
        <family val="2"/>
        <charset val="238"/>
        <scheme val="minor"/>
      </rPr>
      <t xml:space="preserve"> (amennyiben nem boldogulsz, kérd a segítségemet!)</t>
    </r>
  </si>
  <si>
    <t>nincs</t>
  </si>
  <si>
    <t>Négermag</t>
  </si>
  <si>
    <t>Szójabab hőkezelt (38%)</t>
  </si>
  <si>
    <t>Nagyhegyesi szójásdara kieg. Tak.</t>
  </si>
  <si>
    <t>Zala cerália</t>
  </si>
  <si>
    <t>Árutojó koncentrátum</t>
  </si>
  <si>
    <t>ÁT-10 intenzív tojó koncentrátum</t>
  </si>
  <si>
    <t>Csirke nevelő koncentrátum 27%</t>
  </si>
  <si>
    <t>Intenzív árutojó II. konc. 35%</t>
  </si>
  <si>
    <t>Tojó premix 5%</t>
  </si>
  <si>
    <t>Napraforgó pogácsa/pellet/dara (38%)</t>
  </si>
  <si>
    <t>Napraforgó pogácsa/pellet/dara (36%)</t>
  </si>
  <si>
    <t>Napraforgó pogácsa/pellet/dara (34%)</t>
  </si>
  <si>
    <r>
      <t xml:space="preserve">Extrahált napraforgódara (34%) 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</si>
  <si>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Ners zsír (max 6%)</t>
  </si>
  <si>
    <t>Nyers rost (max 8%)</t>
  </si>
  <si>
    <t>Megnevezés</t>
  </si>
  <si>
    <t>A táblázatban nem fellelhető saját bekeverendő alapanyag(aim)  -------&gt;</t>
  </si>
  <si>
    <t>Napraforgó pogácsa/pellet/dara (32%)</t>
  </si>
  <si>
    <r>
      <t>Héjtalanított napraf. pellet (44%)</t>
    </r>
    <r>
      <rPr>
        <b/>
        <sz val="11"/>
        <color rgb="FF00B050"/>
        <rFont val="Calibri"/>
        <family val="2"/>
        <charset val="238"/>
        <scheme val="minor"/>
      </rPr>
      <t>(KJK-s)</t>
    </r>
  </si>
  <si>
    <t>Borsós (90%) napraforgós keverék</t>
  </si>
  <si>
    <t>Gaztatáp koncentrátum 20-30%</t>
  </si>
  <si>
    <t>Nutrafort-3 (enzimek nélküli premix)</t>
  </si>
  <si>
    <t>Extrahált napraforgódara (40%)</t>
  </si>
  <si>
    <t>NT70 növényi fehérje liszt</t>
  </si>
  <si>
    <t>Tojáshéj</t>
  </si>
  <si>
    <t>húshibrid</t>
  </si>
  <si>
    <t>tojóhibrid</t>
  </si>
  <si>
    <t>kistestű</t>
  </si>
  <si>
    <t>egyedi igényű</t>
  </si>
  <si>
    <t>Típus</t>
  </si>
  <si>
    <t>Nyomtatható recept fejléc adatok</t>
  </si>
  <si>
    <t>Héjtalanított napraf. pellet (52%)</t>
  </si>
  <si>
    <t>Fürj koncentrátum 25-30%</t>
  </si>
  <si>
    <r>
      <t xml:space="preserve">Extrahált szójadara (46%)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</si>
  <si>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r>
      <t xml:space="preserve">Sörélesztő II.o. (40%)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</si>
  <si>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Extrahált szójadara (44%)</t>
  </si>
  <si>
    <t>MEGSZŰNT!!!</t>
  </si>
  <si>
    <t>Lenmag liszt (32,5%)</t>
  </si>
  <si>
    <t>Tökmag pogácsa/pellet/Liszt (58%)</t>
  </si>
  <si>
    <t>Tökmag pogácsa/pellet/Liszt (56,5%)</t>
  </si>
  <si>
    <t>Tökmag pogácsa/pellet/Liszt (42%)</t>
  </si>
  <si>
    <t>Kukoricaglutén(búza hasonló) (60%)</t>
  </si>
  <si>
    <t>Extrahált kukoricacsíra dara (25,7%)</t>
  </si>
  <si>
    <t>CGF (22,5%)</t>
  </si>
  <si>
    <t>DDGS búza (17%)</t>
  </si>
  <si>
    <t>DDGS kukorica (23,3%)</t>
  </si>
  <si>
    <t>Búzacsíra pogácsa (33%)</t>
  </si>
  <si>
    <t>Kukoricacsíra pogácsa (22%)</t>
  </si>
  <si>
    <t>Takarmányélesztő (48,9%)</t>
  </si>
  <si>
    <t>Malátacsíra pellet (20%)</t>
  </si>
  <si>
    <t>Kukorica moslék (29%)</t>
  </si>
  <si>
    <t>Kukorica törköly (21,3%)</t>
  </si>
  <si>
    <t>Malátacsíra (28,5%)</t>
  </si>
  <si>
    <t>Sörtörköly szárított (26,7%)</t>
  </si>
  <si>
    <t>Kukoricacsíra dara</t>
  </si>
  <si>
    <t>Méz (vagy méz melléktermék)</t>
  </si>
  <si>
    <t>AP-17</t>
  </si>
  <si>
    <t>Kafocit (DOVIT)</t>
  </si>
  <si>
    <t>Broilereknek nem ajánlott</t>
  </si>
  <si>
    <t>Lizin és metionin aránya 2:1.</t>
  </si>
  <si>
    <t>Sörélesztő I.o. (45%)</t>
  </si>
  <si>
    <t>Purimix tojó extra koncentrátum 26%</t>
  </si>
  <si>
    <t>Másik táp</t>
  </si>
  <si>
    <t>Kukoricakeményítő (0,7%)</t>
  </si>
  <si>
    <r>
      <t xml:space="preserve">Extrahált repcedara (min. 31%)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</si>
  <si>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Diamond 75 baktérium fehérjeliszt</t>
  </si>
  <si>
    <r>
      <t xml:space="preserve">Extrahált szójadara (46,45%) </t>
    </r>
    <r>
      <rPr>
        <b/>
        <sz val="11"/>
        <color rgb="FFFF0000"/>
        <rFont val="Calibri"/>
        <family val="2"/>
        <charset val="238"/>
        <scheme val="minor"/>
      </rPr>
      <t>(PURINA)</t>
    </r>
  </si>
  <si>
    <t>Cargil etalon extra tojó premix 4%</t>
  </si>
  <si>
    <t>Broiler Clinacox (indító/nevelőhöz)(GY)</t>
  </si>
  <si>
    <t>Baromfi fajta sorszáma a fajták lapfülről:</t>
  </si>
  <si>
    <t>Agrogold roppantott takarmány keverék</t>
  </si>
  <si>
    <t>&lt;- extra infó!</t>
  </si>
  <si>
    <t>Ny. fehérje</t>
  </si>
  <si>
    <t>Napraforgó pogácsa/pellet/dara (23%)</t>
  </si>
  <si>
    <r>
      <t xml:space="preserve">Extrahált szójadara (45,5%) 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</si>
  <si>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házi tojó</t>
  </si>
  <si>
    <t>Szójabab hőkezelt (36%)</t>
  </si>
  <si>
    <t>Zöld</t>
  </si>
  <si>
    <t>Száraz pékárú (kenyérfélék)</t>
  </si>
  <si>
    <t>HIBÁS</t>
  </si>
  <si>
    <t>Növényi zsírpor</t>
  </si>
  <si>
    <t>Állati zsírpor</t>
  </si>
  <si>
    <t>Vitapol Pulvis (huminsavas kieg.)</t>
  </si>
  <si>
    <t>Szárított almatörköly</t>
  </si>
  <si>
    <r>
      <t xml:space="preserve">Burgonya fehérje (80%) </t>
    </r>
    <r>
      <rPr>
        <b/>
        <sz val="11"/>
        <color rgb="FF00B050"/>
        <rFont val="Calibri"/>
        <family val="2"/>
        <charset val="238"/>
        <scheme val="minor"/>
      </rPr>
      <t>(KJK)</t>
    </r>
  </si>
  <si>
    <t>Réti here (lóhere/vörös here) szénája</t>
  </si>
  <si>
    <t>Tojó premix (211-889) több színező 2,5%</t>
  </si>
  <si>
    <t>Tojó premix (211-893) színező 2,5%</t>
  </si>
  <si>
    <t>Hidegen sajtolt lenmagdara (18%)</t>
  </si>
  <si>
    <t>Versele</t>
  </si>
  <si>
    <t>Versele Laga tojó koncentrátum 40%</t>
  </si>
  <si>
    <r>
      <t>Extrahált napraforgódara (36%)</t>
    </r>
    <r>
      <rPr>
        <b/>
        <sz val="11"/>
        <color theme="6" tint="-0.499984740745262"/>
        <rFont val="Calibri"/>
        <family val="2"/>
        <charset val="238"/>
        <scheme val="minor"/>
      </rPr>
      <t>(BÁBOLNA)</t>
    </r>
  </si>
  <si>
    <t>Extrahált szójadara (34%)</t>
  </si>
  <si>
    <t>KRN 3045-0/XXEFi árutojó premix 3%</t>
  </si>
  <si>
    <t>Feed SAEFETY NP árutojó B/R14 kp 2%</t>
  </si>
  <si>
    <t>Sunpro46 extrahált napraforgódara (46%)</t>
  </si>
  <si>
    <t>0-7 napos kor között maximum 10% adagolható.</t>
  </si>
  <si>
    <r>
      <t xml:space="preserve">Kukoricaglutén (58,5%)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</si>
  <si>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r>
      <t xml:space="preserve">DDGS kukorica (30%) </t>
    </r>
    <r>
      <rPr>
        <b/>
        <sz val="11"/>
        <color theme="9" tint="-0.499984740745262"/>
        <rFont val="Calibri"/>
        <family val="2"/>
        <charset val="238"/>
        <scheme val="minor"/>
      </rPr>
      <t>(Agromenza)</t>
    </r>
  </si>
  <si>
    <t>B&amp;T árutojó koncentrátum  35-40%</t>
  </si>
  <si>
    <t>HUNLAND Top tojó koncentrátum 25-30%</t>
  </si>
  <si>
    <t>Extrahált napraforgódara (35,5%)</t>
  </si>
  <si>
    <t>SoyFree</t>
  </si>
  <si>
    <t>Feedlab árutojó premix 3%</t>
  </si>
  <si>
    <t>kettősh.-2,5kg</t>
  </si>
  <si>
    <t>kettősh.+2,5kg</t>
  </si>
  <si>
    <t>Extrahált napraforgódara (35%)</t>
  </si>
  <si>
    <t>Nagyhegyesi tojótyúk koncentrátum I.</t>
  </si>
  <si>
    <t>Medvehagyma</t>
  </si>
  <si>
    <t>Héjtalanított napraf. pellet (50%)</t>
  </si>
  <si>
    <t>Versele-Laga Gra mix</t>
  </si>
  <si>
    <t>Extrahált repcedara (34%)</t>
  </si>
  <si>
    <t>Sunpro20 extrahált napraforgódara (21%)</t>
  </si>
  <si>
    <t>Fúúdejó brojler ind-nev koncentr. 35%</t>
  </si>
  <si>
    <t>Fúúdejó árútojó koncentrátum 40%</t>
  </si>
  <si>
    <t>Fúúdejó süldő-hízó koncentrátum 20-15%</t>
  </si>
  <si>
    <t>Platino Malac-koca konc. 15-20%</t>
  </si>
  <si>
    <r>
      <t xml:space="preserve">Extrahált szójadara (46%)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</si>
  <si>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r>
      <t xml:space="preserve">Extrahált napraforgódara (35,5%) </t>
    </r>
    <r>
      <rPr>
        <b/>
        <sz val="11"/>
        <color theme="7" tint="-0.249977111117893"/>
        <rFont val="Calibri"/>
        <family val="2"/>
        <charset val="238"/>
        <scheme val="minor"/>
      </rPr>
      <t>(BÉTAK)</t>
    </r>
  </si>
  <si>
    <t>Tökmag pogácsa/pellet/Liszt (61,76%)</t>
  </si>
  <si>
    <t>Alföldi zabos-borsós darakeverék</t>
  </si>
  <si>
    <t>Ebben az adagolási ajánlásban nem működik</t>
  </si>
  <si>
    <t>Puffasztott lárva (BSF SYSTEMS Kft.)</t>
  </si>
  <si>
    <r>
      <t xml:space="preserve">Burgonya fehérje (76,5%) </t>
    </r>
    <r>
      <rPr>
        <b/>
        <sz val="11"/>
        <color rgb="FFFF0000"/>
        <rFont val="Calibri"/>
        <family val="2"/>
        <charset val="238"/>
        <scheme val="minor"/>
      </rPr>
      <t>(PROFEED)</t>
    </r>
  </si>
  <si>
    <t>Napraforgó púder (52%)</t>
  </si>
  <si>
    <t>Mester &amp; Major csirke SUPPLEMENT</t>
  </si>
  <si>
    <t>Általános rovarliszt</t>
  </si>
  <si>
    <t>Napraforgó pogácsa/pellet/dara (25%)</t>
  </si>
  <si>
    <t>Extrahált napraforgódara (42%)</t>
  </si>
  <si>
    <t>Bandrino árutojó koncentrátum 35%</t>
  </si>
  <si>
    <t>Árutojó koncentrátum 28%</t>
  </si>
  <si>
    <t>Protamino Fino konc. (ind.-nev.-bef.)</t>
  </si>
  <si>
    <t>Protamino Classico konc. (ind.-nev.)(GY)</t>
  </si>
  <si>
    <t>afeed mix DBK-HYD (nev.- bef.) konc. 25-30%</t>
  </si>
  <si>
    <t>afeed mix DBK-N tojó koncentrátum 25%</t>
  </si>
  <si>
    <t>hibás</t>
  </si>
  <si>
    <r>
      <t>DDGS kukorica (32%)</t>
    </r>
    <r>
      <rPr>
        <sz val="11"/>
        <color theme="8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499984740745262"/>
        <rFont val="Calibri"/>
        <family val="2"/>
        <charset val="238"/>
        <scheme val="minor"/>
      </rPr>
      <t>(DÉLIFARM)</t>
    </r>
  </si>
  <si>
    <t>Energomix 1%</t>
  </si>
  <si>
    <t>Agrofeed</t>
  </si>
  <si>
    <t>Fit háztáji baromfi komplett premix 2,5%</t>
  </si>
  <si>
    <t>Fit árutojó komplett premix 1%</t>
  </si>
  <si>
    <t>COCCIFORT (broiler csirkék és nyulaknak kokcidi.)</t>
  </si>
  <si>
    <t>Univit-B KOLOR (enzimek nélküli premix)</t>
  </si>
  <si>
    <t>Univit-P (pulyka (blackhead megelőzés) premix)</t>
  </si>
  <si>
    <t>KBP-113 árutojó csibe premix (indító)</t>
  </si>
  <si>
    <t>KBP-114 árutojó jérce premix (nevelő)</t>
  </si>
  <si>
    <t>KBP-117 árutójó premix</t>
  </si>
  <si>
    <t>KBP-118 TOP árutojó premix</t>
  </si>
  <si>
    <t>KBP-110 Brojler Indító-nevelő premix</t>
  </si>
  <si>
    <t>KBP-112 Brojler befejező premix</t>
  </si>
  <si>
    <t>KBP-150 Brojler indító premix</t>
  </si>
  <si>
    <t>KBP-151 Brojler nevelő premix</t>
  </si>
  <si>
    <t>KBP-152 Brojler befejező premix</t>
  </si>
  <si>
    <t>KBP-155 TOP Brojler indító premix</t>
  </si>
  <si>
    <t>KBP-156 TOP Brojler nevelő premix</t>
  </si>
  <si>
    <t>KBP-157 TOP Brojler befejező premix</t>
  </si>
  <si>
    <t>Tojó premix Bábolna 1,25% (volt KBP-115)</t>
  </si>
  <si>
    <t>Broiler indító premix (211-187) 3%</t>
  </si>
  <si>
    <t>Broiler indító premix (211-188) 3%</t>
  </si>
  <si>
    <t>Broiler nevelő premix (211-387) 3%</t>
  </si>
  <si>
    <t>Broiler nevelő premix (211-388) 3%</t>
  </si>
  <si>
    <t>Brojler befejező premix (211-481) 3%</t>
  </si>
  <si>
    <r>
      <t>Kendermag pellet (32%)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92D050"/>
        <rFont val="Calibri"/>
        <family val="2"/>
        <charset val="238"/>
        <scheme val="minor"/>
      </rPr>
      <t>(Magtárház)</t>
    </r>
  </si>
  <si>
    <t>Kendermag pellet (30%)</t>
  </si>
  <si>
    <r>
      <t>Kendermag pellet (61,76%)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rgb="FFFFC000"/>
        <rFont val="Calibri"/>
        <family val="2"/>
        <charset val="238"/>
        <scheme val="minor"/>
      </rPr>
      <t>(Csalibázis)</t>
    </r>
  </si>
  <si>
    <r>
      <t>Kendermag pellet (32,19%)</t>
    </r>
    <r>
      <rPr>
        <b/>
        <sz val="11"/>
        <color theme="6" tint="-0.499984740745262"/>
        <rFont val="Calibri"/>
        <family val="2"/>
        <charset val="238"/>
        <scheme val="minor"/>
      </rPr>
      <t xml:space="preserve"> </t>
    </r>
    <r>
      <rPr>
        <b/>
        <sz val="11"/>
        <color theme="8" tint="-0.249977111117893"/>
        <rFont val="Calibri"/>
        <family val="2"/>
        <charset val="238"/>
        <scheme val="minor"/>
      </rPr>
      <t>(TTMBIO)</t>
    </r>
  </si>
  <si>
    <t>Kendermag pellet (28%)</t>
  </si>
  <si>
    <t>Tökmag pogácsa/pellet/Liszt (40%)</t>
  </si>
  <si>
    <t>UBM Árutojó PA 2% OM</t>
  </si>
  <si>
    <t>Broiler indító-nevelő komplett premix 2,5%</t>
  </si>
  <si>
    <t>Tojó koncentrátum 30% sárga címkés</t>
  </si>
  <si>
    <t>Likra</t>
  </si>
  <si>
    <t>Likracid Dry</t>
  </si>
  <si>
    <t>BR 2-0 broiler premix</t>
  </si>
  <si>
    <t>G 2-HU Tojó premix</t>
  </si>
  <si>
    <t>szintentartó</t>
  </si>
  <si>
    <t>Nosnice BK koncentrátum tojótyúkoknak</t>
  </si>
  <si>
    <t>Tökmag pogácsa/pellet/Liszt (65%)</t>
  </si>
  <si>
    <t>mindkettő</t>
  </si>
  <si>
    <t>Lucerna liszt</t>
  </si>
  <si>
    <t xml:space="preserve">Búza </t>
  </si>
  <si>
    <t>Cirok</t>
  </si>
  <si>
    <t>Köles</t>
  </si>
  <si>
    <t xml:space="preserve">Rizs </t>
  </si>
  <si>
    <t>Tönkölybúza</t>
  </si>
  <si>
    <t>Bab</t>
  </si>
  <si>
    <t>Borsó</t>
  </si>
  <si>
    <t xml:space="preserve">Lencse </t>
  </si>
  <si>
    <r>
      <t>Szójabab</t>
    </r>
    <r>
      <rPr>
        <sz val="10"/>
        <color theme="1"/>
        <rFont val="Calibri"/>
        <family val="2"/>
        <charset val="238"/>
        <scheme val="minor"/>
      </rPr>
      <t/>
    </r>
  </si>
  <si>
    <t xml:space="preserve">Napraforgó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</si>
</sst>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\ &quot;Ft&quot;"/>
  </numFmts>
  <fonts count="30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4" tint="-0.499984740745262"/>
      <name val="Calibri"/>
      <family val="2"/>
      <charset val="238"/>
      <scheme val="minor"/>
    </font>
    <font>
      <b/>
      <sz val="11"/>
      <color theme="6" tint="-0.499984740745262"/>
      <name val="Calibri"/>
      <family val="2"/>
      <charset val="238"/>
      <scheme val="minor"/>
    </font>
    <font>
      <b/>
      <sz val="9"/>
      <color theme="4" tint="-0.499984740745262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7" tint="-0.249977111117893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b/>
      <sz val="11"/>
      <color theme="8" tint="-0.499984740745262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66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57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2" fontId="0" fillId="0" borderId="4" xfId="0" applyNumberFormat="1" applyFill="1" applyBorder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0" fillId="0" borderId="0" xfId="0" applyFill="1" applyProtection="1">
      <protection hidden="1"/>
    </xf>
    <xf numFmtId="164" fontId="0" fillId="0" borderId="0" xfId="0" applyNumberFormat="1" applyFill="1" applyBorder="1" applyAlignment="1" applyProtection="1">
      <alignment horizontal="left"/>
      <protection hidden="1"/>
    </xf>
    <xf numFmtId="0" fontId="0" fillId="0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vertical="center" wrapText="1"/>
      <protection hidden="1"/>
    </xf>
    <xf numFmtId="164" fontId="0" fillId="0" borderId="0" xfId="0" applyNumberForma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3" xfId="0" applyBorder="1" applyProtection="1">
      <protection hidden="1"/>
    </xf>
    <xf numFmtId="0" fontId="0" fillId="0" borderId="21" xfId="0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3" xfId="0" applyBorder="1" applyProtection="1">
      <protection hidden="1"/>
    </xf>
    <xf numFmtId="2" fontId="0" fillId="0" borderId="3" xfId="0" applyNumberFormat="1" applyFill="1" applyBorder="1" applyAlignment="1" applyProtection="1">
      <alignment horizontal="center"/>
      <protection hidden="1"/>
    </xf>
    <xf numFmtId="2" fontId="0" fillId="0" borderId="0" xfId="0" applyNumberFormat="1" applyBorder="1" applyProtection="1">
      <protection hidden="1"/>
    </xf>
    <xf numFmtId="9" fontId="0" fillId="0" borderId="0" xfId="0" applyNumberFormat="1" applyBorder="1" applyProtection="1">
      <protection hidden="1"/>
    </xf>
    <xf numFmtId="165" fontId="0" fillId="0" borderId="21" xfId="0" applyNumberFormat="1" applyFill="1" applyBorder="1" applyProtection="1">
      <protection hidden="1"/>
    </xf>
    <xf numFmtId="2" fontId="0" fillId="0" borderId="21" xfId="0" applyNumberFormat="1" applyFill="1" applyBorder="1" applyProtection="1">
      <protection hidden="1"/>
    </xf>
    <xf numFmtId="165" fontId="0" fillId="0" borderId="1" xfId="0" applyNumberFormat="1" applyFill="1" applyBorder="1" applyProtection="1">
      <protection hidden="1"/>
    </xf>
    <xf numFmtId="2" fontId="0" fillId="0" borderId="1" xfId="0" applyNumberFormat="1" applyFill="1" applyBorder="1" applyProtection="1">
      <protection hidden="1"/>
    </xf>
    <xf numFmtId="165" fontId="0" fillId="0" borderId="13" xfId="0" applyNumberFormat="1" applyFill="1" applyBorder="1" applyProtection="1">
      <protection hidden="1"/>
    </xf>
    <xf numFmtId="0" fontId="0" fillId="0" borderId="21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2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righ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0" borderId="0" xfId="0" applyAlignment="1" applyProtection="1">
      <alignment horizontal="center" vertical="center"/>
      <protection hidden="1"/>
    </xf>
    <xf numFmtId="2" fontId="0" fillId="0" borderId="1" xfId="0" applyNumberFormat="1" applyFill="1" applyBorder="1" applyAlignment="1" applyProtection="1">
      <alignment horizontal="center"/>
      <protection hidden="1"/>
    </xf>
    <xf numFmtId="2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Alignment="1" applyProtection="1">
      <alignment horizontal="center"/>
      <protection hidden="1"/>
    </xf>
    <xf numFmtId="0" fontId="2" fillId="0" borderId="24" xfId="0" applyFont="1" applyBorder="1" applyAlignment="1" applyProtection="1">
      <alignment horizontal="center" vertical="center" wrapText="1"/>
      <protection hidden="1"/>
    </xf>
    <xf numFmtId="2" fontId="0" fillId="0" borderId="19" xfId="0" applyNumberFormat="1" applyFill="1" applyBorder="1" applyProtection="1">
      <protection hidden="1"/>
    </xf>
    <xf numFmtId="2" fontId="0" fillId="0" borderId="11" xfId="0" applyNumberFormat="1" applyFill="1" applyBorder="1" applyProtection="1">
      <protection hidden="1"/>
    </xf>
    <xf numFmtId="0" fontId="0" fillId="0" borderId="21" xfId="0" applyFill="1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2" fontId="0" fillId="0" borderId="2" xfId="0" applyNumberForma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2" fontId="0" fillId="0" borderId="0" xfId="0" applyNumberFormat="1" applyBorder="1" applyAlignment="1" applyProtection="1">
      <alignment horizontal="center"/>
      <protection hidden="1"/>
    </xf>
    <xf numFmtId="2" fontId="0" fillId="0" borderId="3" xfId="0" applyNumberFormat="1" applyFill="1" applyBorder="1" applyProtection="1">
      <protection hidden="1"/>
    </xf>
    <xf numFmtId="2" fontId="0" fillId="0" borderId="10" xfId="0" applyNumberFormat="1" applyFill="1" applyBorder="1" applyProtection="1">
      <protection hidden="1"/>
    </xf>
    <xf numFmtId="2" fontId="0" fillId="0" borderId="9" xfId="0" applyNumberFormat="1" applyFill="1" applyBorder="1" applyProtection="1">
      <protection hidden="1"/>
    </xf>
    <xf numFmtId="0" fontId="0" fillId="0" borderId="13" xfId="0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 vertical="center" wrapText="1"/>
      <protection hidden="1"/>
    </xf>
    <xf numFmtId="0" fontId="0" fillId="0" borderId="13" xfId="0" applyFill="1" applyBorder="1" applyAlignment="1" applyProtection="1">
      <alignment horizontal="center"/>
      <protection hidden="1"/>
    </xf>
    <xf numFmtId="0" fontId="0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2" fillId="0" borderId="0" xfId="0" applyFont="1" applyFill="1" applyBorder="1" applyAlignment="1" applyProtection="1">
      <alignment horizontal="right" wrapText="1"/>
      <protection hidden="1"/>
    </xf>
    <xf numFmtId="2" fontId="2" fillId="0" borderId="0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Fill="1" applyBorder="1" applyAlignment="1" applyProtection="1">
      <alignment wrapText="1"/>
      <protection hidden="1"/>
    </xf>
    <xf numFmtId="0" fontId="2" fillId="0" borderId="29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3" borderId="31" xfId="0" applyFill="1" applyBorder="1" applyAlignment="1" applyProtection="1">
      <alignment horizontal="right" vertical="center" wrapText="1"/>
      <protection hidden="1"/>
    </xf>
    <xf numFmtId="2" fontId="0" fillId="0" borderId="36" xfId="0" applyNumberFormat="1" applyBorder="1" applyAlignment="1" applyProtection="1">
      <alignment horizontal="center"/>
      <protection hidden="1"/>
    </xf>
    <xf numFmtId="1" fontId="5" fillId="0" borderId="0" xfId="0" applyNumberFormat="1" applyFont="1" applyFill="1" applyBorder="1" applyAlignment="1" applyProtection="1">
      <alignment horizontal="center" wrapText="1"/>
      <protection hidden="1"/>
    </xf>
    <xf numFmtId="165" fontId="0" fillId="0" borderId="4" xfId="0" applyNumberForma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165" fontId="0" fillId="0" borderId="21" xfId="0" applyNumberFormat="1" applyFill="1" applyBorder="1" applyAlignment="1" applyProtection="1">
      <alignment horizontal="center"/>
      <protection hidden="1"/>
    </xf>
    <xf numFmtId="2" fontId="0" fillId="0" borderId="13" xfId="0" applyNumberFormat="1" applyFill="1" applyBorder="1" applyProtection="1">
      <protection hidden="1"/>
    </xf>
    <xf numFmtId="2" fontId="0" fillId="0" borderId="20" xfId="0" applyNumberFormat="1" applyFill="1" applyBorder="1" applyProtection="1"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2" fillId="0" borderId="35" xfId="0" applyFont="1" applyBorder="1" applyAlignment="1" applyProtection="1">
      <alignment horizontal="center" vertical="center" wrapText="1"/>
      <protection hidden="1"/>
    </xf>
    <xf numFmtId="0" fontId="2" fillId="4" borderId="35" xfId="0" applyFont="1" applyFill="1" applyBorder="1" applyAlignment="1" applyProtection="1">
      <alignment horizontal="center" vertical="center" wrapText="1"/>
      <protection hidden="1"/>
    </xf>
    <xf numFmtId="0" fontId="2" fillId="5" borderId="35" xfId="0" applyFont="1" applyFill="1" applyBorder="1" applyAlignment="1" applyProtection="1">
      <alignment horizontal="center" vertical="center" wrapText="1"/>
      <protection hidden="1"/>
    </xf>
    <xf numFmtId="0" fontId="2" fillId="0" borderId="37" xfId="0" applyFont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left"/>
      <protection hidden="1"/>
    </xf>
    <xf numFmtId="0" fontId="6" fillId="3" borderId="28" xfId="0" applyFont="1" applyFill="1" applyBorder="1" applyAlignment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4" xfId="0" applyBorder="1" applyProtection="1">
      <protection hidden="1"/>
    </xf>
    <xf numFmtId="165" fontId="0" fillId="0" borderId="4" xfId="0" applyNumberFormat="1" applyFill="1" applyBorder="1" applyProtection="1">
      <protection hidden="1"/>
    </xf>
    <xf numFmtId="165" fontId="0" fillId="0" borderId="1" xfId="0" applyNumberFormat="1" applyFill="1" applyBorder="1" applyAlignment="1" applyProtection="1">
      <alignment horizontal="center"/>
      <protection hidden="1"/>
    </xf>
    <xf numFmtId="165" fontId="0" fillId="2" borderId="1" xfId="0" applyNumberFormat="1" applyFill="1" applyBorder="1" applyAlignment="1" applyProtection="1">
      <alignment horizontal="center"/>
      <protection hidden="1"/>
    </xf>
    <xf numFmtId="0" fontId="0" fillId="12" borderId="8" xfId="0" applyFill="1" applyBorder="1" applyProtection="1">
      <protection locked="0"/>
    </xf>
    <xf numFmtId="0" fontId="0" fillId="12" borderId="12" xfId="0" applyFill="1" applyBorder="1" applyProtection="1">
      <protection locked="0"/>
    </xf>
    <xf numFmtId="165" fontId="0" fillId="0" borderId="13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Alignment="1" applyProtection="1">
      <alignment horizontal="center"/>
      <protection hidden="1"/>
    </xf>
    <xf numFmtId="2" fontId="0" fillId="0" borderId="24" xfId="0" applyNumberFormat="1" applyFill="1" applyBorder="1" applyProtection="1">
      <protection hidden="1"/>
    </xf>
    <xf numFmtId="2" fontId="0" fillId="0" borderId="25" xfId="0" applyNumberFormat="1" applyFill="1" applyBorder="1" applyProtection="1">
      <protection hidden="1"/>
    </xf>
    <xf numFmtId="0" fontId="0" fillId="12" borderId="16" xfId="0" applyFill="1" applyBorder="1" applyProtection="1">
      <protection locked="0"/>
    </xf>
    <xf numFmtId="0" fontId="0" fillId="12" borderId="18" xfId="0" applyFill="1" applyBorder="1" applyProtection="1">
      <protection locked="0"/>
    </xf>
    <xf numFmtId="0" fontId="0" fillId="4" borderId="4" xfId="0" applyFont="1" applyFill="1" applyBorder="1" applyAlignment="1" applyProtection="1">
      <alignment horizontal="center" vertical="center" wrapText="1"/>
      <protection hidden="1"/>
    </xf>
    <xf numFmtId="0" fontId="0" fillId="5" borderId="4" xfId="0" applyFont="1" applyFill="1" applyBorder="1" applyAlignment="1" applyProtection="1">
      <alignment horizontal="center" vertical="center" wrapText="1"/>
      <protection hidden="1"/>
    </xf>
    <xf numFmtId="165" fontId="0" fillId="2" borderId="13" xfId="0" applyNumberFormat="1" applyFill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13" fillId="0" borderId="24" xfId="0" applyFont="1" applyBorder="1" applyAlignment="1" applyProtection="1">
      <alignment horizontal="center" vertical="center" wrapText="1"/>
      <protection hidden="1"/>
    </xf>
    <xf numFmtId="0" fontId="0" fillId="12" borderId="23" xfId="0" applyFill="1" applyBorder="1" applyProtection="1">
      <protection locked="0"/>
    </xf>
    <xf numFmtId="165" fontId="0" fillId="0" borderId="3" xfId="0" applyNumberFormat="1" applyFill="1" applyBorder="1" applyProtection="1">
      <protection hidden="1"/>
    </xf>
    <xf numFmtId="165" fontId="0" fillId="0" borderId="3" xfId="0" applyNumberFormat="1" applyFill="1" applyBorder="1" applyAlignment="1" applyProtection="1">
      <alignment horizontal="center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47" xfId="0" applyFont="1" applyFill="1" applyBorder="1" applyAlignment="1" applyProtection="1">
      <alignment horizontal="center" vertical="center" wrapText="1"/>
      <protection hidden="1"/>
    </xf>
    <xf numFmtId="0" fontId="0" fillId="5" borderId="47" xfId="0" applyFont="1" applyFill="1" applyBorder="1" applyAlignment="1" applyProtection="1">
      <alignment horizontal="center" vertical="center" wrapText="1"/>
      <protection hidden="1"/>
    </xf>
    <xf numFmtId="0" fontId="0" fillId="2" borderId="34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165" fontId="0" fillId="5" borderId="1" xfId="0" applyNumberFormat="1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0" fillId="0" borderId="4" xfId="0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Protection="1">
      <protection hidden="1"/>
    </xf>
    <xf numFmtId="164" fontId="0" fillId="2" borderId="34" xfId="0" applyNumberFormat="1" applyFill="1" applyBorder="1" applyAlignment="1" applyProtection="1">
      <alignment horizontal="center"/>
      <protection hidden="1"/>
    </xf>
    <xf numFmtId="0" fontId="0" fillId="2" borderId="7" xfId="0" applyFill="1" applyBorder="1" applyProtection="1">
      <protection hidden="1"/>
    </xf>
    <xf numFmtId="164" fontId="0" fillId="2" borderId="7" xfId="0" applyNumberFormat="1" applyFill="1" applyBorder="1" applyAlignment="1" applyProtection="1">
      <alignment horizontal="center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164" fontId="0" fillId="2" borderId="34" xfId="0" applyNumberFormat="1" applyFill="1" applyBorder="1" applyAlignment="1" applyProtection="1">
      <alignment horizontal="left"/>
      <protection hidden="1"/>
    </xf>
    <xf numFmtId="0" fontId="0" fillId="2" borderId="34" xfId="0" applyFill="1" applyBorder="1" applyAlignment="1" applyProtection="1">
      <alignment horizontal="center" vertical="center"/>
      <protection hidden="1"/>
    </xf>
    <xf numFmtId="0" fontId="0" fillId="2" borderId="34" xfId="0" applyFill="1" applyBorder="1" applyAlignment="1" applyProtection="1">
      <protection hidden="1"/>
    </xf>
    <xf numFmtId="0" fontId="0" fillId="2" borderId="7" xfId="0" applyFill="1" applyBorder="1" applyAlignment="1" applyProtection="1">
      <protection hidden="1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3" xfId="0" applyFill="1" applyBorder="1" applyProtection="1">
      <protection hidden="1"/>
    </xf>
    <xf numFmtId="165" fontId="0" fillId="2" borderId="4" xfId="0" applyNumberFormat="1" applyFill="1" applyBorder="1" applyAlignment="1" applyProtection="1">
      <alignment horizontal="center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Protection="1">
      <protection hidden="1"/>
    </xf>
    <xf numFmtId="0" fontId="0" fillId="0" borderId="0" xfId="0" applyAlignment="1" applyProtection="1">
      <alignment horizontal="center" wrapText="1"/>
      <protection hidden="1"/>
    </xf>
    <xf numFmtId="0" fontId="0" fillId="2" borderId="1" xfId="0" applyFill="1" applyBorder="1" applyProtection="1">
      <protection hidden="1"/>
    </xf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2" borderId="42" xfId="0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0" fontId="0" fillId="2" borderId="39" xfId="0" applyFill="1" applyBorder="1" applyProtection="1">
      <protection hidden="1"/>
    </xf>
    <xf numFmtId="164" fontId="0" fillId="0" borderId="0" xfId="0" applyNumberFormat="1" applyFill="1" applyBorder="1" applyAlignment="1" applyProtection="1">
      <alignment vertical="center" wrapText="1"/>
      <protection hidden="1"/>
    </xf>
    <xf numFmtId="164" fontId="0" fillId="2" borderId="34" xfId="0" applyNumberFormat="1" applyFill="1" applyBorder="1" applyAlignment="1" applyProtection="1">
      <alignment vertical="center"/>
      <protection hidden="1"/>
    </xf>
    <xf numFmtId="164" fontId="0" fillId="2" borderId="34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" xfId="0" applyFill="1" applyBorder="1" applyAlignment="1" applyProtection="1">
      <alignment horizontal="center"/>
      <protection hidden="1"/>
    </xf>
    <xf numFmtId="2" fontId="0" fillId="3" borderId="4" xfId="0" applyNumberFormat="1" applyFill="1" applyBorder="1" applyAlignment="1" applyProtection="1">
      <alignment horizontal="center"/>
      <protection locked="0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Fill="1" applyAlignment="1" applyProtection="1">
      <alignment horizontal="left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2" borderId="3" xfId="0" applyNumberFormat="1" applyFill="1" applyBorder="1" applyAlignment="1" applyProtection="1">
      <alignment horizontal="center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Protection="1"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165" fontId="0" fillId="0" borderId="6" xfId="0" applyNumberFormat="1" applyFill="1" applyBorder="1" applyProtection="1">
      <protection hidden="1"/>
    </xf>
    <xf numFmtId="165" fontId="0" fillId="0" borderId="47" xfId="0" applyNumberFormat="1" applyFill="1" applyBorder="1" applyProtection="1">
      <protection hidden="1"/>
    </xf>
    <xf numFmtId="2" fontId="0" fillId="0" borderId="47" xfId="0" applyNumberFormat="1" applyFill="1" applyBorder="1" applyAlignment="1" applyProtection="1">
      <alignment horizontal="center"/>
      <protection hidden="1"/>
    </xf>
    <xf numFmtId="0" fontId="0" fillId="0" borderId="47" xfId="0" applyBorder="1" applyProtection="1">
      <protection hidden="1"/>
    </xf>
    <xf numFmtId="165" fontId="0" fillId="0" borderId="47" xfId="0" applyNumberFormat="1" applyFill="1" applyBorder="1" applyAlignment="1" applyProtection="1">
      <alignment horizontal="center"/>
      <protection hidden="1"/>
    </xf>
    <xf numFmtId="2" fontId="0" fillId="0" borderId="47" xfId="0" applyNumberFormat="1" applyFill="1" applyBorder="1" applyProtection="1">
      <protection hidden="1"/>
    </xf>
    <xf numFmtId="2" fontId="0" fillId="0" borderId="57" xfId="0" applyNumberFormat="1" applyFill="1" applyBorder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1" fontId="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13" borderId="0" xfId="0" applyFont="1" applyFill="1" applyBorder="1" applyAlignment="1" applyProtection="1">
      <alignment horizontal="left" vertical="center"/>
      <protection hidden="1"/>
    </xf>
    <xf numFmtId="0" fontId="0" fillId="10" borderId="15" xfId="0" applyFill="1" applyBorder="1" applyAlignment="1" applyProtection="1">
      <alignment horizontal="right" vertical="center"/>
      <protection hidden="1"/>
    </xf>
    <xf numFmtId="0" fontId="10" fillId="9" borderId="36" xfId="0" applyFont="1" applyFill="1" applyBorder="1" applyAlignment="1" applyProtection="1">
      <alignment horizontal="center" vertical="center"/>
      <protection locked="0"/>
    </xf>
    <xf numFmtId="0" fontId="10" fillId="7" borderId="48" xfId="0" applyFont="1" applyFill="1" applyBorder="1" applyAlignment="1" applyProtection="1">
      <alignment horizontal="center" vertical="center" wrapText="1"/>
      <protection locked="0"/>
    </xf>
    <xf numFmtId="0" fontId="2" fillId="14" borderId="24" xfId="0" applyFont="1" applyFill="1" applyBorder="1" applyAlignment="1" applyProtection="1">
      <alignment horizontal="center" vertical="center" wrapText="1"/>
      <protection hidden="1"/>
    </xf>
    <xf numFmtId="0" fontId="7" fillId="14" borderId="24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0" xfId="0" applyFont="1" applyAlignment="1" applyProtection="1">
      <alignment horizontal="center" wrapText="1"/>
      <protection hidden="1"/>
    </xf>
    <xf numFmtId="0" fontId="6" fillId="4" borderId="22" xfId="0" applyFont="1" applyFill="1" applyBorder="1" applyAlignment="1" applyProtection="1">
      <alignment horizontal="center"/>
      <protection hidden="1"/>
    </xf>
    <xf numFmtId="0" fontId="6" fillId="4" borderId="27" xfId="0" applyFont="1" applyFill="1" applyBorder="1" applyAlignment="1" applyProtection="1">
      <protection hidden="1"/>
    </xf>
    <xf numFmtId="0" fontId="6" fillId="10" borderId="22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protection hidden="1"/>
    </xf>
    <xf numFmtId="0" fontId="6" fillId="10" borderId="27" xfId="0" applyFont="1" applyFill="1" applyBorder="1" applyAlignment="1" applyProtection="1">
      <protection hidden="1"/>
    </xf>
    <xf numFmtId="0" fontId="6" fillId="0" borderId="0" xfId="0" applyFont="1" applyBorder="1" applyAlignment="1" applyProtection="1">
      <alignment wrapText="1"/>
      <protection hidden="1"/>
    </xf>
    <xf numFmtId="0" fontId="6" fillId="6" borderId="22" xfId="0" applyFont="1" applyFill="1" applyBorder="1" applyAlignment="1" applyProtection="1">
      <alignment horizontal="center"/>
      <protection hidden="1"/>
    </xf>
    <xf numFmtId="0" fontId="6" fillId="8" borderId="22" xfId="0" applyFont="1" applyFill="1" applyBorder="1" applyAlignment="1" applyProtection="1">
      <alignment horizontal="center"/>
      <protection hidden="1"/>
    </xf>
    <xf numFmtId="0" fontId="6" fillId="8" borderId="27" xfId="0" applyFont="1" applyFill="1" applyBorder="1" applyAlignment="1" applyProtection="1">
      <protection hidden="1"/>
    </xf>
    <xf numFmtId="0" fontId="6" fillId="3" borderId="22" xfId="0" applyFont="1" applyFill="1" applyBorder="1" applyAlignment="1" applyProtection="1">
      <alignment horizontal="center" wrapText="1"/>
      <protection hidden="1"/>
    </xf>
    <xf numFmtId="0" fontId="6" fillId="6" borderId="15" xfId="0" applyFont="1" applyFill="1" applyBorder="1" applyAlignment="1" applyProtection="1">
      <alignment horizontal="center"/>
      <protection hidden="1"/>
    </xf>
    <xf numFmtId="0" fontId="6" fillId="6" borderId="28" xfId="0" applyFont="1" applyFill="1" applyBorder="1" applyAlignment="1" applyProtection="1">
      <alignment horizontal="left"/>
      <protection hidden="1"/>
    </xf>
    <xf numFmtId="0" fontId="6" fillId="3" borderId="15" xfId="0" applyFont="1" applyFill="1" applyBorder="1" applyAlignment="1" applyProtection="1">
      <alignment horizontal="center" wrapText="1"/>
      <protection hidden="1"/>
    </xf>
    <xf numFmtId="0" fontId="6" fillId="0" borderId="0" xfId="0" applyFont="1" applyFill="1" applyBorder="1" applyAlignment="1" applyProtection="1">
      <alignment wrapText="1"/>
      <protection hidden="1"/>
    </xf>
    <xf numFmtId="2" fontId="7" fillId="0" borderId="0" xfId="0" applyNumberFormat="1" applyFont="1" applyFill="1" applyBorder="1" applyAlignment="1" applyProtection="1">
      <alignment horizontal="center" wrapText="1"/>
      <protection hidden="1"/>
    </xf>
    <xf numFmtId="0" fontId="6" fillId="0" borderId="0" xfId="0" applyFont="1" applyFill="1" applyAlignment="1" applyProtection="1">
      <protection hidden="1"/>
    </xf>
    <xf numFmtId="0" fontId="6" fillId="8" borderId="15" xfId="0" applyFont="1" applyFill="1" applyBorder="1" applyAlignment="1" applyProtection="1">
      <alignment horizontal="center"/>
      <protection hidden="1"/>
    </xf>
    <xf numFmtId="0" fontId="6" fillId="8" borderId="28" xfId="0" applyFont="1" applyFill="1" applyBorder="1" applyAlignment="1" applyProtection="1">
      <protection hidden="1"/>
    </xf>
    <xf numFmtId="0" fontId="6" fillId="4" borderId="27" xfId="0" applyFont="1" applyFill="1" applyBorder="1" applyAlignment="1" applyProtection="1">
      <alignment wrapText="1"/>
      <protection hidden="1"/>
    </xf>
    <xf numFmtId="0" fontId="6" fillId="0" borderId="0" xfId="0" applyFont="1" applyFill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6" fillId="0" borderId="0" xfId="0" applyFont="1" applyFill="1" applyBorder="1" applyAlignment="1" applyProtection="1">
      <alignment horizontal="center"/>
      <protection hidden="1"/>
    </xf>
    <xf numFmtId="0" fontId="6" fillId="4" borderId="15" xfId="0" applyFont="1" applyFill="1" applyBorder="1" applyAlignment="1" applyProtection="1">
      <alignment horizontal="center"/>
      <protection hidden="1"/>
    </xf>
    <xf numFmtId="0" fontId="6" fillId="4" borderId="28" xfId="0" applyFont="1" applyFill="1" applyBorder="1" applyAlignment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Alignment="1" applyProtection="1">
      <alignment horizontal="center"/>
      <protection hidden="1"/>
    </xf>
    <xf numFmtId="0" fontId="0" fillId="4" borderId="6" xfId="0" applyFont="1" applyFill="1" applyBorder="1" applyAlignment="1" applyProtection="1">
      <alignment horizontal="center" vertical="center" wrapText="1"/>
      <protection hidden="1"/>
    </xf>
    <xf numFmtId="0" fontId="0" fillId="5" borderId="6" xfId="0" applyFont="1" applyFill="1" applyBorder="1" applyAlignment="1" applyProtection="1">
      <alignment horizontal="center" vertical="center" wrapText="1"/>
      <protection hidden="1"/>
    </xf>
    <xf numFmtId="2" fontId="0" fillId="0" borderId="6" xfId="0" applyNumberFormat="1" applyFill="1" applyBorder="1" applyProtection="1">
      <protection hidden="1"/>
    </xf>
    <xf numFmtId="2" fontId="0" fillId="0" borderId="60" xfId="0" applyNumberFormat="1" applyFill="1" applyBorder="1" applyProtection="1">
      <protection hidden="1"/>
    </xf>
    <xf numFmtId="165" fontId="0" fillId="2" borderId="6" xfId="0" applyNumberFormat="1" applyFill="1" applyBorder="1" applyAlignment="1" applyProtection="1">
      <alignment horizontal="center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14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2" fillId="14" borderId="37" xfId="0" applyFont="1" applyFill="1" applyBorder="1" applyAlignment="1" applyProtection="1">
      <alignment horizontal="center" vertical="center" wrapText="1"/>
      <protection hidden="1"/>
    </xf>
    <xf numFmtId="0" fontId="13" fillId="0" borderId="25" xfId="0" applyFont="1" applyBorder="1" applyAlignment="1" applyProtection="1">
      <alignment horizontal="center" vertical="center" wrapText="1"/>
      <protection hidden="1"/>
    </xf>
    <xf numFmtId="2" fontId="2" fillId="8" borderId="5" xfId="0" applyNumberFormat="1" applyFont="1" applyFill="1" applyBorder="1" applyAlignment="1" applyProtection="1">
      <alignment horizontal="center" vertical="center" wrapText="1"/>
      <protection locked="0"/>
    </xf>
    <xf numFmtId="2" fontId="2" fillId="8" borderId="33" xfId="0" applyNumberFormat="1" applyFont="1" applyFill="1" applyBorder="1" applyAlignment="1" applyProtection="1">
      <alignment horizontal="center" vertical="center" wrapText="1"/>
      <protection locked="0"/>
    </xf>
    <xf numFmtId="2" fontId="0" fillId="0" borderId="21" xfId="0" applyNumberFormat="1" applyBorder="1" applyAlignment="1" applyProtection="1">
      <alignment vertical="center" wrapText="1"/>
      <protection hidden="1"/>
    </xf>
    <xf numFmtId="2" fontId="0" fillId="3" borderId="21" xfId="0" applyNumberFormat="1" applyFill="1" applyBorder="1" applyAlignment="1" applyProtection="1">
      <alignment horizontal="center"/>
      <protection locked="0"/>
    </xf>
    <xf numFmtId="2" fontId="0" fillId="0" borderId="13" xfId="0" applyNumberFormat="1" applyBorder="1" applyAlignment="1" applyProtection="1">
      <alignment vertical="center" wrapText="1"/>
      <protection hidden="1"/>
    </xf>
    <xf numFmtId="0" fontId="2" fillId="2" borderId="60" xfId="0" applyFont="1" applyFill="1" applyBorder="1" applyAlignment="1" applyProtection="1">
      <alignment horizontal="center" vertical="center" wrapText="1"/>
      <protection hidden="1"/>
    </xf>
    <xf numFmtId="0" fontId="2" fillId="15" borderId="38" xfId="0" applyFont="1" applyFill="1" applyBorder="1" applyAlignment="1" applyProtection="1">
      <alignment horizontal="center" vertical="center" wrapText="1"/>
      <protection hidden="1"/>
    </xf>
    <xf numFmtId="0" fontId="2" fillId="15" borderId="5" xfId="0" applyFont="1" applyFill="1" applyBorder="1" applyAlignment="1" applyProtection="1">
      <alignment horizontal="center" vertical="center" wrapText="1"/>
      <protection hidden="1"/>
    </xf>
    <xf numFmtId="2" fontId="2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14" xfId="0" applyFont="1" applyFill="1" applyBorder="1" applyAlignment="1" applyProtection="1">
      <alignment horizontal="center"/>
      <protection hidden="1"/>
    </xf>
    <xf numFmtId="0" fontId="6" fillId="10" borderId="30" xfId="0" applyFont="1" applyFill="1" applyBorder="1" applyAlignment="1" applyProtection="1">
      <protection hidden="1"/>
    </xf>
    <xf numFmtId="0" fontId="6" fillId="10" borderId="26" xfId="0" applyFont="1" applyFill="1" applyBorder="1" applyAlignment="1" applyProtection="1">
      <protection hidden="1"/>
    </xf>
    <xf numFmtId="0" fontId="6" fillId="10" borderId="0" xfId="0" applyFont="1" applyFill="1" applyBorder="1" applyAlignment="1" applyProtection="1">
      <alignment wrapText="1"/>
      <protection hidden="1"/>
    </xf>
    <xf numFmtId="0" fontId="6" fillId="10" borderId="22" xfId="0" applyFont="1" applyFill="1" applyBorder="1" applyAlignment="1" applyProtection="1">
      <alignment horizontal="center" wrapText="1"/>
      <protection hidden="1"/>
    </xf>
    <xf numFmtId="0" fontId="6" fillId="8" borderId="14" xfId="0" applyFont="1" applyFill="1" applyBorder="1" applyAlignment="1" applyProtection="1">
      <alignment horizontal="center"/>
      <protection hidden="1"/>
    </xf>
    <xf numFmtId="0" fontId="6" fillId="8" borderId="26" xfId="0" applyFont="1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12" borderId="53" xfId="0" applyFill="1" applyBorder="1" applyProtection="1">
      <protection locked="0"/>
    </xf>
    <xf numFmtId="0" fontId="0" fillId="12" borderId="54" xfId="0" applyFill="1" applyBorder="1" applyProtection="1">
      <protection locked="0"/>
    </xf>
    <xf numFmtId="0" fontId="0" fillId="12" borderId="39" xfId="0" applyFill="1" applyBorder="1" applyProtection="1">
      <protection locked="0"/>
    </xf>
    <xf numFmtId="0" fontId="0" fillId="12" borderId="52" xfId="0" applyFill="1" applyBorder="1" applyProtection="1">
      <protection locked="0"/>
    </xf>
    <xf numFmtId="0" fontId="0" fillId="12" borderId="51" xfId="0" applyFill="1" applyBorder="1" applyProtection="1">
      <protection locked="0"/>
    </xf>
    <xf numFmtId="0" fontId="0" fillId="12" borderId="59" xfId="0" applyFill="1" applyBorder="1" applyProtection="1">
      <protection locked="0"/>
    </xf>
    <xf numFmtId="165" fontId="0" fillId="5" borderId="21" xfId="0" applyNumberFormat="1" applyFill="1" applyBorder="1" applyAlignment="1" applyProtection="1">
      <alignment horizontal="center"/>
      <protection hidden="1"/>
    </xf>
    <xf numFmtId="0" fontId="0" fillId="5" borderId="21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2" borderId="40" xfId="0" applyFill="1" applyBorder="1" applyProtection="1">
      <protection hidden="1"/>
    </xf>
    <xf numFmtId="0" fontId="0" fillId="0" borderId="0" xfId="0" applyFill="1" applyBorder="1" applyAlignment="1" applyProtection="1">
      <alignment horizontal="left" vertical="center" wrapText="1"/>
      <protection hidden="1"/>
    </xf>
    <xf numFmtId="164" fontId="0" fillId="5" borderId="2" xfId="0" applyNumberFormat="1" applyFill="1" applyBorder="1" applyAlignment="1" applyProtection="1">
      <alignment vertical="center" wrapText="1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2" fontId="0" fillId="8" borderId="18" xfId="0" applyNumberFormat="1" applyFill="1" applyBorder="1" applyAlignment="1" applyProtection="1">
      <alignment vertical="center" wrapText="1"/>
      <protection locked="0"/>
    </xf>
    <xf numFmtId="2" fontId="0" fillId="8" borderId="12" xfId="0" applyNumberFormat="1" applyFill="1" applyBorder="1" applyAlignment="1" applyProtection="1">
      <alignment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6" fillId="6" borderId="14" xfId="0" applyFont="1" applyFill="1" applyBorder="1" applyAlignment="1" applyProtection="1">
      <alignment horizontal="center"/>
      <protection hidden="1"/>
    </xf>
    <xf numFmtId="0" fontId="6" fillId="6" borderId="26" xfId="0" applyFont="1" applyFill="1" applyBorder="1" applyAlignment="1" applyProtection="1">
      <protection hidden="1"/>
    </xf>
    <xf numFmtId="0" fontId="6" fillId="6" borderId="27" xfId="0" applyFont="1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2" borderId="29" xfId="0" applyFill="1" applyBorder="1" applyAlignment="1" applyProtection="1">
      <alignment vertical="center" wrapText="1"/>
      <protection hidden="1"/>
    </xf>
    <xf numFmtId="2" fontId="2" fillId="2" borderId="24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" xfId="0" applyNumberFormat="1" applyFont="1" applyFill="1" applyBorder="1" applyAlignment="1" applyProtection="1">
      <alignment horizontal="center" vertical="center" wrapText="1"/>
      <protection hidden="1"/>
    </xf>
    <xf numFmtId="2" fontId="2" fillId="2" borderId="60" xfId="0" applyNumberFormat="1" applyFont="1" applyFill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wrapText="1"/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6" fillId="10" borderId="17" xfId="0" applyFont="1" applyFill="1" applyBorder="1" applyAlignment="1" applyProtection="1">
      <alignment horizontal="center"/>
      <protection hidden="1"/>
    </xf>
    <xf numFmtId="2" fontId="7" fillId="17" borderId="2" xfId="0" applyNumberFormat="1" applyFont="1" applyFill="1" applyBorder="1" applyAlignment="1" applyProtection="1">
      <alignment vertical="center" wrapText="1"/>
      <protection hidden="1"/>
    </xf>
    <xf numFmtId="1" fontId="18" fillId="7" borderId="65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47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57" xfId="0" applyNumberFormat="1" applyFont="1" applyFill="1" applyBorder="1" applyAlignment="1" applyProtection="1">
      <alignment horizontal="center" vertical="center" wrapText="1"/>
      <protection hidden="1"/>
    </xf>
    <xf numFmtId="0" fontId="18" fillId="7" borderId="36" xfId="0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vertical="center" wrapText="1"/>
      <protection hidden="1"/>
    </xf>
    <xf numFmtId="0" fontId="20" fillId="16" borderId="2" xfId="0" applyFont="1" applyFill="1" applyBorder="1" applyAlignment="1" applyProtection="1">
      <alignment horizontal="center" vertical="center"/>
      <protection hidden="1"/>
    </xf>
    <xf numFmtId="2" fontId="20" fillId="16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6" fillId="10" borderId="27" xfId="0" applyFont="1" applyFill="1" applyBorder="1" applyAlignment="1" applyProtection="1">
      <alignment wrapText="1"/>
      <protection hidden="1"/>
    </xf>
    <xf numFmtId="2" fontId="2" fillId="8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6" borderId="2" xfId="0" applyFill="1" applyBorder="1" applyAlignment="1" applyProtection="1">
      <alignment horizontal="right" vertical="center" wrapText="1"/>
      <protection hidden="1"/>
    </xf>
    <xf numFmtId="0" fontId="0" fillId="11" borderId="2" xfId="0" applyFill="1" applyBorder="1" applyAlignment="1" applyProtection="1">
      <alignment horizontal="right" vertical="center"/>
      <protection hidden="1"/>
    </xf>
    <xf numFmtId="2" fontId="22" fillId="16" borderId="3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2" xfId="0" applyFill="1" applyBorder="1" applyAlignment="1" applyProtection="1">
      <alignment horizontal="center" vertical="center" wrapText="1"/>
      <protection hidden="1"/>
    </xf>
    <xf numFmtId="0" fontId="0" fillId="12" borderId="32" xfId="0" applyFill="1" applyBorder="1" applyProtection="1">
      <protection locked="0"/>
    </xf>
    <xf numFmtId="165" fontId="0" fillId="0" borderId="5" xfId="0" applyNumberFormat="1" applyFill="1" applyBorder="1" applyProtection="1">
      <protection hidden="1"/>
    </xf>
    <xf numFmtId="2" fontId="0" fillId="0" borderId="5" xfId="0" applyNumberFormat="1" applyFill="1" applyBorder="1" applyAlignment="1" applyProtection="1">
      <alignment horizontal="center"/>
      <protection hidden="1"/>
    </xf>
    <xf numFmtId="0" fontId="0" fillId="0" borderId="5" xfId="0" applyBorder="1" applyProtection="1">
      <protection hidden="1"/>
    </xf>
    <xf numFmtId="0" fontId="0" fillId="0" borderId="5" xfId="0" applyFill="1" applyBorder="1" applyAlignment="1" applyProtection="1">
      <alignment horizontal="center"/>
      <protection hidden="1"/>
    </xf>
    <xf numFmtId="165" fontId="0" fillId="0" borderId="5" xfId="0" applyNumberFormat="1" applyFill="1" applyBorder="1" applyAlignment="1" applyProtection="1">
      <alignment horizontal="center"/>
      <protection hidden="1"/>
    </xf>
    <xf numFmtId="0" fontId="0" fillId="4" borderId="5" xfId="0" applyFont="1" applyFill="1" applyBorder="1" applyAlignment="1" applyProtection="1">
      <alignment horizontal="center" vertical="center" wrapText="1"/>
      <protection hidden="1"/>
    </xf>
    <xf numFmtId="0" fontId="0" fillId="5" borderId="5" xfId="0" applyFont="1" applyFill="1" applyBorder="1" applyAlignment="1" applyProtection="1">
      <alignment horizontal="center" vertical="center" wrapText="1"/>
      <protection hidden="1"/>
    </xf>
    <xf numFmtId="2" fontId="0" fillId="0" borderId="5" xfId="0" applyNumberFormat="1" applyFill="1" applyBorder="1" applyProtection="1">
      <protection hidden="1"/>
    </xf>
    <xf numFmtId="2" fontId="0" fillId="0" borderId="33" xfId="0" applyNumberFormat="1" applyFill="1" applyBorder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0" fillId="0" borderId="67" xfId="0" applyNumberFormat="1" applyFill="1" applyBorder="1" applyAlignment="1" applyProtection="1">
      <alignment horizontal="center"/>
      <protection hidden="1"/>
    </xf>
    <xf numFmtId="2" fontId="0" fillId="0" borderId="42" xfId="0" applyNumberFormat="1" applyFill="1" applyBorder="1" applyAlignment="1" applyProtection="1">
      <alignment horizontal="center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0" fontId="6" fillId="8" borderId="22" xfId="0" applyFont="1" applyFill="1" applyBorder="1" applyAlignment="1" applyProtection="1">
      <alignment horizont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20" fillId="16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1" xfId="0" applyBorder="1"/>
    <xf numFmtId="0" fontId="20" fillId="16" borderId="31" xfId="0" applyFont="1" applyFill="1" applyBorder="1" applyAlignment="1" applyProtection="1">
      <alignment horizontal="center" vertical="center"/>
      <protection hidden="1"/>
    </xf>
    <xf numFmtId="2" fontId="20" fillId="16" borderId="59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0" xfId="0" applyNumberFormat="1" applyFont="1" applyFill="1" applyBorder="1" applyAlignment="1" applyProtection="1">
      <alignment horizontal="center" vertical="center" wrapText="1"/>
      <protection hidden="1"/>
    </xf>
    <xf numFmtId="2" fontId="7" fillId="17" borderId="0" xfId="0" applyNumberFormat="1" applyFont="1" applyFill="1" applyBorder="1" applyAlignment="1" applyProtection="1">
      <alignment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2" fontId="18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1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13" xfId="0" applyFont="1" applyFill="1" applyBorder="1" applyAlignment="1" applyProtection="1">
      <alignment horizontal="center" vertical="center" wrapText="1"/>
      <protection hidden="1"/>
    </xf>
    <xf numFmtId="2" fontId="0" fillId="0" borderId="0" xfId="0" applyNumberFormat="1" applyFill="1" applyBorder="1" applyAlignment="1" applyProtection="1">
      <alignment horizontal="center"/>
      <protection hidden="1"/>
    </xf>
    <xf numFmtId="2" fontId="0" fillId="0" borderId="0" xfId="0" applyNumberFormat="1" applyAlignment="1" applyProtection="1">
      <alignment horizontal="center"/>
      <protection hidden="1"/>
    </xf>
    <xf numFmtId="2" fontId="3" fillId="2" borderId="0" xfId="0" applyNumberFormat="1" applyFont="1" applyFill="1" applyBorder="1" applyAlignment="1" applyProtection="1">
      <alignment horizontal="center" vertical="center" wrapText="1"/>
      <protection hidden="1"/>
    </xf>
    <xf numFmtId="2" fontId="13" fillId="0" borderId="0" xfId="0" applyNumberFormat="1" applyFont="1" applyBorder="1" applyAlignment="1" applyProtection="1">
      <alignment horizontal="center" vertical="center" wrapText="1"/>
      <protection hidden="1"/>
    </xf>
    <xf numFmtId="2" fontId="10" fillId="4" borderId="0" xfId="0" applyNumberFormat="1" applyFont="1" applyFill="1" applyBorder="1" applyAlignment="1" applyProtection="1">
      <alignment horizontal="center" wrapText="1"/>
      <protection hidden="1"/>
    </xf>
    <xf numFmtId="2" fontId="3" fillId="0" borderId="0" xfId="0" applyNumberFormat="1" applyFont="1" applyBorder="1" applyAlignment="1" applyProtection="1">
      <alignment horizontal="center"/>
      <protection locked="0"/>
    </xf>
    <xf numFmtId="2" fontId="6" fillId="3" borderId="0" xfId="0" applyNumberFormat="1" applyFont="1" applyFill="1" applyBorder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wrapText="1"/>
      <protection hidden="1"/>
    </xf>
    <xf numFmtId="2" fontId="2" fillId="0" borderId="0" xfId="0" applyNumberFormat="1" applyFont="1" applyBorder="1" applyAlignment="1" applyProtection="1">
      <alignment horizontal="center" vertical="center" wrapText="1"/>
      <protection hidden="1"/>
    </xf>
    <xf numFmtId="165" fontId="0" fillId="2" borderId="21" xfId="0" applyNumberFormat="1" applyFill="1" applyBorder="1" applyAlignment="1" applyProtection="1">
      <alignment horizontal="center"/>
      <protection hidden="1"/>
    </xf>
    <xf numFmtId="2" fontId="0" fillId="16" borderId="22" xfId="0" applyNumberFormat="1" applyFill="1" applyBorder="1" applyAlignment="1" applyProtection="1">
      <alignment horizontal="center" vertical="center"/>
      <protection hidden="1"/>
    </xf>
    <xf numFmtId="2" fontId="0" fillId="16" borderId="0" xfId="0" applyNumberFormat="1" applyFill="1" applyAlignment="1" applyProtection="1">
      <alignment horizontal="center"/>
      <protection hidden="1"/>
    </xf>
    <xf numFmtId="0" fontId="6" fillId="8" borderId="17" xfId="0" applyFont="1" applyFill="1" applyBorder="1" applyAlignment="1" applyProtection="1">
      <alignment horizontal="center"/>
      <protection hidden="1"/>
    </xf>
    <xf numFmtId="0" fontId="6" fillId="8" borderId="7" xfId="0" applyFont="1" applyFill="1" applyBorder="1" applyAlignment="1" applyProtection="1">
      <protection hidden="1"/>
    </xf>
    <xf numFmtId="0" fontId="6" fillId="4" borderId="17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164" fontId="0" fillId="5" borderId="1" xfId="0" applyNumberFormat="1" applyFill="1" applyBorder="1" applyAlignment="1" applyProtection="1">
      <alignment horizontal="left"/>
      <protection hidden="1"/>
    </xf>
    <xf numFmtId="0" fontId="0" fillId="12" borderId="1" xfId="0" applyFill="1" applyBorder="1" applyProtection="1"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6" fillId="6" borderId="17" xfId="0" applyFont="1" applyFill="1" applyBorder="1" applyAlignment="1" applyProtection="1">
      <protection hidden="1"/>
    </xf>
    <xf numFmtId="0" fontId="6" fillId="6" borderId="7" xfId="0" applyFont="1" applyFill="1" applyBorder="1" applyAlignment="1" applyProtection="1"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2" fontId="0" fillId="2" borderId="0" xfId="0" applyNumberFormat="1" applyFill="1" applyAlignment="1" applyProtection="1">
      <alignment horizontal="center"/>
      <protection hidden="1"/>
    </xf>
    <xf numFmtId="2" fontId="18" fillId="7" borderId="28" xfId="0" applyNumberFormat="1" applyFont="1" applyFill="1" applyBorder="1" applyAlignment="1" applyProtection="1">
      <alignment horizontal="center" vertical="center" wrapText="1"/>
      <protection hidden="1"/>
    </xf>
    <xf numFmtId="0" fontId="0" fillId="12" borderId="69" xfId="0" applyFill="1" applyBorder="1" applyProtection="1">
      <protection locked="0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Border="1" applyProtection="1">
      <protection hidden="1"/>
    </xf>
    <xf numFmtId="165" fontId="0" fillId="0" borderId="6" xfId="0" applyNumberFormat="1" applyFill="1" applyBorder="1" applyAlignment="1" applyProtection="1">
      <alignment horizontal="center"/>
      <protection hidden="1"/>
    </xf>
    <xf numFmtId="0" fontId="0" fillId="12" borderId="21" xfId="0" applyFill="1" applyBorder="1" applyProtection="1">
      <protection locked="0"/>
    </xf>
    <xf numFmtId="0" fontId="0" fillId="12" borderId="13" xfId="0" applyFill="1" applyBorder="1" applyProtection="1">
      <protection locked="0"/>
    </xf>
    <xf numFmtId="2" fontId="0" fillId="0" borderId="0" xfId="0" applyNumberFormat="1" applyFill="1" applyAlignment="1" applyProtection="1">
      <alignment horizontal="center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0" borderId="47" xfId="0" applyFill="1" applyBorder="1" applyAlignment="1" applyProtection="1">
      <alignment horizontal="center"/>
      <protection hidden="1"/>
    </xf>
    <xf numFmtId="0" fontId="0" fillId="5" borderId="1" xfId="0" applyFill="1" applyBorder="1" applyAlignment="1" applyProtection="1"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Alignment="1" applyProtection="1">
      <alignment horizontal="left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165" fontId="0" fillId="5" borderId="3" xfId="0" applyNumberFormat="1" applyFill="1" applyBorder="1" applyAlignment="1" applyProtection="1">
      <alignment horizontal="center"/>
      <protection hidden="1"/>
    </xf>
    <xf numFmtId="0" fontId="6" fillId="10" borderId="31" xfId="0" applyFont="1" applyFill="1" applyBorder="1" applyAlignment="1" applyProtection="1">
      <alignment wrapText="1"/>
      <protection hidden="1"/>
    </xf>
    <xf numFmtId="0" fontId="6" fillId="10" borderId="28" xfId="0" applyFont="1" applyFill="1" applyBorder="1" applyAlignment="1" applyProtection="1">
      <alignment wrapText="1"/>
      <protection hidden="1"/>
    </xf>
    <xf numFmtId="0" fontId="6" fillId="10" borderId="15" xfId="0" applyFont="1" applyFill="1" applyBorder="1" applyAlignment="1" applyProtection="1">
      <alignment horizontal="center" wrapText="1"/>
      <protection hidden="1"/>
    </xf>
    <xf numFmtId="0" fontId="6" fillId="10" borderId="31" xfId="0" applyFont="1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0" borderId="40" xfId="0" applyFill="1" applyBorder="1" applyAlignment="1" applyProtection="1">
      <alignment horizontal="left"/>
      <protection hidden="1"/>
    </xf>
    <xf numFmtId="0" fontId="0" fillId="0" borderId="42" xfId="0" applyFill="1" applyBorder="1" applyAlignment="1" applyProtection="1">
      <alignment horizontal="left"/>
      <protection hidden="1"/>
    </xf>
    <xf numFmtId="0" fontId="0" fillId="0" borderId="39" xfId="0" applyFill="1" applyBorder="1" applyAlignment="1" applyProtection="1">
      <alignment horizontal="left"/>
      <protection hidden="1"/>
    </xf>
    <xf numFmtId="0" fontId="0" fillId="0" borderId="3" xfId="0" applyFill="1" applyBorder="1" applyAlignment="1" applyProtection="1">
      <protection hidden="1"/>
    </xf>
    <xf numFmtId="0" fontId="0" fillId="0" borderId="21" xfId="0" applyFill="1" applyBorder="1" applyAlignment="1" applyProtection="1">
      <protection hidden="1"/>
    </xf>
    <xf numFmtId="0" fontId="0" fillId="5" borderId="1" xfId="0" applyFill="1" applyBorder="1" applyAlignment="1" applyProtection="1">
      <protection hidden="1"/>
    </xf>
    <xf numFmtId="0" fontId="0" fillId="2" borderId="39" xfId="0" applyFill="1" applyBorder="1" applyAlignment="1" applyProtection="1">
      <alignment horizontal="left" vertical="center" wrapText="1"/>
      <protection hidden="1"/>
    </xf>
    <xf numFmtId="0" fontId="0" fillId="2" borderId="1" xfId="0" applyFill="1" applyBorder="1" applyAlignment="1" applyProtection="1">
      <alignment horizontal="left" vertical="center" wrapText="1"/>
      <protection hidden="1"/>
    </xf>
    <xf numFmtId="0" fontId="0" fillId="0" borderId="4" xfId="0" applyFill="1" applyBorder="1" applyAlignment="1" applyProtection="1">
      <protection hidden="1"/>
    </xf>
    <xf numFmtId="0" fontId="0" fillId="0" borderId="61" xfId="0" applyFont="1" applyFill="1" applyBorder="1" applyAlignment="1" applyProtection="1">
      <alignment horizontal="center" vertical="center" wrapText="1"/>
      <protection hidden="1"/>
    </xf>
    <xf numFmtId="0" fontId="0" fillId="0" borderId="58" xfId="0" applyFont="1" applyFill="1" applyBorder="1" applyAlignment="1" applyProtection="1">
      <alignment horizontal="center" vertical="center" wrapText="1"/>
      <protection hidden="1"/>
    </xf>
    <xf numFmtId="0" fontId="0" fillId="0" borderId="63" xfId="0" applyFont="1" applyFill="1" applyBorder="1" applyAlignment="1" applyProtection="1">
      <alignment horizontal="center" vertical="center" wrapText="1"/>
      <protection hidden="1"/>
    </xf>
    <xf numFmtId="0" fontId="0" fillId="0" borderId="64" xfId="0" applyFont="1" applyFill="1" applyBorder="1" applyAlignment="1" applyProtection="1">
      <alignment horizontal="center" vertical="center" wrapText="1"/>
      <protection hidden="1"/>
    </xf>
    <xf numFmtId="0" fontId="0" fillId="0" borderId="62" xfId="0" applyFont="1" applyFill="1" applyBorder="1" applyAlignment="1" applyProtection="1">
      <alignment horizontal="center" vertical="center" wrapText="1"/>
      <protection hidden="1"/>
    </xf>
    <xf numFmtId="0" fontId="0" fillId="0" borderId="61" xfId="0" applyFill="1" applyBorder="1" applyAlignment="1" applyProtection="1">
      <alignment horizontal="center" vertical="center"/>
      <protection hidden="1"/>
    </xf>
    <xf numFmtId="0" fontId="0" fillId="0" borderId="62" xfId="0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protection hidden="1"/>
    </xf>
    <xf numFmtId="0" fontId="0" fillId="0" borderId="41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horizontal="center" vertical="center" wrapText="1"/>
      <protection hidden="1"/>
    </xf>
    <xf numFmtId="0" fontId="0" fillId="0" borderId="46" xfId="0" applyFill="1" applyBorder="1" applyAlignment="1" applyProtection="1">
      <alignment horizontal="center" vertical="center" wrapText="1"/>
      <protection hidden="1"/>
    </xf>
    <xf numFmtId="0" fontId="0" fillId="0" borderId="40" xfId="0" applyFill="1" applyBorder="1" applyAlignment="1" applyProtection="1">
      <protection hidden="1"/>
    </xf>
    <xf numFmtId="0" fontId="0" fillId="0" borderId="42" xfId="0" applyFill="1" applyBorder="1" applyAlignment="1" applyProtection="1">
      <protection hidden="1"/>
    </xf>
    <xf numFmtId="0" fontId="0" fillId="0" borderId="39" xfId="0" applyFill="1" applyBorder="1" applyAlignment="1" applyProtection="1">
      <protection hidden="1"/>
    </xf>
    <xf numFmtId="0" fontId="0" fillId="2" borderId="40" xfId="0" applyFill="1" applyBorder="1" applyAlignment="1" applyProtection="1">
      <alignment horizontal="left" vertical="center" wrapText="1"/>
      <protection hidden="1"/>
    </xf>
    <xf numFmtId="0" fontId="0" fillId="2" borderId="42" xfId="0" applyFill="1" applyBorder="1" applyAlignment="1" applyProtection="1">
      <alignment horizontal="left" vertical="center" wrapText="1"/>
      <protection hidden="1"/>
    </xf>
    <xf numFmtId="0" fontId="0" fillId="0" borderId="47" xfId="0" applyFill="1" applyBorder="1" applyAlignment="1" applyProtection="1">
      <protection hidden="1"/>
    </xf>
    <xf numFmtId="2" fontId="20" fillId="16" borderId="17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34" xfId="0" applyNumberFormat="1" applyFont="1" applyFill="1" applyBorder="1" applyAlignment="1" applyProtection="1">
      <alignment horizontal="center" vertical="center" wrapText="1"/>
      <protection hidden="1"/>
    </xf>
    <xf numFmtId="2" fontId="20" fillId="16" borderId="7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7" xfId="0" applyFont="1" applyFill="1" applyBorder="1" applyAlignment="1" applyProtection="1">
      <alignment horizontal="right" vertical="center"/>
      <protection hidden="1"/>
    </xf>
    <xf numFmtId="0" fontId="9" fillId="0" borderId="34" xfId="0" applyFont="1" applyFill="1" applyBorder="1" applyAlignment="1" applyProtection="1">
      <alignment horizontal="right" vertical="center"/>
      <protection hidden="1"/>
    </xf>
    <xf numFmtId="0" fontId="9" fillId="0" borderId="7" xfId="0" applyFont="1" applyFill="1" applyBorder="1" applyAlignment="1" applyProtection="1">
      <alignment horizontal="right" vertical="center"/>
      <protection hidden="1"/>
    </xf>
    <xf numFmtId="0" fontId="12" fillId="4" borderId="17" xfId="0" applyFont="1" applyFill="1" applyBorder="1" applyAlignment="1" applyProtection="1">
      <alignment horizontal="center" vertical="center" wrapText="1"/>
      <protection hidden="1"/>
    </xf>
    <xf numFmtId="0" fontId="12" fillId="4" borderId="7" xfId="0" applyFont="1" applyFill="1" applyBorder="1" applyAlignment="1" applyProtection="1">
      <alignment horizontal="center" vertical="center" wrapText="1"/>
      <protection hidden="1"/>
    </xf>
    <xf numFmtId="0" fontId="0" fillId="0" borderId="43" xfId="0" applyFill="1" applyBorder="1" applyAlignment="1" applyProtection="1">
      <alignment horizontal="center" vertical="center" wrapText="1"/>
      <protection hidden="1"/>
    </xf>
    <xf numFmtId="0" fontId="0" fillId="0" borderId="44" xfId="0" applyFill="1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wrapText="1"/>
      <protection hidden="1"/>
    </xf>
    <xf numFmtId="0" fontId="0" fillId="0" borderId="1" xfId="0" applyFill="1" applyBorder="1" applyAlignment="1" applyProtection="1">
      <alignment horizontal="left"/>
      <protection hidden="1"/>
    </xf>
    <xf numFmtId="0" fontId="0" fillId="0" borderId="22" xfId="0" applyFill="1" applyBorder="1" applyAlignment="1" applyProtection="1">
      <alignment horizontal="center" vertical="center" wrapText="1"/>
      <protection hidden="1"/>
    </xf>
    <xf numFmtId="0" fontId="0" fillId="0" borderId="22" xfId="0" applyFill="1" applyBorder="1" applyAlignment="1" applyProtection="1">
      <alignment wrapText="1"/>
      <protection hidden="1"/>
    </xf>
    <xf numFmtId="0" fontId="0" fillId="0" borderId="22" xfId="0" applyBorder="1" applyAlignment="1" applyProtection="1">
      <alignment wrapText="1"/>
      <protection hidden="1"/>
    </xf>
    <xf numFmtId="0" fontId="0" fillId="0" borderId="45" xfId="0" applyFill="1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  <xf numFmtId="0" fontId="0" fillId="0" borderId="26" xfId="0" applyBorder="1" applyAlignment="1">
      <alignment vertical="center"/>
    </xf>
    <xf numFmtId="0" fontId="0" fillId="0" borderId="22" xfId="0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2" xfId="0" applyFill="1" applyBorder="1" applyAlignment="1" applyProtection="1">
      <alignment horizontal="center" vertical="center" textRotation="90" wrapText="1"/>
      <protection hidden="1"/>
    </xf>
    <xf numFmtId="0" fontId="0" fillId="0" borderId="22" xfId="0" applyFill="1" applyBorder="1" applyAlignment="1" applyProtection="1">
      <alignment horizontal="center" textRotation="90" wrapText="1"/>
      <protection hidden="1"/>
    </xf>
    <xf numFmtId="0" fontId="0" fillId="0" borderId="48" xfId="0" applyFill="1" applyBorder="1" applyAlignment="1" applyProtection="1">
      <alignment horizontal="center" vertical="center" textRotation="90"/>
      <protection hidden="1"/>
    </xf>
    <xf numFmtId="0" fontId="0" fillId="0" borderId="22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textRotation="90"/>
      <protection hidden="1"/>
    </xf>
    <xf numFmtId="0" fontId="0" fillId="0" borderId="61" xfId="0" applyFill="1" applyBorder="1" applyAlignment="1" applyProtection="1">
      <alignment horizontal="center" vertical="center" wrapText="1"/>
      <protection hidden="1"/>
    </xf>
    <xf numFmtId="0" fontId="0" fillId="0" borderId="63" xfId="0" applyFill="1" applyBorder="1" applyAlignment="1" applyProtection="1">
      <alignment horizontal="center" vertical="center" wrapText="1"/>
      <protection hidden="1"/>
    </xf>
    <xf numFmtId="0" fontId="0" fillId="0" borderId="64" xfId="0" applyFill="1" applyBorder="1" applyAlignment="1" applyProtection="1">
      <alignment horizontal="center" vertical="center" wrapText="1"/>
      <protection hidden="1"/>
    </xf>
    <xf numFmtId="0" fontId="0" fillId="0" borderId="62" xfId="0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left"/>
      <protection hidden="1"/>
    </xf>
    <xf numFmtId="0" fontId="0" fillId="2" borderId="50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/>
      <protection hidden="1"/>
    </xf>
    <xf numFmtId="0" fontId="0" fillId="2" borderId="1" xfId="0" applyFill="1" applyBorder="1" applyAlignment="1" applyProtection="1">
      <alignment horizontal="left"/>
      <protection hidden="1"/>
    </xf>
    <xf numFmtId="164" fontId="0" fillId="2" borderId="39" xfId="0" applyNumberFormat="1" applyFill="1" applyBorder="1" applyAlignment="1" applyProtection="1">
      <alignment horizontal="left" vertical="center" wrapText="1"/>
      <protection hidden="1"/>
    </xf>
    <xf numFmtId="164" fontId="0" fillId="2" borderId="1" xfId="0" applyNumberFormat="1" applyFill="1" applyBorder="1" applyAlignment="1" applyProtection="1">
      <alignment horizontal="left" vertical="center" wrapText="1"/>
      <protection hidden="1"/>
    </xf>
    <xf numFmtId="0" fontId="2" fillId="15" borderId="66" xfId="0" applyFont="1" applyFill="1" applyBorder="1" applyAlignment="1" applyProtection="1">
      <alignment horizontal="center" vertical="center" wrapText="1"/>
      <protection hidden="1"/>
    </xf>
    <xf numFmtId="0" fontId="2" fillId="15" borderId="34" xfId="0" applyFont="1" applyFill="1" applyBorder="1" applyAlignment="1" applyProtection="1">
      <alignment horizontal="center" vertical="center" wrapText="1"/>
      <protection hidden="1"/>
    </xf>
    <xf numFmtId="0" fontId="2" fillId="15" borderId="7" xfId="0" applyFont="1" applyFill="1" applyBorder="1" applyAlignment="1" applyProtection="1">
      <alignment horizontal="center" vertical="center" wrapText="1"/>
      <protection hidden="1"/>
    </xf>
    <xf numFmtId="0" fontId="0" fillId="8" borderId="55" xfId="0" applyFill="1" applyBorder="1" applyAlignment="1" applyProtection="1">
      <alignment horizontal="left"/>
      <protection hidden="1"/>
    </xf>
    <xf numFmtId="0" fontId="0" fillId="8" borderId="56" xfId="0" applyFill="1" applyBorder="1" applyAlignment="1" applyProtection="1">
      <alignment horizontal="left"/>
      <protection hidden="1"/>
    </xf>
    <xf numFmtId="0" fontId="0" fillId="8" borderId="54" xfId="0" applyFill="1" applyBorder="1" applyAlignment="1" applyProtection="1">
      <alignment horizontal="left"/>
      <protection hidden="1"/>
    </xf>
    <xf numFmtId="0" fontId="2" fillId="8" borderId="17" xfId="0" applyFont="1" applyFill="1" applyBorder="1" applyAlignment="1" applyProtection="1">
      <alignment horizontal="center" vertical="center" wrapText="1"/>
      <protection hidden="1"/>
    </xf>
    <xf numFmtId="0" fontId="2" fillId="8" borderId="34" xfId="0" applyFont="1" applyFill="1" applyBorder="1" applyAlignment="1" applyProtection="1">
      <alignment horizontal="center" vertical="center" wrapText="1"/>
      <protection hidden="1"/>
    </xf>
    <xf numFmtId="0" fontId="2" fillId="8" borderId="32" xfId="0" applyFont="1" applyFill="1" applyBorder="1" applyAlignment="1" applyProtection="1">
      <alignment horizontal="center" vertical="center" wrapText="1"/>
      <protection hidden="1"/>
    </xf>
    <xf numFmtId="0" fontId="2" fillId="13" borderId="34" xfId="0" applyFont="1" applyFill="1" applyBorder="1" applyAlignment="1" applyProtection="1">
      <alignment horizontal="center" vertical="center" wrapText="1"/>
      <protection hidden="1"/>
    </xf>
    <xf numFmtId="0" fontId="2" fillId="13" borderId="32" xfId="0" applyFont="1" applyFill="1" applyBorder="1" applyAlignment="1" applyProtection="1">
      <alignment horizontal="center" vertical="center" wrapText="1"/>
      <protection hidden="1"/>
    </xf>
    <xf numFmtId="0" fontId="2" fillId="8" borderId="14" xfId="0" applyFont="1" applyFill="1" applyBorder="1" applyAlignment="1" applyProtection="1">
      <alignment horizontal="center" vertical="center" wrapText="1"/>
      <protection hidden="1"/>
    </xf>
    <xf numFmtId="0" fontId="2" fillId="8" borderId="30" xfId="0" applyFont="1" applyFill="1" applyBorder="1" applyAlignment="1" applyProtection="1">
      <alignment horizontal="center" vertical="center" wrapText="1"/>
      <protection hidden="1"/>
    </xf>
    <xf numFmtId="0" fontId="2" fillId="8" borderId="22" xfId="0" applyFont="1" applyFill="1" applyBorder="1" applyAlignment="1" applyProtection="1">
      <alignment horizontal="center" vertical="center" wrapText="1"/>
      <protection hidden="1"/>
    </xf>
    <xf numFmtId="0" fontId="2" fillId="8" borderId="0" xfId="0" applyFont="1" applyFill="1" applyBorder="1" applyAlignment="1" applyProtection="1">
      <alignment horizontal="center" vertical="center" wrapText="1"/>
      <protection hidden="1"/>
    </xf>
    <xf numFmtId="0" fontId="2" fillId="8" borderId="15" xfId="0" applyFont="1" applyFill="1" applyBorder="1" applyAlignment="1" applyProtection="1">
      <alignment horizontal="center" vertical="center" wrapText="1"/>
      <protection hidden="1"/>
    </xf>
    <xf numFmtId="0" fontId="2" fillId="8" borderId="31" xfId="0" applyFont="1" applyFill="1" applyBorder="1" applyAlignment="1" applyProtection="1">
      <alignment horizontal="center" vertical="center" wrapText="1"/>
      <protection hidden="1"/>
    </xf>
    <xf numFmtId="0" fontId="6" fillId="0" borderId="34" xfId="0" applyFont="1" applyFill="1" applyBorder="1" applyAlignment="1" applyProtection="1">
      <alignment horizontal="right" vertical="center" wrapText="1"/>
      <protection hidden="1"/>
    </xf>
    <xf numFmtId="0" fontId="6" fillId="0" borderId="7" xfId="0" applyFont="1" applyFill="1" applyBorder="1" applyAlignment="1" applyProtection="1">
      <alignment horizontal="right" vertical="center" wrapText="1"/>
      <protection hidden="1"/>
    </xf>
    <xf numFmtId="0" fontId="6" fillId="0" borderId="17" xfId="0" applyFont="1" applyFill="1" applyBorder="1" applyAlignment="1" applyProtection="1">
      <alignment horizontal="right" vertical="center" wrapText="1"/>
      <protection hidden="1"/>
    </xf>
    <xf numFmtId="0" fontId="10" fillId="14" borderId="17" xfId="0" applyFont="1" applyFill="1" applyBorder="1" applyAlignment="1" applyProtection="1">
      <alignment horizontal="center" vertical="center" wrapText="1"/>
      <protection hidden="1"/>
    </xf>
    <xf numFmtId="0" fontId="10" fillId="14" borderId="34" xfId="0" applyFont="1" applyFill="1" applyBorder="1" applyAlignment="1" applyProtection="1">
      <alignment horizontal="center" vertical="center" wrapText="1"/>
      <protection hidden="1"/>
    </xf>
    <xf numFmtId="0" fontId="10" fillId="14" borderId="7" xfId="0" applyFont="1" applyFill="1" applyBorder="1" applyAlignment="1" applyProtection="1">
      <alignment horizontal="center" vertical="center" wrapText="1"/>
      <protection hidden="1"/>
    </xf>
    <xf numFmtId="0" fontId="3" fillId="2" borderId="17" xfId="0" applyFont="1" applyFill="1" applyBorder="1" applyAlignment="1" applyProtection="1">
      <alignment horizontal="center" vertical="center" wrapText="1"/>
      <protection hidden="1"/>
    </xf>
    <xf numFmtId="0" fontId="3" fillId="2" borderId="34" xfId="0" applyFont="1" applyFill="1" applyBorder="1" applyAlignment="1" applyProtection="1">
      <alignment horizontal="center" vertical="center" wrapText="1"/>
      <protection hidden="1"/>
    </xf>
    <xf numFmtId="0" fontId="3" fillId="2" borderId="7" xfId="0" applyFont="1" applyFill="1" applyBorder="1" applyAlignment="1" applyProtection="1">
      <alignment horizontal="center" vertical="center" wrapText="1"/>
      <protection hidden="1"/>
    </xf>
    <xf numFmtId="0" fontId="15" fillId="4" borderId="17" xfId="0" applyFont="1" applyFill="1" applyBorder="1" applyAlignment="1" applyProtection="1">
      <alignment horizontal="center" vertical="center"/>
      <protection locked="0"/>
    </xf>
    <xf numFmtId="0" fontId="15" fillId="4" borderId="7" xfId="0" applyFont="1" applyFill="1" applyBorder="1" applyAlignment="1" applyProtection="1">
      <alignment horizontal="center" vertical="center"/>
      <protection locked="0"/>
    </xf>
    <xf numFmtId="2" fontId="18" fillId="7" borderId="17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34" xfId="0" applyNumberFormat="1" applyFont="1" applyFill="1" applyBorder="1" applyAlignment="1" applyProtection="1">
      <alignment horizontal="center" vertical="center" wrapText="1"/>
      <protection hidden="1"/>
    </xf>
    <xf numFmtId="2" fontId="18" fillId="7" borderId="32" xfId="0" applyNumberFormat="1" applyFont="1" applyFill="1" applyBorder="1" applyAlignment="1" applyProtection="1">
      <alignment horizontal="center" vertical="center" wrapText="1"/>
      <protection hidden="1"/>
    </xf>
    <xf numFmtId="0" fontId="2" fillId="14" borderId="17" xfId="0" applyFont="1" applyFill="1" applyBorder="1" applyAlignment="1" applyProtection="1">
      <alignment horizontal="center" vertical="center" wrapText="1"/>
      <protection hidden="1"/>
    </xf>
    <xf numFmtId="0" fontId="2" fillId="14" borderId="34" xfId="0" applyFont="1" applyFill="1" applyBorder="1" applyAlignment="1" applyProtection="1">
      <alignment horizontal="center" vertical="center" wrapText="1"/>
      <protection hidden="1"/>
    </xf>
    <xf numFmtId="0" fontId="2" fillId="14" borderId="32" xfId="0" applyFont="1" applyFill="1" applyBorder="1" applyAlignment="1" applyProtection="1">
      <alignment horizontal="center" vertical="center" wrapText="1"/>
      <protection hidden="1"/>
    </xf>
    <xf numFmtId="2" fontId="11" fillId="9" borderId="17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34" xfId="0" applyNumberFormat="1" applyFont="1" applyFill="1" applyBorder="1" applyAlignment="1" applyProtection="1">
      <alignment horizontal="right" vertical="center" wrapText="1"/>
      <protection hidden="1"/>
    </xf>
    <xf numFmtId="2" fontId="11" fillId="9" borderId="7" xfId="0" applyNumberFormat="1" applyFont="1" applyFill="1" applyBorder="1" applyAlignment="1" applyProtection="1">
      <alignment horizontal="right" vertical="center" wrapText="1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0" fillId="4" borderId="34" xfId="0" applyFill="1" applyBorder="1" applyAlignment="1" applyProtection="1">
      <alignment horizontal="center" vertical="center"/>
      <protection hidden="1"/>
    </xf>
    <xf numFmtId="0" fontId="0" fillId="4" borderId="7" xfId="0" applyFill="1" applyBorder="1" applyAlignment="1" applyProtection="1">
      <alignment horizontal="center" vertical="center"/>
      <protection hidden="1"/>
    </xf>
    <xf numFmtId="0" fontId="11" fillId="2" borderId="17" xfId="0" applyFont="1" applyFill="1" applyBorder="1" applyAlignment="1" applyProtection="1">
      <alignment horizontal="right" vertical="center" wrapText="1"/>
      <protection hidden="1"/>
    </xf>
    <xf numFmtId="0" fontId="11" fillId="2" borderId="34" xfId="0" applyFont="1" applyFill="1" applyBorder="1" applyAlignment="1" applyProtection="1">
      <alignment horizontal="right" vertical="center" wrapText="1"/>
      <protection hidden="1"/>
    </xf>
    <xf numFmtId="0" fontId="11" fillId="2" borderId="7" xfId="0" applyFont="1" applyFill="1" applyBorder="1" applyAlignment="1" applyProtection="1">
      <alignment horizontal="right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39" xfId="0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34" xfId="0" applyFill="1" applyBorder="1" applyAlignment="1" applyProtection="1">
      <alignment horizontal="left"/>
      <protection hidden="1"/>
    </xf>
    <xf numFmtId="0" fontId="0" fillId="2" borderId="7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5" borderId="21" xfId="0" applyFill="1" applyBorder="1" applyAlignment="1" applyProtection="1">
      <protection hidden="1"/>
    </xf>
    <xf numFmtId="164" fontId="0" fillId="2" borderId="39" xfId="0" applyNumberFormat="1" applyFill="1" applyBorder="1" applyAlignment="1" applyProtection="1">
      <alignment horizontal="center" wrapText="1"/>
      <protection hidden="1"/>
    </xf>
    <xf numFmtId="164" fontId="0" fillId="2" borderId="1" xfId="0" applyNumberFormat="1" applyFill="1" applyBorder="1" applyAlignment="1" applyProtection="1">
      <alignment horizontal="center" wrapText="1"/>
      <protection hidden="1"/>
    </xf>
    <xf numFmtId="0" fontId="0" fillId="0" borderId="42" xfId="0" applyBorder="1"/>
    <xf numFmtId="0" fontId="0" fillId="0" borderId="39" xfId="0" applyBorder="1"/>
    <xf numFmtId="0" fontId="0" fillId="0" borderId="6" xfId="0" applyFill="1" applyBorder="1" applyAlignment="1" applyProtection="1">
      <protection hidden="1"/>
    </xf>
    <xf numFmtId="0" fontId="0" fillId="0" borderId="5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right"/>
      <protection hidden="1"/>
    </xf>
    <xf numFmtId="0" fontId="0" fillId="0" borderId="31" xfId="0" applyFill="1" applyBorder="1" applyAlignment="1" applyProtection="1">
      <alignment horizontal="right"/>
      <protection hidden="1"/>
    </xf>
    <xf numFmtId="0" fontId="0" fillId="0" borderId="55" xfId="0" applyFill="1" applyBorder="1" applyAlignment="1" applyProtection="1">
      <alignment horizontal="left"/>
      <protection hidden="1"/>
    </xf>
    <xf numFmtId="0" fontId="0" fillId="0" borderId="56" xfId="0" applyFill="1" applyBorder="1" applyAlignment="1" applyProtection="1">
      <alignment horizontal="left"/>
      <protection hidden="1"/>
    </xf>
    <xf numFmtId="0" fontId="0" fillId="0" borderId="54" xfId="0" applyFill="1" applyBorder="1" applyAlignment="1" applyProtection="1">
      <alignment horizontal="left"/>
      <protection hidden="1"/>
    </xf>
    <xf numFmtId="0" fontId="0" fillId="0" borderId="35" xfId="0" applyFill="1" applyBorder="1" applyAlignment="1" applyProtection="1">
      <alignment horizontal="center" vertical="center" wrapText="1"/>
      <protection hidden="1"/>
    </xf>
    <xf numFmtId="0" fontId="0" fillId="0" borderId="48" xfId="0" applyFill="1" applyBorder="1" applyAlignment="1" applyProtection="1">
      <alignment horizontal="center" vertical="center" wrapText="1"/>
      <protection hidden="1"/>
    </xf>
    <xf numFmtId="0" fontId="0" fillId="0" borderId="36" xfId="0" applyFill="1" applyBorder="1" applyAlignment="1" applyProtection="1">
      <alignment horizontal="center" vertical="center" wrapText="1"/>
      <protection hidden="1"/>
    </xf>
    <xf numFmtId="0" fontId="0" fillId="0" borderId="21" xfId="0" applyFill="1" applyBorder="1" applyAlignment="1" applyProtection="1">
      <alignment horizontal="left"/>
      <protection hidden="1"/>
    </xf>
    <xf numFmtId="0" fontId="0" fillId="0" borderId="13" xfId="0" applyFill="1" applyBorder="1" applyAlignment="1" applyProtection="1">
      <alignment horizontal="left"/>
      <protection hidden="1"/>
    </xf>
    <xf numFmtId="0" fontId="0" fillId="0" borderId="44" xfId="0" applyFill="1" applyBorder="1" applyAlignment="1" applyProtection="1">
      <alignment horizontal="center" vertical="center" textRotation="90"/>
      <protection hidden="1"/>
    </xf>
    <xf numFmtId="0" fontId="0" fillId="0" borderId="45" xfId="0" applyFill="1" applyBorder="1" applyAlignment="1" applyProtection="1">
      <alignment horizontal="center" vertical="center" textRotation="90"/>
      <protection hidden="1"/>
    </xf>
    <xf numFmtId="0" fontId="0" fillId="0" borderId="58" xfId="0" applyFill="1" applyBorder="1" applyAlignment="1" applyProtection="1">
      <alignment horizontal="center" vertical="center" wrapText="1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1" fontId="15" fillId="6" borderId="17" xfId="0" applyNumberFormat="1" applyFont="1" applyFill="1" applyBorder="1" applyAlignment="1" applyProtection="1">
      <alignment horizontal="center" vertical="center"/>
      <protection locked="0"/>
    </xf>
    <xf numFmtId="1" fontId="15" fillId="6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hidden="1"/>
    </xf>
    <xf numFmtId="0" fontId="0" fillId="0" borderId="1" xfId="0" applyBorder="1" applyAlignment="1" applyProtection="1">
      <alignment horizontal="left"/>
      <protection hidden="1"/>
    </xf>
    <xf numFmtId="0" fontId="0" fillId="0" borderId="68" xfId="0" applyFill="1" applyBorder="1" applyAlignment="1" applyProtection="1">
      <protection hidden="1"/>
    </xf>
    <xf numFmtId="0" fontId="0" fillId="0" borderId="49" xfId="0" applyFill="1" applyBorder="1" applyAlignment="1" applyProtection="1">
      <protection hidden="1"/>
    </xf>
    <xf numFmtId="0" fontId="0" fillId="0" borderId="53" xfId="0" applyFill="1" applyBorder="1" applyAlignment="1" applyProtection="1">
      <protection hidden="1"/>
    </xf>
    <xf numFmtId="0" fontId="0" fillId="2" borderId="42" xfId="0" applyFill="1" applyBorder="1" applyAlignment="1" applyProtection="1">
      <alignment horizontal="left"/>
      <protection hidden="1"/>
    </xf>
    <xf numFmtId="0" fontId="0" fillId="2" borderId="39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left" vertical="center"/>
      <protection hidden="1"/>
    </xf>
    <xf numFmtId="0" fontId="15" fillId="10" borderId="17" xfId="0" applyFont="1" applyFill="1" applyBorder="1" applyAlignment="1" applyProtection="1">
      <alignment horizontal="center" vertical="center"/>
      <protection locked="0"/>
    </xf>
    <xf numFmtId="0" fontId="15" fillId="10" borderId="34" xfId="0" applyFont="1" applyFill="1" applyBorder="1" applyAlignment="1" applyProtection="1">
      <alignment horizontal="center" vertical="center"/>
      <protection locked="0"/>
    </xf>
    <xf numFmtId="0" fontId="15" fillId="10" borderId="7" xfId="0" applyFont="1" applyFill="1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hidden="1"/>
    </xf>
    <xf numFmtId="0" fontId="0" fillId="2" borderId="51" xfId="0" applyFill="1" applyBorder="1" applyAlignment="1" applyProtection="1">
      <alignment horizontal="left" wrapText="1"/>
      <protection hidden="1"/>
    </xf>
    <xf numFmtId="0" fontId="0" fillId="2" borderId="3" xfId="0" applyFill="1" applyBorder="1" applyAlignment="1" applyProtection="1">
      <alignment horizontal="left" wrapText="1"/>
      <protection hidden="1"/>
    </xf>
    <xf numFmtId="0" fontId="6" fillId="10" borderId="34" xfId="0" applyFont="1" applyFill="1" applyBorder="1" applyAlignment="1" applyProtection="1">
      <alignment horizontal="left"/>
      <protection hidden="1"/>
    </xf>
    <xf numFmtId="0" fontId="6" fillId="10" borderId="7" xfId="0" applyFont="1" applyFill="1" applyBorder="1" applyAlignment="1" applyProtection="1">
      <alignment horizontal="left"/>
      <protection hidden="1"/>
    </xf>
    <xf numFmtId="0" fontId="0" fillId="2" borderId="4" xfId="0" applyFill="1" applyBorder="1" applyAlignment="1" applyProtection="1">
      <alignment horizontal="left" vertical="center"/>
      <protection hidden="1"/>
    </xf>
    <xf numFmtId="0" fontId="0" fillId="2" borderId="39" xfId="0" applyFill="1" applyBorder="1" applyAlignment="1" applyProtection="1">
      <alignment horizontal="left" wrapText="1"/>
      <protection hidden="1"/>
    </xf>
    <xf numFmtId="0" fontId="0" fillId="2" borderId="1" xfId="0" applyFill="1" applyBorder="1" applyAlignment="1" applyProtection="1">
      <alignment horizontal="left" wrapText="1"/>
      <protection hidden="1"/>
    </xf>
    <xf numFmtId="0" fontId="0" fillId="5" borderId="2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0" fillId="4" borderId="2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4" borderId="3" xfId="0" applyFont="1" applyFill="1" applyBorder="1" applyAlignment="1" applyProtection="1">
      <alignment horizontal="center" vertical="center" wrapText="1"/>
      <protection hidden="1"/>
    </xf>
    <xf numFmtId="2" fontId="18" fillId="7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30" xfId="0" applyFont="1" applyBorder="1" applyAlignment="1" applyProtection="1">
      <alignment horizontal="center" vertical="center" wrapText="1"/>
      <protection hidden="1"/>
    </xf>
    <xf numFmtId="0" fontId="0" fillId="0" borderId="30" xfId="0" applyBorder="1" applyAlignment="1" applyProtection="1">
      <alignment horizontal="center" vertical="center" wrapText="1"/>
      <protection hidden="1"/>
    </xf>
    <xf numFmtId="0" fontId="0" fillId="0" borderId="29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center" vertical="center" textRotation="90"/>
      <protection hidden="1"/>
    </xf>
    <xf numFmtId="0" fontId="0" fillId="0" borderId="44" xfId="0" applyBorder="1" applyAlignment="1" applyProtection="1">
      <alignment horizontal="center" vertical="center" textRotation="90"/>
      <protection hidden="1"/>
    </xf>
    <xf numFmtId="0" fontId="0" fillId="0" borderId="48" xfId="0" applyBorder="1"/>
    <xf numFmtId="0" fontId="0" fillId="0" borderId="61" xfId="0" applyBorder="1" applyAlignment="1" applyProtection="1">
      <alignment horizontal="center" vertical="center" wrapText="1"/>
      <protection hidden="1"/>
    </xf>
    <xf numFmtId="0" fontId="0" fillId="0" borderId="63" xfId="0" applyBorder="1"/>
    <xf numFmtId="0" fontId="0" fillId="0" borderId="64" xfId="0" applyBorder="1"/>
    <xf numFmtId="0" fontId="0" fillId="0" borderId="1" xfId="0" applyFill="1" applyBorder="1" applyAlignment="1" applyProtection="1">
      <alignment horizontal="left" vertical="center"/>
      <protection hidden="1"/>
    </xf>
    <xf numFmtId="0" fontId="0" fillId="8" borderId="68" xfId="0" applyFill="1" applyBorder="1" applyAlignment="1" applyProtection="1">
      <alignment horizontal="left"/>
      <protection hidden="1"/>
    </xf>
    <xf numFmtId="0" fontId="0" fillId="8" borderId="49" xfId="0" applyFill="1" applyBorder="1" applyAlignment="1" applyProtection="1">
      <alignment horizontal="left"/>
      <protection hidden="1"/>
    </xf>
    <xf numFmtId="0" fontId="0" fillId="8" borderId="53" xfId="0" applyFill="1" applyBorder="1" applyAlignment="1" applyProtection="1">
      <alignment horizontal="left"/>
      <protection hidden="1"/>
    </xf>
    <xf numFmtId="0" fontId="15" fillId="3" borderId="17" xfId="0" applyFont="1" applyFill="1" applyBorder="1" applyAlignment="1" applyProtection="1">
      <alignment horizontal="center" vertical="center" wrapText="1"/>
      <protection locked="0"/>
    </xf>
    <xf numFmtId="0" fontId="15" fillId="3" borderId="7" xfId="0" applyFont="1" applyFill="1" applyBorder="1" applyAlignment="1" applyProtection="1">
      <alignment horizontal="center" vertical="center" wrapText="1"/>
      <protection locked="0"/>
    </xf>
    <xf numFmtId="0" fontId="15" fillId="8" borderId="17" xfId="0" applyFont="1" applyFill="1" applyBorder="1" applyAlignment="1" applyProtection="1">
      <alignment horizontal="center" vertical="center"/>
      <protection locked="0"/>
    </xf>
    <xf numFmtId="0" fontId="15" fillId="8" borderId="7" xfId="0" applyFont="1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left"/>
      <protection hidden="1"/>
    </xf>
    <xf numFmtId="0" fontId="0" fillId="0" borderId="18" xfId="0" applyFill="1" applyBorder="1" applyAlignment="1" applyProtection="1">
      <alignment horizontal="center" vertical="center" wrapText="1"/>
      <protection hidden="1"/>
    </xf>
    <xf numFmtId="0" fontId="0" fillId="0" borderId="8" xfId="0" applyFill="1" applyBorder="1" applyAlignment="1" applyProtection="1">
      <alignment horizontal="center" vertical="center" wrapText="1"/>
      <protection hidden="1"/>
    </xf>
    <xf numFmtId="0" fontId="0" fillId="0" borderId="12" xfId="0" applyFill="1" applyBorder="1" applyAlignment="1" applyProtection="1">
      <alignment horizontal="center" vertical="center" wrapText="1"/>
      <protection hidden="1"/>
    </xf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colors>
    <mruColors>
      <color rgb="FFCCFF99"/>
      <color rgb="FFFFCCFF"/>
      <color rgb="FFFF6600"/>
      <color rgb="FFFFFF99"/>
      <color rgb="FFCCFF33"/>
      <color rgb="FFCCFF66"/>
      <color rgb="FFFF6699"/>
      <color rgb="FF000000"/>
      <color rgb="FFFF5050"/>
      <color rgb="FFB2A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>
    <pageSetUpPr fitToPage="1"/>
  </sheetPr>
  <dimension ref="A1:BB366"/>
  <sheetViews>
    <sheetView tabSelected="1" workbookViewId="0">
      <pane ySplit="6" topLeftCell="A118" activePane="bottomLeft" state="frozen"/>
      <selection pane="bottomLeft" activeCell="C118" activeCellId="1" sqref="A100:XFD201 A100:XFD201"/>
    </sheetView>
  </sheetViews>
  <sheetFormatPr defaultRowHeight="15" x14ac:dyDescent="0.25"/>
  <cols>
    <col min="1" max="1" width="3.7109375" style="1" bestFit="1" customWidth="1"/>
    <col min="2" max="2" width="8.5703125" style="1" customWidth="1"/>
    <col min="3" max="3" width="5.7109375" style="1" customWidth="1"/>
    <col min="4" max="4" width="2.7109375" style="1" customWidth="1"/>
    <col min="5" max="12" width="9" style="1" customWidth="1"/>
    <col min="13" max="13" width="4" style="7" customWidth="1"/>
    <col min="14" max="16" width="14.7109375" style="1" customWidth="1"/>
    <col min="17" max="17" width="7.7109375" style="1" customWidth="1"/>
    <col min="18" max="18" width="2.7109375" style="1" customWidth="1"/>
    <col min="19" max="20" width="5.7109375" style="1" customWidth="1"/>
    <col min="21" max="21" width="9.42578125" style="7" customWidth="1"/>
    <col min="22" max="25" width="9.42578125" style="1" customWidth="1"/>
    <col min="26" max="26" width="11.5703125" style="1" bestFit="1" customWidth="1"/>
    <col min="27" max="28" width="9.42578125" style="1" customWidth="1"/>
    <col min="29" max="29" width="14.140625" style="1" customWidth="1"/>
    <col min="30" max="31" width="17.28515625" style="378" hidden="1" customWidth="1"/>
    <col min="32" max="33" width="12.7109375" style="1" customWidth="1"/>
    <col min="34" max="34" width="12.7109375" style="8" customWidth="1"/>
    <col min="35" max="35" width="10.85546875" style="7" bestFit="1" customWidth="1"/>
    <col min="36" max="36" width="10.42578125" style="7" bestFit="1" customWidth="1"/>
    <col min="37" max="38" width="9.42578125" style="1" customWidth="1"/>
    <col min="39" max="39" width="10" style="1" customWidth="1"/>
    <col min="40" max="40" width="9.42578125" style="1" customWidth="1"/>
    <col min="41" max="16384" width="9.140625" style="1"/>
  </cols>
  <sheetData>
    <row r="1" spans="1:39" s="14" customFormat="1" ht="30.75" customHeight="1" thickBot="1" x14ac:dyDescent="0.3">
      <c r="A1" s="556" t="s">
        <v>292</v>
      </c>
      <c r="B1" s="557"/>
      <c r="C1" s="557"/>
      <c r="D1" s="557"/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8"/>
      <c r="Q1" s="567" t="s">
        <v>123</v>
      </c>
      <c r="R1" s="568"/>
      <c r="S1" s="568"/>
      <c r="T1" s="569"/>
      <c r="U1" s="178" t="s">
        <v>30</v>
      </c>
      <c r="V1" s="178" t="s">
        <v>31</v>
      </c>
      <c r="W1" s="179" t="s">
        <v>307</v>
      </c>
      <c r="X1" s="179" t="s">
        <v>308</v>
      </c>
      <c r="Y1" s="178" t="s">
        <v>9</v>
      </c>
      <c r="Z1" s="228" t="s">
        <v>10</v>
      </c>
      <c r="AA1" s="236" t="s">
        <v>48</v>
      </c>
      <c r="AB1" s="237" t="s">
        <v>49</v>
      </c>
      <c r="AC1" s="536" t="s">
        <v>353</v>
      </c>
      <c r="AD1" s="537"/>
      <c r="AE1" s="537"/>
      <c r="AF1" s="538"/>
    </row>
    <row r="2" spans="1:39" s="14" customFormat="1" ht="20.100000000000001" customHeight="1" thickBot="1" x14ac:dyDescent="0.3">
      <c r="A2" s="576" t="s">
        <v>112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7"/>
      <c r="O2" s="577"/>
      <c r="P2" s="578"/>
      <c r="Q2" s="570">
        <f>Q361</f>
        <v>1E-70</v>
      </c>
      <c r="R2" s="571"/>
      <c r="S2" s="572"/>
      <c r="T2" s="288" t="s">
        <v>8</v>
      </c>
      <c r="U2" s="289">
        <f t="shared" ref="U2:AB2" si="0">U361</f>
        <v>0</v>
      </c>
      <c r="V2" s="289">
        <f t="shared" si="0"/>
        <v>0</v>
      </c>
      <c r="W2" s="289">
        <f t="shared" si="0"/>
        <v>0</v>
      </c>
      <c r="X2" s="289">
        <f t="shared" si="0"/>
        <v>0</v>
      </c>
      <c r="Y2" s="289">
        <f t="shared" si="0"/>
        <v>0</v>
      </c>
      <c r="Z2" s="289">
        <f t="shared" si="0"/>
        <v>0</v>
      </c>
      <c r="AA2" s="290">
        <f t="shared" si="0"/>
        <v>0</v>
      </c>
      <c r="AB2" s="290">
        <f t="shared" si="0"/>
        <v>0</v>
      </c>
      <c r="AC2" s="291">
        <f>AC363</f>
        <v>0</v>
      </c>
      <c r="AD2" s="291"/>
      <c r="AE2" s="291"/>
      <c r="AF2" s="235" t="s">
        <v>13</v>
      </c>
      <c r="AG2" s="243"/>
    </row>
    <row r="3" spans="1:39" s="293" customFormat="1" ht="20.100000000000001" customHeight="1" thickBot="1" x14ac:dyDescent="0.3">
      <c r="A3" s="499" t="str">
        <f>IF($T$3&gt;0,VLOOKUP($T$3,#REF!,10),IF($T$3=0,"",""))</f>
        <v/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1"/>
      <c r="N3" s="499" t="str">
        <f>IF($T$3&gt;0,VLOOKUP($T$3,#REF!,11),IF($T$3=0,"",""))</f>
        <v/>
      </c>
      <c r="O3" s="501"/>
      <c r="P3" s="499" t="str">
        <f>IF($T$3&gt;0,VLOOKUP($T$3,#REF!,12),IF($T$3=0,"",""))</f>
        <v/>
      </c>
      <c r="Q3" s="500"/>
      <c r="R3" s="500"/>
      <c r="S3" s="501"/>
      <c r="T3" s="301">
        <f>AC11</f>
        <v>0</v>
      </c>
      <c r="U3" s="317" t="str">
        <f>IF($T$3&gt;0,VLOOKUP($T$3,#REF!,2),IF($T$3=0,"",""))</f>
        <v/>
      </c>
      <c r="V3" s="302" t="str">
        <f>IF($T$3&gt;0,VLOOKUP($T$3,#REF!,3),IF($T$3=0,"",""))</f>
        <v/>
      </c>
      <c r="W3" s="302" t="str">
        <f>IF($T$3&gt;0,VLOOKUP($T$3,#REF!,4),IF($T$3=0,"",""))</f>
        <v/>
      </c>
      <c r="X3" s="302" t="str">
        <f>IF($T$3&gt;0,VLOOKUP($T$3,#REF!,5),IF($T$3=0,"",""))</f>
        <v/>
      </c>
      <c r="Y3" s="302" t="str">
        <f>IF($T$3&gt;0,VLOOKUP($T$3,#REF!,6),IF($T$3=0,"",""))</f>
        <v/>
      </c>
      <c r="Z3" s="302" t="str">
        <f>IF($T$3&gt;0,VLOOKUP($T$3,#REF!,7),IF($T$3=0,"",""))</f>
        <v/>
      </c>
      <c r="AA3" s="302" t="str">
        <f>IF($T$3&gt;0,VLOOKUP($T$3,#REF!,8),IF($T$3=0,"",""))</f>
        <v/>
      </c>
      <c r="AB3" s="302" t="str">
        <f>IF($T$3&gt;0,VLOOKUP($T$3,#REF!,9),IF($T$3=0,"",""))</f>
        <v/>
      </c>
      <c r="AC3" s="499" t="str">
        <f>IF($T$3&gt;0,VLOOKUP($T$3,#REF!,13),IF($T$3=0,"",""))</f>
        <v/>
      </c>
      <c r="AD3" s="500"/>
      <c r="AE3" s="500"/>
      <c r="AF3" s="500"/>
      <c r="AG3" s="501"/>
      <c r="AH3" s="295" t="s">
        <v>365</v>
      </c>
    </row>
    <row r="4" spans="1:39" s="293" customFormat="1" ht="20.100000000000001" hidden="1" customHeight="1" thickBot="1" x14ac:dyDescent="0.3">
      <c r="A4" s="499" t="str">
        <f>IF($T$3&gt;0,VLOOKUP($T$3,#REF!,13),IF($T$3=0,"",""))</f>
        <v/>
      </c>
      <c r="B4" s="500"/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1"/>
      <c r="N4" s="499" t="str">
        <f>IF($T$3&gt;0,VLOOKUP($T$3,#REF!,14),IF($T$3=0,"",""))</f>
        <v/>
      </c>
      <c r="O4" s="500"/>
      <c r="P4" s="354"/>
      <c r="Q4" s="355"/>
      <c r="R4" s="355"/>
      <c r="S4" s="355"/>
      <c r="T4" s="356"/>
      <c r="U4" s="387">
        <f>SUM(Q207:Q334)-(Q229+Q230+Q231+Q300+Q311+Q313)</f>
        <v>0</v>
      </c>
      <c r="V4" s="388">
        <f>SUM(AD207:AD334)-AD229-AD230-AD231-AD300-AD311-AD313</f>
        <v>0</v>
      </c>
      <c r="W4" s="357">
        <f>Q202+Q203+Q204+Q205+Q206+Q229+Q230+Q231+Q311+Q313+Q336+Q342+Q343+Q344+Q345+Q346+Q347+Q357+Q358+Q359+Q360</f>
        <v>0</v>
      </c>
      <c r="X4" s="357">
        <f>AD202+AD203+AD204+AD205+AD206+AD229+AD230+AD231+AD311+AD313+AD336+AD342+AD343+AD344+AD345+AD346+AD347+AD357+AD358+AD359+AD360</f>
        <v>0</v>
      </c>
      <c r="Y4" s="357">
        <f>SUM(AD34:AD201)</f>
        <v>0</v>
      </c>
      <c r="Z4" s="357"/>
      <c r="AA4" s="357"/>
      <c r="AB4" s="357"/>
      <c r="AC4" s="354"/>
      <c r="AD4" s="354"/>
      <c r="AE4" s="354"/>
      <c r="AF4" s="354"/>
      <c r="AG4" s="358"/>
      <c r="AH4" s="359"/>
    </row>
    <row r="5" spans="1:39" s="300" customFormat="1" ht="20.100000000000001" customHeight="1" thickBot="1" x14ac:dyDescent="0.3">
      <c r="A5" s="564" t="str">
        <f>IF($T$5&gt;0,VLOOKUP($T$5,#REF!,12),IF($T$5=0,"",""))</f>
        <v/>
      </c>
      <c r="B5" s="565"/>
      <c r="C5" s="565"/>
      <c r="D5" s="565"/>
      <c r="E5" s="565"/>
      <c r="F5" s="565"/>
      <c r="G5" s="565"/>
      <c r="H5" s="565"/>
      <c r="I5" s="565"/>
      <c r="J5" s="565"/>
      <c r="K5" s="565"/>
      <c r="L5" s="565"/>
      <c r="M5" s="635"/>
      <c r="N5" s="564" t="str">
        <f>IF($T$5&gt;0,VLOOKUP($T$5,#REF!,13),IF($T$5=0,"",""))</f>
        <v/>
      </c>
      <c r="O5" s="565"/>
      <c r="P5" s="565"/>
      <c r="Q5" s="565"/>
      <c r="R5" s="565"/>
      <c r="S5" s="566"/>
      <c r="T5" s="296">
        <f>Y11</f>
        <v>0</v>
      </c>
      <c r="U5" s="297" t="str">
        <f>IF($T$5&gt;0,VLOOKUP($T$5,#REF!,2),IF($T$5=0,"",""))</f>
        <v/>
      </c>
      <c r="V5" s="297" t="str">
        <f>IF($T$5&gt;0,VLOOKUP($T$5,#REF!,3),IF($T$5=0,"",""))</f>
        <v/>
      </c>
      <c r="W5" s="297" t="str">
        <f>IF($T$5&gt;0,VLOOKUP($T$5,#REF!,4),IF($T$5=0,"",""))</f>
        <v/>
      </c>
      <c r="X5" s="297" t="str">
        <f>IF($T$5&gt;0,VLOOKUP($T$5,#REF!,5),IF($T$5=0,"",""))</f>
        <v/>
      </c>
      <c r="Y5" s="297" t="str">
        <f>IF($T$5&gt;0,VLOOKUP($T$5,#REF!,6),IF($T$5=0,"",""))</f>
        <v/>
      </c>
      <c r="Z5" s="297" t="str">
        <f>IF($T$5&gt;0,VLOOKUP($T$5,#REF!,7),IF($T$5=0,"",""))</f>
        <v/>
      </c>
      <c r="AA5" s="297" t="str">
        <f>IF($T$5&gt;0,VLOOKUP($T$5,#REF!,8),IF($T$5=0,"",""))</f>
        <v/>
      </c>
      <c r="AB5" s="297" t="str">
        <f>IF($T$5&gt;0,VLOOKUP($T$5,#REF!,9),IF($T$5=0,"",""))</f>
        <v/>
      </c>
      <c r="AC5" s="298" t="str">
        <f>IF($T$5&gt;0,VLOOKUP($T$5,#REF!,10),IF($T$5=0,"",""))</f>
        <v/>
      </c>
      <c r="AD5" s="370"/>
      <c r="AE5" s="435"/>
      <c r="AF5" s="299" t="s">
        <v>13</v>
      </c>
    </row>
    <row r="6" spans="1:39" s="54" customFormat="1" ht="15.75" thickBot="1" x14ac:dyDescent="0.3">
      <c r="A6" s="172"/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</row>
    <row r="7" spans="1:39" s="55" customFormat="1" ht="24" customHeight="1" thickBot="1" x14ac:dyDescent="0.3">
      <c r="B7" s="559" t="s">
        <v>290</v>
      </c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0"/>
      <c r="W7" s="560"/>
      <c r="X7" s="560"/>
      <c r="Y7" s="560"/>
      <c r="Z7" s="560"/>
      <c r="AA7" s="560"/>
      <c r="AB7" s="560"/>
      <c r="AC7" s="561"/>
      <c r="AD7" s="379"/>
      <c r="AE7" s="379"/>
      <c r="AF7" s="60"/>
      <c r="AG7" s="60"/>
    </row>
    <row r="8" spans="1:39" s="55" customFormat="1" ht="15.75" customHeight="1" thickBot="1" x14ac:dyDescent="0.3">
      <c r="B8" s="547" t="s">
        <v>310</v>
      </c>
      <c r="C8" s="548"/>
      <c r="D8" s="548"/>
      <c r="E8" s="548"/>
      <c r="F8" s="548"/>
      <c r="G8" s="548"/>
      <c r="H8" s="548"/>
      <c r="I8" s="548"/>
      <c r="J8" s="548"/>
      <c r="K8" s="548"/>
      <c r="L8" s="548"/>
      <c r="M8" s="548"/>
      <c r="N8" s="548"/>
      <c r="O8" s="548"/>
      <c r="P8" s="548"/>
      <c r="Q8" s="545" t="s">
        <v>309</v>
      </c>
      <c r="R8" s="545"/>
      <c r="S8" s="545"/>
      <c r="T8" s="546"/>
      <c r="U8" s="93" t="s">
        <v>30</v>
      </c>
      <c r="V8" s="93" t="s">
        <v>366</v>
      </c>
      <c r="W8" s="93" t="s">
        <v>32</v>
      </c>
      <c r="X8" s="93" t="s">
        <v>33</v>
      </c>
      <c r="Y8" s="93" t="s">
        <v>9</v>
      </c>
      <c r="Z8" s="93" t="s">
        <v>10</v>
      </c>
      <c r="AA8" s="93" t="s">
        <v>48</v>
      </c>
      <c r="AB8" s="93" t="s">
        <v>49</v>
      </c>
      <c r="AC8" s="229" t="s">
        <v>13</v>
      </c>
      <c r="AD8" s="380"/>
      <c r="AE8" s="380"/>
      <c r="AF8" s="60"/>
      <c r="AG8" s="60"/>
    </row>
    <row r="9" spans="1:39" s="55" customFormat="1" ht="15.75" customHeight="1" thickBot="1" x14ac:dyDescent="0.3">
      <c r="B9" s="549"/>
      <c r="C9" s="550"/>
      <c r="D9" s="550"/>
      <c r="E9" s="550"/>
      <c r="F9" s="550"/>
      <c r="G9" s="550"/>
      <c r="H9" s="550"/>
      <c r="I9" s="550"/>
      <c r="J9" s="550"/>
      <c r="K9" s="550"/>
      <c r="L9" s="550"/>
      <c r="M9" s="550"/>
      <c r="N9" s="550"/>
      <c r="O9" s="550"/>
      <c r="P9" s="550"/>
      <c r="Q9" s="542"/>
      <c r="R9" s="543"/>
      <c r="S9" s="543"/>
      <c r="T9" s="544"/>
      <c r="U9" s="238"/>
      <c r="V9" s="230"/>
      <c r="W9" s="230"/>
      <c r="X9" s="230"/>
      <c r="Y9" s="230"/>
      <c r="Z9" s="230"/>
      <c r="AA9" s="230"/>
      <c r="AB9" s="230"/>
      <c r="AC9" s="231"/>
      <c r="AD9" s="310"/>
      <c r="AE9" s="310"/>
      <c r="AF9" s="60"/>
      <c r="AG9" s="60"/>
    </row>
    <row r="10" spans="1:39" s="55" customFormat="1" ht="15.75" customHeight="1" thickBot="1" x14ac:dyDescent="0.3">
      <c r="B10" s="551"/>
      <c r="C10" s="552"/>
      <c r="D10" s="552"/>
      <c r="E10" s="552"/>
      <c r="F10" s="552"/>
      <c r="G10" s="552"/>
      <c r="H10" s="552"/>
      <c r="I10" s="552"/>
      <c r="J10" s="552"/>
      <c r="K10" s="552"/>
      <c r="L10" s="552"/>
      <c r="M10" s="552"/>
      <c r="N10" s="552"/>
      <c r="O10" s="552"/>
      <c r="P10" s="552"/>
      <c r="Q10" s="542"/>
      <c r="R10" s="543"/>
      <c r="S10" s="543"/>
      <c r="T10" s="544"/>
      <c r="U10" s="238"/>
      <c r="V10" s="230"/>
      <c r="W10" s="230"/>
      <c r="X10" s="230"/>
      <c r="Y10" s="230"/>
      <c r="Z10" s="230"/>
      <c r="AA10" s="230"/>
      <c r="AB10" s="230"/>
      <c r="AC10" s="231"/>
      <c r="AD10" s="310"/>
      <c r="AE10" s="310"/>
      <c r="AF10" s="60"/>
      <c r="AG10" s="60"/>
    </row>
    <row r="11" spans="1:39" s="55" customFormat="1" ht="27" customHeight="1" thickBot="1" x14ac:dyDescent="0.45">
      <c r="B11" s="502" t="s">
        <v>120</v>
      </c>
      <c r="C11" s="503"/>
      <c r="D11" s="503"/>
      <c r="E11" s="503"/>
      <c r="F11" s="503"/>
      <c r="G11" s="503"/>
      <c r="H11" s="503"/>
      <c r="I11" s="503"/>
      <c r="J11" s="503"/>
      <c r="K11" s="503"/>
      <c r="L11" s="503"/>
      <c r="M11" s="503"/>
      <c r="N11" s="503"/>
      <c r="O11" s="504"/>
      <c r="P11" s="176">
        <v>100</v>
      </c>
      <c r="Q11" s="174" t="s">
        <v>8</v>
      </c>
      <c r="R11" s="553" t="s">
        <v>291</v>
      </c>
      <c r="S11" s="553"/>
      <c r="T11" s="553"/>
      <c r="U11" s="553"/>
      <c r="V11" s="553"/>
      <c r="W11" s="553"/>
      <c r="X11" s="554"/>
      <c r="Y11" s="177"/>
      <c r="Z11" s="555" t="s">
        <v>363</v>
      </c>
      <c r="AA11" s="553"/>
      <c r="AB11" s="554"/>
      <c r="AC11" s="292"/>
      <c r="AD11" s="381"/>
      <c r="AE11" s="381"/>
      <c r="AF11" s="60"/>
      <c r="AG11" s="60"/>
    </row>
    <row r="12" spans="1:39" s="55" customFormat="1" ht="30.75" customHeight="1" thickBot="1" x14ac:dyDescent="0.4">
      <c r="B12" s="505" t="s">
        <v>324</v>
      </c>
      <c r="C12" s="506"/>
      <c r="D12" s="573" t="s">
        <v>24</v>
      </c>
      <c r="E12" s="574"/>
      <c r="F12" s="574"/>
      <c r="G12" s="574"/>
      <c r="H12" s="574"/>
      <c r="I12" s="574"/>
      <c r="J12" s="574"/>
      <c r="K12" s="574"/>
      <c r="L12" s="574"/>
      <c r="M12" s="575"/>
      <c r="N12" s="562">
        <v>1</v>
      </c>
      <c r="O12" s="563"/>
      <c r="P12" s="175" t="s">
        <v>23</v>
      </c>
      <c r="Q12" s="618">
        <v>5</v>
      </c>
      <c r="R12" s="619"/>
      <c r="S12" s="619"/>
      <c r="T12" s="620"/>
      <c r="U12" s="315" t="s">
        <v>122</v>
      </c>
      <c r="V12" s="608">
        <v>1</v>
      </c>
      <c r="W12" s="609"/>
      <c r="X12" s="316" t="s">
        <v>323</v>
      </c>
      <c r="Y12" s="651">
        <v>4</v>
      </c>
      <c r="Z12" s="652"/>
      <c r="AA12" s="61" t="s">
        <v>121</v>
      </c>
      <c r="AB12" s="649"/>
      <c r="AC12" s="650"/>
      <c r="AD12" s="382"/>
      <c r="AE12" s="382"/>
      <c r="AF12" s="60"/>
      <c r="AG12" s="60"/>
    </row>
    <row r="13" spans="1:39" s="180" customFormat="1" ht="12.75" x14ac:dyDescent="0.2">
      <c r="M13" s="181"/>
      <c r="N13" s="182">
        <v>1</v>
      </c>
      <c r="O13" s="183" t="s">
        <v>16</v>
      </c>
      <c r="Q13" s="248">
        <v>1</v>
      </c>
      <c r="R13" s="249" t="s">
        <v>25</v>
      </c>
      <c r="S13" s="249"/>
      <c r="T13" s="250"/>
      <c r="U13" s="187"/>
      <c r="V13" s="283">
        <v>1</v>
      </c>
      <c r="W13" s="284" t="s">
        <v>152</v>
      </c>
      <c r="Y13" s="253">
        <v>1</v>
      </c>
      <c r="Z13" s="254" t="s">
        <v>319</v>
      </c>
      <c r="AB13" s="191">
        <v>1</v>
      </c>
      <c r="AC13" s="74" t="s">
        <v>247</v>
      </c>
      <c r="AD13" s="383"/>
      <c r="AE13" s="383"/>
    </row>
    <row r="14" spans="1:39" s="180" customFormat="1" ht="13.5" thickBot="1" x14ac:dyDescent="0.25">
      <c r="M14" s="181"/>
      <c r="N14" s="182">
        <v>2</v>
      </c>
      <c r="O14" s="183" t="s">
        <v>194</v>
      </c>
      <c r="Q14" s="184">
        <v>2</v>
      </c>
      <c r="R14" s="185" t="s">
        <v>26</v>
      </c>
      <c r="S14" s="185"/>
      <c r="T14" s="186"/>
      <c r="U14" s="187"/>
      <c r="V14" s="188">
        <v>2</v>
      </c>
      <c r="W14" s="285" t="s">
        <v>193</v>
      </c>
      <c r="Y14" s="189">
        <v>2</v>
      </c>
      <c r="Z14" s="190" t="s">
        <v>320</v>
      </c>
      <c r="AB14" s="194">
        <v>2</v>
      </c>
      <c r="AC14" s="75" t="s">
        <v>246</v>
      </c>
      <c r="AD14" s="383"/>
      <c r="AE14" s="383"/>
    </row>
    <row r="15" spans="1:39" s="180" customFormat="1" ht="13.5" thickBot="1" x14ac:dyDescent="0.25">
      <c r="M15" s="181"/>
      <c r="N15" s="182">
        <v>3</v>
      </c>
      <c r="O15" s="183" t="s">
        <v>19</v>
      </c>
      <c r="Q15" s="184">
        <v>3</v>
      </c>
      <c r="R15" s="185" t="s">
        <v>27</v>
      </c>
      <c r="S15" s="185"/>
      <c r="T15" s="186"/>
      <c r="U15" s="195"/>
      <c r="V15" s="192">
        <v>3</v>
      </c>
      <c r="W15" s="193" t="s">
        <v>356</v>
      </c>
      <c r="Y15" s="189">
        <v>3</v>
      </c>
      <c r="Z15" s="190" t="s">
        <v>398</v>
      </c>
      <c r="AA15" s="196"/>
      <c r="AB15" s="196"/>
      <c r="AD15" s="384"/>
      <c r="AE15" s="384"/>
      <c r="AG15" s="197"/>
      <c r="AH15" s="197"/>
      <c r="AM15" s="196"/>
    </row>
    <row r="16" spans="1:39" s="180" customFormat="1" ht="12.75" x14ac:dyDescent="0.2">
      <c r="M16" s="181"/>
      <c r="N16" s="182">
        <v>4</v>
      </c>
      <c r="O16" s="183" t="s">
        <v>21</v>
      </c>
      <c r="Q16" s="252">
        <v>4</v>
      </c>
      <c r="R16" s="185" t="s">
        <v>369</v>
      </c>
      <c r="S16" s="251"/>
      <c r="T16" s="309"/>
      <c r="U16" s="195"/>
      <c r="Y16" s="345">
        <v>4</v>
      </c>
      <c r="Z16" s="190" t="s">
        <v>399</v>
      </c>
      <c r="AA16" s="196"/>
      <c r="AB16" s="196"/>
      <c r="AD16" s="384"/>
      <c r="AE16" s="384"/>
      <c r="AG16" s="197"/>
      <c r="AH16" s="197"/>
      <c r="AM16" s="196"/>
    </row>
    <row r="17" spans="1:39" s="180" customFormat="1" ht="12.75" x14ac:dyDescent="0.2">
      <c r="M17" s="181"/>
      <c r="N17" s="182">
        <v>5</v>
      </c>
      <c r="O17" s="183" t="s">
        <v>22</v>
      </c>
      <c r="Q17" s="184">
        <v>5</v>
      </c>
      <c r="R17" s="185" t="s">
        <v>219</v>
      </c>
      <c r="S17" s="185"/>
      <c r="T17" s="186"/>
      <c r="U17" s="195"/>
      <c r="Y17" s="189">
        <v>5</v>
      </c>
      <c r="Z17" s="190" t="s">
        <v>321</v>
      </c>
      <c r="AA17" s="196"/>
      <c r="AB17" s="196"/>
      <c r="AD17" s="384"/>
      <c r="AE17" s="384"/>
      <c r="AG17" s="197"/>
      <c r="AH17" s="197"/>
      <c r="AM17" s="196"/>
    </row>
    <row r="18" spans="1:39" s="180" customFormat="1" ht="12.75" x14ac:dyDescent="0.2">
      <c r="M18" s="181"/>
      <c r="N18" s="182">
        <v>6</v>
      </c>
      <c r="O18" s="183" t="s">
        <v>17</v>
      </c>
      <c r="Q18" s="252">
        <v>6</v>
      </c>
      <c r="R18" s="185" t="s">
        <v>220</v>
      </c>
      <c r="S18" s="251"/>
      <c r="T18" s="186"/>
      <c r="U18" s="195"/>
      <c r="Y18" s="189">
        <v>6</v>
      </c>
      <c r="Z18" s="190" t="s">
        <v>322</v>
      </c>
      <c r="AA18" s="196"/>
      <c r="AB18" s="196"/>
      <c r="AD18" s="384"/>
      <c r="AE18" s="384"/>
      <c r="AG18" s="197"/>
      <c r="AH18" s="197"/>
      <c r="AM18" s="196"/>
    </row>
    <row r="19" spans="1:39" s="180" customFormat="1" ht="13.5" thickBot="1" x14ac:dyDescent="0.25">
      <c r="M19" s="181"/>
      <c r="N19" s="182">
        <v>7</v>
      </c>
      <c r="O19" s="183" t="s">
        <v>20</v>
      </c>
      <c r="Q19" s="184">
        <v>7</v>
      </c>
      <c r="R19" s="185" t="s">
        <v>221</v>
      </c>
      <c r="S19" s="185"/>
      <c r="T19" s="186"/>
      <c r="U19" s="195"/>
      <c r="Y19" s="198">
        <v>7</v>
      </c>
      <c r="Z19" s="199" t="s">
        <v>472</v>
      </c>
      <c r="AA19" s="196"/>
      <c r="AB19" s="196"/>
      <c r="AD19" s="384"/>
      <c r="AE19" s="384"/>
      <c r="AG19" s="197"/>
      <c r="AH19" s="197"/>
      <c r="AM19" s="196"/>
    </row>
    <row r="20" spans="1:39" s="180" customFormat="1" ht="12.75" x14ac:dyDescent="0.2">
      <c r="M20" s="181"/>
      <c r="N20" s="182">
        <v>8</v>
      </c>
      <c r="O20" s="183" t="s">
        <v>18</v>
      </c>
      <c r="Q20" s="184">
        <v>8</v>
      </c>
      <c r="R20" s="185" t="s">
        <v>28</v>
      </c>
      <c r="S20" s="185"/>
      <c r="T20" s="186"/>
      <c r="U20" s="195"/>
      <c r="AA20" s="196"/>
      <c r="AB20" s="196"/>
      <c r="AD20" s="384"/>
      <c r="AE20" s="384"/>
      <c r="AG20" s="197"/>
      <c r="AH20" s="197"/>
      <c r="AM20" s="196"/>
    </row>
    <row r="21" spans="1:39" s="180" customFormat="1" ht="12.75" x14ac:dyDescent="0.2">
      <c r="M21" s="181"/>
      <c r="N21" s="182">
        <v>9</v>
      </c>
      <c r="O21" s="200" t="s">
        <v>287</v>
      </c>
      <c r="Q21" s="184">
        <v>9</v>
      </c>
      <c r="R21" s="185" t="s">
        <v>110</v>
      </c>
      <c r="S21" s="185"/>
      <c r="T21" s="186"/>
      <c r="U21" s="195"/>
      <c r="V21" s="201"/>
      <c r="W21" s="197"/>
      <c r="X21" s="202"/>
      <c r="Z21" s="196"/>
      <c r="AA21" s="196"/>
      <c r="AB21" s="196"/>
      <c r="AC21" s="196"/>
      <c r="AD21" s="196"/>
      <c r="AE21" s="196"/>
    </row>
    <row r="22" spans="1:39" s="180" customFormat="1" ht="12.75" x14ac:dyDescent="0.2">
      <c r="M22" s="181"/>
      <c r="N22" s="182">
        <v>10</v>
      </c>
      <c r="O22" s="183" t="s">
        <v>107</v>
      </c>
      <c r="Q22" s="184">
        <v>10</v>
      </c>
      <c r="R22" s="185" t="s">
        <v>469</v>
      </c>
      <c r="S22" s="185"/>
      <c r="T22" s="186"/>
      <c r="U22" s="195"/>
      <c r="V22" s="202"/>
      <c r="W22" s="202"/>
      <c r="X22" s="202"/>
      <c r="Z22" s="196"/>
      <c r="AA22" s="196"/>
      <c r="AB22" s="196"/>
      <c r="AC22" s="196"/>
      <c r="AD22" s="196"/>
      <c r="AE22" s="196"/>
    </row>
    <row r="23" spans="1:39" s="180" customFormat="1" ht="12.75" x14ac:dyDescent="0.2">
      <c r="M23" s="181"/>
      <c r="N23" s="182">
        <v>11</v>
      </c>
      <c r="O23" s="183" t="s">
        <v>108</v>
      </c>
      <c r="Q23" s="184">
        <v>11</v>
      </c>
      <c r="R23" s="185" t="s">
        <v>203</v>
      </c>
      <c r="S23" s="185"/>
      <c r="T23" s="186"/>
      <c r="U23" s="202"/>
      <c r="V23" s="202"/>
      <c r="W23" s="202"/>
      <c r="X23" s="202"/>
      <c r="Z23" s="196"/>
      <c r="AA23" s="196"/>
      <c r="AB23" s="196"/>
      <c r="AC23" s="196"/>
      <c r="AD23" s="196"/>
      <c r="AE23" s="196"/>
    </row>
    <row r="24" spans="1:39" s="180" customFormat="1" ht="13.5" customHeight="1" thickBot="1" x14ac:dyDescent="0.25">
      <c r="M24" s="181"/>
      <c r="N24" s="182">
        <v>12</v>
      </c>
      <c r="O24" s="183" t="s">
        <v>109</v>
      </c>
      <c r="Q24" s="470">
        <v>12</v>
      </c>
      <c r="R24" s="471" t="s">
        <v>251</v>
      </c>
      <c r="S24" s="468"/>
      <c r="T24" s="469"/>
      <c r="U24" s="202"/>
      <c r="V24" s="202"/>
      <c r="W24" s="202"/>
      <c r="X24" s="202"/>
      <c r="Z24" s="196"/>
      <c r="AA24" s="196"/>
      <c r="AB24" s="196"/>
      <c r="AC24" s="196"/>
      <c r="AD24" s="196"/>
      <c r="AE24" s="196"/>
    </row>
    <row r="25" spans="1:39" s="180" customFormat="1" ht="12.75" x14ac:dyDescent="0.2">
      <c r="M25" s="181"/>
      <c r="N25" s="182">
        <v>13</v>
      </c>
      <c r="O25" s="183" t="s">
        <v>265</v>
      </c>
      <c r="Q25" s="203"/>
      <c r="R25" s="201"/>
      <c r="S25" s="201"/>
      <c r="T25" s="201"/>
      <c r="U25" s="202"/>
      <c r="V25" s="202"/>
      <c r="W25" s="202"/>
      <c r="X25" s="202"/>
      <c r="Z25" s="196"/>
      <c r="AA25" s="196"/>
      <c r="AB25" s="196"/>
      <c r="AC25" s="196"/>
      <c r="AD25" s="196"/>
      <c r="AE25" s="196"/>
    </row>
    <row r="26" spans="1:39" s="180" customFormat="1" ht="12.75" x14ac:dyDescent="0.2">
      <c r="M26" s="181"/>
      <c r="N26" s="182">
        <v>14</v>
      </c>
      <c r="O26" s="183" t="s">
        <v>288</v>
      </c>
      <c r="Q26" s="203"/>
      <c r="R26" s="201"/>
      <c r="S26" s="201"/>
      <c r="T26" s="201"/>
      <c r="U26" s="202"/>
      <c r="V26" s="202"/>
      <c r="W26" s="202"/>
      <c r="X26" s="202"/>
      <c r="Z26" s="196"/>
      <c r="AA26" s="196"/>
      <c r="AB26" s="196"/>
      <c r="AC26" s="196"/>
      <c r="AD26" s="196"/>
      <c r="AE26" s="196"/>
    </row>
    <row r="27" spans="1:39" s="180" customFormat="1" ht="12.75" x14ac:dyDescent="0.2">
      <c r="M27" s="181"/>
      <c r="N27" s="182">
        <v>15</v>
      </c>
      <c r="O27" s="183" t="s">
        <v>289</v>
      </c>
      <c r="Q27" s="203"/>
      <c r="R27" s="201"/>
      <c r="S27" s="201"/>
      <c r="T27" s="201"/>
      <c r="U27" s="202"/>
      <c r="V27" s="202"/>
      <c r="W27" s="202"/>
      <c r="X27" s="202"/>
      <c r="Z27" s="196"/>
      <c r="AA27" s="196"/>
      <c r="AB27" s="196"/>
      <c r="AC27" s="196"/>
      <c r="AD27" s="196"/>
      <c r="AE27" s="196"/>
    </row>
    <row r="28" spans="1:39" s="180" customFormat="1" ht="15" customHeight="1" thickBot="1" x14ac:dyDescent="0.25">
      <c r="M28" s="181"/>
      <c r="N28" s="204">
        <v>16</v>
      </c>
      <c r="O28" s="205" t="s">
        <v>198</v>
      </c>
      <c r="Q28" s="206"/>
      <c r="R28" s="206"/>
      <c r="S28" s="206"/>
      <c r="T28" s="206"/>
      <c r="U28" s="202"/>
      <c r="V28" s="202"/>
      <c r="W28" s="202"/>
      <c r="X28" s="202"/>
      <c r="Z28" s="196"/>
      <c r="AA28" s="196"/>
      <c r="AB28" s="196"/>
      <c r="AC28" s="196"/>
      <c r="AD28" s="196"/>
      <c r="AE28" s="196"/>
    </row>
    <row r="29" spans="1:39" s="180" customFormat="1" ht="13.5" thickBot="1" x14ac:dyDescent="0.25">
      <c r="M29" s="181"/>
      <c r="N29" s="391">
        <v>17</v>
      </c>
      <c r="O29" s="392" t="s">
        <v>373</v>
      </c>
      <c r="Q29" s="294">
        <v>13</v>
      </c>
      <c r="R29" s="624" t="s">
        <v>373</v>
      </c>
      <c r="S29" s="624"/>
      <c r="T29" s="625"/>
      <c r="U29" s="202"/>
      <c r="V29" s="416">
        <v>4</v>
      </c>
      <c r="W29" s="417" t="s">
        <v>429</v>
      </c>
      <c r="X29" s="202"/>
      <c r="Y29" s="389">
        <v>8</v>
      </c>
      <c r="Z29" s="390" t="s">
        <v>373</v>
      </c>
      <c r="AA29" s="196"/>
      <c r="AB29" s="196"/>
      <c r="AC29" s="196"/>
      <c r="AD29" s="196"/>
      <c r="AE29" s="196"/>
    </row>
    <row r="30" spans="1:39" s="55" customFormat="1" ht="15" customHeight="1" thickBot="1" x14ac:dyDescent="0.4">
      <c r="M30" s="126"/>
      <c r="N30" s="56"/>
      <c r="O30" s="56"/>
      <c r="P30" s="56"/>
      <c r="Q30" s="63"/>
      <c r="R30" s="58"/>
      <c r="S30" s="58"/>
      <c r="T30" s="58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</row>
    <row r="31" spans="1:39" ht="30.75" thickBot="1" x14ac:dyDescent="0.3">
      <c r="A31" s="14"/>
      <c r="B31" s="14"/>
      <c r="C31" s="70" t="s">
        <v>13</v>
      </c>
      <c r="D31" s="59"/>
      <c r="E31" s="39" t="s">
        <v>30</v>
      </c>
      <c r="F31" s="39" t="s">
        <v>31</v>
      </c>
      <c r="G31" s="52" t="s">
        <v>113</v>
      </c>
      <c r="H31" s="39" t="s">
        <v>33</v>
      </c>
      <c r="I31" s="39" t="s">
        <v>9</v>
      </c>
      <c r="J31" s="39" t="s">
        <v>10</v>
      </c>
      <c r="K31" s="39" t="s">
        <v>48</v>
      </c>
      <c r="L31" s="39" t="s">
        <v>49</v>
      </c>
      <c r="M31" s="39" t="s">
        <v>250</v>
      </c>
      <c r="N31" s="636" t="s">
        <v>0</v>
      </c>
      <c r="O31" s="637"/>
      <c r="P31" s="638"/>
      <c r="Q31" s="39"/>
      <c r="R31" s="39"/>
      <c r="S31" s="71" t="s">
        <v>134</v>
      </c>
      <c r="T31" s="72" t="s">
        <v>135</v>
      </c>
      <c r="U31" s="39" t="s">
        <v>30</v>
      </c>
      <c r="V31" s="39" t="s">
        <v>31</v>
      </c>
      <c r="W31" s="39" t="s">
        <v>32</v>
      </c>
      <c r="X31" s="39" t="s">
        <v>33</v>
      </c>
      <c r="Y31" s="39" t="s">
        <v>9</v>
      </c>
      <c r="Z31" s="39" t="s">
        <v>10</v>
      </c>
      <c r="AA31" s="39" t="s">
        <v>48</v>
      </c>
      <c r="AB31" s="73" t="s">
        <v>49</v>
      </c>
      <c r="AC31" s="70" t="s">
        <v>7</v>
      </c>
      <c r="AD31" s="385"/>
      <c r="AE31" s="385"/>
      <c r="AH31" s="15"/>
      <c r="AI31" s="16"/>
      <c r="AJ31" s="16"/>
    </row>
    <row r="32" spans="1:39" x14ac:dyDescent="0.25">
      <c r="A32" s="14"/>
      <c r="B32" s="14"/>
      <c r="C32" s="278">
        <f>AC9</f>
        <v>0</v>
      </c>
      <c r="D32" s="25" t="s">
        <v>14</v>
      </c>
      <c r="E32" s="232">
        <f t="shared" ref="E32:L33" si="1">U9</f>
        <v>0</v>
      </c>
      <c r="F32" s="232">
        <f t="shared" si="1"/>
        <v>0</v>
      </c>
      <c r="G32" s="232">
        <f t="shared" si="1"/>
        <v>0</v>
      </c>
      <c r="H32" s="232">
        <f t="shared" si="1"/>
        <v>0</v>
      </c>
      <c r="I32" s="232">
        <f t="shared" si="1"/>
        <v>0</v>
      </c>
      <c r="J32" s="232">
        <f t="shared" si="1"/>
        <v>0</v>
      </c>
      <c r="K32" s="232">
        <f t="shared" si="1"/>
        <v>0</v>
      </c>
      <c r="L32" s="232">
        <f t="shared" si="1"/>
        <v>0</v>
      </c>
      <c r="M32" s="42"/>
      <c r="N32" s="646">
        <f>Q9</f>
        <v>0</v>
      </c>
      <c r="O32" s="647"/>
      <c r="P32" s="648"/>
      <c r="Q32" s="233"/>
      <c r="R32" s="66" t="s">
        <v>133</v>
      </c>
      <c r="S32" s="227"/>
      <c r="T32" s="226"/>
      <c r="U32" s="37">
        <f>U9*Q32</f>
        <v>0</v>
      </c>
      <c r="V32" s="26">
        <f t="shared" ref="V32:AB33" si="2">V9*$Q32/$Q$361</f>
        <v>0</v>
      </c>
      <c r="W32" s="26">
        <f t="shared" si="2"/>
        <v>0</v>
      </c>
      <c r="X32" s="26">
        <f t="shared" si="2"/>
        <v>0</v>
      </c>
      <c r="Y32" s="26">
        <f t="shared" si="2"/>
        <v>0</v>
      </c>
      <c r="Z32" s="26">
        <f t="shared" si="2"/>
        <v>0</v>
      </c>
      <c r="AA32" s="26">
        <f t="shared" si="2"/>
        <v>0</v>
      </c>
      <c r="AB32" s="26">
        <f t="shared" si="2"/>
        <v>0</v>
      </c>
      <c r="AC32" s="40">
        <f>Adatbázis!C32*Q32</f>
        <v>0</v>
      </c>
      <c r="AD32" s="377"/>
      <c r="AE32" s="377"/>
      <c r="AH32" s="15"/>
      <c r="AI32" s="16"/>
      <c r="AJ32" s="16"/>
    </row>
    <row r="33" spans="1:36" ht="15.75" thickBot="1" x14ac:dyDescent="0.3">
      <c r="A33" s="14"/>
      <c r="B33" s="14"/>
      <c r="C33" s="279">
        <f>AC10</f>
        <v>0</v>
      </c>
      <c r="D33" s="29" t="s">
        <v>14</v>
      </c>
      <c r="E33" s="234">
        <f t="shared" si="1"/>
        <v>0</v>
      </c>
      <c r="F33" s="234">
        <f t="shared" si="1"/>
        <v>0</v>
      </c>
      <c r="G33" s="234">
        <f t="shared" si="1"/>
        <v>0</v>
      </c>
      <c r="H33" s="234">
        <f t="shared" si="1"/>
        <v>0</v>
      </c>
      <c r="I33" s="234">
        <f t="shared" si="1"/>
        <v>0</v>
      </c>
      <c r="J33" s="234">
        <f t="shared" si="1"/>
        <v>0</v>
      </c>
      <c r="K33" s="234">
        <f t="shared" si="1"/>
        <v>0</v>
      </c>
      <c r="L33" s="234">
        <f t="shared" si="1"/>
        <v>0</v>
      </c>
      <c r="M33" s="53"/>
      <c r="N33" s="539">
        <f>Q10</f>
        <v>0</v>
      </c>
      <c r="O33" s="540"/>
      <c r="P33" s="541"/>
      <c r="Q33" s="107"/>
      <c r="R33" s="83" t="s">
        <v>133</v>
      </c>
      <c r="S33" s="124"/>
      <c r="T33" s="122"/>
      <c r="U33" s="38">
        <f>U10*Q33</f>
        <v>0</v>
      </c>
      <c r="V33" s="67">
        <f t="shared" si="2"/>
        <v>0</v>
      </c>
      <c r="W33" s="67">
        <f t="shared" si="2"/>
        <v>0</v>
      </c>
      <c r="X33" s="67">
        <f t="shared" si="2"/>
        <v>0</v>
      </c>
      <c r="Y33" s="67">
        <f t="shared" si="2"/>
        <v>0</v>
      </c>
      <c r="Z33" s="67">
        <f t="shared" si="2"/>
        <v>0</v>
      </c>
      <c r="AA33" s="67">
        <f t="shared" si="2"/>
        <v>0</v>
      </c>
      <c r="AB33" s="67">
        <f t="shared" si="2"/>
        <v>0</v>
      </c>
      <c r="AC33" s="68">
        <f>Adatbázis!C33*Q33</f>
        <v>0</v>
      </c>
      <c r="AD33" s="377"/>
      <c r="AE33" s="377"/>
      <c r="AH33" s="15"/>
      <c r="AI33" s="16"/>
      <c r="AJ33" s="16"/>
    </row>
    <row r="34" spans="1:36" ht="15" customHeight="1" x14ac:dyDescent="0.25">
      <c r="A34" s="639" t="s">
        <v>155</v>
      </c>
      <c r="B34" s="597" t="s">
        <v>154</v>
      </c>
      <c r="C34" s="87"/>
      <c r="D34" s="78" t="s">
        <v>14</v>
      </c>
      <c r="E34" s="32">
        <v>5.93</v>
      </c>
      <c r="F34" s="6">
        <v>23.4</v>
      </c>
      <c r="G34" s="6">
        <v>0.3</v>
      </c>
      <c r="H34" s="6">
        <v>22.1</v>
      </c>
      <c r="I34" s="6">
        <v>1.82</v>
      </c>
      <c r="J34" s="6">
        <v>0.33</v>
      </c>
      <c r="K34" s="6">
        <v>0.87</v>
      </c>
      <c r="L34" s="6">
        <v>0.3</v>
      </c>
      <c r="M34" s="144"/>
      <c r="N34" s="481" t="s">
        <v>473</v>
      </c>
      <c r="O34" s="481"/>
      <c r="P34" s="481"/>
      <c r="Q34" s="145"/>
      <c r="R34" s="120" t="s">
        <v>133</v>
      </c>
      <c r="S34" s="89">
        <f>$P$11*0.04</f>
        <v>4</v>
      </c>
      <c r="T34" s="90">
        <f>$P$11*0.06</f>
        <v>6</v>
      </c>
      <c r="U34" s="32">
        <f>Adatbázis!E34*Q34</f>
        <v>0</v>
      </c>
      <c r="V34" s="6">
        <f>Adatbázis!F34*$Q34/$Q$361</f>
        <v>0</v>
      </c>
      <c r="W34" s="6">
        <f>Adatbázis!G34*$Q34/$Q$361</f>
        <v>0</v>
      </c>
      <c r="X34" s="6">
        <f>Adatbázis!H34*$Q34/$Q$361</f>
        <v>0</v>
      </c>
      <c r="Y34" s="6">
        <f>Adatbázis!I34*$Q34/$Q$361</f>
        <v>0</v>
      </c>
      <c r="Z34" s="6">
        <f>Adatbázis!J34*$Q34/$Q$361</f>
        <v>0</v>
      </c>
      <c r="AA34" s="6">
        <f>Adatbázis!K34*$Q34/$Q$361</f>
        <v>0</v>
      </c>
      <c r="AB34" s="6">
        <f>Adatbázis!L34*$Q34/$Q$361</f>
        <v>0</v>
      </c>
      <c r="AC34" s="50">
        <f>Adatbázis!C34*Q34</f>
        <v>0</v>
      </c>
      <c r="AD34" s="442">
        <f t="shared" ref="AD34:AD62" si="3">IF(AND(Q34&gt;T34),1,0)</f>
        <v>0</v>
      </c>
      <c r="AE34" s="442"/>
      <c r="AF34" s="497" t="s">
        <v>216</v>
      </c>
      <c r="AG34" s="588"/>
      <c r="AH34" s="589"/>
      <c r="AI34" s="16"/>
      <c r="AJ34" s="16"/>
    </row>
    <row r="35" spans="1:36" s="14" customFormat="1" x14ac:dyDescent="0.25">
      <c r="A35" s="640"/>
      <c r="B35" s="641"/>
      <c r="C35" s="81"/>
      <c r="D35" s="27" t="s">
        <v>14</v>
      </c>
      <c r="E35" s="36">
        <v>5</v>
      </c>
      <c r="F35" s="17">
        <v>18</v>
      </c>
      <c r="G35" s="17">
        <v>0.3</v>
      </c>
      <c r="H35" s="17">
        <v>26.5</v>
      </c>
      <c r="I35" s="17">
        <v>1.75</v>
      </c>
      <c r="J35" s="17">
        <v>0.32</v>
      </c>
      <c r="K35" s="17">
        <v>0.77</v>
      </c>
      <c r="L35" s="17">
        <v>0.26</v>
      </c>
      <c r="M35" s="43"/>
      <c r="N35" s="472" t="s">
        <v>29</v>
      </c>
      <c r="O35" s="472"/>
      <c r="P35" s="472"/>
      <c r="Q35" s="107"/>
      <c r="R35" s="80" t="s">
        <v>133</v>
      </c>
      <c r="S35" s="123">
        <f>$P$11*0.04</f>
        <v>4</v>
      </c>
      <c r="T35" s="121">
        <f>$P$11*0.06</f>
        <v>6</v>
      </c>
      <c r="U35" s="36">
        <f>Adatbázis!E35*Q35</f>
        <v>0</v>
      </c>
      <c r="V35" s="28">
        <f>Adatbázis!F35*$Q35/$Q$361</f>
        <v>0</v>
      </c>
      <c r="W35" s="28">
        <f>Adatbázis!G35*$Q35/$Q$361</f>
        <v>0</v>
      </c>
      <c r="X35" s="28">
        <f>Adatbázis!H35*$Q35/$Q$361</f>
        <v>0</v>
      </c>
      <c r="Y35" s="28">
        <f>Adatbázis!I35*$Q35/$Q$361</f>
        <v>0</v>
      </c>
      <c r="Z35" s="28">
        <f>Adatbázis!J35*$Q35/$Q$361</f>
        <v>0</v>
      </c>
      <c r="AA35" s="28">
        <f>Adatbázis!K35*$Q35/$Q$361</f>
        <v>0</v>
      </c>
      <c r="AB35" s="28">
        <f>Adatbázis!L35*$Q35/$Q$361</f>
        <v>0</v>
      </c>
      <c r="AC35" s="41">
        <f>Adatbázis!C35*Q35</f>
        <v>0</v>
      </c>
      <c r="AD35" s="442">
        <f t="shared" si="3"/>
        <v>0</v>
      </c>
      <c r="AE35" s="442"/>
      <c r="AF35" s="479" t="s">
        <v>216</v>
      </c>
      <c r="AG35" s="480"/>
      <c r="AH35" s="480"/>
      <c r="AI35" s="16"/>
      <c r="AJ35" s="16"/>
    </row>
    <row r="36" spans="1:36" s="14" customFormat="1" x14ac:dyDescent="0.25">
      <c r="A36" s="640"/>
      <c r="B36" s="641"/>
      <c r="C36" s="81"/>
      <c r="D36" s="27" t="s">
        <v>14</v>
      </c>
      <c r="E36" s="36">
        <v>4</v>
      </c>
      <c r="F36" s="17">
        <v>10</v>
      </c>
      <c r="G36" s="17">
        <v>0.3</v>
      </c>
      <c r="H36" s="17">
        <v>28</v>
      </c>
      <c r="I36" s="17">
        <v>1</v>
      </c>
      <c r="J36" s="17">
        <v>0.2</v>
      </c>
      <c r="K36" s="17">
        <v>0.7</v>
      </c>
      <c r="L36" s="17">
        <v>0.25</v>
      </c>
      <c r="M36" s="43"/>
      <c r="N36" s="472" t="s">
        <v>379</v>
      </c>
      <c r="O36" s="472"/>
      <c r="P36" s="472"/>
      <c r="Q36" s="145"/>
      <c r="R36" s="80" t="s">
        <v>133</v>
      </c>
      <c r="S36" s="123">
        <f>$P$11*0.04</f>
        <v>4</v>
      </c>
      <c r="T36" s="121">
        <f>$P$11*0.06</f>
        <v>6</v>
      </c>
      <c r="U36" s="36">
        <f>Adatbázis!E36*Q36</f>
        <v>0</v>
      </c>
      <c r="V36" s="28">
        <f>Adatbázis!F36*$Q36/$Q$361</f>
        <v>0</v>
      </c>
      <c r="W36" s="28">
        <f>Adatbázis!G36*$Q36/$Q$361</f>
        <v>0</v>
      </c>
      <c r="X36" s="28">
        <f>Adatbázis!H36*$Q36/$Q$361</f>
        <v>0</v>
      </c>
      <c r="Y36" s="28">
        <f>Adatbázis!I36*$Q36/$Q$361</f>
        <v>0</v>
      </c>
      <c r="Z36" s="28">
        <f>Adatbázis!J36*$Q36/$Q$361</f>
        <v>0</v>
      </c>
      <c r="AA36" s="28">
        <f>Adatbázis!K36*$Q36/$Q$361</f>
        <v>0</v>
      </c>
      <c r="AB36" s="28">
        <f>Adatbázis!L36*$Q36/$Q$361</f>
        <v>0</v>
      </c>
      <c r="AC36" s="41">
        <f>Adatbázis!C36*Q36</f>
        <v>0</v>
      </c>
      <c r="AD36" s="442">
        <f t="shared" si="3"/>
        <v>0</v>
      </c>
      <c r="AE36" s="442"/>
      <c r="AF36" s="479" t="s">
        <v>216</v>
      </c>
      <c r="AG36" s="480"/>
      <c r="AH36" s="480"/>
      <c r="AI36" s="16"/>
      <c r="AJ36" s="16"/>
    </row>
    <row r="37" spans="1:36" s="14" customFormat="1" ht="15.75" thickBot="1" x14ac:dyDescent="0.3">
      <c r="A37" s="640"/>
      <c r="B37" s="641"/>
      <c r="C37" s="94"/>
      <c r="D37" s="95" t="s">
        <v>14</v>
      </c>
      <c r="E37" s="22">
        <v>8.1</v>
      </c>
      <c r="F37" s="119">
        <v>4</v>
      </c>
      <c r="G37" s="119">
        <v>0.3</v>
      </c>
      <c r="H37" s="119">
        <v>33</v>
      </c>
      <c r="I37" s="119">
        <v>1</v>
      </c>
      <c r="J37" s="119">
        <v>0.125</v>
      </c>
      <c r="K37" s="119">
        <v>0.68</v>
      </c>
      <c r="L37" s="119">
        <v>0.24</v>
      </c>
      <c r="M37" s="118"/>
      <c r="N37" s="476" t="s">
        <v>116</v>
      </c>
      <c r="O37" s="476"/>
      <c r="P37" s="476"/>
      <c r="Q37" s="145"/>
      <c r="R37" s="151" t="s">
        <v>133</v>
      </c>
      <c r="S37" s="264">
        <f>$P$11*0.04</f>
        <v>4</v>
      </c>
      <c r="T37" s="261">
        <f>$P$11*0.06</f>
        <v>6</v>
      </c>
      <c r="U37" s="22">
        <f>Adatbázis!E37*Q37</f>
        <v>0</v>
      </c>
      <c r="V37" s="48">
        <f>Adatbázis!F37*$Q37/$Q$361</f>
        <v>0</v>
      </c>
      <c r="W37" s="48">
        <f>Adatbázis!G37*$Q37/$Q$361</f>
        <v>0</v>
      </c>
      <c r="X37" s="48">
        <f>Adatbázis!H37*$Q37/$Q$361</f>
        <v>0</v>
      </c>
      <c r="Y37" s="48">
        <f>Adatbázis!I37*$Q37/$Q$361</f>
        <v>0</v>
      </c>
      <c r="Z37" s="48">
        <f>Adatbázis!J37*$Q37/$Q$361</f>
        <v>0</v>
      </c>
      <c r="AA37" s="48">
        <f>Adatbázis!K37*$Q37/$Q$361</f>
        <v>0</v>
      </c>
      <c r="AB37" s="48">
        <f>Adatbázis!L37*$Q37/$Q$361</f>
        <v>0</v>
      </c>
      <c r="AC37" s="49">
        <f>Adatbázis!C37*Q37</f>
        <v>0</v>
      </c>
      <c r="AD37" s="442">
        <f t="shared" si="3"/>
        <v>0</v>
      </c>
      <c r="AE37" s="442"/>
      <c r="AF37" s="479" t="s">
        <v>216</v>
      </c>
      <c r="AG37" s="480"/>
      <c r="AH37" s="480"/>
      <c r="AI37" s="16"/>
      <c r="AJ37" s="16"/>
    </row>
    <row r="38" spans="1:36" s="14" customFormat="1" ht="15" customHeight="1" x14ac:dyDescent="0.25">
      <c r="A38" s="640"/>
      <c r="B38" s="642" t="s">
        <v>153</v>
      </c>
      <c r="C38" s="265"/>
      <c r="D38" s="25" t="s">
        <v>14</v>
      </c>
      <c r="E38" s="37">
        <v>9.6999999999999993</v>
      </c>
      <c r="F38" s="30">
        <v>23</v>
      </c>
      <c r="G38" s="30">
        <v>4.0999999999999996</v>
      </c>
      <c r="H38" s="30">
        <v>37.700000000000003</v>
      </c>
      <c r="I38" s="30">
        <v>2.2400000000000002</v>
      </c>
      <c r="J38" s="30">
        <v>0.27400000000000002</v>
      </c>
      <c r="K38" s="30">
        <v>0.68</v>
      </c>
      <c r="L38" s="30">
        <v>0.24</v>
      </c>
      <c r="M38" s="277"/>
      <c r="N38" s="621" t="s">
        <v>156</v>
      </c>
      <c r="O38" s="621"/>
      <c r="P38" s="621"/>
      <c r="Q38" s="107"/>
      <c r="R38" s="66" t="s">
        <v>133</v>
      </c>
      <c r="S38" s="632">
        <f>$P$11*0.005</f>
        <v>0.5</v>
      </c>
      <c r="T38" s="629">
        <f>$P$11*0.01</f>
        <v>1</v>
      </c>
      <c r="U38" s="37">
        <f>Adatbázis!E38*Q38</f>
        <v>0</v>
      </c>
      <c r="V38" s="26">
        <f>Adatbázis!F38*$Q38/$Q$361</f>
        <v>0</v>
      </c>
      <c r="W38" s="26">
        <f>Adatbázis!G38*$Q38/$Q$361</f>
        <v>0</v>
      </c>
      <c r="X38" s="26">
        <f>Adatbázis!H38*$Q38/$Q$361</f>
        <v>0</v>
      </c>
      <c r="Y38" s="26">
        <f>Adatbázis!I38*$Q38/$Q$361</f>
        <v>0</v>
      </c>
      <c r="Z38" s="26">
        <f>Adatbázis!J38*$Q38/$Q$361</f>
        <v>0</v>
      </c>
      <c r="AA38" s="26">
        <f>Adatbázis!K38*$Q38/$Q$361</f>
        <v>0</v>
      </c>
      <c r="AB38" s="26">
        <f>Adatbázis!L38*$Q38/$Q$361</f>
        <v>0</v>
      </c>
      <c r="AC38" s="40">
        <f>Adatbázis!C38*Q38</f>
        <v>0</v>
      </c>
      <c r="AD38" s="442">
        <f t="shared" si="3"/>
        <v>0</v>
      </c>
      <c r="AE38" s="377"/>
      <c r="AH38" s="15"/>
      <c r="AI38" s="16"/>
      <c r="AJ38" s="16"/>
    </row>
    <row r="39" spans="1:36" s="14" customFormat="1" x14ac:dyDescent="0.25">
      <c r="A39" s="640"/>
      <c r="B39" s="643"/>
      <c r="C39" s="267"/>
      <c r="D39" s="27" t="s">
        <v>14</v>
      </c>
      <c r="E39" s="36">
        <v>11.1</v>
      </c>
      <c r="F39" s="17">
        <v>6.7</v>
      </c>
      <c r="G39" s="17">
        <v>5.9</v>
      </c>
      <c r="H39" s="17">
        <v>45.7</v>
      </c>
      <c r="I39" s="17">
        <v>2.4300000000000002</v>
      </c>
      <c r="J39" s="17">
        <v>7.0000000000000007E-2</v>
      </c>
      <c r="K39" s="17">
        <v>0.68</v>
      </c>
      <c r="L39" s="17">
        <v>0.24</v>
      </c>
      <c r="M39" s="76"/>
      <c r="N39" s="645" t="s">
        <v>157</v>
      </c>
      <c r="O39" s="645"/>
      <c r="P39" s="645"/>
      <c r="Q39" s="107"/>
      <c r="R39" s="79" t="s">
        <v>133</v>
      </c>
      <c r="S39" s="633"/>
      <c r="T39" s="630"/>
      <c r="U39" s="36">
        <f>Adatbázis!E39*Q39</f>
        <v>0</v>
      </c>
      <c r="V39" s="28">
        <f>Adatbázis!F39*$Q39/$Q$361</f>
        <v>0</v>
      </c>
      <c r="W39" s="28">
        <f>Adatbázis!G39*$Q39/$Q$361</f>
        <v>0</v>
      </c>
      <c r="X39" s="28">
        <f>Adatbázis!H39*$Q39/$Q$361</f>
        <v>0</v>
      </c>
      <c r="Y39" s="28">
        <f>Adatbázis!I39*$Q39/$Q$361</f>
        <v>0</v>
      </c>
      <c r="Z39" s="28">
        <f>Adatbázis!J39*$Q39/$Q$361</f>
        <v>0</v>
      </c>
      <c r="AA39" s="28">
        <f>Adatbázis!K39*$Q39/$Q$361</f>
        <v>0</v>
      </c>
      <c r="AB39" s="28">
        <f>Adatbázis!L39*$Q39/$Q$361</f>
        <v>0</v>
      </c>
      <c r="AC39" s="41">
        <f>Adatbázis!C39*Q39</f>
        <v>0</v>
      </c>
      <c r="AD39" s="442">
        <f t="shared" si="3"/>
        <v>0</v>
      </c>
      <c r="AE39" s="377"/>
      <c r="AH39" s="15"/>
      <c r="AI39" s="16"/>
      <c r="AJ39" s="16"/>
    </row>
    <row r="40" spans="1:36" s="14" customFormat="1" x14ac:dyDescent="0.25">
      <c r="A40" s="640"/>
      <c r="B40" s="643"/>
      <c r="C40" s="267"/>
      <c r="D40" s="27" t="s">
        <v>14</v>
      </c>
      <c r="E40" s="36"/>
      <c r="F40" s="17"/>
      <c r="G40" s="17"/>
      <c r="H40" s="17"/>
      <c r="I40" s="17"/>
      <c r="J40" s="17"/>
      <c r="K40" s="17">
        <v>0.68</v>
      </c>
      <c r="L40" s="17">
        <v>0.24</v>
      </c>
      <c r="M40" s="76"/>
      <c r="N40" s="645" t="s">
        <v>158</v>
      </c>
      <c r="O40" s="645"/>
      <c r="P40" s="645"/>
      <c r="Q40" s="145"/>
      <c r="R40" s="79" t="s">
        <v>133</v>
      </c>
      <c r="S40" s="633"/>
      <c r="T40" s="630"/>
      <c r="U40" s="36">
        <f>Adatbázis!E40*Q40</f>
        <v>0</v>
      </c>
      <c r="V40" s="28">
        <f>Adatbázis!F40*$Q40/$Q$361</f>
        <v>0</v>
      </c>
      <c r="W40" s="28">
        <f>Adatbázis!G40*$Q40/$Q$361</f>
        <v>0</v>
      </c>
      <c r="X40" s="28">
        <f>Adatbázis!H40*$Q40/$Q$361</f>
        <v>0</v>
      </c>
      <c r="Y40" s="28">
        <f>Adatbázis!I40*$Q40/$Q$361</f>
        <v>0</v>
      </c>
      <c r="Z40" s="28">
        <f>Adatbázis!J40*$Q40/$Q$361</f>
        <v>0</v>
      </c>
      <c r="AA40" s="28">
        <f>Adatbázis!K40*$Q40/$Q$361</f>
        <v>0</v>
      </c>
      <c r="AB40" s="28">
        <f>Adatbázis!L40*$Q40/$Q$361</f>
        <v>0</v>
      </c>
      <c r="AC40" s="41">
        <f>Adatbázis!C40*Q40</f>
        <v>0</v>
      </c>
      <c r="AD40" s="442">
        <f t="shared" si="3"/>
        <v>0</v>
      </c>
      <c r="AE40" s="377"/>
      <c r="AH40" s="15"/>
      <c r="AI40" s="16"/>
      <c r="AJ40" s="16"/>
    </row>
    <row r="41" spans="1:36" s="14" customFormat="1" x14ac:dyDescent="0.25">
      <c r="A41" s="640"/>
      <c r="B41" s="643"/>
      <c r="C41" s="267"/>
      <c r="D41" s="27" t="s">
        <v>14</v>
      </c>
      <c r="E41" s="36"/>
      <c r="F41" s="17"/>
      <c r="G41" s="17"/>
      <c r="H41" s="17"/>
      <c r="I41" s="17"/>
      <c r="J41" s="17"/>
      <c r="K41" s="17">
        <v>0.68</v>
      </c>
      <c r="L41" s="17">
        <v>0.24</v>
      </c>
      <c r="M41" s="76"/>
      <c r="N41" s="645" t="s">
        <v>159</v>
      </c>
      <c r="O41" s="645"/>
      <c r="P41" s="645"/>
      <c r="Q41" s="145"/>
      <c r="R41" s="79" t="s">
        <v>133</v>
      </c>
      <c r="S41" s="633"/>
      <c r="T41" s="630"/>
      <c r="U41" s="36">
        <f>Adatbázis!E41*Q41</f>
        <v>0</v>
      </c>
      <c r="V41" s="28">
        <f>Adatbázis!F41*$Q41/$Q$361</f>
        <v>0</v>
      </c>
      <c r="W41" s="28">
        <f>Adatbázis!G41*$Q41/$Q$361</f>
        <v>0</v>
      </c>
      <c r="X41" s="28">
        <f>Adatbázis!H41*$Q41/$Q$361</f>
        <v>0</v>
      </c>
      <c r="Y41" s="28">
        <f>Adatbázis!I41*$Q41/$Q$361</f>
        <v>0</v>
      </c>
      <c r="Z41" s="28">
        <f>Adatbázis!J41*$Q41/$Q$361</f>
        <v>0</v>
      </c>
      <c r="AA41" s="28">
        <f>Adatbázis!K41*$Q41/$Q$361</f>
        <v>0</v>
      </c>
      <c r="AB41" s="28">
        <f>Adatbázis!L41*$Q41/$Q$361</f>
        <v>0</v>
      </c>
      <c r="AC41" s="41">
        <f>Adatbázis!C41*Q41</f>
        <v>0</v>
      </c>
      <c r="AD41" s="442">
        <f t="shared" si="3"/>
        <v>0</v>
      </c>
      <c r="AE41" s="377"/>
      <c r="AH41" s="15"/>
      <c r="AI41" s="16"/>
      <c r="AJ41" s="16"/>
    </row>
    <row r="42" spans="1:36" s="14" customFormat="1" x14ac:dyDescent="0.25">
      <c r="A42" s="640"/>
      <c r="B42" s="643"/>
      <c r="C42" s="267"/>
      <c r="D42" s="27" t="s">
        <v>14</v>
      </c>
      <c r="E42" s="36"/>
      <c r="F42" s="17"/>
      <c r="G42" s="17"/>
      <c r="H42" s="17"/>
      <c r="I42" s="17"/>
      <c r="J42" s="17"/>
      <c r="K42" s="17">
        <v>0.68</v>
      </c>
      <c r="L42" s="17">
        <v>0.24</v>
      </c>
      <c r="M42" s="76"/>
      <c r="N42" s="645" t="s">
        <v>160</v>
      </c>
      <c r="O42" s="645"/>
      <c r="P42" s="645"/>
      <c r="Q42" s="107"/>
      <c r="R42" s="79" t="s">
        <v>133</v>
      </c>
      <c r="S42" s="633"/>
      <c r="T42" s="630"/>
      <c r="U42" s="36">
        <f>Adatbázis!E42*Q42</f>
        <v>0</v>
      </c>
      <c r="V42" s="28">
        <f>Adatbázis!F42*$Q42/$Q$361</f>
        <v>0</v>
      </c>
      <c r="W42" s="28">
        <f>Adatbázis!G42*$Q42/$Q$361</f>
        <v>0</v>
      </c>
      <c r="X42" s="28">
        <f>Adatbázis!H42*$Q42/$Q$361</f>
        <v>0</v>
      </c>
      <c r="Y42" s="28">
        <f>Adatbázis!I42*$Q42/$Q$361</f>
        <v>0</v>
      </c>
      <c r="Z42" s="28">
        <f>Adatbázis!J42*$Q42/$Q$361</f>
        <v>0</v>
      </c>
      <c r="AA42" s="28">
        <f>Adatbázis!K42*$Q42/$Q$361</f>
        <v>0</v>
      </c>
      <c r="AB42" s="28">
        <f>Adatbázis!L42*$Q42/$Q$361</f>
        <v>0</v>
      </c>
      <c r="AC42" s="41">
        <f>Adatbázis!C42*Q42</f>
        <v>0</v>
      </c>
      <c r="AD42" s="442">
        <f t="shared" si="3"/>
        <v>0</v>
      </c>
      <c r="AE42" s="377"/>
      <c r="AH42" s="15"/>
      <c r="AI42" s="16"/>
      <c r="AJ42" s="16"/>
    </row>
    <row r="43" spans="1:36" s="14" customFormat="1" x14ac:dyDescent="0.25">
      <c r="A43" s="640"/>
      <c r="B43" s="643"/>
      <c r="C43" s="267"/>
      <c r="D43" s="27" t="s">
        <v>14</v>
      </c>
      <c r="E43" s="36"/>
      <c r="F43" s="17"/>
      <c r="G43" s="17"/>
      <c r="H43" s="17"/>
      <c r="I43" s="17"/>
      <c r="J43" s="17"/>
      <c r="K43" s="17">
        <v>0.68</v>
      </c>
      <c r="L43" s="17">
        <v>0.24</v>
      </c>
      <c r="M43" s="76"/>
      <c r="N43" s="645" t="s">
        <v>161</v>
      </c>
      <c r="O43" s="645"/>
      <c r="P43" s="645"/>
      <c r="Q43" s="107"/>
      <c r="R43" s="79" t="s">
        <v>133</v>
      </c>
      <c r="S43" s="633"/>
      <c r="T43" s="630"/>
      <c r="U43" s="36">
        <f>Adatbázis!E43*Q43</f>
        <v>0</v>
      </c>
      <c r="V43" s="28">
        <f>Adatbázis!F43*$Q43/$Q$361</f>
        <v>0</v>
      </c>
      <c r="W43" s="28">
        <f>Adatbázis!G43*$Q43/$Q$361</f>
        <v>0</v>
      </c>
      <c r="X43" s="28">
        <f>Adatbázis!H43*$Q43/$Q$361</f>
        <v>0</v>
      </c>
      <c r="Y43" s="28">
        <f>Adatbázis!I43*$Q43/$Q$361</f>
        <v>0</v>
      </c>
      <c r="Z43" s="28">
        <f>Adatbázis!J43*$Q43/$Q$361</f>
        <v>0</v>
      </c>
      <c r="AA43" s="28">
        <f>Adatbázis!K43*$Q43/$Q$361</f>
        <v>0</v>
      </c>
      <c r="AB43" s="28">
        <f>Adatbázis!L43*$Q43/$Q$361</f>
        <v>0</v>
      </c>
      <c r="AC43" s="41">
        <f>Adatbázis!C43*Q43</f>
        <v>0</v>
      </c>
      <c r="AD43" s="442">
        <f t="shared" si="3"/>
        <v>0</v>
      </c>
      <c r="AE43" s="377"/>
      <c r="AH43" s="15"/>
      <c r="AI43" s="16"/>
      <c r="AJ43" s="16"/>
    </row>
    <row r="44" spans="1:36" s="14" customFormat="1" x14ac:dyDescent="0.25">
      <c r="A44" s="640"/>
      <c r="B44" s="643"/>
      <c r="C44" s="267"/>
      <c r="D44" s="27" t="s">
        <v>14</v>
      </c>
      <c r="E44" s="36">
        <v>14.4</v>
      </c>
      <c r="F44" s="17">
        <v>15.8</v>
      </c>
      <c r="G44" s="17">
        <v>14.9</v>
      </c>
      <c r="H44" s="17">
        <v>39.799999999999997</v>
      </c>
      <c r="I44" s="17">
        <v>1.2</v>
      </c>
      <c r="J44" s="17">
        <v>0.49</v>
      </c>
      <c r="K44" s="17">
        <v>0.68</v>
      </c>
      <c r="L44" s="17">
        <v>0.24</v>
      </c>
      <c r="M44" s="76"/>
      <c r="N44" s="645" t="s">
        <v>162</v>
      </c>
      <c r="O44" s="645"/>
      <c r="P44" s="645"/>
      <c r="Q44" s="145"/>
      <c r="R44" s="79" t="s">
        <v>133</v>
      </c>
      <c r="S44" s="633"/>
      <c r="T44" s="630"/>
      <c r="U44" s="36">
        <f>Adatbázis!E44*Q44</f>
        <v>0</v>
      </c>
      <c r="V44" s="28">
        <f>Adatbázis!F44*$Q44/$Q$361</f>
        <v>0</v>
      </c>
      <c r="W44" s="28">
        <f>Adatbázis!G44*$Q44/$Q$361</f>
        <v>0</v>
      </c>
      <c r="X44" s="28">
        <f>Adatbázis!H44*$Q44/$Q$361</f>
        <v>0</v>
      </c>
      <c r="Y44" s="28">
        <f>Adatbázis!I44*$Q44/$Q$361</f>
        <v>0</v>
      </c>
      <c r="Z44" s="28">
        <f>Adatbázis!J44*$Q44/$Q$361</f>
        <v>0</v>
      </c>
      <c r="AA44" s="28">
        <f>Adatbázis!K44*$Q44/$Q$361</f>
        <v>0</v>
      </c>
      <c r="AB44" s="28">
        <f>Adatbázis!L44*$Q44/$Q$361</f>
        <v>0</v>
      </c>
      <c r="AC44" s="41">
        <f>Adatbázis!C44*Q44</f>
        <v>0</v>
      </c>
      <c r="AD44" s="442">
        <f t="shared" si="3"/>
        <v>0</v>
      </c>
      <c r="AE44" s="377"/>
      <c r="AH44" s="15"/>
      <c r="AI44" s="16"/>
      <c r="AJ44" s="16"/>
    </row>
    <row r="45" spans="1:36" s="14" customFormat="1" x14ac:dyDescent="0.25">
      <c r="A45" s="640"/>
      <c r="B45" s="643"/>
      <c r="C45" s="267"/>
      <c r="D45" s="27" t="s">
        <v>14</v>
      </c>
      <c r="E45" s="36">
        <v>10.34</v>
      </c>
      <c r="F45" s="17">
        <v>4</v>
      </c>
      <c r="G45" s="17">
        <v>1.2</v>
      </c>
      <c r="H45" s="17">
        <v>53.1</v>
      </c>
      <c r="I45" s="17">
        <v>1</v>
      </c>
      <c r="J45" s="17">
        <v>0.64</v>
      </c>
      <c r="K45" s="17">
        <v>0.68</v>
      </c>
      <c r="L45" s="17">
        <v>0.24</v>
      </c>
      <c r="M45" s="76"/>
      <c r="N45" s="645" t="s">
        <v>163</v>
      </c>
      <c r="O45" s="645"/>
      <c r="P45" s="645"/>
      <c r="Q45" s="145"/>
      <c r="R45" s="79" t="s">
        <v>133</v>
      </c>
      <c r="S45" s="633"/>
      <c r="T45" s="630"/>
      <c r="U45" s="36">
        <f>Adatbázis!E45*Q45</f>
        <v>0</v>
      </c>
      <c r="V45" s="28">
        <f>Adatbázis!F45*$Q45/$Q$361</f>
        <v>0</v>
      </c>
      <c r="W45" s="28">
        <f>Adatbázis!G45*$Q45/$Q$361</f>
        <v>0</v>
      </c>
      <c r="X45" s="28">
        <f>Adatbázis!H45*$Q45/$Q$361</f>
        <v>0</v>
      </c>
      <c r="Y45" s="28">
        <f>Adatbázis!I45*$Q45/$Q$361</f>
        <v>0</v>
      </c>
      <c r="Z45" s="28">
        <f>Adatbázis!J45*$Q45/$Q$361</f>
        <v>0</v>
      </c>
      <c r="AA45" s="28">
        <f>Adatbázis!K45*$Q45/$Q$361</f>
        <v>0</v>
      </c>
      <c r="AB45" s="28">
        <f>Adatbázis!L45*$Q45/$Q$361</f>
        <v>0</v>
      </c>
      <c r="AC45" s="41">
        <f>Adatbázis!C45*Q45</f>
        <v>0</v>
      </c>
      <c r="AD45" s="442">
        <f t="shared" si="3"/>
        <v>0</v>
      </c>
      <c r="AE45" s="377"/>
      <c r="AH45" s="15"/>
      <c r="AI45" s="16"/>
      <c r="AJ45" s="16"/>
    </row>
    <row r="46" spans="1:36" s="14" customFormat="1" x14ac:dyDescent="0.25">
      <c r="A46" s="640"/>
      <c r="B46" s="643"/>
      <c r="C46" s="267"/>
      <c r="D46" s="27" t="s">
        <v>14</v>
      </c>
      <c r="E46" s="36">
        <v>13.86</v>
      </c>
      <c r="F46" s="17">
        <v>16.600000000000001</v>
      </c>
      <c r="G46" s="17">
        <v>0.7</v>
      </c>
      <c r="H46" s="17">
        <v>9</v>
      </c>
      <c r="I46" s="17">
        <v>0.79</v>
      </c>
      <c r="J46" s="17">
        <v>0.41399999999999998</v>
      </c>
      <c r="K46" s="17">
        <v>0.68</v>
      </c>
      <c r="L46" s="17">
        <v>0.24</v>
      </c>
      <c r="M46" s="43"/>
      <c r="N46" s="510" t="s">
        <v>164</v>
      </c>
      <c r="O46" s="510"/>
      <c r="P46" s="510"/>
      <c r="Q46" s="107"/>
      <c r="R46" s="79" t="s">
        <v>133</v>
      </c>
      <c r="S46" s="633"/>
      <c r="T46" s="630"/>
      <c r="U46" s="36">
        <f>Adatbázis!E46*Q46</f>
        <v>0</v>
      </c>
      <c r="V46" s="28">
        <f>Adatbázis!F46*$Q46/$Q$361</f>
        <v>0</v>
      </c>
      <c r="W46" s="28">
        <f>Adatbázis!G46*$Q46/$Q$361</f>
        <v>0</v>
      </c>
      <c r="X46" s="28">
        <f>Adatbázis!H46*$Q46/$Q$361</f>
        <v>0</v>
      </c>
      <c r="Y46" s="28">
        <f>Adatbázis!I46*$Q46/$Q$361</f>
        <v>0</v>
      </c>
      <c r="Z46" s="28">
        <f>Adatbázis!J46*$Q46/$Q$361</f>
        <v>0</v>
      </c>
      <c r="AA46" s="28">
        <f>Adatbázis!K46*$Q46/$Q$361</f>
        <v>0</v>
      </c>
      <c r="AB46" s="28">
        <f>Adatbázis!L46*$Q46/$Q$361</f>
        <v>0</v>
      </c>
      <c r="AC46" s="41">
        <f>Adatbázis!C46*Q46</f>
        <v>0</v>
      </c>
      <c r="AD46" s="442">
        <f t="shared" si="3"/>
        <v>0</v>
      </c>
      <c r="AE46" s="377"/>
      <c r="AH46" s="15"/>
      <c r="AI46" s="16"/>
      <c r="AJ46" s="16"/>
    </row>
    <row r="47" spans="1:36" s="14" customFormat="1" x14ac:dyDescent="0.25">
      <c r="A47" s="640"/>
      <c r="B47" s="643"/>
      <c r="C47" s="267"/>
      <c r="D47" s="27" t="s">
        <v>14</v>
      </c>
      <c r="E47" s="36"/>
      <c r="F47" s="17"/>
      <c r="G47" s="17"/>
      <c r="H47" s="17"/>
      <c r="I47" s="17"/>
      <c r="J47" s="17"/>
      <c r="K47" s="17">
        <v>0.68</v>
      </c>
      <c r="L47" s="17">
        <v>0.24</v>
      </c>
      <c r="M47" s="43"/>
      <c r="N47" s="510" t="s">
        <v>165</v>
      </c>
      <c r="O47" s="510"/>
      <c r="P47" s="510"/>
      <c r="Q47" s="107"/>
      <c r="R47" s="79" t="s">
        <v>133</v>
      </c>
      <c r="S47" s="633"/>
      <c r="T47" s="630"/>
      <c r="U47" s="36">
        <f>Adatbázis!E47*Q47</f>
        <v>0</v>
      </c>
      <c r="V47" s="28">
        <f>Adatbázis!F47*$Q47/$Q$361</f>
        <v>0</v>
      </c>
      <c r="W47" s="28">
        <f>Adatbázis!G47*$Q47/$Q$361</f>
        <v>0</v>
      </c>
      <c r="X47" s="28">
        <f>Adatbázis!H47*$Q47/$Q$361</f>
        <v>0</v>
      </c>
      <c r="Y47" s="28">
        <f>Adatbázis!I47*$Q47/$Q$361</f>
        <v>0</v>
      </c>
      <c r="Z47" s="28">
        <f>Adatbázis!J47*$Q47/$Q$361</f>
        <v>0</v>
      </c>
      <c r="AA47" s="28">
        <f>Adatbázis!K47*$Q47/$Q$361</f>
        <v>0</v>
      </c>
      <c r="AB47" s="28">
        <f>Adatbázis!L47*$Q47/$Q$361</f>
        <v>0</v>
      </c>
      <c r="AC47" s="41">
        <f>Adatbázis!C47*Q47</f>
        <v>0</v>
      </c>
      <c r="AD47" s="442">
        <f t="shared" si="3"/>
        <v>0</v>
      </c>
      <c r="AE47" s="377"/>
      <c r="AH47" s="15"/>
      <c r="AI47" s="16"/>
      <c r="AJ47" s="16"/>
    </row>
    <row r="48" spans="1:36" s="14" customFormat="1" x14ac:dyDescent="0.25">
      <c r="A48" s="640"/>
      <c r="B48" s="643"/>
      <c r="C48" s="267"/>
      <c r="D48" s="27" t="s">
        <v>14</v>
      </c>
      <c r="E48" s="36">
        <v>11.55</v>
      </c>
      <c r="F48" s="17">
        <v>9.1</v>
      </c>
      <c r="G48" s="17">
        <v>7.4</v>
      </c>
      <c r="H48" s="17">
        <v>37</v>
      </c>
      <c r="I48" s="17">
        <v>1.89</v>
      </c>
      <c r="J48" s="17">
        <v>0.20100000000000001</v>
      </c>
      <c r="K48" s="17">
        <v>0.68</v>
      </c>
      <c r="L48" s="17">
        <v>0.24</v>
      </c>
      <c r="M48" s="43"/>
      <c r="N48" s="510" t="s">
        <v>166</v>
      </c>
      <c r="O48" s="510"/>
      <c r="P48" s="510"/>
      <c r="Q48" s="145"/>
      <c r="R48" s="79" t="s">
        <v>133</v>
      </c>
      <c r="S48" s="633"/>
      <c r="T48" s="630"/>
      <c r="U48" s="36">
        <f>Adatbázis!E48*Q48</f>
        <v>0</v>
      </c>
      <c r="V48" s="28">
        <f>Adatbázis!F48*$Q48/$Q$361</f>
        <v>0</v>
      </c>
      <c r="W48" s="28">
        <f>Adatbázis!G48*$Q48/$Q$361</f>
        <v>0</v>
      </c>
      <c r="X48" s="28">
        <f>Adatbázis!H48*$Q48/$Q$361</f>
        <v>0</v>
      </c>
      <c r="Y48" s="28">
        <f>Adatbázis!I48*$Q48/$Q$361</f>
        <v>0</v>
      </c>
      <c r="Z48" s="28">
        <f>Adatbázis!J48*$Q48/$Q$361</f>
        <v>0</v>
      </c>
      <c r="AA48" s="28">
        <f>Adatbázis!K48*$Q48/$Q$361</f>
        <v>0</v>
      </c>
      <c r="AB48" s="28">
        <f>Adatbázis!L48*$Q48/$Q$361</f>
        <v>0</v>
      </c>
      <c r="AC48" s="41">
        <f>Adatbázis!C48*Q48</f>
        <v>0</v>
      </c>
      <c r="AD48" s="442">
        <f t="shared" si="3"/>
        <v>0</v>
      </c>
      <c r="AE48" s="377"/>
      <c r="AH48" s="15"/>
      <c r="AI48" s="16"/>
      <c r="AJ48" s="16"/>
    </row>
    <row r="49" spans="1:36" s="14" customFormat="1" x14ac:dyDescent="0.25">
      <c r="A49" s="640"/>
      <c r="B49" s="643"/>
      <c r="C49" s="267"/>
      <c r="D49" s="27" t="s">
        <v>14</v>
      </c>
      <c r="E49" s="36">
        <v>12.77</v>
      </c>
      <c r="F49" s="17">
        <v>15.98</v>
      </c>
      <c r="G49" s="17">
        <v>14.54</v>
      </c>
      <c r="H49" s="17">
        <v>21.1</v>
      </c>
      <c r="I49" s="17">
        <v>1.51</v>
      </c>
      <c r="J49" s="17">
        <v>0.52</v>
      </c>
      <c r="K49" s="17">
        <v>0.68</v>
      </c>
      <c r="L49" s="17">
        <v>0.24</v>
      </c>
      <c r="M49" s="43"/>
      <c r="N49" s="510" t="s">
        <v>167</v>
      </c>
      <c r="O49" s="510"/>
      <c r="P49" s="510"/>
      <c r="Q49" s="145"/>
      <c r="R49" s="79" t="s">
        <v>133</v>
      </c>
      <c r="S49" s="633"/>
      <c r="T49" s="630"/>
      <c r="U49" s="36">
        <f>Adatbázis!E49*Q49</f>
        <v>0</v>
      </c>
      <c r="V49" s="28">
        <f>Adatbázis!F49*$Q49/$Q$361</f>
        <v>0</v>
      </c>
      <c r="W49" s="28">
        <f>Adatbázis!G49*$Q49/$Q$361</f>
        <v>0</v>
      </c>
      <c r="X49" s="28">
        <f>Adatbázis!H49*$Q49/$Q$361</f>
        <v>0</v>
      </c>
      <c r="Y49" s="28">
        <f>Adatbázis!I49*$Q49/$Q$361</f>
        <v>0</v>
      </c>
      <c r="Z49" s="28">
        <f>Adatbázis!J49*$Q49/$Q$361</f>
        <v>0</v>
      </c>
      <c r="AA49" s="28">
        <f>Adatbázis!K49*$Q49/$Q$361</f>
        <v>0</v>
      </c>
      <c r="AB49" s="28">
        <f>Adatbázis!L49*$Q49/$Q$361</f>
        <v>0</v>
      </c>
      <c r="AC49" s="41">
        <f>Adatbázis!C49*Q49</f>
        <v>0</v>
      </c>
      <c r="AD49" s="442">
        <f t="shared" si="3"/>
        <v>0</v>
      </c>
      <c r="AE49" s="377"/>
      <c r="AH49" s="15"/>
      <c r="AI49" s="16"/>
      <c r="AJ49" s="16"/>
    </row>
    <row r="50" spans="1:36" s="14" customFormat="1" x14ac:dyDescent="0.25">
      <c r="A50" s="640"/>
      <c r="B50" s="643"/>
      <c r="C50" s="267"/>
      <c r="D50" s="27" t="s">
        <v>14</v>
      </c>
      <c r="E50" s="36">
        <v>1.8</v>
      </c>
      <c r="F50" s="17">
        <v>3.5</v>
      </c>
      <c r="G50" s="17">
        <v>1.1000000000000001</v>
      </c>
      <c r="H50" s="17">
        <v>2.1</v>
      </c>
      <c r="I50" s="17">
        <v>0.20799999999999999</v>
      </c>
      <c r="J50" s="17">
        <v>6.6000000000000003E-2</v>
      </c>
      <c r="K50" s="17">
        <v>0.68</v>
      </c>
      <c r="L50" s="17">
        <v>0.24</v>
      </c>
      <c r="M50" s="43"/>
      <c r="N50" s="510" t="s">
        <v>168</v>
      </c>
      <c r="O50" s="510"/>
      <c r="P50" s="510"/>
      <c r="Q50" s="107"/>
      <c r="R50" s="79" t="s">
        <v>133</v>
      </c>
      <c r="S50" s="633"/>
      <c r="T50" s="630"/>
      <c r="U50" s="36">
        <f>Adatbázis!E50*Q50</f>
        <v>0</v>
      </c>
      <c r="V50" s="28">
        <f>Adatbázis!F50*$Q50/$Q$361</f>
        <v>0</v>
      </c>
      <c r="W50" s="28">
        <f>Adatbázis!G50*$Q50/$Q$361</f>
        <v>0</v>
      </c>
      <c r="X50" s="28">
        <f>Adatbázis!H50*$Q50/$Q$361</f>
        <v>0</v>
      </c>
      <c r="Y50" s="28">
        <f>Adatbázis!I50*$Q50/$Q$361</f>
        <v>0</v>
      </c>
      <c r="Z50" s="28">
        <f>Adatbázis!J50*$Q50/$Q$361</f>
        <v>0</v>
      </c>
      <c r="AA50" s="28">
        <f>Adatbázis!K50*$Q50/$Q$361</f>
        <v>0</v>
      </c>
      <c r="AB50" s="28">
        <f>Adatbázis!L50*$Q50/$Q$361</f>
        <v>0</v>
      </c>
      <c r="AC50" s="41">
        <f>Adatbázis!C50*Q50</f>
        <v>0</v>
      </c>
      <c r="AD50" s="442">
        <f t="shared" si="3"/>
        <v>0</v>
      </c>
      <c r="AE50" s="377"/>
      <c r="AH50" s="15"/>
      <c r="AI50" s="16"/>
      <c r="AJ50" s="16"/>
    </row>
    <row r="51" spans="1:36" s="14" customFormat="1" x14ac:dyDescent="0.25">
      <c r="A51" s="640"/>
      <c r="B51" s="643"/>
      <c r="C51" s="267"/>
      <c r="D51" s="27" t="s">
        <v>14</v>
      </c>
      <c r="E51" s="36">
        <v>11.68</v>
      </c>
      <c r="F51" s="17">
        <v>21.9</v>
      </c>
      <c r="G51" s="17">
        <v>4.7</v>
      </c>
      <c r="H51" s="17">
        <v>10.4</v>
      </c>
      <c r="I51" s="17">
        <v>1.26</v>
      </c>
      <c r="J51" s="17">
        <v>0.48</v>
      </c>
      <c r="K51" s="17">
        <v>0.68</v>
      </c>
      <c r="L51" s="17">
        <v>0.24</v>
      </c>
      <c r="M51" s="43"/>
      <c r="N51" s="510" t="s">
        <v>169</v>
      </c>
      <c r="O51" s="510"/>
      <c r="P51" s="510"/>
      <c r="Q51" s="107"/>
      <c r="R51" s="79" t="s">
        <v>133</v>
      </c>
      <c r="S51" s="633"/>
      <c r="T51" s="630"/>
      <c r="U51" s="36">
        <f>Adatbázis!E51*Q51</f>
        <v>0</v>
      </c>
      <c r="V51" s="28">
        <f>Adatbázis!F51*$Q51/$Q$361</f>
        <v>0</v>
      </c>
      <c r="W51" s="28">
        <f>Adatbázis!G51*$Q51/$Q$361</f>
        <v>0</v>
      </c>
      <c r="X51" s="28">
        <f>Adatbázis!H51*$Q51/$Q$361</f>
        <v>0</v>
      </c>
      <c r="Y51" s="28">
        <f>Adatbázis!I51*$Q51/$Q$361</f>
        <v>0</v>
      </c>
      <c r="Z51" s="28">
        <f>Adatbázis!J51*$Q51/$Q$361</f>
        <v>0</v>
      </c>
      <c r="AA51" s="28">
        <f>Adatbázis!K51*$Q51/$Q$361</f>
        <v>0</v>
      </c>
      <c r="AB51" s="28">
        <f>Adatbázis!L51*$Q51/$Q$361</f>
        <v>0</v>
      </c>
      <c r="AC51" s="41">
        <f>Adatbázis!C51*Q51</f>
        <v>0</v>
      </c>
      <c r="AD51" s="442">
        <f t="shared" si="3"/>
        <v>0</v>
      </c>
      <c r="AE51" s="377"/>
      <c r="AH51" s="15"/>
      <c r="AI51" s="16"/>
      <c r="AJ51" s="16"/>
    </row>
    <row r="52" spans="1:36" s="14" customFormat="1" x14ac:dyDescent="0.25">
      <c r="A52" s="640"/>
      <c r="B52" s="643"/>
      <c r="C52" s="267"/>
      <c r="D52" s="27" t="s">
        <v>14</v>
      </c>
      <c r="E52" s="36"/>
      <c r="F52" s="17"/>
      <c r="G52" s="17"/>
      <c r="H52" s="17"/>
      <c r="I52" s="17"/>
      <c r="J52" s="17"/>
      <c r="K52" s="17">
        <v>0.68</v>
      </c>
      <c r="L52" s="17">
        <v>0.24</v>
      </c>
      <c r="M52" s="43"/>
      <c r="N52" s="510" t="s">
        <v>170</v>
      </c>
      <c r="O52" s="510"/>
      <c r="P52" s="510"/>
      <c r="Q52" s="145"/>
      <c r="R52" s="79" t="s">
        <v>133</v>
      </c>
      <c r="S52" s="633"/>
      <c r="T52" s="630"/>
      <c r="U52" s="36">
        <f>Adatbázis!E52*Q52</f>
        <v>0</v>
      </c>
      <c r="V52" s="28">
        <f>Adatbázis!F52*$Q52/$Q$361</f>
        <v>0</v>
      </c>
      <c r="W52" s="28">
        <f>Adatbázis!G52*$Q52/$Q$361</f>
        <v>0</v>
      </c>
      <c r="X52" s="28">
        <f>Adatbázis!H52*$Q52/$Q$361</f>
        <v>0</v>
      </c>
      <c r="Y52" s="28">
        <f>Adatbázis!I52*$Q52/$Q$361</f>
        <v>0</v>
      </c>
      <c r="Z52" s="28">
        <f>Adatbázis!J52*$Q52/$Q$361</f>
        <v>0</v>
      </c>
      <c r="AA52" s="28">
        <f>Adatbázis!K52*$Q52/$Q$361</f>
        <v>0</v>
      </c>
      <c r="AB52" s="28">
        <f>Adatbázis!L52*$Q52/$Q$361</f>
        <v>0</v>
      </c>
      <c r="AC52" s="41">
        <f>Adatbázis!C52*Q52</f>
        <v>0</v>
      </c>
      <c r="AD52" s="442">
        <f t="shared" si="3"/>
        <v>0</v>
      </c>
      <c r="AE52" s="377"/>
      <c r="AH52" s="15"/>
      <c r="AI52" s="16"/>
      <c r="AJ52" s="16"/>
    </row>
    <row r="53" spans="1:36" s="14" customFormat="1" x14ac:dyDescent="0.25">
      <c r="A53" s="640"/>
      <c r="B53" s="643"/>
      <c r="C53" s="267"/>
      <c r="D53" s="27" t="s">
        <v>14</v>
      </c>
      <c r="E53" s="36">
        <v>11.34</v>
      </c>
      <c r="F53" s="17">
        <v>12.7</v>
      </c>
      <c r="G53" s="17">
        <v>7</v>
      </c>
      <c r="H53" s="17">
        <v>40.299999999999997</v>
      </c>
      <c r="I53" s="17">
        <v>1.99</v>
      </c>
      <c r="J53" s="17">
        <v>0.30599999999999999</v>
      </c>
      <c r="K53" s="17">
        <v>0.68</v>
      </c>
      <c r="L53" s="17">
        <v>0.24</v>
      </c>
      <c r="M53" s="43"/>
      <c r="N53" s="510" t="s">
        <v>171</v>
      </c>
      <c r="O53" s="510"/>
      <c r="P53" s="510"/>
      <c r="Q53" s="145"/>
      <c r="R53" s="79" t="s">
        <v>133</v>
      </c>
      <c r="S53" s="633"/>
      <c r="T53" s="630"/>
      <c r="U53" s="36">
        <f>Adatbázis!E53*Q53</f>
        <v>0</v>
      </c>
      <c r="V53" s="28">
        <f>Adatbázis!F53*$Q53/$Q$361</f>
        <v>0</v>
      </c>
      <c r="W53" s="28">
        <f>Adatbázis!G53*$Q53/$Q$361</f>
        <v>0</v>
      </c>
      <c r="X53" s="28">
        <f>Adatbázis!H53*$Q53/$Q$361</f>
        <v>0</v>
      </c>
      <c r="Y53" s="28">
        <f>Adatbázis!I53*$Q53/$Q$361</f>
        <v>0</v>
      </c>
      <c r="Z53" s="28">
        <f>Adatbázis!J53*$Q53/$Q$361</f>
        <v>0</v>
      </c>
      <c r="AA53" s="28">
        <f>Adatbázis!K53*$Q53/$Q$361</f>
        <v>0</v>
      </c>
      <c r="AB53" s="28">
        <f>Adatbázis!L53*$Q53/$Q$361</f>
        <v>0</v>
      </c>
      <c r="AC53" s="41">
        <f>Adatbázis!C53*Q53</f>
        <v>0</v>
      </c>
      <c r="AD53" s="442">
        <f t="shared" si="3"/>
        <v>0</v>
      </c>
      <c r="AE53" s="377"/>
      <c r="AH53" s="15"/>
      <c r="AI53" s="16"/>
      <c r="AJ53" s="16"/>
    </row>
    <row r="54" spans="1:36" s="14" customFormat="1" x14ac:dyDescent="0.25">
      <c r="A54" s="640"/>
      <c r="B54" s="643"/>
      <c r="C54" s="267"/>
      <c r="D54" s="27" t="s">
        <v>14</v>
      </c>
      <c r="E54" s="36">
        <v>10.92</v>
      </c>
      <c r="F54" s="17">
        <v>22.28</v>
      </c>
      <c r="G54" s="17">
        <v>7.18</v>
      </c>
      <c r="H54" s="17">
        <v>46.58</v>
      </c>
      <c r="I54" s="17"/>
      <c r="J54" s="17"/>
      <c r="K54" s="17">
        <v>0.68</v>
      </c>
      <c r="L54" s="17">
        <v>0.24</v>
      </c>
      <c r="M54" s="43"/>
      <c r="N54" s="510" t="s">
        <v>172</v>
      </c>
      <c r="O54" s="510"/>
      <c r="P54" s="510"/>
      <c r="Q54" s="107"/>
      <c r="R54" s="79" t="s">
        <v>133</v>
      </c>
      <c r="S54" s="633"/>
      <c r="T54" s="630"/>
      <c r="U54" s="36">
        <f>Adatbázis!E54*Q54</f>
        <v>0</v>
      </c>
      <c r="V54" s="28">
        <f>Adatbázis!F54*$Q54/$Q$361</f>
        <v>0</v>
      </c>
      <c r="W54" s="28">
        <f>Adatbázis!G54*$Q54/$Q$361</f>
        <v>0</v>
      </c>
      <c r="X54" s="28">
        <f>Adatbázis!H54*$Q54/$Q$361</f>
        <v>0</v>
      </c>
      <c r="Y54" s="28">
        <f>Adatbázis!I54*$Q54/$Q$361</f>
        <v>0</v>
      </c>
      <c r="Z54" s="28">
        <f>Adatbázis!J54*$Q54/$Q$361</f>
        <v>0</v>
      </c>
      <c r="AA54" s="28">
        <f>Adatbázis!K54*$Q54/$Q$361</f>
        <v>0</v>
      </c>
      <c r="AB54" s="28">
        <f>Adatbázis!L54*$Q54/$Q$361</f>
        <v>0</v>
      </c>
      <c r="AC54" s="41">
        <f>Adatbázis!C54*Q54</f>
        <v>0</v>
      </c>
      <c r="AD54" s="442">
        <f t="shared" si="3"/>
        <v>0</v>
      </c>
      <c r="AE54" s="377"/>
      <c r="AH54" s="15"/>
      <c r="AI54" s="16"/>
      <c r="AJ54" s="16"/>
    </row>
    <row r="55" spans="1:36" s="14" customFormat="1" x14ac:dyDescent="0.25">
      <c r="A55" s="640"/>
      <c r="B55" s="643"/>
      <c r="C55" s="267"/>
      <c r="D55" s="27" t="s">
        <v>14</v>
      </c>
      <c r="E55" s="36">
        <v>11.35</v>
      </c>
      <c r="F55" s="17">
        <v>25</v>
      </c>
      <c r="G55" s="17">
        <v>4.2</v>
      </c>
      <c r="H55" s="17">
        <v>40</v>
      </c>
      <c r="I55" s="17"/>
      <c r="J55" s="17"/>
      <c r="K55" s="17">
        <v>0.68</v>
      </c>
      <c r="L55" s="17">
        <v>0.24</v>
      </c>
      <c r="M55" s="43"/>
      <c r="N55" s="510" t="s">
        <v>402</v>
      </c>
      <c r="O55" s="510"/>
      <c r="P55" s="510"/>
      <c r="Q55" s="107"/>
      <c r="R55" s="79" t="s">
        <v>133</v>
      </c>
      <c r="S55" s="633"/>
      <c r="T55" s="630"/>
      <c r="U55" s="36">
        <f>Adatbázis!E55*Q55</f>
        <v>0</v>
      </c>
      <c r="V55" s="28">
        <f>Adatbázis!F55*$Q55/$Q$361</f>
        <v>0</v>
      </c>
      <c r="W55" s="28">
        <f>Adatbázis!G55*$Q55/$Q$361</f>
        <v>0</v>
      </c>
      <c r="X55" s="28">
        <f>Adatbázis!H55*$Q55/$Q$361</f>
        <v>0</v>
      </c>
      <c r="Y55" s="28">
        <f>Adatbázis!I55*$Q55/$Q$361</f>
        <v>0</v>
      </c>
      <c r="Z55" s="28">
        <f>Adatbázis!J55*$Q55/$Q$361</f>
        <v>0</v>
      </c>
      <c r="AA55" s="28">
        <f>Adatbázis!K55*$Q55/$Q$361</f>
        <v>0</v>
      </c>
      <c r="AB55" s="28">
        <f>Adatbázis!L55*$Q55/$Q$361</f>
        <v>0</v>
      </c>
      <c r="AC55" s="41">
        <f>Adatbázis!C55*Q55</f>
        <v>0</v>
      </c>
      <c r="AD55" s="442">
        <f t="shared" si="3"/>
        <v>0</v>
      </c>
      <c r="AE55" s="377"/>
      <c r="AH55" s="15"/>
      <c r="AI55" s="16"/>
      <c r="AJ55" s="16"/>
    </row>
    <row r="56" spans="1:36" s="14" customFormat="1" x14ac:dyDescent="0.25">
      <c r="A56" s="640"/>
      <c r="B56" s="643"/>
      <c r="C56" s="267"/>
      <c r="D56" s="27" t="s">
        <v>14</v>
      </c>
      <c r="E56" s="36">
        <v>11.09</v>
      </c>
      <c r="F56" s="17">
        <v>9</v>
      </c>
      <c r="G56" s="17">
        <v>4.9000000000000004</v>
      </c>
      <c r="H56" s="17">
        <v>42.5</v>
      </c>
      <c r="I56" s="17">
        <v>0.159</v>
      </c>
      <c r="J56" s="17">
        <v>1.4800000000000001E-2</v>
      </c>
      <c r="K56" s="17">
        <v>0.68</v>
      </c>
      <c r="L56" s="17">
        <v>0.24</v>
      </c>
      <c r="M56" s="43"/>
      <c r="N56" s="510" t="s">
        <v>173</v>
      </c>
      <c r="O56" s="510"/>
      <c r="P56" s="510"/>
      <c r="Q56" s="145"/>
      <c r="R56" s="79" t="s">
        <v>133</v>
      </c>
      <c r="S56" s="633"/>
      <c r="T56" s="630"/>
      <c r="U56" s="36">
        <f>Adatbázis!E56*Q56</f>
        <v>0</v>
      </c>
      <c r="V56" s="28">
        <f>Adatbázis!F56*$Q56/$Q$361</f>
        <v>0</v>
      </c>
      <c r="W56" s="28">
        <f>Adatbázis!G56*$Q56/$Q$361</f>
        <v>0</v>
      </c>
      <c r="X56" s="28">
        <f>Adatbázis!H56*$Q56/$Q$361</f>
        <v>0</v>
      </c>
      <c r="Y56" s="28">
        <f>Adatbázis!I56*$Q56/$Q$361</f>
        <v>0</v>
      </c>
      <c r="Z56" s="28">
        <f>Adatbázis!J56*$Q56/$Q$361</f>
        <v>0</v>
      </c>
      <c r="AA56" s="28">
        <f>Adatbázis!K56*$Q56/$Q$361</f>
        <v>0</v>
      </c>
      <c r="AB56" s="28">
        <f>Adatbázis!L56*$Q56/$Q$361</f>
        <v>0</v>
      </c>
      <c r="AC56" s="41">
        <f>Adatbázis!C56*Q56</f>
        <v>0</v>
      </c>
      <c r="AD56" s="442">
        <f t="shared" si="3"/>
        <v>0</v>
      </c>
      <c r="AE56" s="377"/>
      <c r="AH56" s="15"/>
      <c r="AI56" s="16"/>
      <c r="AJ56" s="16"/>
    </row>
    <row r="57" spans="1:36" s="14" customFormat="1" x14ac:dyDescent="0.25">
      <c r="A57" s="640"/>
      <c r="B57" s="643"/>
      <c r="C57" s="267"/>
      <c r="D57" s="27" t="s">
        <v>14</v>
      </c>
      <c r="E57" s="36">
        <v>12.25</v>
      </c>
      <c r="F57" s="17">
        <v>26.6</v>
      </c>
      <c r="G57" s="17">
        <v>5.5</v>
      </c>
      <c r="H57" s="17">
        <v>26.7</v>
      </c>
      <c r="I57" s="17">
        <v>0.114</v>
      </c>
      <c r="J57" s="17">
        <v>4.36E-2</v>
      </c>
      <c r="K57" s="17">
        <v>0.68</v>
      </c>
      <c r="L57" s="17">
        <v>0.24</v>
      </c>
      <c r="M57" s="43"/>
      <c r="N57" s="510" t="s">
        <v>174</v>
      </c>
      <c r="O57" s="510"/>
      <c r="P57" s="510"/>
      <c r="Q57" s="145"/>
      <c r="R57" s="79" t="s">
        <v>133</v>
      </c>
      <c r="S57" s="633"/>
      <c r="T57" s="630"/>
      <c r="U57" s="36">
        <f>Adatbázis!E57*Q57</f>
        <v>0</v>
      </c>
      <c r="V57" s="28">
        <f>Adatbázis!F57*$Q57/$Q$361</f>
        <v>0</v>
      </c>
      <c r="W57" s="28">
        <f>Adatbázis!G57*$Q57/$Q$361</f>
        <v>0</v>
      </c>
      <c r="X57" s="28">
        <f>Adatbázis!H57*$Q57/$Q$361</f>
        <v>0</v>
      </c>
      <c r="Y57" s="28">
        <f>Adatbázis!I57*$Q57/$Q$361</f>
        <v>0</v>
      </c>
      <c r="Z57" s="28">
        <f>Adatbázis!J57*$Q57/$Q$361</f>
        <v>0</v>
      </c>
      <c r="AA57" s="28">
        <f>Adatbázis!K57*$Q57/$Q$361</f>
        <v>0</v>
      </c>
      <c r="AB57" s="28">
        <f>Adatbázis!L57*$Q57/$Q$361</f>
        <v>0</v>
      </c>
      <c r="AC57" s="41">
        <f>Adatbázis!C57*Q57</f>
        <v>0</v>
      </c>
      <c r="AD57" s="442">
        <f t="shared" si="3"/>
        <v>0</v>
      </c>
      <c r="AE57" s="377"/>
      <c r="AH57" s="15"/>
      <c r="AI57" s="16"/>
      <c r="AJ57" s="16"/>
    </row>
    <row r="58" spans="1:36" s="14" customFormat="1" x14ac:dyDescent="0.25">
      <c r="A58" s="640"/>
      <c r="B58" s="643"/>
      <c r="C58" s="267"/>
      <c r="D58" s="27" t="s">
        <v>14</v>
      </c>
      <c r="E58" s="36">
        <v>13.85</v>
      </c>
      <c r="F58" s="17">
        <v>4.9000000000000004</v>
      </c>
      <c r="G58" s="17">
        <v>15.2</v>
      </c>
      <c r="H58" s="17">
        <v>42.6</v>
      </c>
      <c r="I58" s="17">
        <v>0.128</v>
      </c>
      <c r="J58" s="17">
        <v>7.0000000000000001E-3</v>
      </c>
      <c r="K58" s="17">
        <v>0.68</v>
      </c>
      <c r="L58" s="17">
        <v>0.24</v>
      </c>
      <c r="M58" s="43"/>
      <c r="N58" s="510" t="s">
        <v>175</v>
      </c>
      <c r="O58" s="510"/>
      <c r="P58" s="510"/>
      <c r="Q58" s="107"/>
      <c r="R58" s="79" t="s">
        <v>133</v>
      </c>
      <c r="S58" s="633"/>
      <c r="T58" s="630"/>
      <c r="U58" s="36">
        <f>Adatbázis!E58*Q58</f>
        <v>0</v>
      </c>
      <c r="V58" s="28">
        <f>Adatbázis!F58*$Q58/$Q$361</f>
        <v>0</v>
      </c>
      <c r="W58" s="28">
        <f>Adatbázis!G58*$Q58/$Q$361</f>
        <v>0</v>
      </c>
      <c r="X58" s="28">
        <f>Adatbázis!H58*$Q58/$Q$361</f>
        <v>0</v>
      </c>
      <c r="Y58" s="28">
        <f>Adatbázis!I58*$Q58/$Q$361</f>
        <v>0</v>
      </c>
      <c r="Z58" s="28">
        <f>Adatbázis!J58*$Q58/$Q$361</f>
        <v>0</v>
      </c>
      <c r="AA58" s="28">
        <f>Adatbázis!K58*$Q58/$Q$361</f>
        <v>0</v>
      </c>
      <c r="AB58" s="28">
        <f>Adatbázis!L58*$Q58/$Q$361</f>
        <v>0</v>
      </c>
      <c r="AC58" s="41">
        <f>Adatbázis!C58*Q58</f>
        <v>0</v>
      </c>
      <c r="AD58" s="442">
        <f t="shared" si="3"/>
        <v>0</v>
      </c>
      <c r="AE58" s="377"/>
      <c r="AH58" s="15"/>
      <c r="AI58" s="16"/>
      <c r="AJ58" s="16"/>
    </row>
    <row r="59" spans="1:36" s="14" customFormat="1" x14ac:dyDescent="0.25">
      <c r="A59" s="640"/>
      <c r="B59" s="643"/>
      <c r="C59" s="267"/>
      <c r="D59" s="27" t="s">
        <v>14</v>
      </c>
      <c r="E59" s="36">
        <v>11.47</v>
      </c>
      <c r="F59" s="17">
        <v>6</v>
      </c>
      <c r="G59" s="17">
        <v>13</v>
      </c>
      <c r="H59" s="17">
        <v>33.9</v>
      </c>
      <c r="I59" s="17">
        <v>6.4000000000000001E-2</v>
      </c>
      <c r="J59" s="17">
        <v>0.01</v>
      </c>
      <c r="K59" s="17">
        <v>0.68</v>
      </c>
      <c r="L59" s="17">
        <v>0.24</v>
      </c>
      <c r="M59" s="43"/>
      <c r="N59" s="611" t="s">
        <v>176</v>
      </c>
      <c r="O59" s="611"/>
      <c r="P59" s="611"/>
      <c r="Q59" s="107"/>
      <c r="R59" s="79" t="s">
        <v>133</v>
      </c>
      <c r="S59" s="633"/>
      <c r="T59" s="630"/>
      <c r="U59" s="36">
        <f>Adatbázis!E59*Q59</f>
        <v>0</v>
      </c>
      <c r="V59" s="28">
        <f>Adatbázis!F59*$Q59/$Q$361</f>
        <v>0</v>
      </c>
      <c r="W59" s="28">
        <f>Adatbázis!G59*$Q59/$Q$361</f>
        <v>0</v>
      </c>
      <c r="X59" s="28">
        <f>Adatbázis!H59*$Q59/$Q$361</f>
        <v>0</v>
      </c>
      <c r="Y59" s="28">
        <f>Adatbázis!I59*$Q59/$Q$361</f>
        <v>0</v>
      </c>
      <c r="Z59" s="28">
        <f>Adatbázis!J59*$Q59/$Q$361</f>
        <v>0</v>
      </c>
      <c r="AA59" s="28">
        <f>Adatbázis!K59*$Q59/$Q$361</f>
        <v>0</v>
      </c>
      <c r="AB59" s="28">
        <f>Adatbázis!L59*$Q59/$Q$361</f>
        <v>0</v>
      </c>
      <c r="AC59" s="41">
        <f>Adatbázis!C59*Q59</f>
        <v>0</v>
      </c>
      <c r="AD59" s="442">
        <f t="shared" si="3"/>
        <v>0</v>
      </c>
      <c r="AE59" s="377"/>
      <c r="AH59" s="15"/>
      <c r="AI59" s="16"/>
      <c r="AJ59" s="16"/>
    </row>
    <row r="60" spans="1:36" s="14" customFormat="1" x14ac:dyDescent="0.25">
      <c r="A60" s="640"/>
      <c r="B60" s="643"/>
      <c r="C60" s="267"/>
      <c r="D60" s="27" t="s">
        <v>14</v>
      </c>
      <c r="E60" s="36"/>
      <c r="F60" s="17"/>
      <c r="G60" s="17"/>
      <c r="H60" s="17"/>
      <c r="I60" s="17"/>
      <c r="J60" s="17"/>
      <c r="K60" s="17">
        <v>0.68</v>
      </c>
      <c r="L60" s="17">
        <v>0.24</v>
      </c>
      <c r="M60" s="43"/>
      <c r="N60" s="611" t="s">
        <v>177</v>
      </c>
      <c r="O60" s="611"/>
      <c r="P60" s="611"/>
      <c r="Q60" s="145"/>
      <c r="R60" s="79" t="s">
        <v>133</v>
      </c>
      <c r="S60" s="633"/>
      <c r="T60" s="630"/>
      <c r="U60" s="36">
        <f>Adatbázis!E60*Q60</f>
        <v>0</v>
      </c>
      <c r="V60" s="28">
        <f>Adatbázis!F60*$Q60/$Q$361</f>
        <v>0</v>
      </c>
      <c r="W60" s="28">
        <f>Adatbázis!G60*$Q60/$Q$361</f>
        <v>0</v>
      </c>
      <c r="X60" s="28">
        <f>Adatbázis!H60*$Q60/$Q$361</f>
        <v>0</v>
      </c>
      <c r="Y60" s="28">
        <f>Adatbázis!I60*$Q60/$Q$361</f>
        <v>0</v>
      </c>
      <c r="Z60" s="28">
        <f>Adatbázis!J60*$Q60/$Q$361</f>
        <v>0</v>
      </c>
      <c r="AA60" s="28">
        <f>Adatbázis!K60*$Q60/$Q$361</f>
        <v>0</v>
      </c>
      <c r="AB60" s="28">
        <f>Adatbázis!L60*$Q60/$Q$361</f>
        <v>0</v>
      </c>
      <c r="AC60" s="41">
        <f>Adatbázis!C60*Q60</f>
        <v>0</v>
      </c>
      <c r="AD60" s="442">
        <f t="shared" si="3"/>
        <v>0</v>
      </c>
      <c r="AE60" s="377"/>
      <c r="AH60" s="15"/>
      <c r="AI60" s="16"/>
      <c r="AJ60" s="16"/>
    </row>
    <row r="61" spans="1:36" s="14" customFormat="1" x14ac:dyDescent="0.25">
      <c r="A61" s="640"/>
      <c r="B61" s="643"/>
      <c r="C61" s="267"/>
      <c r="D61" s="27" t="s">
        <v>14</v>
      </c>
      <c r="E61" s="36">
        <v>12.35</v>
      </c>
      <c r="F61" s="17">
        <v>22.8</v>
      </c>
      <c r="G61" s="17">
        <v>7.2</v>
      </c>
      <c r="H61" s="17">
        <v>7.4</v>
      </c>
      <c r="I61" s="17">
        <v>0.114</v>
      </c>
      <c r="J61" s="17">
        <v>0.03</v>
      </c>
      <c r="K61" s="17">
        <v>0.68</v>
      </c>
      <c r="L61" s="17">
        <v>0.24</v>
      </c>
      <c r="M61" s="43"/>
      <c r="N61" s="611" t="s">
        <v>178</v>
      </c>
      <c r="O61" s="611"/>
      <c r="P61" s="611"/>
      <c r="Q61" s="145"/>
      <c r="R61" s="79" t="s">
        <v>133</v>
      </c>
      <c r="S61" s="633"/>
      <c r="T61" s="630"/>
      <c r="U61" s="36">
        <f>Adatbázis!E61*Q61</f>
        <v>0</v>
      </c>
      <c r="V61" s="28">
        <f>Adatbázis!F61*$Q61/$Q$361</f>
        <v>0</v>
      </c>
      <c r="W61" s="28">
        <f>Adatbázis!G61*$Q61/$Q$361</f>
        <v>0</v>
      </c>
      <c r="X61" s="28">
        <f>Adatbázis!H61*$Q61/$Q$361</f>
        <v>0</v>
      </c>
      <c r="Y61" s="28">
        <f>Adatbázis!I61*$Q61/$Q$361</f>
        <v>0</v>
      </c>
      <c r="Z61" s="28">
        <f>Adatbázis!J61*$Q61/$Q$361</f>
        <v>0</v>
      </c>
      <c r="AA61" s="28">
        <f>Adatbázis!K61*$Q61/$Q$361</f>
        <v>0</v>
      </c>
      <c r="AB61" s="28">
        <f>Adatbázis!L61*$Q61/$Q$361</f>
        <v>0</v>
      </c>
      <c r="AC61" s="41">
        <f>Adatbázis!C61*Q61</f>
        <v>0</v>
      </c>
      <c r="AD61" s="442">
        <f t="shared" si="3"/>
        <v>0</v>
      </c>
      <c r="AE61" s="377"/>
      <c r="AH61" s="15"/>
      <c r="AI61" s="16"/>
      <c r="AJ61" s="16"/>
    </row>
    <row r="62" spans="1:36" s="14" customFormat="1" ht="15.75" thickBot="1" x14ac:dyDescent="0.3">
      <c r="A62" s="640"/>
      <c r="B62" s="644"/>
      <c r="C62" s="269"/>
      <c r="D62" s="95" t="s">
        <v>14</v>
      </c>
      <c r="E62" s="22">
        <v>13.02</v>
      </c>
      <c r="F62" s="119">
        <v>10.6</v>
      </c>
      <c r="G62" s="119">
        <v>12.8</v>
      </c>
      <c r="H62" s="119">
        <v>40.299999999999997</v>
      </c>
      <c r="I62" s="119">
        <v>0.16500000000000001</v>
      </c>
      <c r="J62" s="119">
        <v>9.1000000000000004E-3</v>
      </c>
      <c r="K62" s="119">
        <v>0.68</v>
      </c>
      <c r="L62" s="119">
        <v>0.24</v>
      </c>
      <c r="M62" s="118"/>
      <c r="N62" s="610" t="s">
        <v>179</v>
      </c>
      <c r="O62" s="610"/>
      <c r="P62" s="610"/>
      <c r="Q62" s="107"/>
      <c r="R62" s="96" t="s">
        <v>133</v>
      </c>
      <c r="S62" s="634"/>
      <c r="T62" s="631"/>
      <c r="U62" s="22">
        <f>Adatbázis!E62*Q62</f>
        <v>0</v>
      </c>
      <c r="V62" s="48">
        <f>Adatbázis!F62*$Q62/$Q$361</f>
        <v>0</v>
      </c>
      <c r="W62" s="48">
        <f>Adatbázis!G62*$Q62/$Q$361</f>
        <v>0</v>
      </c>
      <c r="X62" s="48">
        <f>Adatbázis!H62*$Q62/$Q$361</f>
        <v>0</v>
      </c>
      <c r="Y62" s="48">
        <f>Adatbázis!I62*$Q62/$Q$361</f>
        <v>0</v>
      </c>
      <c r="Z62" s="48">
        <f>Adatbázis!J62*$Q62/$Q$361</f>
        <v>0</v>
      </c>
      <c r="AA62" s="48">
        <f>Adatbázis!K62*$Q62/$Q$361</f>
        <v>0</v>
      </c>
      <c r="AB62" s="48">
        <f>Adatbázis!L62*$Q62/$Q$361</f>
        <v>0</v>
      </c>
      <c r="AC62" s="49">
        <f>Adatbázis!C62*Q62</f>
        <v>0</v>
      </c>
      <c r="AD62" s="442">
        <f t="shared" si="3"/>
        <v>0</v>
      </c>
      <c r="AE62" s="377"/>
      <c r="AH62" s="15"/>
      <c r="AI62" s="16"/>
      <c r="AJ62" s="16"/>
    </row>
    <row r="63" spans="1:36" ht="15.75" customHeight="1" x14ac:dyDescent="0.25">
      <c r="A63" s="521" t="s">
        <v>40</v>
      </c>
      <c r="B63" s="597" t="s">
        <v>36</v>
      </c>
      <c r="C63" s="265"/>
      <c r="D63" s="25" t="s">
        <v>14</v>
      </c>
      <c r="E63" s="37">
        <v>13.12</v>
      </c>
      <c r="F63" s="30">
        <v>11</v>
      </c>
      <c r="G63" s="30">
        <v>2</v>
      </c>
      <c r="H63" s="30">
        <v>5.5</v>
      </c>
      <c r="I63" s="30">
        <v>0.09</v>
      </c>
      <c r="J63" s="30">
        <v>0.38</v>
      </c>
      <c r="K63" s="30">
        <v>0.38</v>
      </c>
      <c r="L63" s="30">
        <v>0.17</v>
      </c>
      <c r="M63" s="42"/>
      <c r="N63" s="612" t="s">
        <v>1</v>
      </c>
      <c r="O63" s="613"/>
      <c r="P63" s="614"/>
      <c r="Q63" s="107"/>
      <c r="R63" s="386" t="s">
        <v>133</v>
      </c>
      <c r="S63" s="374">
        <f>$P$11*0.1</f>
        <v>10</v>
      </c>
      <c r="T63" s="371">
        <f>$P$11*0.25</f>
        <v>25</v>
      </c>
      <c r="U63" s="37">
        <f>Adatbázis!E63*Q63</f>
        <v>0</v>
      </c>
      <c r="V63" s="26">
        <f>Adatbázis!F63*$Q63/$Q$361</f>
        <v>0</v>
      </c>
      <c r="W63" s="26">
        <f>Adatbázis!G63*$Q63/$Q$361</f>
        <v>0</v>
      </c>
      <c r="X63" s="26">
        <f>Adatbázis!H63*$Q63/$Q$361</f>
        <v>0</v>
      </c>
      <c r="Y63" s="26">
        <f>Adatbázis!I63*$Q63/$Q$361</f>
        <v>0</v>
      </c>
      <c r="Z63" s="26">
        <f>Adatbázis!J63*$Q63/$Q$361</f>
        <v>0</v>
      </c>
      <c r="AA63" s="26">
        <f>Adatbázis!K63*$Q63/$Q$361</f>
        <v>0</v>
      </c>
      <c r="AB63" s="26">
        <f>Adatbázis!L63*$Q63/$Q$361</f>
        <v>0</v>
      </c>
      <c r="AC63" s="40">
        <f>Adatbázis!C63*Q63</f>
        <v>0</v>
      </c>
      <c r="AD63" s="442">
        <f t="shared" ref="AD63:AD113" si="4">IF(AND(Q63&gt;T63),1,0)</f>
        <v>0</v>
      </c>
      <c r="AE63" s="337" t="e">
        <f>Q63+#REF!+Q64+Q65+Q67+Q68+Q72+#REF!+Q73+Q74+#REF!+Q75+Q76+#REF!</f>
        <v>#REF!</v>
      </c>
      <c r="AF63" s="532" t="s">
        <v>208</v>
      </c>
      <c r="AG63" s="533"/>
      <c r="AH63" s="533"/>
      <c r="AI63" s="533"/>
      <c r="AJ63" s="533"/>
    </row>
    <row r="64" spans="1:36" x14ac:dyDescent="0.25">
      <c r="A64" s="522"/>
      <c r="B64" s="641"/>
      <c r="C64" s="267"/>
      <c r="D64" s="27" t="s">
        <v>14</v>
      </c>
      <c r="E64" s="36">
        <v>14.61</v>
      </c>
      <c r="F64" s="17">
        <v>9</v>
      </c>
      <c r="G64" s="17">
        <v>1.8</v>
      </c>
      <c r="H64" s="17">
        <v>8.5</v>
      </c>
      <c r="I64" s="17"/>
      <c r="J64" s="17"/>
      <c r="K64" s="17">
        <v>0.38</v>
      </c>
      <c r="L64" s="17">
        <v>0.17</v>
      </c>
      <c r="M64" s="43"/>
      <c r="N64" s="472" t="s">
        <v>84</v>
      </c>
      <c r="O64" s="472"/>
      <c r="P64" s="472"/>
      <c r="Q64" s="145"/>
      <c r="R64" s="80" t="s">
        <v>133</v>
      </c>
      <c r="S64" s="375">
        <f>$P$11*0.1</f>
        <v>10</v>
      </c>
      <c r="T64" s="372">
        <f>$P$11*0.25</f>
        <v>25</v>
      </c>
      <c r="U64" s="36">
        <f>Adatbázis!E64*Q64</f>
        <v>0</v>
      </c>
      <c r="V64" s="28">
        <f>Adatbázis!F64*$Q64/$Q$361</f>
        <v>0</v>
      </c>
      <c r="W64" s="28">
        <f>Adatbázis!G64*$Q64/$Q$361</f>
        <v>0</v>
      </c>
      <c r="X64" s="28">
        <f>Adatbázis!H64*$Q64/$Q$361</f>
        <v>0</v>
      </c>
      <c r="Y64" s="28">
        <f>Adatbázis!I64*$Q64/$Q$361</f>
        <v>0</v>
      </c>
      <c r="Z64" s="28">
        <f>Adatbázis!J64*$Q64/$Q$361</f>
        <v>0</v>
      </c>
      <c r="AA64" s="28">
        <f>Adatbázis!K64*$Q64/$Q$361</f>
        <v>0</v>
      </c>
      <c r="AB64" s="28">
        <f>Adatbázis!L64*$Q64/$Q$361</f>
        <v>0</v>
      </c>
      <c r="AC64" s="41">
        <f>Adatbázis!C64*Q64</f>
        <v>0</v>
      </c>
      <c r="AD64" s="442">
        <f t="shared" si="4"/>
        <v>0</v>
      </c>
      <c r="AE64" s="338" t="e">
        <f>#REF!-AE63</f>
        <v>#REF!</v>
      </c>
      <c r="AF64" s="532" t="s">
        <v>208</v>
      </c>
      <c r="AG64" s="533"/>
      <c r="AH64" s="533"/>
      <c r="AI64" s="533"/>
      <c r="AJ64" s="533"/>
    </row>
    <row r="65" spans="1:50" x14ac:dyDescent="0.25">
      <c r="A65" s="522"/>
      <c r="B65" s="641"/>
      <c r="C65" s="267"/>
      <c r="D65" s="27" t="s">
        <v>14</v>
      </c>
      <c r="E65" s="36">
        <v>12.92</v>
      </c>
      <c r="F65" s="17">
        <v>13.4</v>
      </c>
      <c r="G65" s="17">
        <v>1.8</v>
      </c>
      <c r="H65" s="17">
        <v>2.9</v>
      </c>
      <c r="I65" s="17">
        <v>7.0000000000000007E-2</v>
      </c>
      <c r="J65" s="17">
        <v>0.39</v>
      </c>
      <c r="K65" s="17">
        <v>0.33</v>
      </c>
      <c r="L65" s="17">
        <v>0.18</v>
      </c>
      <c r="M65" s="43"/>
      <c r="N65" s="472" t="s">
        <v>474</v>
      </c>
      <c r="O65" s="472"/>
      <c r="P65" s="472"/>
      <c r="Q65" s="107"/>
      <c r="R65" s="80" t="s">
        <v>133</v>
      </c>
      <c r="S65" s="375">
        <f>$P$11*0.1</f>
        <v>10</v>
      </c>
      <c r="T65" s="372">
        <f>$P$11*0.3</f>
        <v>30</v>
      </c>
      <c r="U65" s="36">
        <f>Adatbázis!E65*Q65</f>
        <v>0</v>
      </c>
      <c r="V65" s="28">
        <f>Adatbázis!F65*$Q65/$Q$361</f>
        <v>0</v>
      </c>
      <c r="W65" s="28">
        <f>Adatbázis!G65*$Q65/$Q$361</f>
        <v>0</v>
      </c>
      <c r="X65" s="28">
        <f>Adatbázis!H65*$Q65/$Q$361</f>
        <v>0</v>
      </c>
      <c r="Y65" s="28">
        <f>Adatbázis!I65*$Q65/$Q$361</f>
        <v>0</v>
      </c>
      <c r="Z65" s="28">
        <f>Adatbázis!J65*$Q65/$Q$361</f>
        <v>0</v>
      </c>
      <c r="AA65" s="28">
        <f>Adatbázis!K65*$Q65/$Q$361</f>
        <v>0</v>
      </c>
      <c r="AB65" s="28">
        <f>Adatbázis!L65*$Q65/$Q$361</f>
        <v>0</v>
      </c>
      <c r="AC65" s="41">
        <f>Adatbázis!C65*Q65</f>
        <v>0</v>
      </c>
      <c r="AD65" s="442">
        <f t="shared" si="4"/>
        <v>0</v>
      </c>
      <c r="AE65" s="442"/>
      <c r="AF65" s="622" t="s">
        <v>207</v>
      </c>
      <c r="AG65" s="623"/>
      <c r="AH65" s="623"/>
      <c r="AI65" s="623"/>
      <c r="AJ65" s="623"/>
    </row>
    <row r="66" spans="1:50" x14ac:dyDescent="0.25">
      <c r="A66" s="522"/>
      <c r="B66" s="641"/>
      <c r="C66" s="267"/>
      <c r="D66" s="27" t="s">
        <v>14</v>
      </c>
      <c r="E66" s="36">
        <v>15.13</v>
      </c>
      <c r="F66" s="17">
        <v>11.5</v>
      </c>
      <c r="G66" s="17">
        <v>3.5</v>
      </c>
      <c r="H66" s="17">
        <v>3.4</v>
      </c>
      <c r="I66" s="17">
        <v>0.02</v>
      </c>
      <c r="J66" s="17">
        <v>0.37</v>
      </c>
      <c r="K66" s="17">
        <v>0.21</v>
      </c>
      <c r="L66" s="17">
        <v>0.16</v>
      </c>
      <c r="M66" s="43"/>
      <c r="N66" s="409" t="s">
        <v>475</v>
      </c>
      <c r="O66" s="410"/>
      <c r="P66" s="411"/>
      <c r="Q66" s="107"/>
      <c r="R66" s="80" t="s">
        <v>133</v>
      </c>
      <c r="S66" s="375">
        <f>$P$11*0</f>
        <v>0</v>
      </c>
      <c r="T66" s="372">
        <v>30</v>
      </c>
      <c r="U66" s="36">
        <f>Adatbázis!E66*Q66</f>
        <v>0</v>
      </c>
      <c r="V66" s="28">
        <f>Adatbázis!F66*$Q66/$Q$361</f>
        <v>0</v>
      </c>
      <c r="W66" s="28">
        <f>Adatbázis!G66*$Q66/$Q$361</f>
        <v>0</v>
      </c>
      <c r="X66" s="28">
        <f>Adatbázis!H66*$Q66/$Q$361</f>
        <v>0</v>
      </c>
      <c r="Y66" s="28">
        <f>Adatbázis!I66*$Q66/$Q$361</f>
        <v>0</v>
      </c>
      <c r="Z66" s="28">
        <f>Adatbázis!J66*$Q66/$Q$361</f>
        <v>0</v>
      </c>
      <c r="AA66" s="28">
        <f>Adatbázis!K66*$Q66/$Q$361</f>
        <v>0</v>
      </c>
      <c r="AB66" s="28">
        <f>Adatbázis!L66*$Q66/$Q$361</f>
        <v>0</v>
      </c>
      <c r="AC66" s="41">
        <f>Adatbázis!C66*Q66</f>
        <v>0</v>
      </c>
      <c r="AD66" s="442">
        <f t="shared" si="4"/>
        <v>0</v>
      </c>
      <c r="AE66" s="442"/>
      <c r="AF66" s="532" t="s">
        <v>218</v>
      </c>
      <c r="AG66" s="533"/>
      <c r="AH66" s="533"/>
      <c r="AI66" s="533"/>
      <c r="AJ66" s="533"/>
      <c r="AK66" s="533"/>
      <c r="AL66" s="533"/>
      <c r="AM66" s="533"/>
      <c r="AN66" s="533"/>
    </row>
    <row r="67" spans="1:50" x14ac:dyDescent="0.25">
      <c r="A67" s="522"/>
      <c r="B67" s="641"/>
      <c r="C67" s="267"/>
      <c r="D67" s="27" t="s">
        <v>14</v>
      </c>
      <c r="E67" s="36">
        <v>14.53</v>
      </c>
      <c r="F67" s="17">
        <v>12.7</v>
      </c>
      <c r="G67" s="17">
        <v>1.9</v>
      </c>
      <c r="H67" s="17">
        <v>1.8</v>
      </c>
      <c r="I67" s="17">
        <v>3.6999999999999998E-2</v>
      </c>
      <c r="J67" s="17">
        <v>3.8600000000000002E-2</v>
      </c>
      <c r="K67" s="17"/>
      <c r="L67" s="17"/>
      <c r="M67" s="43"/>
      <c r="N67" s="472" t="s">
        <v>4</v>
      </c>
      <c r="O67" s="472"/>
      <c r="P67" s="472"/>
      <c r="Q67" s="145"/>
      <c r="R67" s="79" t="s">
        <v>133</v>
      </c>
      <c r="S67" s="375">
        <f>$P$11*0.1</f>
        <v>10</v>
      </c>
      <c r="T67" s="372">
        <f>$P$11*0.3</f>
        <v>30</v>
      </c>
      <c r="U67" s="36">
        <f>Adatbázis!E67*Q67</f>
        <v>0</v>
      </c>
      <c r="V67" s="28">
        <f>Adatbázis!F67*$Q67/$Q$361</f>
        <v>0</v>
      </c>
      <c r="W67" s="28">
        <f>Adatbázis!G67*$Q67/$Q$361</f>
        <v>0</v>
      </c>
      <c r="X67" s="28">
        <f>Adatbázis!H67*$Q67/$Q$361</f>
        <v>0</v>
      </c>
      <c r="Y67" s="28">
        <f>Adatbázis!I67*$Q67/$Q$361</f>
        <v>0</v>
      </c>
      <c r="Z67" s="28">
        <f>Adatbázis!J67*$Q67/$Q$361</f>
        <v>0</v>
      </c>
      <c r="AA67" s="28">
        <f>Adatbázis!K67*$Q67/$Q$361</f>
        <v>0</v>
      </c>
      <c r="AB67" s="28">
        <f>Adatbázis!L67*$Q67/$Q$361</f>
        <v>0</v>
      </c>
      <c r="AC67" s="41">
        <f>Adatbázis!C67*Q67</f>
        <v>0</v>
      </c>
      <c r="AD67" s="442">
        <f t="shared" si="4"/>
        <v>0</v>
      </c>
      <c r="AE67" s="442"/>
    </row>
    <row r="68" spans="1:50" x14ac:dyDescent="0.25">
      <c r="A68" s="522"/>
      <c r="B68" s="641"/>
      <c r="C68" s="267"/>
      <c r="D68" s="27" t="s">
        <v>14</v>
      </c>
      <c r="E68" s="36">
        <v>18.88</v>
      </c>
      <c r="F68" s="17">
        <v>21.7</v>
      </c>
      <c r="G68" s="17">
        <v>6</v>
      </c>
      <c r="H68" s="17">
        <v>3.25</v>
      </c>
      <c r="I68" s="17">
        <v>0.04</v>
      </c>
      <c r="J68" s="17"/>
      <c r="K68" s="17">
        <v>0.33</v>
      </c>
      <c r="L68" s="17">
        <v>0.25</v>
      </c>
      <c r="M68" s="43"/>
      <c r="N68" s="472" t="s">
        <v>88</v>
      </c>
      <c r="O68" s="472"/>
      <c r="P68" s="472"/>
      <c r="Q68" s="145"/>
      <c r="R68" s="79" t="s">
        <v>133</v>
      </c>
      <c r="S68" s="375">
        <f>$P$11*0</f>
        <v>0</v>
      </c>
      <c r="T68" s="372">
        <f>$P$11*0.1</f>
        <v>10</v>
      </c>
      <c r="U68" s="36">
        <f>Adatbázis!E68*Q68</f>
        <v>0</v>
      </c>
      <c r="V68" s="28">
        <f>Adatbázis!F68*$Q68/$Q$361</f>
        <v>0</v>
      </c>
      <c r="W68" s="28">
        <f>Adatbázis!G68*$Q68/$Q$361</f>
        <v>0</v>
      </c>
      <c r="X68" s="28">
        <f>Adatbázis!H68*$Q68/$Q$361</f>
        <v>0</v>
      </c>
      <c r="Y68" s="28">
        <f>Adatbázis!I68*$Q68/$Q$361</f>
        <v>0</v>
      </c>
      <c r="Z68" s="28">
        <f>Adatbázis!J68*$Q68/$Q$361</f>
        <v>0</v>
      </c>
      <c r="AA68" s="28">
        <f>Adatbázis!K68*$Q68/$Q$361</f>
        <v>0</v>
      </c>
      <c r="AB68" s="28">
        <f>Adatbázis!L68*$Q68/$Q$361</f>
        <v>0</v>
      </c>
      <c r="AC68" s="41">
        <f>Adatbázis!C68*Q68</f>
        <v>0</v>
      </c>
      <c r="AD68" s="442">
        <f t="shared" si="4"/>
        <v>0</v>
      </c>
      <c r="AE68" s="442"/>
    </row>
    <row r="69" spans="1:50" x14ac:dyDescent="0.25">
      <c r="A69" s="522"/>
      <c r="B69" s="641"/>
      <c r="C69" s="267"/>
      <c r="D69" s="27" t="s">
        <v>14</v>
      </c>
      <c r="E69" s="36">
        <v>14.36</v>
      </c>
      <c r="F69" s="17">
        <v>13.3</v>
      </c>
      <c r="G69" s="17">
        <v>3.4</v>
      </c>
      <c r="H69" s="17">
        <v>2.2000000000000002</v>
      </c>
      <c r="I69" s="17"/>
      <c r="J69" s="17"/>
      <c r="K69" s="17"/>
      <c r="L69" s="17"/>
      <c r="M69" s="43"/>
      <c r="N69" s="472" t="s">
        <v>89</v>
      </c>
      <c r="O69" s="472"/>
      <c r="P69" s="472"/>
      <c r="Q69" s="107"/>
      <c r="R69" s="79" t="s">
        <v>133</v>
      </c>
      <c r="S69" s="375">
        <f>$P$11*0</f>
        <v>0</v>
      </c>
      <c r="T69" s="372">
        <f>$P$11*0.1</f>
        <v>10</v>
      </c>
      <c r="U69" s="36">
        <f>Adatbázis!E69*Q69</f>
        <v>0</v>
      </c>
      <c r="V69" s="28">
        <f>Adatbázis!F69*$Q69/$Q$361</f>
        <v>0</v>
      </c>
      <c r="W69" s="28">
        <f>Adatbázis!G69*$Q69/$Q$361</f>
        <v>0</v>
      </c>
      <c r="X69" s="28">
        <f>Adatbázis!H69*$Q69/$Q$361</f>
        <v>0</v>
      </c>
      <c r="Y69" s="28">
        <f>Adatbázis!I69*$Q69/$Q$361</f>
        <v>0</v>
      </c>
      <c r="Z69" s="28">
        <f>Adatbázis!J69*$Q69/$Q$361</f>
        <v>0</v>
      </c>
      <c r="AA69" s="28">
        <f>Adatbázis!K69*$Q69/$Q$361</f>
        <v>0</v>
      </c>
      <c r="AB69" s="28">
        <f>Adatbázis!L69*$Q69/$Q$361</f>
        <v>0</v>
      </c>
      <c r="AC69" s="41">
        <f>Adatbázis!C69*Q69</f>
        <v>0</v>
      </c>
      <c r="AD69" s="442">
        <f t="shared" si="4"/>
        <v>0</v>
      </c>
      <c r="AE69" s="442"/>
    </row>
    <row r="70" spans="1:50" ht="15" customHeight="1" x14ac:dyDescent="0.25">
      <c r="A70" s="522"/>
      <c r="B70" s="641"/>
      <c r="C70" s="267"/>
      <c r="D70" s="27" t="s">
        <v>14</v>
      </c>
      <c r="E70" s="36">
        <v>14.5</v>
      </c>
      <c r="F70" s="17">
        <v>11</v>
      </c>
      <c r="G70" s="17">
        <v>3.9</v>
      </c>
      <c r="H70" s="17">
        <v>7.2</v>
      </c>
      <c r="I70" s="17">
        <v>0.6</v>
      </c>
      <c r="J70" s="17">
        <v>0.9</v>
      </c>
      <c r="K70" s="17"/>
      <c r="L70" s="17"/>
      <c r="M70" s="43"/>
      <c r="N70" s="493" t="s">
        <v>476</v>
      </c>
      <c r="O70" s="494"/>
      <c r="P70" s="495"/>
      <c r="Q70" s="145"/>
      <c r="R70" s="80" t="s">
        <v>133</v>
      </c>
      <c r="S70" s="375">
        <f>$P$11*0</f>
        <v>0</v>
      </c>
      <c r="T70" s="372">
        <f>$P$11*0.1</f>
        <v>10</v>
      </c>
      <c r="U70" s="36">
        <f>Adatbázis!E70*Q70</f>
        <v>0</v>
      </c>
      <c r="V70" s="28">
        <f>Adatbázis!F70*$Q70/$Q$361</f>
        <v>0</v>
      </c>
      <c r="W70" s="28">
        <f>Adatbázis!G70*$Q70/$Q$361</f>
        <v>0</v>
      </c>
      <c r="X70" s="28">
        <f>Adatbázis!H70*$Q70/$Q$361</f>
        <v>0</v>
      </c>
      <c r="Y70" s="28">
        <f>Adatbázis!I70*$Q70/$Q$361</f>
        <v>0</v>
      </c>
      <c r="Z70" s="28">
        <f>Adatbázis!J70*$Q70/$Q$361</f>
        <v>0</v>
      </c>
      <c r="AA70" s="28">
        <f>Adatbázis!K70*$Q70/$Q$361</f>
        <v>0</v>
      </c>
      <c r="AB70" s="28">
        <f>Adatbázis!L70*$Q70/$Q$361</f>
        <v>0</v>
      </c>
      <c r="AC70" s="41">
        <f>Adatbázis!C70*Q70</f>
        <v>0</v>
      </c>
      <c r="AD70" s="442">
        <f t="shared" si="4"/>
        <v>0</v>
      </c>
      <c r="AE70" s="442"/>
      <c r="AF70" s="479" t="s">
        <v>209</v>
      </c>
      <c r="AG70" s="480"/>
      <c r="AH70" s="480"/>
      <c r="AI70" s="480"/>
    </row>
    <row r="71" spans="1:50" ht="15" customHeight="1" x14ac:dyDescent="0.25">
      <c r="A71" s="522"/>
      <c r="B71" s="641"/>
      <c r="C71" s="267"/>
      <c r="D71" s="27" t="s">
        <v>14</v>
      </c>
      <c r="E71" s="36">
        <v>15.67</v>
      </c>
      <c r="F71" s="17">
        <v>9</v>
      </c>
      <c r="G71" s="17">
        <v>4</v>
      </c>
      <c r="H71" s="17">
        <v>2.7</v>
      </c>
      <c r="I71" s="17">
        <v>0.05</v>
      </c>
      <c r="J71" s="17">
        <v>0.31</v>
      </c>
      <c r="K71" s="17">
        <v>0.23</v>
      </c>
      <c r="L71" s="17">
        <v>0.16</v>
      </c>
      <c r="M71" s="43"/>
      <c r="N71" s="472" t="s">
        <v>91</v>
      </c>
      <c r="O71" s="472"/>
      <c r="P71" s="472"/>
      <c r="Q71" s="107"/>
      <c r="R71" s="80" t="s">
        <v>133</v>
      </c>
      <c r="S71" s="375">
        <f>$P$11*0.3</f>
        <v>30</v>
      </c>
      <c r="T71" s="209" t="s">
        <v>293</v>
      </c>
      <c r="U71" s="36">
        <f>Adatbázis!E71*Q71</f>
        <v>0</v>
      </c>
      <c r="V71" s="28">
        <f>Adatbázis!F71*$Q71/$Q$361</f>
        <v>0</v>
      </c>
      <c r="W71" s="28">
        <f>Adatbázis!G71*$Q71/$Q$361</f>
        <v>0</v>
      </c>
      <c r="X71" s="28">
        <f>Adatbázis!H71*$Q71/$Q$361</f>
        <v>0</v>
      </c>
      <c r="Y71" s="28">
        <f>Adatbázis!I71*$Q71/$Q$361</f>
        <v>0</v>
      </c>
      <c r="Z71" s="28">
        <f>Adatbázis!J71*$Q71/$Q$361</f>
        <v>0</v>
      </c>
      <c r="AA71" s="28">
        <f>Adatbázis!K71*$Q71/$Q$361</f>
        <v>0</v>
      </c>
      <c r="AB71" s="28">
        <f>Adatbázis!L71*$Q71/$Q$361</f>
        <v>0</v>
      </c>
      <c r="AC71" s="41">
        <f>Adatbázis!C71*Q71</f>
        <v>0</v>
      </c>
      <c r="AD71" s="442">
        <f t="shared" si="4"/>
        <v>0</v>
      </c>
      <c r="AE71" s="442"/>
      <c r="AF71" s="534" t="s">
        <v>102</v>
      </c>
      <c r="AG71" s="535"/>
      <c r="AH71" s="535"/>
      <c r="AI71" s="535"/>
    </row>
    <row r="72" spans="1:50" ht="15.75" thickBot="1" x14ac:dyDescent="0.3">
      <c r="A72" s="522"/>
      <c r="B72" s="641"/>
      <c r="C72" s="267"/>
      <c r="D72" s="27" t="s">
        <v>14</v>
      </c>
      <c r="E72" s="36">
        <v>15.07</v>
      </c>
      <c r="F72" s="17">
        <v>9.1</v>
      </c>
      <c r="G72" s="17">
        <v>1.7</v>
      </c>
      <c r="H72" s="17">
        <v>2</v>
      </c>
      <c r="I72" s="17">
        <v>3.2000000000000001E-2</v>
      </c>
      <c r="J72" s="17">
        <v>2.2100000000000002E-2</v>
      </c>
      <c r="K72" s="17">
        <v>0.76</v>
      </c>
      <c r="L72" s="17">
        <v>0.71</v>
      </c>
      <c r="M72" s="43"/>
      <c r="N72" s="472" t="s">
        <v>477</v>
      </c>
      <c r="O72" s="472"/>
      <c r="P72" s="472"/>
      <c r="Q72" s="145"/>
      <c r="R72" s="80" t="s">
        <v>133</v>
      </c>
      <c r="S72" s="375">
        <f>$P$11*0.05</f>
        <v>5</v>
      </c>
      <c r="T72" s="372">
        <f>$P$11*0.08</f>
        <v>8</v>
      </c>
      <c r="U72" s="36">
        <f>Adatbázis!E72*Q72</f>
        <v>0</v>
      </c>
      <c r="V72" s="28">
        <f>Adatbázis!F72*$Q72/$Q$361</f>
        <v>0</v>
      </c>
      <c r="W72" s="28">
        <f>Adatbázis!G72*$Q72/$Q$361</f>
        <v>0</v>
      </c>
      <c r="X72" s="28">
        <f>Adatbázis!H72*$Q72/$Q$361</f>
        <v>0</v>
      </c>
      <c r="Y72" s="28">
        <f>Adatbázis!I72*$Q72/$Q$361</f>
        <v>0</v>
      </c>
      <c r="Z72" s="28">
        <f>Adatbázis!J72*$Q72/$Q$361</f>
        <v>0</v>
      </c>
      <c r="AA72" s="28">
        <f>Adatbázis!K72*$Q72/$Q$361</f>
        <v>0</v>
      </c>
      <c r="AB72" s="28">
        <f>Adatbázis!L72*$Q72/$Q$361</f>
        <v>0</v>
      </c>
      <c r="AC72" s="41">
        <f>Adatbázis!C72*Q72</f>
        <v>0</v>
      </c>
      <c r="AD72" s="442">
        <f t="shared" si="4"/>
        <v>0</v>
      </c>
      <c r="AE72" s="442"/>
      <c r="AF72" s="274" t="s">
        <v>352</v>
      </c>
      <c r="AG72" s="132"/>
    </row>
    <row r="73" spans="1:50" x14ac:dyDescent="0.25">
      <c r="A73" s="522"/>
      <c r="B73" s="641"/>
      <c r="C73" s="267"/>
      <c r="D73" s="27" t="s">
        <v>14</v>
      </c>
      <c r="E73" s="36">
        <v>12.09</v>
      </c>
      <c r="F73" s="17">
        <v>10.6</v>
      </c>
      <c r="G73" s="17">
        <v>1.7</v>
      </c>
      <c r="H73" s="17">
        <v>3</v>
      </c>
      <c r="I73" s="17">
        <v>0.06</v>
      </c>
      <c r="J73" s="17">
        <v>0.36</v>
      </c>
      <c r="K73" s="17">
        <v>0.37</v>
      </c>
      <c r="L73" s="17">
        <v>0.17</v>
      </c>
      <c r="M73" s="43"/>
      <c r="N73" s="472" t="s">
        <v>6</v>
      </c>
      <c r="O73" s="472"/>
      <c r="P73" s="472"/>
      <c r="Q73" s="107"/>
      <c r="R73" s="79" t="s">
        <v>133</v>
      </c>
      <c r="S73" s="375">
        <f>$P$11*0.05</f>
        <v>5</v>
      </c>
      <c r="T73" s="372">
        <f>$P$11*0.08</f>
        <v>8</v>
      </c>
      <c r="U73" s="36">
        <f>Adatbázis!E73*Q73</f>
        <v>0</v>
      </c>
      <c r="V73" s="28">
        <f>Adatbázis!F73*$Q73/$Q$361</f>
        <v>0</v>
      </c>
      <c r="W73" s="28">
        <f>Adatbázis!G73*$Q73/$Q$361</f>
        <v>0</v>
      </c>
      <c r="X73" s="28">
        <f>Adatbázis!H73*$Q73/$Q$361</f>
        <v>0</v>
      </c>
      <c r="Y73" s="28">
        <f>Adatbázis!I73*$Q73/$Q$361</f>
        <v>0</v>
      </c>
      <c r="Z73" s="28">
        <f>Adatbázis!J73*$Q73/$Q$361</f>
        <v>0</v>
      </c>
      <c r="AA73" s="28">
        <f>Adatbázis!K73*$Q73/$Q$361</f>
        <v>0</v>
      </c>
      <c r="AB73" s="28">
        <f>Adatbázis!L73*$Q73/$Q$361</f>
        <v>0</v>
      </c>
      <c r="AC73" s="41">
        <f>Adatbázis!C73*Q73</f>
        <v>0</v>
      </c>
      <c r="AD73" s="442">
        <f t="shared" si="4"/>
        <v>0</v>
      </c>
      <c r="AE73" s="442"/>
      <c r="AF73" s="530" t="s">
        <v>261</v>
      </c>
      <c r="AG73" s="530"/>
      <c r="AH73" s="530"/>
      <c r="AI73" s="530"/>
      <c r="AJ73" s="530"/>
      <c r="AK73" s="530"/>
      <c r="AL73" s="531"/>
    </row>
    <row r="74" spans="1:50" ht="15" customHeight="1" x14ac:dyDescent="0.25">
      <c r="A74" s="522"/>
      <c r="B74" s="641"/>
      <c r="C74" s="267"/>
      <c r="D74" s="27" t="s">
        <v>14</v>
      </c>
      <c r="E74" s="36">
        <v>14.15</v>
      </c>
      <c r="F74" s="17">
        <v>17</v>
      </c>
      <c r="G74" s="17">
        <v>2</v>
      </c>
      <c r="H74" s="17">
        <v>10</v>
      </c>
      <c r="I74" s="17">
        <v>2.7E-2</v>
      </c>
      <c r="J74" s="17">
        <v>0.40100000000000002</v>
      </c>
      <c r="K74" s="17"/>
      <c r="L74" s="17"/>
      <c r="M74" s="43"/>
      <c r="N74" s="510" t="s">
        <v>478</v>
      </c>
      <c r="O74" s="510"/>
      <c r="P74" s="510"/>
      <c r="Q74" s="145"/>
      <c r="R74" s="80" t="s">
        <v>133</v>
      </c>
      <c r="S74" s="375">
        <f>$P$11*0.1</f>
        <v>10</v>
      </c>
      <c r="T74" s="372">
        <f>$P$11*0.25</f>
        <v>25</v>
      </c>
      <c r="U74" s="36">
        <f>Adatbázis!E74*Q74</f>
        <v>0</v>
      </c>
      <c r="V74" s="28">
        <f>Adatbázis!F74*$Q74/$Q$361</f>
        <v>0</v>
      </c>
      <c r="W74" s="28">
        <f>Adatbázis!G74*$Q74/$Q$361</f>
        <v>0</v>
      </c>
      <c r="X74" s="28">
        <f>Adatbázis!H74*$Q74/$Q$361</f>
        <v>0</v>
      </c>
      <c r="Y74" s="28">
        <f>Adatbázis!I74*$Q74/$Q$361</f>
        <v>0</v>
      </c>
      <c r="Z74" s="28">
        <f>Adatbázis!J74*$Q74/$Q$361</f>
        <v>0</v>
      </c>
      <c r="AA74" s="28">
        <f>Adatbázis!K74*$Q74/$Q$361</f>
        <v>0</v>
      </c>
      <c r="AB74" s="28">
        <f>Adatbázis!L74*$Q74/$Q$361</f>
        <v>0</v>
      </c>
      <c r="AC74" s="41">
        <f>Adatbázis!C74*Q74</f>
        <v>0</v>
      </c>
      <c r="AD74" s="442">
        <f t="shared" si="4"/>
        <v>0</v>
      </c>
      <c r="AE74" s="442"/>
      <c r="AF74" s="627" t="s">
        <v>248</v>
      </c>
      <c r="AG74" s="628"/>
      <c r="AH74" s="628"/>
      <c r="AI74" s="628"/>
      <c r="AJ74" s="628"/>
      <c r="AK74" s="628"/>
      <c r="AL74" s="628"/>
    </row>
    <row r="75" spans="1:50" x14ac:dyDescent="0.25">
      <c r="A75" s="522"/>
      <c r="B75" s="641"/>
      <c r="C75" s="267"/>
      <c r="D75" s="27" t="s">
        <v>14</v>
      </c>
      <c r="E75" s="36">
        <v>14.23</v>
      </c>
      <c r="F75" s="17">
        <v>11.7</v>
      </c>
      <c r="G75" s="17">
        <v>1.3</v>
      </c>
      <c r="H75" s="17">
        <v>2.9</v>
      </c>
      <c r="I75" s="17">
        <v>0.06</v>
      </c>
      <c r="J75" s="17">
        <v>0.38</v>
      </c>
      <c r="K75" s="17">
        <v>0.41</v>
      </c>
      <c r="L75" s="17">
        <v>0.21</v>
      </c>
      <c r="M75" s="43"/>
      <c r="N75" s="472" t="s">
        <v>5</v>
      </c>
      <c r="O75" s="472"/>
      <c r="P75" s="472"/>
      <c r="Q75" s="107"/>
      <c r="R75" s="80" t="s">
        <v>133</v>
      </c>
      <c r="S75" s="375">
        <f>$P$11*0.1</f>
        <v>10</v>
      </c>
      <c r="T75" s="372">
        <f>$P$11*0.3</f>
        <v>30</v>
      </c>
      <c r="U75" s="36">
        <f>Adatbázis!E75*Q75</f>
        <v>0</v>
      </c>
      <c r="V75" s="28">
        <f>Adatbázis!F75*$Q75/$Q$361</f>
        <v>0</v>
      </c>
      <c r="W75" s="28">
        <f>Adatbázis!G75*$Q75/$Q$361</f>
        <v>0</v>
      </c>
      <c r="X75" s="28">
        <f>Adatbázis!H75*$Q75/$Q$361</f>
        <v>0</v>
      </c>
      <c r="Y75" s="28">
        <f>Adatbázis!I75*$Q75/$Q$361</f>
        <v>0</v>
      </c>
      <c r="Z75" s="28">
        <f>Adatbázis!J75*$Q75/$Q$361</f>
        <v>0</v>
      </c>
      <c r="AA75" s="28">
        <f>Adatbázis!K75*$Q75/$Q$361</f>
        <v>0</v>
      </c>
      <c r="AB75" s="28">
        <f>Adatbázis!L75*$Q75/$Q$361</f>
        <v>0</v>
      </c>
      <c r="AC75" s="41">
        <f>Adatbázis!C75*Q75</f>
        <v>0</v>
      </c>
      <c r="AD75" s="442">
        <f t="shared" si="4"/>
        <v>0</v>
      </c>
      <c r="AE75" s="442"/>
      <c r="AF75" s="615" t="s">
        <v>206</v>
      </c>
      <c r="AG75" s="615"/>
      <c r="AH75" s="615"/>
      <c r="AI75" s="532"/>
    </row>
    <row r="76" spans="1:50" ht="15.75" thickBot="1" x14ac:dyDescent="0.3">
      <c r="A76" s="522"/>
      <c r="B76" s="641"/>
      <c r="C76" s="267"/>
      <c r="D76" s="27" t="s">
        <v>14</v>
      </c>
      <c r="E76" s="36">
        <v>11.2</v>
      </c>
      <c r="F76" s="17">
        <v>11.4</v>
      </c>
      <c r="G76" s="17">
        <v>4.2</v>
      </c>
      <c r="H76" s="17">
        <v>13.3</v>
      </c>
      <c r="I76" s="17">
        <v>0.11</v>
      </c>
      <c r="J76" s="17">
        <v>0.37</v>
      </c>
      <c r="K76" s="17">
        <v>0.44</v>
      </c>
      <c r="L76" s="17">
        <v>0.18</v>
      </c>
      <c r="M76" s="43"/>
      <c r="N76" s="472" t="s">
        <v>2</v>
      </c>
      <c r="O76" s="472"/>
      <c r="P76" s="472"/>
      <c r="Q76" s="107"/>
      <c r="R76" s="80" t="s">
        <v>133</v>
      </c>
      <c r="S76" s="375">
        <f>$P$11*0</f>
        <v>0</v>
      </c>
      <c r="T76" s="372">
        <f>$P$11*0.1</f>
        <v>10</v>
      </c>
      <c r="U76" s="36">
        <f>Adatbázis!E76*Q76</f>
        <v>0</v>
      </c>
      <c r="V76" s="28">
        <f>Adatbázis!F76*$Q76/$Q$361</f>
        <v>0</v>
      </c>
      <c r="W76" s="28">
        <f>Adatbázis!G76*$Q76/$Q$361</f>
        <v>0</v>
      </c>
      <c r="X76" s="28">
        <f>Adatbázis!H76*$Q76/$Q$361</f>
        <v>0</v>
      </c>
      <c r="Y76" s="28">
        <f>Adatbázis!I76*$Q76/$Q$361</f>
        <v>0</v>
      </c>
      <c r="Z76" s="28">
        <f>Adatbázis!J76*$Q76/$Q$361</f>
        <v>0</v>
      </c>
      <c r="AA76" s="28">
        <f>Adatbázis!K76*$Q76/$Q$361</f>
        <v>0</v>
      </c>
      <c r="AB76" s="28">
        <f>Adatbázis!L76*$Q76/$Q$361</f>
        <v>0</v>
      </c>
      <c r="AC76" s="41">
        <f>Adatbázis!C76*Q76</f>
        <v>0</v>
      </c>
      <c r="AD76" s="442">
        <f t="shared" si="4"/>
        <v>0</v>
      </c>
      <c r="AE76" s="442"/>
      <c r="AF76" s="616" t="s">
        <v>205</v>
      </c>
      <c r="AG76" s="617"/>
      <c r="AH76" s="617"/>
      <c r="AI76" s="617"/>
      <c r="AJ76" s="617"/>
    </row>
    <row r="77" spans="1:50" ht="15" customHeight="1" x14ac:dyDescent="0.25">
      <c r="A77" s="522"/>
      <c r="B77" s="507" t="s">
        <v>38</v>
      </c>
      <c r="C77" s="88"/>
      <c r="D77" s="25" t="s">
        <v>14</v>
      </c>
      <c r="E77" s="37">
        <v>14.15</v>
      </c>
      <c r="F77" s="30">
        <v>22</v>
      </c>
      <c r="G77" s="30">
        <v>1.2</v>
      </c>
      <c r="H77" s="30">
        <v>3.8</v>
      </c>
      <c r="I77" s="30"/>
      <c r="J77" s="30"/>
      <c r="K77" s="30"/>
      <c r="L77" s="30"/>
      <c r="M77" s="42"/>
      <c r="N77" s="477" t="s">
        <v>479</v>
      </c>
      <c r="O77" s="477"/>
      <c r="P77" s="477"/>
      <c r="Q77" s="145"/>
      <c r="R77" s="386" t="s">
        <v>133</v>
      </c>
      <c r="S77" s="374">
        <f>$P$11*0</f>
        <v>0</v>
      </c>
      <c r="T77" s="371">
        <f>$P$11*0.08</f>
        <v>8</v>
      </c>
      <c r="U77" s="37">
        <f>Adatbázis!E77*Q77</f>
        <v>0</v>
      </c>
      <c r="V77" s="26">
        <f>Adatbázis!F77*$Q77/$Q$361</f>
        <v>0</v>
      </c>
      <c r="W77" s="26">
        <f>Adatbázis!G77*$Q77/$Q$361</f>
        <v>0</v>
      </c>
      <c r="X77" s="26">
        <f>Adatbázis!H77*$Q77/$Q$361</f>
        <v>0</v>
      </c>
      <c r="Y77" s="26">
        <f>Adatbázis!I77*$Q77/$Q$361</f>
        <v>0</v>
      </c>
      <c r="Z77" s="26">
        <f>Adatbázis!J77*$Q77/$Q$361</f>
        <v>0</v>
      </c>
      <c r="AA77" s="26">
        <f>Adatbázis!K77*$Q77/$Q$361</f>
        <v>0</v>
      </c>
      <c r="AB77" s="26">
        <f>Adatbázis!L77*$Q77/$Q$361</f>
        <v>0</v>
      </c>
      <c r="AC77" s="40">
        <f>Adatbázis!C77*Q77</f>
        <v>0</v>
      </c>
      <c r="AD77" s="442">
        <f t="shared" si="4"/>
        <v>0</v>
      </c>
      <c r="AE77" s="442"/>
      <c r="AF77" s="580" t="s">
        <v>137</v>
      </c>
      <c r="AG77" s="581"/>
      <c r="AH77" s="581"/>
      <c r="AI77" s="581"/>
      <c r="AJ77" s="581"/>
      <c r="AK77" s="581"/>
      <c r="AL77" s="581"/>
      <c r="AM77" s="581"/>
      <c r="AN77" s="581"/>
      <c r="AO77" s="581"/>
      <c r="AP77" s="581"/>
      <c r="AQ77" s="581"/>
      <c r="AR77" s="581"/>
      <c r="AS77" s="581"/>
      <c r="AT77" s="581"/>
      <c r="AU77" s="581"/>
      <c r="AV77" s="581"/>
      <c r="AW77" s="581"/>
      <c r="AX77" s="69"/>
    </row>
    <row r="78" spans="1:50" ht="15" customHeight="1" x14ac:dyDescent="0.25">
      <c r="A78" s="522"/>
      <c r="B78" s="508"/>
      <c r="C78" s="81"/>
      <c r="D78" s="27" t="s">
        <v>14</v>
      </c>
      <c r="E78" s="36">
        <v>12.77</v>
      </c>
      <c r="F78" s="17">
        <v>24.8</v>
      </c>
      <c r="G78" s="17">
        <v>1.4</v>
      </c>
      <c r="H78" s="17">
        <v>6.5</v>
      </c>
      <c r="I78" s="17">
        <v>0.14000000000000001</v>
      </c>
      <c r="J78" s="17">
        <v>0.5</v>
      </c>
      <c r="K78" s="17">
        <v>1.56</v>
      </c>
      <c r="L78" s="17">
        <v>0.22</v>
      </c>
      <c r="M78" s="43"/>
      <c r="N78" s="472" t="s">
        <v>480</v>
      </c>
      <c r="O78" s="472"/>
      <c r="P78" s="472"/>
      <c r="Q78" s="107"/>
      <c r="R78" s="80" t="s">
        <v>133</v>
      </c>
      <c r="S78" s="375">
        <f>$P$11*0.05</f>
        <v>5</v>
      </c>
      <c r="T78" s="372">
        <f>$P$11*0.1</f>
        <v>10</v>
      </c>
      <c r="U78" s="36">
        <f>Adatbázis!E78*Q78</f>
        <v>0</v>
      </c>
      <c r="V78" s="28">
        <f>Adatbázis!F78*$Q78/$Q$361</f>
        <v>0</v>
      </c>
      <c r="W78" s="28">
        <f>Adatbázis!G78*$Q78/$Q$361</f>
        <v>0</v>
      </c>
      <c r="X78" s="28">
        <f>Adatbázis!H78*$Q78/$Q$361</f>
        <v>0</v>
      </c>
      <c r="Y78" s="28">
        <f>Adatbázis!I78*$Q78/$Q$361</f>
        <v>0</v>
      </c>
      <c r="Z78" s="28">
        <f>Adatbázis!J78*$Q78/$Q$361</f>
        <v>0</v>
      </c>
      <c r="AA78" s="28">
        <f>Adatbázis!K78*$Q78/$Q$361</f>
        <v>0</v>
      </c>
      <c r="AB78" s="28">
        <f>Adatbázis!L78*$Q78/$Q$361</f>
        <v>0</v>
      </c>
      <c r="AC78" s="41">
        <f>Adatbázis!C78*Q78</f>
        <v>0</v>
      </c>
      <c r="AD78" s="442">
        <f t="shared" si="4"/>
        <v>0</v>
      </c>
      <c r="AE78" s="442"/>
      <c r="AF78" s="580" t="s">
        <v>137</v>
      </c>
      <c r="AG78" s="581"/>
      <c r="AH78" s="581"/>
      <c r="AI78" s="581"/>
      <c r="AJ78" s="581"/>
      <c r="AK78" s="581"/>
      <c r="AL78" s="581"/>
      <c r="AM78" s="581"/>
      <c r="AN78" s="581"/>
      <c r="AO78" s="581"/>
      <c r="AP78" s="581"/>
      <c r="AQ78" s="581"/>
      <c r="AR78" s="581"/>
      <c r="AS78" s="581"/>
      <c r="AT78" s="581"/>
      <c r="AU78" s="581"/>
      <c r="AV78" s="581"/>
      <c r="AW78" s="581"/>
    </row>
    <row r="79" spans="1:50" ht="15" customHeight="1" x14ac:dyDescent="0.25">
      <c r="A79" s="522"/>
      <c r="B79" s="508"/>
      <c r="C79" s="81"/>
      <c r="D79" s="27" t="s">
        <v>14</v>
      </c>
      <c r="E79" s="36">
        <v>14.23</v>
      </c>
      <c r="F79" s="17">
        <v>29.6</v>
      </c>
      <c r="G79" s="17">
        <v>0.8</v>
      </c>
      <c r="H79" s="17">
        <v>5.7</v>
      </c>
      <c r="I79" s="17"/>
      <c r="J79" s="17"/>
      <c r="K79" s="17"/>
      <c r="L79" s="17"/>
      <c r="M79" s="43"/>
      <c r="N79" s="472" t="s">
        <v>85</v>
      </c>
      <c r="O79" s="472"/>
      <c r="P79" s="472"/>
      <c r="Q79" s="145"/>
      <c r="R79" s="80" t="s">
        <v>133</v>
      </c>
      <c r="S79" s="375">
        <f>$P$11*0</f>
        <v>0</v>
      </c>
      <c r="T79" s="372">
        <f>$P$11*0.1</f>
        <v>10</v>
      </c>
      <c r="U79" s="36">
        <f>Adatbázis!E79*Q79</f>
        <v>0</v>
      </c>
      <c r="V79" s="28">
        <f>Adatbázis!F79*$Q79/$Q$361</f>
        <v>0</v>
      </c>
      <c r="W79" s="28">
        <f>Adatbázis!G79*$Q79/$Q$361</f>
        <v>0</v>
      </c>
      <c r="X79" s="28">
        <f>Adatbázis!H79*$Q79/$Q$361</f>
        <v>0</v>
      </c>
      <c r="Y79" s="28">
        <f>Adatbázis!I79*$Q79/$Q$361</f>
        <v>0</v>
      </c>
      <c r="Z79" s="28">
        <f>Adatbázis!J79*$Q79/$Q$361</f>
        <v>0</v>
      </c>
      <c r="AA79" s="28">
        <f>Adatbázis!K79*$Q79/$Q$361</f>
        <v>0</v>
      </c>
      <c r="AB79" s="28">
        <f>Adatbázis!L79*$Q79/$Q$361</f>
        <v>0</v>
      </c>
      <c r="AC79" s="41">
        <f>Adatbázis!C79*Q79</f>
        <v>0</v>
      </c>
      <c r="AD79" s="442">
        <f t="shared" si="4"/>
        <v>0</v>
      </c>
      <c r="AE79" s="442"/>
      <c r="AF79" s="580" t="s">
        <v>137</v>
      </c>
      <c r="AG79" s="581"/>
      <c r="AH79" s="581"/>
      <c r="AI79" s="581"/>
      <c r="AJ79" s="581"/>
      <c r="AK79" s="581"/>
      <c r="AL79" s="581"/>
      <c r="AM79" s="581"/>
      <c r="AN79" s="581"/>
      <c r="AO79" s="581"/>
      <c r="AP79" s="581"/>
      <c r="AQ79" s="581"/>
      <c r="AR79" s="581"/>
      <c r="AS79" s="581"/>
      <c r="AT79" s="581"/>
      <c r="AU79" s="581"/>
      <c r="AV79" s="581"/>
      <c r="AW79" s="581"/>
    </row>
    <row r="80" spans="1:50" x14ac:dyDescent="0.25">
      <c r="A80" s="522"/>
      <c r="B80" s="508"/>
      <c r="C80" s="81"/>
      <c r="D80" s="27" t="s">
        <v>14</v>
      </c>
      <c r="E80" s="36">
        <v>9.4</v>
      </c>
      <c r="F80" s="17">
        <v>43.5</v>
      </c>
      <c r="G80" s="17">
        <v>5.2</v>
      </c>
      <c r="H80" s="17">
        <v>16.5</v>
      </c>
      <c r="I80" s="17">
        <v>0.15</v>
      </c>
      <c r="J80" s="17">
        <v>0.49</v>
      </c>
      <c r="K80" s="17">
        <v>1.62</v>
      </c>
      <c r="L80" s="17">
        <v>0.26</v>
      </c>
      <c r="M80" s="43"/>
      <c r="N80" s="472" t="s">
        <v>37</v>
      </c>
      <c r="O80" s="472"/>
      <c r="P80" s="472"/>
      <c r="Q80" s="107"/>
      <c r="R80" s="80" t="s">
        <v>133</v>
      </c>
      <c r="S80" s="375">
        <f>$P$11*0.02</f>
        <v>2</v>
      </c>
      <c r="T80" s="372">
        <f>$P$11*0.15</f>
        <v>15</v>
      </c>
      <c r="U80" s="36">
        <f>Adatbázis!E80*Q80</f>
        <v>0</v>
      </c>
      <c r="V80" s="28">
        <f>Adatbázis!F80*$Q80/$Q$361</f>
        <v>0</v>
      </c>
      <c r="W80" s="28">
        <f>Adatbázis!G80*$Q80/$Q$361</f>
        <v>0</v>
      </c>
      <c r="X80" s="28">
        <f>Adatbázis!H80*$Q80/$Q$361</f>
        <v>0</v>
      </c>
      <c r="Y80" s="28">
        <f>Adatbázis!I80*$Q80/$Q$361</f>
        <v>0</v>
      </c>
      <c r="Z80" s="28">
        <f>Adatbázis!J80*$Q80/$Q$361</f>
        <v>0</v>
      </c>
      <c r="AA80" s="28">
        <f>Adatbázis!K80*$Q80/$Q$361</f>
        <v>0</v>
      </c>
      <c r="AB80" s="28">
        <f>Adatbázis!L80*$Q80/$Q$361</f>
        <v>0</v>
      </c>
      <c r="AC80" s="41">
        <f>Adatbázis!C80*Q80</f>
        <v>0</v>
      </c>
      <c r="AD80" s="442">
        <f t="shared" si="4"/>
        <v>0</v>
      </c>
      <c r="AE80" s="442"/>
      <c r="AF80" s="580" t="s">
        <v>137</v>
      </c>
      <c r="AG80" s="581"/>
      <c r="AH80" s="581"/>
      <c r="AI80" s="581"/>
      <c r="AJ80" s="581"/>
      <c r="AK80" s="581"/>
      <c r="AL80" s="581"/>
      <c r="AM80" s="581"/>
      <c r="AN80" s="581"/>
      <c r="AO80" s="581"/>
      <c r="AP80" s="581"/>
      <c r="AQ80" s="581"/>
      <c r="AR80" s="581"/>
      <c r="AS80" s="581"/>
      <c r="AT80" s="581"/>
      <c r="AU80" s="581"/>
      <c r="AV80" s="581"/>
      <c r="AW80" s="581"/>
    </row>
    <row r="81" spans="1:54" x14ac:dyDescent="0.25">
      <c r="A81" s="522"/>
      <c r="B81" s="508"/>
      <c r="C81" s="81"/>
      <c r="D81" s="27" t="s">
        <v>14</v>
      </c>
      <c r="E81" s="36">
        <v>14.97</v>
      </c>
      <c r="F81" s="17">
        <v>25.5</v>
      </c>
      <c r="G81" s="17">
        <v>1.85</v>
      </c>
      <c r="H81" s="17">
        <v>2.5</v>
      </c>
      <c r="I81" s="17"/>
      <c r="J81" s="17"/>
      <c r="K81" s="17"/>
      <c r="L81" s="17"/>
      <c r="M81" s="43"/>
      <c r="N81" s="472" t="s">
        <v>481</v>
      </c>
      <c r="O81" s="472"/>
      <c r="P81" s="472"/>
      <c r="Q81" s="107"/>
      <c r="R81" s="80" t="s">
        <v>133</v>
      </c>
      <c r="S81" s="375">
        <f>$P$11*0.05</f>
        <v>5</v>
      </c>
      <c r="T81" s="372">
        <f>$P$11*0.1</f>
        <v>10</v>
      </c>
      <c r="U81" s="36">
        <f>Adatbázis!E81*Q81</f>
        <v>0</v>
      </c>
      <c r="V81" s="28">
        <f>Adatbázis!F81*$Q81/$Q$361</f>
        <v>0</v>
      </c>
      <c r="W81" s="28">
        <f>Adatbázis!G81*$Q81/$Q$361</f>
        <v>0</v>
      </c>
      <c r="X81" s="28">
        <f>Adatbázis!H81*$Q81/$Q$361</f>
        <v>0</v>
      </c>
      <c r="Y81" s="28">
        <f>Adatbázis!I81*$Q81/$Q$361</f>
        <v>0</v>
      </c>
      <c r="Z81" s="28">
        <f>Adatbázis!J81*$Q81/$Q$361</f>
        <v>0</v>
      </c>
      <c r="AA81" s="28">
        <f>Adatbázis!K81*$Q81/$Q$361</f>
        <v>0</v>
      </c>
      <c r="AB81" s="28">
        <f>Adatbázis!L81*$Q81/$Q$361</f>
        <v>0</v>
      </c>
      <c r="AC81" s="41">
        <f>Adatbázis!C81*Q81</f>
        <v>0</v>
      </c>
      <c r="AD81" s="442">
        <f t="shared" si="4"/>
        <v>0</v>
      </c>
      <c r="AE81" s="442"/>
      <c r="AF81" s="580" t="s">
        <v>137</v>
      </c>
      <c r="AG81" s="581"/>
      <c r="AH81" s="581"/>
      <c r="AI81" s="581"/>
      <c r="AJ81" s="581"/>
      <c r="AK81" s="581"/>
      <c r="AL81" s="581"/>
      <c r="AM81" s="581"/>
      <c r="AN81" s="581"/>
      <c r="AO81" s="581"/>
      <c r="AP81" s="581"/>
      <c r="AQ81" s="581"/>
      <c r="AR81" s="581"/>
      <c r="AS81" s="581"/>
      <c r="AT81" s="581"/>
      <c r="AU81" s="581"/>
      <c r="AV81" s="581"/>
      <c r="AW81" s="581"/>
    </row>
    <row r="82" spans="1:54" x14ac:dyDescent="0.25">
      <c r="A82" s="522"/>
      <c r="B82" s="508"/>
      <c r="C82" s="81"/>
      <c r="D82" s="27" t="s">
        <v>14</v>
      </c>
      <c r="E82" s="36">
        <v>11.46</v>
      </c>
      <c r="F82" s="17">
        <v>29.5</v>
      </c>
      <c r="G82" s="17">
        <v>1.2</v>
      </c>
      <c r="H82" s="17">
        <v>8.3000000000000007</v>
      </c>
      <c r="I82" s="17">
        <v>0.14000000000000001</v>
      </c>
      <c r="J82" s="17">
        <v>0.5</v>
      </c>
      <c r="K82" s="17">
        <v>1.65</v>
      </c>
      <c r="L82" s="17">
        <v>0.18</v>
      </c>
      <c r="M82" s="43"/>
      <c r="N82" s="472" t="s">
        <v>34</v>
      </c>
      <c r="O82" s="472"/>
      <c r="P82" s="472"/>
      <c r="Q82" s="145"/>
      <c r="R82" s="80" t="s">
        <v>133</v>
      </c>
      <c r="S82" s="375">
        <f>$P$11*0</f>
        <v>0</v>
      </c>
      <c r="T82" s="372">
        <f>$P$11*0.15</f>
        <v>15</v>
      </c>
      <c r="U82" s="36">
        <f>Adatbázis!E82*Q82</f>
        <v>0</v>
      </c>
      <c r="V82" s="28">
        <f>Adatbázis!F82*$Q82/$Q$361</f>
        <v>0</v>
      </c>
      <c r="W82" s="28">
        <f>Adatbázis!G82*$Q82/$Q$361</f>
        <v>0</v>
      </c>
      <c r="X82" s="28">
        <f>Adatbázis!H82*$Q82/$Q$361</f>
        <v>0</v>
      </c>
      <c r="Y82" s="28">
        <f>Adatbázis!I82*$Q82/$Q$361</f>
        <v>0</v>
      </c>
      <c r="Z82" s="28">
        <f>Adatbázis!J82*$Q82/$Q$361</f>
        <v>0</v>
      </c>
      <c r="AA82" s="28">
        <f>Adatbázis!K82*$Q82/$Q$361</f>
        <v>0</v>
      </c>
      <c r="AB82" s="28">
        <f>Adatbázis!L82*$Q82/$Q$361</f>
        <v>0</v>
      </c>
      <c r="AC82" s="41">
        <f>Adatbázis!C82*Q82</f>
        <v>0</v>
      </c>
      <c r="AD82" s="442">
        <f t="shared" si="4"/>
        <v>0</v>
      </c>
      <c r="AE82" s="442"/>
      <c r="AF82" s="581" t="s">
        <v>137</v>
      </c>
      <c r="AG82" s="581"/>
      <c r="AH82" s="581"/>
      <c r="AI82" s="581"/>
      <c r="AJ82" s="581"/>
      <c r="AK82" s="581"/>
      <c r="AL82" s="581"/>
      <c r="AM82" s="581"/>
      <c r="AN82" s="581"/>
      <c r="AO82" s="581"/>
      <c r="AP82" s="581"/>
      <c r="AQ82" s="581"/>
      <c r="AR82" s="581"/>
      <c r="AS82" s="581"/>
      <c r="AT82" s="581"/>
      <c r="AU82" s="581"/>
      <c r="AV82" s="581"/>
      <c r="AW82" s="581"/>
      <c r="AX82" s="579" t="s">
        <v>210</v>
      </c>
      <c r="AY82" s="579"/>
      <c r="AZ82" s="579"/>
      <c r="BA82" s="579"/>
      <c r="BB82" s="2"/>
    </row>
    <row r="83" spans="1:54" ht="15.75" thickBot="1" x14ac:dyDescent="0.3">
      <c r="A83" s="522"/>
      <c r="B83" s="509"/>
      <c r="C83" s="82"/>
      <c r="D83" s="29" t="s">
        <v>14</v>
      </c>
      <c r="E83" s="38">
        <v>14.93</v>
      </c>
      <c r="F83" s="20">
        <v>37.5</v>
      </c>
      <c r="G83" s="20">
        <v>20.7</v>
      </c>
      <c r="H83" s="20">
        <v>7.7</v>
      </c>
      <c r="I83" s="20">
        <v>0.24</v>
      </c>
      <c r="J83" s="20">
        <v>0.67</v>
      </c>
      <c r="K83" s="20">
        <v>2.27</v>
      </c>
      <c r="L83" s="20">
        <v>0.52</v>
      </c>
      <c r="M83" s="53"/>
      <c r="N83" s="489" t="s">
        <v>482</v>
      </c>
      <c r="O83" s="489"/>
      <c r="P83" s="489"/>
      <c r="Q83" s="145"/>
      <c r="R83" s="91" t="s">
        <v>133</v>
      </c>
      <c r="S83" s="376">
        <f>$P$11*0</f>
        <v>0</v>
      </c>
      <c r="T83" s="373">
        <f>$P$11*0.32</f>
        <v>32</v>
      </c>
      <c r="U83" s="38">
        <f>Adatbázis!E83*Q83</f>
        <v>0</v>
      </c>
      <c r="V83" s="67">
        <f>Adatbázis!F83*$Q83/$Q$361</f>
        <v>0</v>
      </c>
      <c r="W83" s="67">
        <f>Adatbázis!G83*$Q83/$Q$361</f>
        <v>0</v>
      </c>
      <c r="X83" s="67">
        <f>Adatbázis!H83*$Q83/$Q$361</f>
        <v>0</v>
      </c>
      <c r="Y83" s="67">
        <f>Adatbázis!I83*$Q83/$Q$361</f>
        <v>0</v>
      </c>
      <c r="Z83" s="67">
        <f>Adatbázis!J83*$Q83/$Q$361</f>
        <v>0</v>
      </c>
      <c r="AA83" s="67">
        <f>Adatbázis!K83*$Q83/$Q$361</f>
        <v>0</v>
      </c>
      <c r="AB83" s="67">
        <f>Adatbázis!L83*$Q83/$Q$361</f>
        <v>0</v>
      </c>
      <c r="AC83" s="68">
        <f>Adatbázis!C83*Q83</f>
        <v>0</v>
      </c>
      <c r="AD83" s="442">
        <f t="shared" si="4"/>
        <v>0</v>
      </c>
      <c r="AE83" s="442"/>
      <c r="AF83" s="626" t="s">
        <v>211</v>
      </c>
      <c r="AG83" s="626"/>
      <c r="AH83" s="626"/>
      <c r="AI83" s="626"/>
      <c r="AJ83" s="105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7"/>
      <c r="AY83" s="137"/>
      <c r="AZ83" s="137"/>
    </row>
    <row r="84" spans="1:54" x14ac:dyDescent="0.25">
      <c r="A84" s="522"/>
      <c r="B84" s="511" t="s">
        <v>39</v>
      </c>
      <c r="C84" s="87"/>
      <c r="D84" s="78" t="s">
        <v>14</v>
      </c>
      <c r="E84" s="32">
        <v>27.38</v>
      </c>
      <c r="F84" s="125">
        <v>18.600000000000001</v>
      </c>
      <c r="G84" s="125">
        <v>57</v>
      </c>
      <c r="H84" s="125">
        <v>2.8</v>
      </c>
      <c r="I84" s="125"/>
      <c r="J84" s="125"/>
      <c r="K84" s="125"/>
      <c r="L84" s="125"/>
      <c r="M84" s="144"/>
      <c r="N84" s="481" t="s">
        <v>86</v>
      </c>
      <c r="O84" s="481"/>
      <c r="P84" s="481"/>
      <c r="Q84" s="107"/>
      <c r="R84" s="64" t="s">
        <v>133</v>
      </c>
      <c r="S84" s="89">
        <f>$P$11*0.05</f>
        <v>5</v>
      </c>
      <c r="T84" s="90">
        <f>$P$11*0.05</f>
        <v>5</v>
      </c>
      <c r="U84" s="32">
        <f>Adatbázis!E84*Q84</f>
        <v>0</v>
      </c>
      <c r="V84" s="6">
        <f>Adatbázis!F84*$Q84/$Q$361</f>
        <v>0</v>
      </c>
      <c r="W84" s="6">
        <f>Adatbázis!G84*$Q84/$Q$361</f>
        <v>0</v>
      </c>
      <c r="X84" s="6">
        <f>Adatbázis!H84*$Q84/$Q$361</f>
        <v>0</v>
      </c>
      <c r="Y84" s="6">
        <f>Adatbázis!I84*$Q84/$Q$361</f>
        <v>0</v>
      </c>
      <c r="Z84" s="6">
        <f>Adatbázis!J84*$Q84/$Q$361</f>
        <v>0</v>
      </c>
      <c r="AA84" s="6">
        <f>Adatbázis!K84*$Q84/$Q$361</f>
        <v>0</v>
      </c>
      <c r="AB84" s="6">
        <f>Adatbázis!L84*$Q84/$Q$361</f>
        <v>0</v>
      </c>
      <c r="AC84" s="50">
        <f>Adatbázis!C84*Q84</f>
        <v>0</v>
      </c>
      <c r="AD84" s="442">
        <f t="shared" si="4"/>
        <v>0</v>
      </c>
      <c r="AE84" s="442"/>
    </row>
    <row r="85" spans="1:54" x14ac:dyDescent="0.25">
      <c r="A85" s="522"/>
      <c r="B85" s="511"/>
      <c r="C85" s="81"/>
      <c r="D85" s="27" t="s">
        <v>14</v>
      </c>
      <c r="E85" s="36">
        <v>28.18</v>
      </c>
      <c r="F85" s="17">
        <v>13.7</v>
      </c>
      <c r="G85" s="17">
        <v>13.08</v>
      </c>
      <c r="H85" s="17">
        <v>1.1000000000000001</v>
      </c>
      <c r="I85" s="17"/>
      <c r="J85" s="17"/>
      <c r="K85" s="17"/>
      <c r="L85" s="17"/>
      <c r="M85" s="43"/>
      <c r="N85" s="493" t="s">
        <v>87</v>
      </c>
      <c r="O85" s="494"/>
      <c r="P85" s="495"/>
      <c r="Q85" s="107"/>
      <c r="R85" s="79" t="s">
        <v>133</v>
      </c>
      <c r="S85" s="210">
        <f>$P$11*0.05</f>
        <v>5</v>
      </c>
      <c r="T85" s="211">
        <f>$P$11*0.1</f>
        <v>10</v>
      </c>
      <c r="U85" s="36">
        <f>Adatbázis!E85*Q85</f>
        <v>0</v>
      </c>
      <c r="V85" s="28">
        <f>Adatbázis!F85*$Q85/$Q$361</f>
        <v>0</v>
      </c>
      <c r="W85" s="28">
        <f>Adatbázis!G85*$Q85/$Q$361</f>
        <v>0</v>
      </c>
      <c r="X85" s="28">
        <f>Adatbázis!H85*$Q85/$Q$361</f>
        <v>0</v>
      </c>
      <c r="Y85" s="28">
        <f>Adatbázis!I85*$Q85/$Q$361</f>
        <v>0</v>
      </c>
      <c r="Z85" s="28">
        <f>Adatbázis!J85*$Q85/$Q$361</f>
        <v>0</v>
      </c>
      <c r="AA85" s="28">
        <f>Adatbázis!K85*$Q85/$Q$361</f>
        <v>0</v>
      </c>
      <c r="AB85" s="28">
        <f>Adatbázis!L85*$Q85/$Q$361</f>
        <v>0</v>
      </c>
      <c r="AC85" s="41">
        <f>Adatbázis!C85*Q85</f>
        <v>0</v>
      </c>
      <c r="AD85" s="442">
        <f t="shared" si="4"/>
        <v>0</v>
      </c>
      <c r="AE85" s="442"/>
    </row>
    <row r="86" spans="1:54" x14ac:dyDescent="0.25">
      <c r="A86" s="522"/>
      <c r="B86" s="511"/>
      <c r="C86" s="81"/>
      <c r="D86" s="27" t="s">
        <v>14</v>
      </c>
      <c r="E86" s="36">
        <v>19.940000000000001</v>
      </c>
      <c r="F86" s="17">
        <v>23.8</v>
      </c>
      <c r="G86" s="17">
        <v>26.5</v>
      </c>
      <c r="H86" s="17">
        <v>3.6</v>
      </c>
      <c r="I86" s="17"/>
      <c r="J86" s="17"/>
      <c r="K86" s="17"/>
      <c r="L86" s="17"/>
      <c r="M86" s="43"/>
      <c r="N86" s="472" t="s">
        <v>90</v>
      </c>
      <c r="O86" s="472"/>
      <c r="P86" s="472"/>
      <c r="Q86" s="145"/>
      <c r="R86" s="80" t="s">
        <v>133</v>
      </c>
      <c r="S86" s="375">
        <f>$P$11*0.05</f>
        <v>5</v>
      </c>
      <c r="T86" s="372">
        <f>$P$11*0.1</f>
        <v>10</v>
      </c>
      <c r="U86" s="36">
        <f>Adatbázis!E86*Q86</f>
        <v>0</v>
      </c>
      <c r="V86" s="28">
        <f>Adatbázis!F86*$Q86/$Q$361</f>
        <v>0</v>
      </c>
      <c r="W86" s="28">
        <f>Adatbázis!G86*$Q86/$Q$361</f>
        <v>0</v>
      </c>
      <c r="X86" s="28">
        <f>Adatbázis!H86*$Q86/$Q$361</f>
        <v>0</v>
      </c>
      <c r="Y86" s="28">
        <f>Adatbázis!I86*$Q86/$Q$361</f>
        <v>0</v>
      </c>
      <c r="Z86" s="28">
        <f>Adatbázis!J86*$Q86/$Q$361</f>
        <v>0</v>
      </c>
      <c r="AA86" s="28">
        <f>Adatbázis!K86*$Q86/$Q$361</f>
        <v>0</v>
      </c>
      <c r="AB86" s="28">
        <f>Adatbázis!L86*$Q86/$Q$361</f>
        <v>0</v>
      </c>
      <c r="AC86" s="41">
        <f>Adatbázis!C86*Q86</f>
        <v>0</v>
      </c>
      <c r="AD86" s="442">
        <f t="shared" si="4"/>
        <v>0</v>
      </c>
      <c r="AE86" s="442"/>
      <c r="AF86" s="132" t="s">
        <v>213</v>
      </c>
      <c r="AG86" s="127"/>
      <c r="AH86" s="128"/>
      <c r="AI86" s="129"/>
    </row>
    <row r="87" spans="1:54" x14ac:dyDescent="0.25">
      <c r="A87" s="522"/>
      <c r="B87" s="511"/>
      <c r="C87" s="81"/>
      <c r="D87" s="27" t="s">
        <v>14</v>
      </c>
      <c r="E87" s="36">
        <v>19.260000000000002</v>
      </c>
      <c r="F87" s="17">
        <v>24</v>
      </c>
      <c r="G87" s="17">
        <v>35.9</v>
      </c>
      <c r="H87" s="17">
        <v>6.3</v>
      </c>
      <c r="I87" s="17">
        <v>0.26</v>
      </c>
      <c r="J87" s="17">
        <v>0.64</v>
      </c>
      <c r="K87" s="17"/>
      <c r="L87" s="17"/>
      <c r="M87" s="43"/>
      <c r="N87" s="472" t="s">
        <v>92</v>
      </c>
      <c r="O87" s="472"/>
      <c r="P87" s="472"/>
      <c r="Q87" s="145"/>
      <c r="R87" s="79" t="s">
        <v>133</v>
      </c>
      <c r="S87" s="123">
        <f>$P$11*0.05</f>
        <v>5</v>
      </c>
      <c r="T87" s="121">
        <f>$P$11*0.1</f>
        <v>10</v>
      </c>
      <c r="U87" s="36">
        <f>Adatbázis!E87*Q87</f>
        <v>0</v>
      </c>
      <c r="V87" s="28">
        <f>Adatbázis!F87*$Q87/$Q$361</f>
        <v>0</v>
      </c>
      <c r="W87" s="28">
        <f>Adatbázis!G87*$Q87/$Q$361</f>
        <v>0</v>
      </c>
      <c r="X87" s="28">
        <f>Adatbázis!H87*$Q87/$Q$361</f>
        <v>0</v>
      </c>
      <c r="Y87" s="28">
        <f>Adatbázis!I87*$Q87/$Q$361</f>
        <v>0</v>
      </c>
      <c r="Z87" s="28">
        <f>Adatbázis!J87*$Q87/$Q$361</f>
        <v>0</v>
      </c>
      <c r="AA87" s="28">
        <f>Adatbázis!K87*$Q87/$Q$361</f>
        <v>0</v>
      </c>
      <c r="AB87" s="28">
        <f>Adatbázis!L87*$Q87/$Q$361</f>
        <v>0</v>
      </c>
      <c r="AC87" s="41">
        <f>Adatbázis!C87*Q87</f>
        <v>0</v>
      </c>
      <c r="AD87" s="442">
        <f t="shared" si="4"/>
        <v>0</v>
      </c>
      <c r="AE87" s="442"/>
    </row>
    <row r="88" spans="1:54" x14ac:dyDescent="0.25">
      <c r="A88" s="522"/>
      <c r="B88" s="511"/>
      <c r="C88" s="81"/>
      <c r="D88" s="27" t="s">
        <v>14</v>
      </c>
      <c r="E88" s="36">
        <v>21.98</v>
      </c>
      <c r="F88" s="17">
        <v>18</v>
      </c>
      <c r="G88" s="17">
        <v>41.6</v>
      </c>
      <c r="H88" s="17">
        <v>19.5</v>
      </c>
      <c r="I88" s="17">
        <v>1.44</v>
      </c>
      <c r="J88" s="17">
        <v>0.87</v>
      </c>
      <c r="K88" s="17"/>
      <c r="L88" s="17"/>
      <c r="M88" s="43"/>
      <c r="N88" s="472" t="s">
        <v>117</v>
      </c>
      <c r="O88" s="472"/>
      <c r="P88" s="472"/>
      <c r="Q88" s="107"/>
      <c r="R88" s="79" t="s">
        <v>133</v>
      </c>
      <c r="S88" s="123">
        <f>$P$11*0</f>
        <v>0</v>
      </c>
      <c r="T88" s="121">
        <f>$P$11*0.01</f>
        <v>1</v>
      </c>
      <c r="U88" s="36">
        <f>Adatbázis!E88*Q88</f>
        <v>0</v>
      </c>
      <c r="V88" s="28">
        <f>Adatbázis!F88*$Q88/$Q$361</f>
        <v>0</v>
      </c>
      <c r="W88" s="28">
        <f>Adatbázis!G88*$Q88/$Q$361</f>
        <v>0</v>
      </c>
      <c r="X88" s="28">
        <f>Adatbázis!H88*$Q88/$Q$361</f>
        <v>0</v>
      </c>
      <c r="Y88" s="28">
        <f>Adatbázis!I88*$Q88/$Q$361</f>
        <v>0</v>
      </c>
      <c r="Z88" s="28">
        <f>Adatbázis!J88*$Q88/$Q$361</f>
        <v>0</v>
      </c>
      <c r="AA88" s="28">
        <f>Adatbázis!K88*$Q88/$Q$361</f>
        <v>0</v>
      </c>
      <c r="AB88" s="28">
        <f>Adatbázis!L88*$Q88/$Q$361</f>
        <v>0</v>
      </c>
      <c r="AC88" s="41">
        <f>Adatbázis!C88*Q88</f>
        <v>0</v>
      </c>
      <c r="AD88" s="442">
        <f t="shared" si="4"/>
        <v>0</v>
      </c>
      <c r="AE88" s="442"/>
    </row>
    <row r="89" spans="1:54" ht="15" customHeight="1" x14ac:dyDescent="0.25">
      <c r="A89" s="522"/>
      <c r="B89" s="512"/>
      <c r="C89" s="81"/>
      <c r="D89" s="27" t="s">
        <v>14</v>
      </c>
      <c r="E89" s="36">
        <v>21.81</v>
      </c>
      <c r="F89" s="17">
        <v>19.3</v>
      </c>
      <c r="G89" s="17">
        <v>49.9</v>
      </c>
      <c r="H89" s="17">
        <v>16.899999999999999</v>
      </c>
      <c r="I89" s="17">
        <v>0.39</v>
      </c>
      <c r="J89" s="17">
        <v>0.65</v>
      </c>
      <c r="K89" s="17">
        <v>0.6</v>
      </c>
      <c r="L89" s="17">
        <v>0.38</v>
      </c>
      <c r="M89" s="43"/>
      <c r="N89" s="472" t="s">
        <v>483</v>
      </c>
      <c r="O89" s="472"/>
      <c r="P89" s="472"/>
      <c r="Q89" s="107"/>
      <c r="R89" s="79" t="s">
        <v>133</v>
      </c>
      <c r="S89" s="123">
        <f t="shared" ref="S89:S95" si="5">$P$11*0.05</f>
        <v>5</v>
      </c>
      <c r="T89" s="121">
        <f>$P$11*0.2</f>
        <v>20</v>
      </c>
      <c r="U89" s="36">
        <f>Adatbázis!E89*Q89</f>
        <v>0</v>
      </c>
      <c r="V89" s="28">
        <f>Adatbázis!F89*$Q89/$Q$361</f>
        <v>0</v>
      </c>
      <c r="W89" s="28">
        <f>Adatbázis!G89*$Q89/$Q$361</f>
        <v>0</v>
      </c>
      <c r="X89" s="28">
        <f>Adatbázis!H89*$Q89/$Q$361</f>
        <v>0</v>
      </c>
      <c r="Y89" s="28">
        <f>Adatbázis!I89*$Q89/$Q$361</f>
        <v>0</v>
      </c>
      <c r="Z89" s="28">
        <f>Adatbázis!J89*$Q89/$Q$361</f>
        <v>0</v>
      </c>
      <c r="AA89" s="28">
        <f>Adatbázis!K89*$Q89/$Q$361</f>
        <v>0</v>
      </c>
      <c r="AB89" s="28">
        <f>Adatbázis!L89*$Q89/$Q$361</f>
        <v>0</v>
      </c>
      <c r="AC89" s="41">
        <f>Adatbázis!C89*Q89</f>
        <v>0</v>
      </c>
      <c r="AD89" s="442">
        <f t="shared" si="4"/>
        <v>0</v>
      </c>
      <c r="AE89" s="442"/>
    </row>
    <row r="90" spans="1:54" ht="15" customHeight="1" thickBot="1" x14ac:dyDescent="0.3">
      <c r="A90" s="522"/>
      <c r="B90" s="512"/>
      <c r="C90" s="81"/>
      <c r="D90" s="27" t="s">
        <v>14</v>
      </c>
      <c r="E90" s="36"/>
      <c r="F90" s="17">
        <v>20</v>
      </c>
      <c r="G90" s="17">
        <v>40</v>
      </c>
      <c r="H90" s="17">
        <v>6</v>
      </c>
      <c r="I90" s="17"/>
      <c r="J90" s="17"/>
      <c r="K90" s="17"/>
      <c r="L90" s="17"/>
      <c r="M90" s="43"/>
      <c r="N90" s="472" t="s">
        <v>294</v>
      </c>
      <c r="O90" s="472"/>
      <c r="P90" s="472"/>
      <c r="Q90" s="107"/>
      <c r="R90" s="79" t="s">
        <v>133</v>
      </c>
      <c r="S90" s="207">
        <f t="shared" si="5"/>
        <v>5</v>
      </c>
      <c r="T90" s="208">
        <v>10</v>
      </c>
      <c r="U90" s="36">
        <f>Adatbázis!E90*Q90</f>
        <v>0</v>
      </c>
      <c r="V90" s="28">
        <f>Adatbázis!F90*$Q90/$Q$361</f>
        <v>0</v>
      </c>
      <c r="W90" s="28">
        <f>Adatbázis!G90*$Q90/$Q$361</f>
        <v>0</v>
      </c>
      <c r="X90" s="28">
        <f>Adatbázis!H90*$Q90/$Q$361</f>
        <v>0</v>
      </c>
      <c r="Y90" s="28">
        <f>Adatbázis!I90*$Q90/$Q$361</f>
        <v>0</v>
      </c>
      <c r="Z90" s="28">
        <f>Adatbázis!J90*$Q90/$Q$361</f>
        <v>0</v>
      </c>
      <c r="AA90" s="28">
        <f>Adatbázis!K90*$Q90/$Q$361</f>
        <v>0</v>
      </c>
      <c r="AB90" s="28">
        <f>Adatbázis!L90*$Q90/$Q$361</f>
        <v>0</v>
      </c>
      <c r="AC90" s="41">
        <f>Adatbázis!C90*Q90</f>
        <v>0</v>
      </c>
      <c r="AD90" s="442">
        <f t="shared" si="4"/>
        <v>0</v>
      </c>
      <c r="AE90" s="442"/>
    </row>
    <row r="91" spans="1:54" ht="15.75" thickBot="1" x14ac:dyDescent="0.3">
      <c r="A91" s="522"/>
      <c r="B91" s="512"/>
      <c r="C91" s="81"/>
      <c r="D91" s="27" t="s">
        <v>14</v>
      </c>
      <c r="E91" s="36">
        <v>19.18</v>
      </c>
      <c r="F91" s="17">
        <v>23.2</v>
      </c>
      <c r="G91" s="17">
        <v>40.4</v>
      </c>
      <c r="H91" s="17">
        <v>8.5</v>
      </c>
      <c r="I91" s="17">
        <v>0.3</v>
      </c>
      <c r="J91" s="17">
        <v>0.76</v>
      </c>
      <c r="K91" s="17">
        <v>1.0900000000000001</v>
      </c>
      <c r="L91" s="17">
        <v>0.42</v>
      </c>
      <c r="M91" s="43"/>
      <c r="N91" s="472" t="s">
        <v>35</v>
      </c>
      <c r="O91" s="472"/>
      <c r="P91" s="472"/>
      <c r="Q91" s="107"/>
      <c r="R91" s="80" t="s">
        <v>133</v>
      </c>
      <c r="S91" s="123">
        <f t="shared" si="5"/>
        <v>5</v>
      </c>
      <c r="T91" s="121">
        <f>$P$11*0.08</f>
        <v>8</v>
      </c>
      <c r="U91" s="36">
        <f>Adatbázis!E91*Q91</f>
        <v>0</v>
      </c>
      <c r="V91" s="28">
        <f>Adatbázis!F91*$Q91/$Q$361</f>
        <v>0</v>
      </c>
      <c r="W91" s="28">
        <f>Adatbázis!G91*$Q91/$Q$361</f>
        <v>0</v>
      </c>
      <c r="X91" s="28">
        <f>Adatbázis!H91*$Q91/$Q$361</f>
        <v>0</v>
      </c>
      <c r="Y91" s="28">
        <f>Adatbázis!I91*$Q91/$Q$361</f>
        <v>0</v>
      </c>
      <c r="Z91" s="28">
        <f>Adatbázis!J91*$Q91/$Q$361</f>
        <v>0</v>
      </c>
      <c r="AA91" s="28">
        <f>Adatbázis!K91*$Q91/$Q$361</f>
        <v>0</v>
      </c>
      <c r="AB91" s="28">
        <f>Adatbázis!L91*$Q91/$Q$361</f>
        <v>0</v>
      </c>
      <c r="AC91" s="41">
        <f>Adatbázis!C91*Q91</f>
        <v>0</v>
      </c>
      <c r="AD91" s="442">
        <f t="shared" si="4"/>
        <v>0</v>
      </c>
      <c r="AE91" s="442"/>
      <c r="AF91" s="108" t="s">
        <v>136</v>
      </c>
      <c r="AG91" s="108"/>
      <c r="AH91" s="109"/>
      <c r="AI91" s="101"/>
      <c r="AJ91" s="101"/>
      <c r="AK91" s="110"/>
    </row>
    <row r="92" spans="1:54" x14ac:dyDescent="0.25">
      <c r="A92" s="522"/>
      <c r="B92" s="512"/>
      <c r="C92" s="81"/>
      <c r="D92" s="27" t="s">
        <v>14</v>
      </c>
      <c r="E92" s="36">
        <v>14.44</v>
      </c>
      <c r="F92" s="17">
        <v>42</v>
      </c>
      <c r="G92" s="17">
        <v>35</v>
      </c>
      <c r="H92" s="17">
        <v>2.6</v>
      </c>
      <c r="I92" s="17"/>
      <c r="J92" s="17"/>
      <c r="K92" s="17"/>
      <c r="L92" s="17"/>
      <c r="M92" s="43"/>
      <c r="N92" s="472" t="s">
        <v>93</v>
      </c>
      <c r="O92" s="472"/>
      <c r="P92" s="472"/>
      <c r="Q92" s="145"/>
      <c r="R92" s="79" t="s">
        <v>133</v>
      </c>
      <c r="S92" s="263">
        <f t="shared" si="5"/>
        <v>5</v>
      </c>
      <c r="T92" s="260">
        <f>$P$11*0.1</f>
        <v>10</v>
      </c>
      <c r="U92" s="36">
        <f>Adatbázis!E92*Q92</f>
        <v>0</v>
      </c>
      <c r="V92" s="28">
        <f>Adatbázis!F92*$Q92/$Q$361</f>
        <v>0</v>
      </c>
      <c r="W92" s="28">
        <f>Adatbázis!G92*$Q92/$Q$361</f>
        <v>0</v>
      </c>
      <c r="X92" s="28">
        <f>Adatbázis!H92*$Q92/$Q$361</f>
        <v>0</v>
      </c>
      <c r="Y92" s="28">
        <f>Adatbázis!I92*$Q92/$Q$361</f>
        <v>0</v>
      </c>
      <c r="Z92" s="28">
        <f>Adatbázis!J92*$Q92/$Q$361</f>
        <v>0</v>
      </c>
      <c r="AA92" s="28">
        <f>Adatbázis!K92*$Q92/$Q$361</f>
        <v>0</v>
      </c>
      <c r="AB92" s="28">
        <f>Adatbázis!L92*$Q92/$Q$361</f>
        <v>0</v>
      </c>
      <c r="AC92" s="41">
        <f>Adatbázis!C92*Q92</f>
        <v>0</v>
      </c>
      <c r="AD92" s="442">
        <f t="shared" si="4"/>
        <v>0</v>
      </c>
      <c r="AE92" s="442"/>
    </row>
    <row r="93" spans="1:54" x14ac:dyDescent="0.25">
      <c r="A93" s="512"/>
      <c r="B93" s="512"/>
      <c r="C93" s="81"/>
      <c r="D93" s="27" t="s">
        <v>14</v>
      </c>
      <c r="E93" s="36">
        <v>23.53</v>
      </c>
      <c r="F93" s="17">
        <v>20.8</v>
      </c>
      <c r="G93" s="17">
        <v>50.4</v>
      </c>
      <c r="H93" s="17">
        <v>11.9</v>
      </c>
      <c r="I93" s="17"/>
      <c r="J93" s="17"/>
      <c r="K93" s="17"/>
      <c r="L93" s="17"/>
      <c r="M93" s="43"/>
      <c r="N93" s="472" t="s">
        <v>94</v>
      </c>
      <c r="O93" s="472"/>
      <c r="P93" s="472"/>
      <c r="Q93" s="145"/>
      <c r="R93" s="79" t="s">
        <v>133</v>
      </c>
      <c r="S93" s="210">
        <f t="shared" si="5"/>
        <v>5</v>
      </c>
      <c r="T93" s="211">
        <f>$P$11*0.05</f>
        <v>5</v>
      </c>
      <c r="U93" s="36">
        <f>Adatbázis!E93*Q93</f>
        <v>0</v>
      </c>
      <c r="V93" s="28">
        <f>Adatbázis!F93*$Q93/$Q$361</f>
        <v>0</v>
      </c>
      <c r="W93" s="28">
        <f>Adatbázis!G93*$Q93/$Q$361</f>
        <v>0</v>
      </c>
      <c r="X93" s="28">
        <f>Adatbázis!H93*$Q93/$Q$361</f>
        <v>0</v>
      </c>
      <c r="Y93" s="28">
        <f>Adatbázis!I93*$Q93/$Q$361</f>
        <v>0</v>
      </c>
      <c r="Z93" s="28">
        <f>Adatbázis!J93*$Q93/$Q$361</f>
        <v>0</v>
      </c>
      <c r="AA93" s="28">
        <f>Adatbázis!K93*$Q93/$Q$361</f>
        <v>0</v>
      </c>
      <c r="AB93" s="28">
        <f>Adatbázis!L93*$Q93/$Q$361</f>
        <v>0</v>
      </c>
      <c r="AC93" s="41">
        <f>Adatbázis!C93*Q93</f>
        <v>0</v>
      </c>
      <c r="AD93" s="442">
        <f t="shared" si="4"/>
        <v>0</v>
      </c>
      <c r="AE93" s="442"/>
    </row>
    <row r="94" spans="1:54" x14ac:dyDescent="0.25">
      <c r="A94" s="512"/>
      <c r="B94" s="512"/>
      <c r="C94" s="81"/>
      <c r="D94" s="27" t="s">
        <v>14</v>
      </c>
      <c r="E94" s="36">
        <v>12.55</v>
      </c>
      <c r="F94" s="17">
        <v>17.2</v>
      </c>
      <c r="G94" s="17">
        <v>6.2</v>
      </c>
      <c r="H94" s="17">
        <v>5.4</v>
      </c>
      <c r="I94" s="17"/>
      <c r="J94" s="17"/>
      <c r="K94" s="17"/>
      <c r="L94" s="17"/>
      <c r="M94" s="43"/>
      <c r="N94" s="472" t="s">
        <v>204</v>
      </c>
      <c r="O94" s="472"/>
      <c r="P94" s="472"/>
      <c r="Q94" s="107"/>
      <c r="R94" s="79" t="s">
        <v>133</v>
      </c>
      <c r="S94" s="123">
        <f t="shared" si="5"/>
        <v>5</v>
      </c>
      <c r="T94" s="121">
        <f>$P$11*0.05</f>
        <v>5</v>
      </c>
      <c r="U94" s="36">
        <f>Adatbázis!E94*Q94</f>
        <v>0</v>
      </c>
      <c r="V94" s="28">
        <f>Adatbázis!F94*$Q94/$Q$361</f>
        <v>0</v>
      </c>
      <c r="W94" s="28">
        <f>Adatbázis!G94*$Q94/$Q$361</f>
        <v>0</v>
      </c>
      <c r="X94" s="28">
        <f>Adatbázis!H94*$Q94/$Q$361</f>
        <v>0</v>
      </c>
      <c r="Y94" s="28">
        <f>Adatbázis!I94*$Q94/$Q$361</f>
        <v>0</v>
      </c>
      <c r="Z94" s="28">
        <f>Adatbázis!J94*$Q94/$Q$361</f>
        <v>0</v>
      </c>
      <c r="AA94" s="28">
        <f>Adatbázis!K94*$Q94/$Q$361</f>
        <v>0</v>
      </c>
      <c r="AB94" s="28">
        <f>Adatbázis!L94*$Q94/$Q$361</f>
        <v>0</v>
      </c>
      <c r="AC94" s="41">
        <f>Adatbázis!C94*Q94</f>
        <v>0</v>
      </c>
      <c r="AD94" s="442">
        <f t="shared" si="4"/>
        <v>0</v>
      </c>
      <c r="AE94" s="442"/>
    </row>
    <row r="95" spans="1:54" ht="15.75" thickBot="1" x14ac:dyDescent="0.3">
      <c r="A95" s="513"/>
      <c r="B95" s="513"/>
      <c r="C95" s="81"/>
      <c r="D95" s="27" t="s">
        <v>14</v>
      </c>
      <c r="E95" s="36">
        <v>22.5</v>
      </c>
      <c r="F95" s="17">
        <v>28</v>
      </c>
      <c r="G95" s="17">
        <v>49</v>
      </c>
      <c r="H95" s="17">
        <v>25</v>
      </c>
      <c r="I95" s="17"/>
      <c r="J95" s="17"/>
      <c r="K95" s="17"/>
      <c r="L95" s="17"/>
      <c r="M95" s="43"/>
      <c r="N95" s="472" t="s">
        <v>124</v>
      </c>
      <c r="O95" s="472"/>
      <c r="P95" s="472"/>
      <c r="Q95" s="107"/>
      <c r="R95" s="79" t="s">
        <v>133</v>
      </c>
      <c r="S95" s="123">
        <f t="shared" si="5"/>
        <v>5</v>
      </c>
      <c r="T95" s="121">
        <f>$P$11*0.2</f>
        <v>20</v>
      </c>
      <c r="U95" s="36">
        <f>Adatbázis!E95*Q95</f>
        <v>0</v>
      </c>
      <c r="V95" s="28">
        <f>Adatbázis!F95*$Q95/$Q$361</f>
        <v>0</v>
      </c>
      <c r="W95" s="28">
        <f>Adatbázis!G95*$Q95/$Q$361</f>
        <v>0</v>
      </c>
      <c r="X95" s="28">
        <f>Adatbázis!H95*$Q95/$Q$361</f>
        <v>0</v>
      </c>
      <c r="Y95" s="28">
        <f>Adatbázis!I95*$Q95/$Q$361</f>
        <v>0</v>
      </c>
      <c r="Z95" s="28">
        <f>Adatbázis!J95*$Q95/$Q$361</f>
        <v>0</v>
      </c>
      <c r="AA95" s="28">
        <f>Adatbázis!K95*$Q95/$Q$361</f>
        <v>0</v>
      </c>
      <c r="AB95" s="28">
        <f>Adatbázis!L95*$Q95/$Q$361</f>
        <v>0</v>
      </c>
      <c r="AC95" s="41">
        <f>Adatbázis!C95*Q95</f>
        <v>0</v>
      </c>
      <c r="AD95" s="442">
        <f t="shared" si="4"/>
        <v>0</v>
      </c>
      <c r="AE95" s="442"/>
    </row>
    <row r="96" spans="1:54" ht="15" customHeight="1" x14ac:dyDescent="0.25">
      <c r="A96" s="515" t="s">
        <v>254</v>
      </c>
      <c r="B96" s="516"/>
      <c r="C96" s="265"/>
      <c r="D96" s="25" t="s">
        <v>14</v>
      </c>
      <c r="E96" s="37">
        <v>15</v>
      </c>
      <c r="F96" s="30">
        <v>11.81</v>
      </c>
      <c r="G96" s="30">
        <v>6.9</v>
      </c>
      <c r="H96" s="30">
        <v>4.5199999999999996</v>
      </c>
      <c r="I96" s="30">
        <v>0.09</v>
      </c>
      <c r="J96" s="30">
        <v>0.38</v>
      </c>
      <c r="K96" s="30">
        <v>2.68</v>
      </c>
      <c r="L96" s="30">
        <v>1.69</v>
      </c>
      <c r="M96" s="42"/>
      <c r="N96" s="477" t="s">
        <v>255</v>
      </c>
      <c r="O96" s="477"/>
      <c r="P96" s="477"/>
      <c r="Q96" s="145"/>
      <c r="R96" s="66" t="s">
        <v>133</v>
      </c>
      <c r="S96" s="89"/>
      <c r="T96" s="90"/>
      <c r="U96" s="84">
        <f>Adatbázis!E96*Q96</f>
        <v>0</v>
      </c>
      <c r="V96" s="85">
        <f>Adatbázis!F96*$Q96/$Q$361</f>
        <v>0</v>
      </c>
      <c r="W96" s="85">
        <f>Adatbázis!G96*$Q96/$Q$361</f>
        <v>0</v>
      </c>
      <c r="X96" s="85">
        <f>Adatbázis!H96*$Q96/$Q$361</f>
        <v>0</v>
      </c>
      <c r="Y96" s="85">
        <f>Adatbázis!I96*$Q96/$Q$361</f>
        <v>0</v>
      </c>
      <c r="Z96" s="85">
        <f>Adatbázis!J96*$Q96/$Q$361</f>
        <v>0</v>
      </c>
      <c r="AA96" s="85">
        <f>Adatbázis!K96*$Q96/$Q$361</f>
        <v>0</v>
      </c>
      <c r="AB96" s="85">
        <f>Adatbázis!L96*$Q96/$Q$361</f>
        <v>0</v>
      </c>
      <c r="AC96" s="86">
        <f>Adatbázis!C96*Q96</f>
        <v>0</v>
      </c>
      <c r="AD96" s="442">
        <f t="shared" si="4"/>
        <v>0</v>
      </c>
      <c r="AE96" s="442"/>
    </row>
    <row r="97" spans="1:39" ht="15" customHeight="1" x14ac:dyDescent="0.25">
      <c r="A97" s="517"/>
      <c r="B97" s="518"/>
      <c r="C97" s="401"/>
      <c r="D97" s="27" t="s">
        <v>14</v>
      </c>
      <c r="E97" s="36">
        <v>15.15</v>
      </c>
      <c r="F97" s="17">
        <v>11.1</v>
      </c>
      <c r="G97" s="17">
        <v>6.64</v>
      </c>
      <c r="H97" s="17">
        <v>4</v>
      </c>
      <c r="I97" s="17">
        <v>0.44</v>
      </c>
      <c r="J97" s="17">
        <v>0.36</v>
      </c>
      <c r="K97" s="17">
        <v>0.32</v>
      </c>
      <c r="L97" s="17">
        <v>0.19</v>
      </c>
      <c r="M97" s="43"/>
      <c r="N97" s="472" t="s">
        <v>364</v>
      </c>
      <c r="O97" s="472"/>
      <c r="P97" s="472"/>
      <c r="Q97" s="107"/>
      <c r="R97" s="79" t="s">
        <v>133</v>
      </c>
      <c r="S97" s="375"/>
      <c r="T97" s="372"/>
      <c r="U97" s="36">
        <f>Adatbázis!E97*Q97</f>
        <v>0</v>
      </c>
      <c r="V97" s="28">
        <f>Adatbázis!F97*$Q97/$Q$361</f>
        <v>0</v>
      </c>
      <c r="W97" s="28">
        <f>Adatbázis!G97*$Q97/$Q$361</f>
        <v>0</v>
      </c>
      <c r="X97" s="28">
        <f>Adatbázis!H97*$Q97/$Q$361</f>
        <v>0</v>
      </c>
      <c r="Y97" s="28">
        <f>Adatbázis!I97*$Q97/$Q$361</f>
        <v>0</v>
      </c>
      <c r="Z97" s="28">
        <f>Adatbázis!J97*$Q97/$Q$361</f>
        <v>0</v>
      </c>
      <c r="AA97" s="28">
        <f>Adatbázis!K97*$Q97/$Q$361</f>
        <v>0</v>
      </c>
      <c r="AB97" s="28">
        <f>Adatbázis!L97*$Q97/$Q$361</f>
        <v>0</v>
      </c>
      <c r="AC97" s="41">
        <f>Adatbázis!C97*Q97</f>
        <v>0</v>
      </c>
      <c r="AD97" s="442">
        <f t="shared" si="4"/>
        <v>0</v>
      </c>
      <c r="AE97" s="442"/>
    </row>
    <row r="98" spans="1:39" ht="15" customHeight="1" thickBot="1" x14ac:dyDescent="0.3">
      <c r="A98" s="517"/>
      <c r="B98" s="518"/>
      <c r="C98" s="401"/>
      <c r="D98" s="27" t="s">
        <v>14</v>
      </c>
      <c r="E98" s="36">
        <v>15</v>
      </c>
      <c r="F98" s="17">
        <v>10</v>
      </c>
      <c r="G98" s="17">
        <v>3.5</v>
      </c>
      <c r="H98" s="17">
        <v>2.5</v>
      </c>
      <c r="I98" s="17">
        <v>0.1</v>
      </c>
      <c r="J98" s="17">
        <v>0.3</v>
      </c>
      <c r="K98" s="17">
        <v>0.32</v>
      </c>
      <c r="L98" s="17">
        <v>0.18</v>
      </c>
      <c r="M98" s="43"/>
      <c r="N98" s="472" t="s">
        <v>404</v>
      </c>
      <c r="O98" s="472"/>
      <c r="P98" s="472"/>
      <c r="Q98" s="107"/>
      <c r="R98" s="79" t="s">
        <v>133</v>
      </c>
      <c r="S98" s="375">
        <f>$P$11*0</f>
        <v>0</v>
      </c>
      <c r="T98" s="372">
        <f>$P$11*0.1</f>
        <v>10</v>
      </c>
      <c r="U98" s="36">
        <f>Adatbázis!E98*Q98</f>
        <v>0</v>
      </c>
      <c r="V98" s="28">
        <f>Adatbázis!F98*$Q98/$Q$361</f>
        <v>0</v>
      </c>
      <c r="W98" s="28">
        <f>Adatbázis!G98*$Q98/$Q$361</f>
        <v>0</v>
      </c>
      <c r="X98" s="28">
        <f>Adatbázis!H98*$Q98/$Q$361</f>
        <v>0</v>
      </c>
      <c r="Y98" s="28">
        <f>Adatbázis!I98*$Q98/$Q$361</f>
        <v>0</v>
      </c>
      <c r="Z98" s="28">
        <f>Adatbázis!J98*$Q98/$Q$361</f>
        <v>0</v>
      </c>
      <c r="AA98" s="28">
        <f>Adatbázis!K98*$Q98/$Q$361</f>
        <v>0</v>
      </c>
      <c r="AB98" s="28">
        <f>Adatbázis!L98*$Q98/$Q$361</f>
        <v>0</v>
      </c>
      <c r="AC98" s="41">
        <f>Adatbázis!C98*Q98</f>
        <v>0</v>
      </c>
      <c r="AD98" s="442">
        <f t="shared" si="4"/>
        <v>0</v>
      </c>
      <c r="AE98" s="442"/>
    </row>
    <row r="99" spans="1:39" ht="15.75" thickBot="1" x14ac:dyDescent="0.3">
      <c r="A99" s="519"/>
      <c r="B99" s="520"/>
      <c r="C99" s="266"/>
      <c r="D99" s="29" t="s">
        <v>14</v>
      </c>
      <c r="E99" s="38">
        <v>15</v>
      </c>
      <c r="F99" s="20">
        <v>14.23</v>
      </c>
      <c r="G99" s="20">
        <v>9.24</v>
      </c>
      <c r="H99" s="20">
        <v>5.34</v>
      </c>
      <c r="I99" s="20">
        <v>0.11</v>
      </c>
      <c r="J99" s="20">
        <v>0.42</v>
      </c>
      <c r="K99" s="20">
        <v>3.92</v>
      </c>
      <c r="L99" s="20">
        <v>1.42</v>
      </c>
      <c r="M99" s="53"/>
      <c r="N99" s="489" t="s">
        <v>256</v>
      </c>
      <c r="O99" s="489"/>
      <c r="P99" s="489"/>
      <c r="Q99" s="145"/>
      <c r="R99" s="91" t="s">
        <v>133</v>
      </c>
      <c r="S99" s="376"/>
      <c r="T99" s="373"/>
      <c r="U99" s="38">
        <f>Adatbázis!E99*Q99</f>
        <v>0</v>
      </c>
      <c r="V99" s="67">
        <f>Adatbázis!F99*$Q99/$Q$361</f>
        <v>0</v>
      </c>
      <c r="W99" s="67">
        <f>Adatbázis!G99*$Q99/$Q$361</f>
        <v>0</v>
      </c>
      <c r="X99" s="67">
        <f>Adatbázis!H99*$Q99/$Q$361</f>
        <v>0</v>
      </c>
      <c r="Y99" s="67">
        <f>Adatbázis!I99*$Q99/$Q$361</f>
        <v>0</v>
      </c>
      <c r="Z99" s="67">
        <f>Adatbázis!J99*$Q99/$Q$361</f>
        <v>0</v>
      </c>
      <c r="AA99" s="67">
        <f>Adatbázis!K99*$Q99/$Q$361</f>
        <v>0</v>
      </c>
      <c r="AB99" s="67">
        <f>Adatbázis!L99*$Q99/$Q$361</f>
        <v>0</v>
      </c>
      <c r="AC99" s="68">
        <f>Adatbázis!C99*Q99</f>
        <v>0</v>
      </c>
      <c r="AD99" s="442">
        <f t="shared" si="4"/>
        <v>0</v>
      </c>
      <c r="AE99" s="442"/>
      <c r="AF99" s="582" t="s">
        <v>257</v>
      </c>
      <c r="AG99" s="582"/>
      <c r="AH99" s="583"/>
    </row>
    <row r="100" spans="1:39" ht="15.75" customHeight="1" thickBot="1" x14ac:dyDescent="0.3">
      <c r="A100" s="523" t="s">
        <v>63</v>
      </c>
      <c r="B100" s="490" t="s">
        <v>47</v>
      </c>
      <c r="C100" s="87"/>
      <c r="D100" s="125" t="s">
        <v>14</v>
      </c>
      <c r="E100" s="144">
        <v>9.33</v>
      </c>
      <c r="F100" s="125">
        <v>16</v>
      </c>
      <c r="G100" s="125">
        <v>7</v>
      </c>
      <c r="H100" s="125">
        <v>8.8000000000000007</v>
      </c>
      <c r="I100" s="125">
        <v>0.08</v>
      </c>
      <c r="J100" s="125">
        <v>1.18</v>
      </c>
      <c r="K100" s="125"/>
      <c r="L100" s="125"/>
      <c r="M100" s="144"/>
      <c r="N100" s="481" t="s">
        <v>41</v>
      </c>
      <c r="O100" s="481"/>
      <c r="P100" s="481"/>
      <c r="Q100" s="145"/>
      <c r="R100" s="64" t="s">
        <v>133</v>
      </c>
      <c r="S100" s="89">
        <f t="shared" ref="S100:S110" si="6">$P$11*0</f>
        <v>0</v>
      </c>
      <c r="T100" s="90">
        <f>$P$11*0.05</f>
        <v>5</v>
      </c>
      <c r="U100" s="32">
        <f>Adatbázis!E100*Q100</f>
        <v>0</v>
      </c>
      <c r="V100" s="6">
        <f>Adatbázis!F100*$Q100/$Q$361</f>
        <v>0</v>
      </c>
      <c r="W100" s="6">
        <f>Adatbázis!G100*$Q100/$Q$361</f>
        <v>0</v>
      </c>
      <c r="X100" s="6">
        <f>Adatbázis!H100*$Q100/$Q$361</f>
        <v>0</v>
      </c>
      <c r="Y100" s="6">
        <f>Adatbázis!I100*$Q100/$Q$361</f>
        <v>0</v>
      </c>
      <c r="Z100" s="6">
        <f>Adatbázis!J100*$Q100/$Q$361</f>
        <v>0</v>
      </c>
      <c r="AA100" s="6">
        <f>Adatbázis!K100*$Q100/$Q$361</f>
        <v>0</v>
      </c>
      <c r="AB100" s="6">
        <f>Adatbázis!L100*$Q100/$Q$361</f>
        <v>0</v>
      </c>
      <c r="AC100" s="50">
        <f>Adatbázis!C100*Q100</f>
        <v>0</v>
      </c>
      <c r="AD100" s="442">
        <f t="shared" si="4"/>
        <v>0</v>
      </c>
      <c r="AE100" s="442"/>
    </row>
    <row r="101" spans="1:39" ht="15.75" thickBot="1" x14ac:dyDescent="0.3">
      <c r="A101" s="523"/>
      <c r="B101" s="491"/>
      <c r="C101" s="81"/>
      <c r="D101" s="17" t="s">
        <v>14</v>
      </c>
      <c r="E101" s="43">
        <v>8.2799999999999994</v>
      </c>
      <c r="F101" s="17">
        <v>17.2</v>
      </c>
      <c r="G101" s="17">
        <v>3.8</v>
      </c>
      <c r="H101" s="17">
        <v>8.6999999999999993</v>
      </c>
      <c r="I101" s="17">
        <v>0.13</v>
      </c>
      <c r="J101" s="17">
        <v>1.18</v>
      </c>
      <c r="K101" s="17">
        <v>0.59</v>
      </c>
      <c r="L101" s="17">
        <v>0.23</v>
      </c>
      <c r="M101" s="43"/>
      <c r="N101" s="472" t="s">
        <v>42</v>
      </c>
      <c r="O101" s="472"/>
      <c r="P101" s="472"/>
      <c r="Q101" s="107"/>
      <c r="R101" s="80" t="s">
        <v>133</v>
      </c>
      <c r="S101" s="123">
        <f t="shared" si="6"/>
        <v>0</v>
      </c>
      <c r="T101" s="121">
        <f>$P$11*0.1</f>
        <v>10</v>
      </c>
      <c r="U101" s="36">
        <f>Adatbázis!E101*Q101</f>
        <v>0</v>
      </c>
      <c r="V101" s="28">
        <f>Adatbázis!F101*$Q101/$Q$361</f>
        <v>0</v>
      </c>
      <c r="W101" s="28">
        <f>Adatbázis!G101*$Q101/$Q$361</f>
        <v>0</v>
      </c>
      <c r="X101" s="28">
        <f>Adatbázis!H101*$Q101/$Q$361</f>
        <v>0</v>
      </c>
      <c r="Y101" s="28">
        <f>Adatbázis!I101*$Q101/$Q$361</f>
        <v>0</v>
      </c>
      <c r="Z101" s="28">
        <f>Adatbázis!J101*$Q101/$Q$361</f>
        <v>0</v>
      </c>
      <c r="AA101" s="28">
        <f>Adatbázis!K101*$Q101/$Q$361</f>
        <v>0</v>
      </c>
      <c r="AB101" s="28">
        <f>Adatbázis!L101*$Q101/$Q$361</f>
        <v>0</v>
      </c>
      <c r="AC101" s="41">
        <f>Adatbázis!C101*Q101</f>
        <v>0</v>
      </c>
      <c r="AD101" s="442">
        <f t="shared" si="4"/>
        <v>0</v>
      </c>
      <c r="AE101" s="442"/>
      <c r="AF101" s="108" t="s">
        <v>214</v>
      </c>
      <c r="AG101" s="108"/>
      <c r="AH101" s="111"/>
    </row>
    <row r="102" spans="1:39" x14ac:dyDescent="0.25">
      <c r="A102" s="523"/>
      <c r="B102" s="491"/>
      <c r="C102" s="81"/>
      <c r="D102" s="17" t="s">
        <v>14</v>
      </c>
      <c r="E102" s="43">
        <v>11.92</v>
      </c>
      <c r="F102" s="17">
        <v>17.7</v>
      </c>
      <c r="G102" s="17">
        <v>4.4000000000000004</v>
      </c>
      <c r="H102" s="17">
        <v>6</v>
      </c>
      <c r="I102" s="17">
        <v>0.13</v>
      </c>
      <c r="J102" s="17">
        <v>0.72</v>
      </c>
      <c r="K102" s="17">
        <v>0.63</v>
      </c>
      <c r="L102" s="17">
        <v>0.25</v>
      </c>
      <c r="M102" s="43"/>
      <c r="N102" s="472" t="s">
        <v>43</v>
      </c>
      <c r="O102" s="472"/>
      <c r="P102" s="472"/>
      <c r="Q102" s="107"/>
      <c r="R102" s="79" t="s">
        <v>133</v>
      </c>
      <c r="S102" s="123">
        <f t="shared" si="6"/>
        <v>0</v>
      </c>
      <c r="T102" s="121">
        <f>$P$11*0.2</f>
        <v>20</v>
      </c>
      <c r="U102" s="36">
        <f>Adatbázis!E102*Q102</f>
        <v>0</v>
      </c>
      <c r="V102" s="28">
        <f>Adatbázis!F102*$Q102/$Q$361</f>
        <v>0</v>
      </c>
      <c r="W102" s="28">
        <f>Adatbázis!G102*$Q102/$Q$361</f>
        <v>0</v>
      </c>
      <c r="X102" s="28">
        <f>Adatbázis!H102*$Q102/$Q$361</f>
        <v>0</v>
      </c>
      <c r="Y102" s="28">
        <f>Adatbázis!I102*$Q102/$Q$361</f>
        <v>0</v>
      </c>
      <c r="Z102" s="28">
        <f>Adatbázis!J102*$Q102/$Q$361</f>
        <v>0</v>
      </c>
      <c r="AA102" s="28">
        <f>Adatbázis!K102*$Q102/$Q$361</f>
        <v>0</v>
      </c>
      <c r="AB102" s="28">
        <f>Adatbázis!L102*$Q102/$Q$361</f>
        <v>0</v>
      </c>
      <c r="AC102" s="41">
        <f>Adatbázis!C102*Q102</f>
        <v>0</v>
      </c>
      <c r="AD102" s="442">
        <f t="shared" si="4"/>
        <v>0</v>
      </c>
      <c r="AE102" s="442"/>
    </row>
    <row r="103" spans="1:39" x14ac:dyDescent="0.25">
      <c r="A103" s="523"/>
      <c r="B103" s="491"/>
      <c r="C103" s="81"/>
      <c r="D103" s="17" t="s">
        <v>14</v>
      </c>
      <c r="E103" s="43">
        <v>16.04</v>
      </c>
      <c r="F103" s="17">
        <v>16.7</v>
      </c>
      <c r="G103" s="17">
        <v>23.3</v>
      </c>
      <c r="H103" s="17">
        <v>9.6</v>
      </c>
      <c r="I103" s="17">
        <v>0.09</v>
      </c>
      <c r="J103" s="17">
        <v>0.6</v>
      </c>
      <c r="K103" s="17">
        <v>0.61</v>
      </c>
      <c r="L103" s="17">
        <v>0.24</v>
      </c>
      <c r="M103" s="43"/>
      <c r="N103" s="472" t="s">
        <v>44</v>
      </c>
      <c r="O103" s="472"/>
      <c r="P103" s="472"/>
      <c r="Q103" s="145"/>
      <c r="R103" s="79" t="s">
        <v>133</v>
      </c>
      <c r="S103" s="123">
        <f t="shared" si="6"/>
        <v>0</v>
      </c>
      <c r="T103" s="121">
        <f>$P$11*0.05</f>
        <v>5</v>
      </c>
      <c r="U103" s="36">
        <f>Adatbázis!E103*Q103</f>
        <v>0</v>
      </c>
      <c r="V103" s="28">
        <f>Adatbázis!F103*$Q103/$Q$361</f>
        <v>0</v>
      </c>
      <c r="W103" s="28">
        <f>Adatbázis!G103*$Q103/$Q$361</f>
        <v>0</v>
      </c>
      <c r="X103" s="28">
        <f>Adatbázis!H103*$Q103/$Q$361</f>
        <v>0</v>
      </c>
      <c r="Y103" s="28">
        <f>Adatbázis!I103*$Q103/$Q$361</f>
        <v>0</v>
      </c>
      <c r="Z103" s="28">
        <f>Adatbázis!J103*$Q103/$Q$361</f>
        <v>0</v>
      </c>
      <c r="AA103" s="28">
        <f>Adatbázis!K103*$Q103/$Q$361</f>
        <v>0</v>
      </c>
      <c r="AB103" s="28">
        <f>Adatbázis!L103*$Q103/$Q$361</f>
        <v>0</v>
      </c>
      <c r="AC103" s="41">
        <f>Adatbázis!C103*Q103</f>
        <v>0</v>
      </c>
      <c r="AD103" s="442">
        <f t="shared" si="4"/>
        <v>0</v>
      </c>
      <c r="AE103" s="442"/>
    </row>
    <row r="104" spans="1:39" x14ac:dyDescent="0.25">
      <c r="A104" s="523"/>
      <c r="B104" s="491"/>
      <c r="C104" s="81"/>
      <c r="D104" s="27" t="s">
        <v>14</v>
      </c>
      <c r="E104" s="43">
        <v>10.91</v>
      </c>
      <c r="F104" s="17">
        <v>13.9</v>
      </c>
      <c r="G104" s="17">
        <v>2.7</v>
      </c>
      <c r="H104" s="17">
        <v>6.8</v>
      </c>
      <c r="I104" s="17">
        <v>0.09</v>
      </c>
      <c r="J104" s="17">
        <v>0.57999999999999996</v>
      </c>
      <c r="K104" s="17">
        <v>0.61</v>
      </c>
      <c r="L104" s="17">
        <v>0.24</v>
      </c>
      <c r="M104" s="43"/>
      <c r="N104" s="472" t="s">
        <v>348</v>
      </c>
      <c r="O104" s="472"/>
      <c r="P104" s="472"/>
      <c r="Q104" s="145"/>
      <c r="R104" s="79" t="s">
        <v>133</v>
      </c>
      <c r="S104" s="210">
        <f t="shared" si="6"/>
        <v>0</v>
      </c>
      <c r="T104" s="211">
        <f>$P$11*0.05</f>
        <v>5</v>
      </c>
      <c r="U104" s="36">
        <f>Adatbázis!E104*Q104</f>
        <v>0</v>
      </c>
      <c r="V104" s="28">
        <f>Adatbázis!F104*$Q104/$Q$361</f>
        <v>0</v>
      </c>
      <c r="W104" s="28">
        <f>Adatbázis!G104*$Q104/$Q$361</f>
        <v>0</v>
      </c>
      <c r="X104" s="28">
        <f>Adatbázis!H104*$Q104/$Q$361</f>
        <v>0</v>
      </c>
      <c r="Y104" s="28">
        <f>Adatbázis!I104*$Q104/$Q$361</f>
        <v>0</v>
      </c>
      <c r="Z104" s="28">
        <f>Adatbázis!J104*$Q104/$Q$361</f>
        <v>0</v>
      </c>
      <c r="AA104" s="28">
        <f>Adatbázis!K104*$Q104/$Q$361</f>
        <v>0</v>
      </c>
      <c r="AB104" s="28">
        <f>Adatbázis!L104*$Q104/$Q$361</f>
        <v>0</v>
      </c>
      <c r="AC104" s="41">
        <f>Adatbázis!C104*Q104</f>
        <v>0</v>
      </c>
      <c r="AD104" s="442">
        <f t="shared" si="4"/>
        <v>0</v>
      </c>
      <c r="AE104" s="442"/>
    </row>
    <row r="105" spans="1:39" x14ac:dyDescent="0.25">
      <c r="A105" s="523"/>
      <c r="B105" s="491"/>
      <c r="C105" s="81"/>
      <c r="D105" s="17" t="s">
        <v>14</v>
      </c>
      <c r="E105" s="43">
        <v>9.36</v>
      </c>
      <c r="F105" s="17">
        <v>12.2</v>
      </c>
      <c r="G105" s="17">
        <v>6.8</v>
      </c>
      <c r="H105" s="17">
        <v>10.8</v>
      </c>
      <c r="I105" s="17">
        <v>0.04</v>
      </c>
      <c r="J105" s="17">
        <v>0.3</v>
      </c>
      <c r="K105" s="17"/>
      <c r="L105" s="17"/>
      <c r="M105" s="43"/>
      <c r="N105" s="472" t="s">
        <v>45</v>
      </c>
      <c r="O105" s="472"/>
      <c r="P105" s="472"/>
      <c r="Q105" s="107"/>
      <c r="R105" s="79" t="s">
        <v>133</v>
      </c>
      <c r="S105" s="123">
        <f t="shared" si="6"/>
        <v>0</v>
      </c>
      <c r="T105" s="121">
        <f>$P$11*0.1</f>
        <v>10</v>
      </c>
      <c r="U105" s="36">
        <f>Adatbázis!E105*Q105</f>
        <v>0</v>
      </c>
      <c r="V105" s="28">
        <f>Adatbázis!F105*$Q105/$Q$361</f>
        <v>0</v>
      </c>
      <c r="W105" s="28">
        <f>Adatbázis!G105*$Q105/$Q$361</f>
        <v>0</v>
      </c>
      <c r="X105" s="28">
        <f>Adatbázis!H105*$Q105/$Q$361</f>
        <v>0</v>
      </c>
      <c r="Y105" s="28">
        <f>Adatbázis!I105*$Q105/$Q$361</f>
        <v>0</v>
      </c>
      <c r="Z105" s="28">
        <f>Adatbázis!J105*$Q105/$Q$361</f>
        <v>0</v>
      </c>
      <c r="AA105" s="28">
        <f>Adatbázis!K105*$Q105/$Q$361</f>
        <v>0</v>
      </c>
      <c r="AB105" s="28">
        <f>Adatbázis!L105*$Q105/$Q$361</f>
        <v>0</v>
      </c>
      <c r="AC105" s="41">
        <f>Adatbázis!C105*Q105</f>
        <v>0</v>
      </c>
      <c r="AD105" s="442">
        <f t="shared" si="4"/>
        <v>0</v>
      </c>
      <c r="AE105" s="442"/>
    </row>
    <row r="106" spans="1:39" x14ac:dyDescent="0.25">
      <c r="A106" s="523"/>
      <c r="B106" s="491"/>
      <c r="C106" s="81"/>
      <c r="D106" s="17" t="s">
        <v>14</v>
      </c>
      <c r="E106" s="43">
        <v>13.26</v>
      </c>
      <c r="F106" s="17">
        <v>10</v>
      </c>
      <c r="G106" s="17">
        <v>6.4</v>
      </c>
      <c r="H106" s="17">
        <v>5.5</v>
      </c>
      <c r="I106" s="17">
        <v>0.09</v>
      </c>
      <c r="J106" s="17">
        <v>0.45</v>
      </c>
      <c r="K106" s="17"/>
      <c r="L106" s="17"/>
      <c r="M106" s="43"/>
      <c r="N106" s="472" t="s">
        <v>46</v>
      </c>
      <c r="O106" s="472"/>
      <c r="P106" s="472"/>
      <c r="Q106" s="107"/>
      <c r="R106" s="79" t="s">
        <v>133</v>
      </c>
      <c r="S106" s="123">
        <f t="shared" si="6"/>
        <v>0</v>
      </c>
      <c r="T106" s="121">
        <f>$P$11*0.2</f>
        <v>20</v>
      </c>
      <c r="U106" s="36">
        <f>Adatbázis!E106*Q106</f>
        <v>0</v>
      </c>
      <c r="V106" s="28">
        <f>Adatbázis!F106*$Q106/$Q$361</f>
        <v>0</v>
      </c>
      <c r="W106" s="28">
        <f>Adatbázis!G106*$Q106/$Q$361</f>
        <v>0</v>
      </c>
      <c r="X106" s="28">
        <f>Adatbázis!H106*$Q106/$Q$361</f>
        <v>0</v>
      </c>
      <c r="Y106" s="28">
        <f>Adatbázis!I106*$Q106/$Q$361</f>
        <v>0</v>
      </c>
      <c r="Z106" s="28">
        <f>Adatbázis!J106*$Q106/$Q$361</f>
        <v>0</v>
      </c>
      <c r="AA106" s="28">
        <f>Adatbázis!K106*$Q106/$Q$361</f>
        <v>0</v>
      </c>
      <c r="AB106" s="28">
        <f>Adatbázis!L106*$Q106/$Q$361</f>
        <v>0</v>
      </c>
      <c r="AC106" s="41">
        <f>Adatbázis!C106*Q106</f>
        <v>0</v>
      </c>
      <c r="AD106" s="442">
        <f t="shared" si="4"/>
        <v>0</v>
      </c>
      <c r="AE106" s="442"/>
    </row>
    <row r="107" spans="1:39" ht="15.75" thickBot="1" x14ac:dyDescent="0.3">
      <c r="A107" s="523"/>
      <c r="B107" s="514"/>
      <c r="C107" s="82"/>
      <c r="D107" s="20" t="s">
        <v>14</v>
      </c>
      <c r="E107" s="53">
        <v>11.2</v>
      </c>
      <c r="F107" s="20">
        <v>16.8</v>
      </c>
      <c r="G107" s="20">
        <v>6.9</v>
      </c>
      <c r="H107" s="20">
        <v>10.6</v>
      </c>
      <c r="I107" s="20">
        <v>0.05</v>
      </c>
      <c r="J107" s="20">
        <v>0.52</v>
      </c>
      <c r="K107" s="20"/>
      <c r="L107" s="20"/>
      <c r="M107" s="53"/>
      <c r="N107" s="489" t="s">
        <v>118</v>
      </c>
      <c r="O107" s="489"/>
      <c r="P107" s="489"/>
      <c r="Q107" s="145"/>
      <c r="R107" s="83" t="s">
        <v>133</v>
      </c>
      <c r="S107" s="124">
        <f t="shared" si="6"/>
        <v>0</v>
      </c>
      <c r="T107" s="122">
        <f>$P$11*0.1</f>
        <v>10</v>
      </c>
      <c r="U107" s="38">
        <f>Adatbázis!E107*Q107</f>
        <v>0</v>
      </c>
      <c r="V107" s="67">
        <f>Adatbázis!F107*$Q107/$Q$361</f>
        <v>0</v>
      </c>
      <c r="W107" s="67">
        <f>Adatbázis!G107*$Q107/$Q$361</f>
        <v>0</v>
      </c>
      <c r="X107" s="67">
        <f>Adatbázis!H107*$Q107/$Q$361</f>
        <v>0</v>
      </c>
      <c r="Y107" s="67">
        <f>Adatbázis!I107*$Q107/$Q$361</f>
        <v>0</v>
      </c>
      <c r="Z107" s="67">
        <f>Adatbázis!J107*$Q107/$Q$361</f>
        <v>0</v>
      </c>
      <c r="AA107" s="67">
        <f>Adatbázis!K107*$Q107/$Q$361</f>
        <v>0</v>
      </c>
      <c r="AB107" s="67">
        <f>Adatbázis!L107*$Q107/$Q$361</f>
        <v>0</v>
      </c>
      <c r="AC107" s="68">
        <f>Adatbázis!C107*Q107</f>
        <v>0</v>
      </c>
      <c r="AD107" s="442">
        <f t="shared" si="4"/>
        <v>0</v>
      </c>
      <c r="AE107" s="442"/>
    </row>
    <row r="108" spans="1:39" x14ac:dyDescent="0.25">
      <c r="A108" s="523"/>
      <c r="B108" s="507" t="s">
        <v>52</v>
      </c>
      <c r="C108" s="88"/>
      <c r="D108" s="30" t="s">
        <v>14</v>
      </c>
      <c r="E108" s="42">
        <v>12.55</v>
      </c>
      <c r="F108" s="30">
        <v>29.1</v>
      </c>
      <c r="G108" s="30">
        <v>10.6</v>
      </c>
      <c r="H108" s="30">
        <v>6.1</v>
      </c>
      <c r="I108" s="30">
        <v>0.08</v>
      </c>
      <c r="J108" s="30">
        <v>0.55000000000000004</v>
      </c>
      <c r="K108" s="30"/>
      <c r="L108" s="30"/>
      <c r="M108" s="144"/>
      <c r="N108" s="477" t="s">
        <v>344</v>
      </c>
      <c r="O108" s="477"/>
      <c r="P108" s="477"/>
      <c r="Q108" s="145"/>
      <c r="R108" s="66" t="s">
        <v>133</v>
      </c>
      <c r="S108" s="89">
        <f t="shared" si="6"/>
        <v>0</v>
      </c>
      <c r="T108" s="90">
        <f>$P$11*0.1</f>
        <v>10</v>
      </c>
      <c r="U108" s="37">
        <f>Adatbázis!E108*Q108</f>
        <v>0</v>
      </c>
      <c r="V108" s="26">
        <f>Adatbázis!F108*$Q108/$Q$361</f>
        <v>0</v>
      </c>
      <c r="W108" s="26">
        <f>Adatbázis!G108*$Q108/$Q$361</f>
        <v>0</v>
      </c>
      <c r="X108" s="26">
        <f>Adatbázis!H108*$Q108/$Q$361</f>
        <v>0</v>
      </c>
      <c r="Y108" s="26">
        <f>Adatbázis!I108*$Q108/$Q$361</f>
        <v>0</v>
      </c>
      <c r="Z108" s="26">
        <f>Adatbázis!J108*$Q108/$Q$361</f>
        <v>0</v>
      </c>
      <c r="AA108" s="26">
        <f>Adatbázis!K108*$Q108/$Q$361</f>
        <v>0</v>
      </c>
      <c r="AB108" s="26">
        <f>Adatbázis!L108*$Q108/$Q$361</f>
        <v>0</v>
      </c>
      <c r="AC108" s="40">
        <f>Adatbázis!C108*Q108</f>
        <v>0</v>
      </c>
      <c r="AD108" s="442">
        <f t="shared" si="4"/>
        <v>0</v>
      </c>
      <c r="AE108" s="442"/>
    </row>
    <row r="109" spans="1:39" ht="15.75" thickBot="1" x14ac:dyDescent="0.3">
      <c r="A109" s="523"/>
      <c r="B109" s="491"/>
      <c r="C109" s="81"/>
      <c r="D109" s="17" t="s">
        <v>14</v>
      </c>
      <c r="E109" s="43">
        <v>12.21</v>
      </c>
      <c r="F109" s="17">
        <v>21.3</v>
      </c>
      <c r="G109" s="17">
        <v>4.3</v>
      </c>
      <c r="H109" s="17">
        <v>8.4</v>
      </c>
      <c r="I109" s="17">
        <v>0.08</v>
      </c>
      <c r="J109" s="17">
        <v>0.77</v>
      </c>
      <c r="K109" s="17">
        <v>0.67</v>
      </c>
      <c r="L109" s="17">
        <v>0.38</v>
      </c>
      <c r="M109" s="43"/>
      <c r="N109" s="472" t="s">
        <v>345</v>
      </c>
      <c r="O109" s="472"/>
      <c r="P109" s="472"/>
      <c r="Q109" s="107"/>
      <c r="R109" s="79" t="s">
        <v>133</v>
      </c>
      <c r="S109" s="210">
        <f t="shared" si="6"/>
        <v>0</v>
      </c>
      <c r="T109" s="211">
        <f>$P$11*0.1</f>
        <v>10</v>
      </c>
      <c r="U109" s="36">
        <f>Adatbázis!E109*Q109</f>
        <v>0</v>
      </c>
      <c r="V109" s="28">
        <f>Adatbázis!F109*$Q109/$Q$361</f>
        <v>0</v>
      </c>
      <c r="W109" s="28">
        <f>Adatbázis!G109*$Q109/$Q$361</f>
        <v>0</v>
      </c>
      <c r="X109" s="28">
        <f>Adatbázis!H109*$Q109/$Q$361</f>
        <v>0</v>
      </c>
      <c r="Y109" s="28">
        <f>Adatbázis!I109*$Q109/$Q$361</f>
        <v>0</v>
      </c>
      <c r="Z109" s="28">
        <f>Adatbázis!J109*$Q109/$Q$361</f>
        <v>0</v>
      </c>
      <c r="AA109" s="28">
        <f>Adatbázis!K109*$Q109/$Q$361</f>
        <v>0</v>
      </c>
      <c r="AB109" s="28">
        <f>Adatbázis!L109*$Q109/$Q$361</f>
        <v>0</v>
      </c>
      <c r="AC109" s="41">
        <f>Adatbázis!C109*Q109</f>
        <v>0</v>
      </c>
      <c r="AD109" s="442">
        <f t="shared" si="4"/>
        <v>0</v>
      </c>
      <c r="AE109" s="442"/>
    </row>
    <row r="110" spans="1:39" ht="15.75" thickBot="1" x14ac:dyDescent="0.3">
      <c r="A110" s="523"/>
      <c r="B110" s="491"/>
      <c r="C110" s="81"/>
      <c r="D110" s="17" t="s">
        <v>14</v>
      </c>
      <c r="E110" s="43">
        <v>12</v>
      </c>
      <c r="F110" s="17">
        <v>17</v>
      </c>
      <c r="G110" s="17">
        <v>2.2999999999999998</v>
      </c>
      <c r="H110" s="17">
        <v>8.5</v>
      </c>
      <c r="I110" s="17"/>
      <c r="J110" s="17"/>
      <c r="K110" s="17">
        <v>0.8</v>
      </c>
      <c r="L110" s="17">
        <v>0.3</v>
      </c>
      <c r="M110" s="43"/>
      <c r="N110" s="472" t="s">
        <v>338</v>
      </c>
      <c r="O110" s="472"/>
      <c r="P110" s="472"/>
      <c r="Q110" s="107"/>
      <c r="R110" s="80" t="s">
        <v>133</v>
      </c>
      <c r="S110" s="123">
        <f t="shared" si="6"/>
        <v>0</v>
      </c>
      <c r="T110" s="121">
        <f>$P$11*0.1</f>
        <v>10</v>
      </c>
      <c r="U110" s="36">
        <f>Adatbázis!E110*Q110</f>
        <v>0</v>
      </c>
      <c r="V110" s="28">
        <f>Adatbázis!F110*$Q110/$Q$361</f>
        <v>0</v>
      </c>
      <c r="W110" s="28">
        <f>Adatbázis!G110*$Q110/$Q$361</f>
        <v>0</v>
      </c>
      <c r="X110" s="28">
        <f>Adatbázis!H110*$Q110/$Q$361</f>
        <v>0</v>
      </c>
      <c r="Y110" s="28">
        <f>Adatbázis!I110*$Q110/$Q$361</f>
        <v>0</v>
      </c>
      <c r="Z110" s="28">
        <f>Adatbázis!J110*$Q110/$Q$361</f>
        <v>0</v>
      </c>
      <c r="AA110" s="28">
        <f>Adatbázis!K110*$Q110/$Q$361</f>
        <v>0</v>
      </c>
      <c r="AB110" s="28">
        <f>Adatbázis!L110*$Q110/$Q$361</f>
        <v>0</v>
      </c>
      <c r="AC110" s="41">
        <f>Adatbázis!C110*Q110</f>
        <v>0</v>
      </c>
      <c r="AD110" s="442">
        <f t="shared" si="4"/>
        <v>0</v>
      </c>
      <c r="AE110" s="442"/>
      <c r="AF110" s="114" t="s">
        <v>77</v>
      </c>
      <c r="AG110" s="112" t="s">
        <v>78</v>
      </c>
      <c r="AH110" s="112" t="s">
        <v>79</v>
      </c>
      <c r="AI110" s="113" t="s">
        <v>83</v>
      </c>
      <c r="AJ110" s="1"/>
      <c r="AL110" s="8"/>
      <c r="AM110" s="7"/>
    </row>
    <row r="111" spans="1:39" ht="15.75" thickBot="1" x14ac:dyDescent="0.3">
      <c r="A111" s="523"/>
      <c r="B111" s="491"/>
      <c r="C111" s="81"/>
      <c r="D111" s="17" t="s">
        <v>14</v>
      </c>
      <c r="E111" s="43">
        <v>11.4</v>
      </c>
      <c r="F111" s="17">
        <v>23.3</v>
      </c>
      <c r="G111" s="17">
        <v>7.1</v>
      </c>
      <c r="H111" s="17">
        <v>19.5</v>
      </c>
      <c r="I111" s="17">
        <v>0.4</v>
      </c>
      <c r="J111" s="17">
        <v>0.62</v>
      </c>
      <c r="K111" s="17">
        <v>0.64</v>
      </c>
      <c r="L111" s="17">
        <v>0.53</v>
      </c>
      <c r="M111" s="43"/>
      <c r="N111" s="472" t="s">
        <v>339</v>
      </c>
      <c r="O111" s="472"/>
      <c r="P111" s="472"/>
      <c r="Q111" s="145"/>
      <c r="R111" s="80" t="s">
        <v>133</v>
      </c>
      <c r="S111" s="123">
        <f>$P$11*0.1</f>
        <v>10</v>
      </c>
      <c r="T111" s="121">
        <f>$P$11*0.15</f>
        <v>15</v>
      </c>
      <c r="U111" s="36">
        <f>Adatbázis!E111*Q111</f>
        <v>0</v>
      </c>
      <c r="V111" s="28">
        <f>Adatbázis!F111*$Q111/$Q$361</f>
        <v>0</v>
      </c>
      <c r="W111" s="28">
        <f>Adatbázis!G111*$Q111/$Q$361</f>
        <v>0</v>
      </c>
      <c r="X111" s="28">
        <f>Adatbázis!H111*$Q111/$Q$361</f>
        <v>0</v>
      </c>
      <c r="Y111" s="28">
        <f>Adatbázis!I111*$Q111/$Q$361</f>
        <v>0</v>
      </c>
      <c r="Z111" s="28">
        <f>Adatbázis!J111*$Q111/$Q$361</f>
        <v>0</v>
      </c>
      <c r="AA111" s="28">
        <f>Adatbázis!K111*$Q111/$Q$361</f>
        <v>0</v>
      </c>
      <c r="AB111" s="28">
        <f>Adatbázis!L111*$Q111/$Q$361</f>
        <v>0</v>
      </c>
      <c r="AC111" s="41">
        <f>Adatbázis!C111*Q111</f>
        <v>0</v>
      </c>
      <c r="AD111" s="442">
        <f t="shared" si="4"/>
        <v>0</v>
      </c>
      <c r="AE111" s="442"/>
      <c r="AF111" s="114" t="s">
        <v>81</v>
      </c>
      <c r="AG111" s="112"/>
      <c r="AH111" s="112" t="s">
        <v>82</v>
      </c>
      <c r="AI111" s="113" t="s">
        <v>80</v>
      </c>
      <c r="AJ111" s="1"/>
      <c r="AL111" s="8"/>
      <c r="AM111" s="7"/>
    </row>
    <row r="112" spans="1:39" ht="15.75" thickBot="1" x14ac:dyDescent="0.3">
      <c r="A112" s="523"/>
      <c r="B112" s="491"/>
      <c r="C112" s="81"/>
      <c r="D112" s="17" t="s">
        <v>14</v>
      </c>
      <c r="E112" s="43">
        <v>10</v>
      </c>
      <c r="F112" s="17">
        <v>30</v>
      </c>
      <c r="G112" s="17">
        <v>9</v>
      </c>
      <c r="H112" s="17">
        <v>7</v>
      </c>
      <c r="I112" s="17">
        <v>0.01</v>
      </c>
      <c r="J112" s="17">
        <v>0.08</v>
      </c>
      <c r="K112" s="17">
        <v>1.5</v>
      </c>
      <c r="L112" s="17">
        <v>1</v>
      </c>
      <c r="M112" s="43"/>
      <c r="N112" s="472" t="s">
        <v>392</v>
      </c>
      <c r="O112" s="472"/>
      <c r="P112" s="472"/>
      <c r="Q112" s="145"/>
      <c r="R112" s="80" t="s">
        <v>133</v>
      </c>
      <c r="S112" s="334">
        <f>$P$11*0.1</f>
        <v>10</v>
      </c>
      <c r="T112" s="333">
        <f>$P$11*0.15</f>
        <v>15</v>
      </c>
      <c r="U112" s="36">
        <f>Adatbázis!E112*Q112</f>
        <v>0</v>
      </c>
      <c r="V112" s="28">
        <f>Adatbázis!F112*$Q112/$Q$361</f>
        <v>0</v>
      </c>
      <c r="W112" s="28">
        <f>Adatbázis!G112*$Q112/$Q$361</f>
        <v>0</v>
      </c>
      <c r="X112" s="28">
        <f>Adatbázis!H112*$Q112/$Q$361</f>
        <v>0</v>
      </c>
      <c r="Y112" s="28">
        <f>Adatbázis!I112*$Q112/$Q$361</f>
        <v>0</v>
      </c>
      <c r="Z112" s="28">
        <f>Adatbázis!J112*$Q112/$Q$361</f>
        <v>0</v>
      </c>
      <c r="AA112" s="28">
        <f>Adatbázis!K112*$Q112/$Q$361</f>
        <v>0</v>
      </c>
      <c r="AB112" s="28">
        <f>Adatbázis!L112*$Q112/$Q$361</f>
        <v>0</v>
      </c>
      <c r="AC112" s="41">
        <f>Adatbázis!C112*Q112</f>
        <v>0</v>
      </c>
      <c r="AD112" s="442">
        <f t="shared" si="4"/>
        <v>0</v>
      </c>
      <c r="AE112" s="442"/>
      <c r="AF112" s="114" t="s">
        <v>81</v>
      </c>
      <c r="AG112" s="331"/>
      <c r="AH112" s="331" t="s">
        <v>82</v>
      </c>
      <c r="AI112" s="332" t="s">
        <v>80</v>
      </c>
      <c r="AJ112" s="1"/>
      <c r="AL112" s="8"/>
      <c r="AM112" s="7"/>
    </row>
    <row r="113" spans="1:39" ht="15.75" thickBot="1" x14ac:dyDescent="0.3">
      <c r="A113" s="523"/>
      <c r="B113" s="491"/>
      <c r="C113" s="81"/>
      <c r="D113" s="17" t="s">
        <v>14</v>
      </c>
      <c r="E113" s="43">
        <v>13.8</v>
      </c>
      <c r="F113" s="17">
        <v>32</v>
      </c>
      <c r="G113" s="17">
        <v>9</v>
      </c>
      <c r="H113" s="17">
        <v>11</v>
      </c>
      <c r="I113" s="17">
        <v>0.01</v>
      </c>
      <c r="J113" s="17">
        <v>0.08</v>
      </c>
      <c r="K113" s="17">
        <v>1.5</v>
      </c>
      <c r="L113" s="17">
        <v>1</v>
      </c>
      <c r="M113" s="43"/>
      <c r="N113" s="472" t="s">
        <v>430</v>
      </c>
      <c r="O113" s="472"/>
      <c r="P113" s="472"/>
      <c r="Q113" s="107"/>
      <c r="R113" s="80" t="s">
        <v>133</v>
      </c>
      <c r="S113" s="421">
        <f>$P$11*0.1</f>
        <v>10</v>
      </c>
      <c r="T113" s="420">
        <f>$P$11*0.15</f>
        <v>15</v>
      </c>
      <c r="U113" s="36">
        <f>Adatbázis!E113*Q113</f>
        <v>0</v>
      </c>
      <c r="V113" s="28">
        <f>Adatbázis!F113*$Q113/$Q$361</f>
        <v>0</v>
      </c>
      <c r="W113" s="28">
        <f>Adatbázis!G113*$Q113/$Q$361</f>
        <v>0</v>
      </c>
      <c r="X113" s="28">
        <f>Adatbázis!H113*$Q113/$Q$361</f>
        <v>0</v>
      </c>
      <c r="Y113" s="28">
        <f>Adatbázis!I113*$Q113/$Q$361</f>
        <v>0</v>
      </c>
      <c r="Z113" s="28">
        <f>Adatbázis!J113*$Q113/$Q$361</f>
        <v>0</v>
      </c>
      <c r="AA113" s="28">
        <f>Adatbázis!K113*$Q113/$Q$361</f>
        <v>0</v>
      </c>
      <c r="AB113" s="28">
        <f>Adatbázis!L113*$Q113/$Q$361</f>
        <v>0</v>
      </c>
      <c r="AC113" s="41">
        <f>Adatbázis!C113*Q113</f>
        <v>0</v>
      </c>
      <c r="AD113" s="442">
        <f t="shared" si="4"/>
        <v>0</v>
      </c>
      <c r="AE113" s="442"/>
      <c r="AF113" s="114" t="s">
        <v>81</v>
      </c>
      <c r="AG113" s="418"/>
      <c r="AH113" s="418" t="s">
        <v>82</v>
      </c>
      <c r="AI113" s="419" t="s">
        <v>80</v>
      </c>
      <c r="AJ113" s="1"/>
      <c r="AL113" s="8"/>
      <c r="AM113" s="7"/>
    </row>
    <row r="114" spans="1:39" x14ac:dyDescent="0.25">
      <c r="A114" s="523"/>
      <c r="B114" s="491"/>
      <c r="C114" s="81"/>
      <c r="D114" s="17" t="s">
        <v>14</v>
      </c>
      <c r="E114" s="43">
        <v>11.09</v>
      </c>
      <c r="F114" s="17">
        <v>28.5</v>
      </c>
      <c r="G114" s="17">
        <v>1.1000000000000001</v>
      </c>
      <c r="H114" s="17">
        <v>15.1</v>
      </c>
      <c r="I114" s="17">
        <v>0.23</v>
      </c>
      <c r="J114" s="17">
        <v>0.79</v>
      </c>
      <c r="K114" s="17"/>
      <c r="L114" s="17"/>
      <c r="M114" s="43"/>
      <c r="N114" s="472" t="s">
        <v>346</v>
      </c>
      <c r="O114" s="472"/>
      <c r="P114" s="472"/>
      <c r="Q114" s="107"/>
      <c r="R114" s="79" t="s">
        <v>133</v>
      </c>
      <c r="S114" s="123">
        <f t="shared" ref="S114:S124" si="7">$P$11*0.02</f>
        <v>2</v>
      </c>
      <c r="T114" s="121">
        <f>$P$11*0.05</f>
        <v>5</v>
      </c>
      <c r="U114" s="36">
        <f>Adatbázis!E114*Q114</f>
        <v>0</v>
      </c>
      <c r="V114" s="28">
        <f>Adatbázis!F114*$Q114/$Q$361</f>
        <v>0</v>
      </c>
      <c r="W114" s="28">
        <f>Adatbázis!G114*$Q114/$Q$361</f>
        <v>0</v>
      </c>
      <c r="X114" s="28">
        <f>Adatbázis!H114*$Q114/$Q$361</f>
        <v>0</v>
      </c>
      <c r="Y114" s="28">
        <f>Adatbázis!I114*$Q114/$Q$361</f>
        <v>0</v>
      </c>
      <c r="Z114" s="28">
        <f>Adatbázis!J114*$Q114/$Q$361</f>
        <v>0</v>
      </c>
      <c r="AA114" s="28">
        <f>Adatbázis!K114*$Q114/$Q$361</f>
        <v>0</v>
      </c>
      <c r="AB114" s="28">
        <f>Adatbázis!L114*$Q114/$Q$361</f>
        <v>0</v>
      </c>
      <c r="AC114" s="41">
        <f>Adatbázis!C114*Q114</f>
        <v>0</v>
      </c>
      <c r="AD114" s="442">
        <f t="shared" ref="AD114:AD184" si="8">IF(AND(Q114&gt;T114),1,0)</f>
        <v>0</v>
      </c>
      <c r="AE114" s="442"/>
      <c r="AF114" s="65"/>
      <c r="AG114" s="65"/>
      <c r="AH114" s="34"/>
      <c r="AI114" s="65"/>
    </row>
    <row r="115" spans="1:39" x14ac:dyDescent="0.25">
      <c r="A115" s="523"/>
      <c r="B115" s="491"/>
      <c r="C115" s="81"/>
      <c r="D115" s="17" t="s">
        <v>14</v>
      </c>
      <c r="E115" s="43">
        <v>9.74</v>
      </c>
      <c r="F115" s="17">
        <v>20</v>
      </c>
      <c r="G115" s="17">
        <v>2</v>
      </c>
      <c r="H115" s="17">
        <v>12.5</v>
      </c>
      <c r="I115" s="17">
        <v>0.21</v>
      </c>
      <c r="J115" s="17">
        <v>0.5</v>
      </c>
      <c r="K115" s="17">
        <v>0.9</v>
      </c>
      <c r="L115" s="17">
        <v>0.3</v>
      </c>
      <c r="M115" s="43"/>
      <c r="N115" s="472" t="s">
        <v>343</v>
      </c>
      <c r="O115" s="472"/>
      <c r="P115" s="472"/>
      <c r="Q115" s="145"/>
      <c r="R115" s="79" t="s">
        <v>133</v>
      </c>
      <c r="S115" s="123">
        <f t="shared" si="7"/>
        <v>2</v>
      </c>
      <c r="T115" s="121">
        <f>$P$11*0.05</f>
        <v>5</v>
      </c>
      <c r="U115" s="36">
        <f>Adatbázis!E115*Q115</f>
        <v>0</v>
      </c>
      <c r="V115" s="28">
        <f>Adatbázis!F115*$Q115/$Q$361</f>
        <v>0</v>
      </c>
      <c r="W115" s="28">
        <f>Adatbázis!G115*$Q115/$Q$361</f>
        <v>0</v>
      </c>
      <c r="X115" s="28">
        <f>Adatbázis!H115*$Q115/$Q$361</f>
        <v>0</v>
      </c>
      <c r="Y115" s="28">
        <f>Adatbázis!I115*$Q115/$Q$361</f>
        <v>0</v>
      </c>
      <c r="Z115" s="28">
        <f>Adatbázis!J115*$Q115/$Q$361</f>
        <v>0</v>
      </c>
      <c r="AA115" s="28">
        <f>Adatbázis!K115*$Q115/$Q$361</f>
        <v>0</v>
      </c>
      <c r="AB115" s="28">
        <f>Adatbázis!L115*$Q115/$Q$361</f>
        <v>0</v>
      </c>
      <c r="AC115" s="41">
        <f>Adatbázis!C115*Q115</f>
        <v>0</v>
      </c>
      <c r="AD115" s="442">
        <f t="shared" si="8"/>
        <v>0</v>
      </c>
      <c r="AE115" s="442"/>
    </row>
    <row r="116" spans="1:39" x14ac:dyDescent="0.25">
      <c r="A116" s="523"/>
      <c r="B116" s="491"/>
      <c r="C116" s="81"/>
      <c r="D116" s="17" t="s">
        <v>14</v>
      </c>
      <c r="E116" s="43">
        <v>11.83</v>
      </c>
      <c r="F116" s="17">
        <v>48.9</v>
      </c>
      <c r="G116" s="17">
        <v>1.1000000000000001</v>
      </c>
      <c r="H116" s="17">
        <v>0</v>
      </c>
      <c r="I116" s="17"/>
      <c r="J116" s="17"/>
      <c r="K116" s="17">
        <v>3.15</v>
      </c>
      <c r="L116" s="17">
        <v>0.68</v>
      </c>
      <c r="M116" s="43"/>
      <c r="N116" s="472" t="s">
        <v>342</v>
      </c>
      <c r="O116" s="472"/>
      <c r="P116" s="472"/>
      <c r="Q116" s="145"/>
      <c r="R116" s="79" t="s">
        <v>133</v>
      </c>
      <c r="S116" s="123">
        <f t="shared" si="7"/>
        <v>2</v>
      </c>
      <c r="T116" s="121">
        <f t="shared" ref="T116:T121" si="9">$P$11*0.1</f>
        <v>10</v>
      </c>
      <c r="U116" s="36">
        <f>Adatbázis!E116*Q116</f>
        <v>0</v>
      </c>
      <c r="V116" s="28">
        <f>Adatbázis!F116*$Q116/$Q$361</f>
        <v>0</v>
      </c>
      <c r="W116" s="28">
        <f>Adatbázis!G116*$Q116/$Q$361</f>
        <v>0</v>
      </c>
      <c r="X116" s="28">
        <f>Adatbázis!H116*$Q116/$Q$361</f>
        <v>0</v>
      </c>
      <c r="Y116" s="28">
        <f>Adatbázis!I116*$Q116/$Q$361</f>
        <v>0</v>
      </c>
      <c r="Z116" s="28">
        <f>Adatbázis!J116*$Q116/$Q$361</f>
        <v>0</v>
      </c>
      <c r="AA116" s="28">
        <f>Adatbázis!K116*$Q116/$Q$361</f>
        <v>0</v>
      </c>
      <c r="AB116" s="28">
        <f>Adatbázis!L116*$Q116/$Q$361</f>
        <v>0</v>
      </c>
      <c r="AC116" s="41">
        <f>Adatbázis!C116*Q116</f>
        <v>0</v>
      </c>
      <c r="AD116" s="442">
        <f t="shared" si="8"/>
        <v>0</v>
      </c>
      <c r="AE116" s="442"/>
    </row>
    <row r="117" spans="1:39" x14ac:dyDescent="0.25">
      <c r="A117" s="523"/>
      <c r="B117" s="491"/>
      <c r="C117" s="81"/>
      <c r="D117" s="17" t="s">
        <v>14</v>
      </c>
      <c r="E117" s="43">
        <v>13.04</v>
      </c>
      <c r="F117" s="17">
        <v>53.9</v>
      </c>
      <c r="G117" s="17">
        <v>1.3</v>
      </c>
      <c r="H117" s="17">
        <v>0</v>
      </c>
      <c r="I117" s="17">
        <v>0.35</v>
      </c>
      <c r="J117" s="17">
        <v>1.55</v>
      </c>
      <c r="K117" s="17"/>
      <c r="L117" s="17"/>
      <c r="M117" s="43"/>
      <c r="N117" s="472" t="s">
        <v>129</v>
      </c>
      <c r="O117" s="472"/>
      <c r="P117" s="472"/>
      <c r="Q117" s="107"/>
      <c r="R117" s="79" t="s">
        <v>133</v>
      </c>
      <c r="S117" s="123">
        <f t="shared" si="7"/>
        <v>2</v>
      </c>
      <c r="T117" s="121">
        <f t="shared" si="9"/>
        <v>10</v>
      </c>
      <c r="U117" s="36">
        <f>Adatbázis!E117*Q117</f>
        <v>0</v>
      </c>
      <c r="V117" s="28">
        <f>Adatbázis!F117*$Q117/$Q$361</f>
        <v>0</v>
      </c>
      <c r="W117" s="28">
        <f>Adatbázis!G117*$Q117/$Q$361</f>
        <v>0</v>
      </c>
      <c r="X117" s="28">
        <f>Adatbázis!H117*$Q117/$Q$361</f>
        <v>0</v>
      </c>
      <c r="Y117" s="28">
        <f>Adatbázis!I117*$Q117/$Q$361</f>
        <v>0</v>
      </c>
      <c r="Z117" s="28">
        <f>Adatbázis!J117*$Q117/$Q$361</f>
        <v>0</v>
      </c>
      <c r="AA117" s="28">
        <f>Adatbázis!K117*$Q117/$Q$361</f>
        <v>0</v>
      </c>
      <c r="AB117" s="28">
        <f>Adatbázis!L117*$Q117/$Q$361</f>
        <v>0</v>
      </c>
      <c r="AC117" s="41">
        <f>Adatbázis!C117*Q117</f>
        <v>0</v>
      </c>
      <c r="AD117" s="442">
        <f t="shared" si="8"/>
        <v>0</v>
      </c>
      <c r="AE117" s="442"/>
    </row>
    <row r="118" spans="1:39" x14ac:dyDescent="0.25">
      <c r="A118" s="523"/>
      <c r="B118" s="491"/>
      <c r="C118" s="81"/>
      <c r="D118" s="17" t="s">
        <v>14</v>
      </c>
      <c r="E118" s="43">
        <v>12</v>
      </c>
      <c r="F118" s="17">
        <v>45</v>
      </c>
      <c r="G118" s="17">
        <v>1.5</v>
      </c>
      <c r="H118" s="17">
        <v>0</v>
      </c>
      <c r="I118" s="17">
        <v>0.35</v>
      </c>
      <c r="J118" s="17">
        <v>1.55</v>
      </c>
      <c r="K118" s="17"/>
      <c r="L118" s="17"/>
      <c r="M118" s="43"/>
      <c r="N118" s="472" t="s">
        <v>354</v>
      </c>
      <c r="O118" s="472"/>
      <c r="P118" s="472"/>
      <c r="Q118" s="107"/>
      <c r="R118" s="79" t="s">
        <v>133</v>
      </c>
      <c r="S118" s="281">
        <f t="shared" si="7"/>
        <v>2</v>
      </c>
      <c r="T118" s="280">
        <f t="shared" si="9"/>
        <v>10</v>
      </c>
      <c r="U118" s="36">
        <f>Adatbázis!E118*Q118</f>
        <v>0</v>
      </c>
      <c r="V118" s="28">
        <f>Adatbázis!F118*$Q118/$Q$361</f>
        <v>0</v>
      </c>
      <c r="W118" s="28">
        <f>Adatbázis!G118*$Q118/$Q$361</f>
        <v>0</v>
      </c>
      <c r="X118" s="28">
        <f>Adatbázis!H118*$Q118/$Q$361</f>
        <v>0</v>
      </c>
      <c r="Y118" s="28">
        <f>Adatbázis!I118*$Q118/$Q$361</f>
        <v>0</v>
      </c>
      <c r="Z118" s="28">
        <f>Adatbázis!J118*$Q118/$Q$361</f>
        <v>0</v>
      </c>
      <c r="AA118" s="28">
        <f>Adatbázis!K118*$Q118/$Q$361</f>
        <v>0</v>
      </c>
      <c r="AB118" s="28">
        <f>Adatbázis!L118*$Q118/$Q$361</f>
        <v>0</v>
      </c>
      <c r="AC118" s="41">
        <f>Adatbázis!C118*Q118</f>
        <v>0</v>
      </c>
      <c r="AD118" s="442">
        <f t="shared" si="8"/>
        <v>0</v>
      </c>
      <c r="AE118" s="442"/>
    </row>
    <row r="119" spans="1:39" s="3" customFormat="1" x14ac:dyDescent="0.25">
      <c r="A119" s="523"/>
      <c r="B119" s="491"/>
      <c r="C119" s="81"/>
      <c r="D119" s="17" t="s">
        <v>14</v>
      </c>
      <c r="E119" s="43"/>
      <c r="F119" s="17">
        <v>40</v>
      </c>
      <c r="G119" s="17">
        <v>4</v>
      </c>
      <c r="H119" s="17">
        <v>1</v>
      </c>
      <c r="I119" s="17"/>
      <c r="J119" s="17"/>
      <c r="K119" s="17">
        <v>2.19</v>
      </c>
      <c r="L119" s="17">
        <v>1.06</v>
      </c>
      <c r="M119" s="43"/>
      <c r="N119" s="472" t="s">
        <v>328</v>
      </c>
      <c r="O119" s="472"/>
      <c r="P119" s="472"/>
      <c r="Q119" s="145"/>
      <c r="R119" s="79" t="s">
        <v>133</v>
      </c>
      <c r="S119" s="123">
        <f t="shared" si="7"/>
        <v>2</v>
      </c>
      <c r="T119" s="121">
        <f t="shared" si="9"/>
        <v>10</v>
      </c>
      <c r="U119" s="36">
        <f>Adatbázis!E119*Q119</f>
        <v>0</v>
      </c>
      <c r="V119" s="28">
        <f>Adatbázis!F119*$Q119/$Q$361</f>
        <v>0</v>
      </c>
      <c r="W119" s="28">
        <f>Adatbázis!G119*$Q119/$Q$361</f>
        <v>0</v>
      </c>
      <c r="X119" s="28">
        <f>Adatbázis!H119*$Q119/$Q$361</f>
        <v>0</v>
      </c>
      <c r="Y119" s="28">
        <f>Adatbázis!I119*$Q119/$Q$361</f>
        <v>0</v>
      </c>
      <c r="Z119" s="28">
        <f>Adatbázis!J119*$Q119/$Q$361</f>
        <v>0</v>
      </c>
      <c r="AA119" s="28">
        <f>Adatbázis!K119*$Q119/$Q$361</f>
        <v>0</v>
      </c>
      <c r="AB119" s="28">
        <f>Adatbázis!L119*$Q119/$Q$361</f>
        <v>0</v>
      </c>
      <c r="AC119" s="41">
        <f>Adatbázis!C119*Q119</f>
        <v>0</v>
      </c>
      <c r="AD119" s="442">
        <f t="shared" si="8"/>
        <v>0</v>
      </c>
      <c r="AE119" s="442"/>
      <c r="AH119" s="8"/>
      <c r="AI119" s="7"/>
      <c r="AJ119" s="7"/>
    </row>
    <row r="120" spans="1:39" x14ac:dyDescent="0.25">
      <c r="A120" s="523"/>
      <c r="B120" s="491"/>
      <c r="C120" s="81"/>
      <c r="D120" s="17" t="s">
        <v>14</v>
      </c>
      <c r="E120" s="43">
        <v>10.1</v>
      </c>
      <c r="F120" s="17">
        <v>26.7</v>
      </c>
      <c r="G120" s="17">
        <v>8.8000000000000007</v>
      </c>
      <c r="H120" s="17">
        <v>16.7</v>
      </c>
      <c r="I120" s="17">
        <v>0.28999999999999998</v>
      </c>
      <c r="J120" s="17">
        <v>0.53</v>
      </c>
      <c r="K120" s="17">
        <v>0.68</v>
      </c>
      <c r="L120" s="17">
        <v>0.4</v>
      </c>
      <c r="M120" s="43"/>
      <c r="N120" s="472" t="s">
        <v>347</v>
      </c>
      <c r="O120" s="472"/>
      <c r="P120" s="472"/>
      <c r="Q120" s="145"/>
      <c r="R120" s="79" t="s">
        <v>133</v>
      </c>
      <c r="S120" s="123">
        <f t="shared" si="7"/>
        <v>2</v>
      </c>
      <c r="T120" s="121">
        <f t="shared" si="9"/>
        <v>10</v>
      </c>
      <c r="U120" s="36">
        <f>Adatbázis!E120*Q120</f>
        <v>0</v>
      </c>
      <c r="V120" s="28">
        <f>Adatbázis!F120*$Q120/$Q$361</f>
        <v>0</v>
      </c>
      <c r="W120" s="28">
        <f>Adatbázis!G120*$Q120/$Q$361</f>
        <v>0</v>
      </c>
      <c r="X120" s="28">
        <f>Adatbázis!H120*$Q120/$Q$361</f>
        <v>0</v>
      </c>
      <c r="Y120" s="28">
        <f>Adatbázis!I120*$Q120/$Q$361</f>
        <v>0</v>
      </c>
      <c r="Z120" s="28">
        <f>Adatbázis!J120*$Q120/$Q$361</f>
        <v>0</v>
      </c>
      <c r="AA120" s="28">
        <f>Adatbázis!K120*$Q120/$Q$361</f>
        <v>0</v>
      </c>
      <c r="AB120" s="28">
        <f>Adatbázis!L120*$Q120/$Q$361</f>
        <v>0</v>
      </c>
      <c r="AC120" s="41">
        <f>Adatbázis!C120*Q120</f>
        <v>0</v>
      </c>
      <c r="AD120" s="442">
        <f t="shared" si="8"/>
        <v>0</v>
      </c>
      <c r="AE120" s="442"/>
    </row>
    <row r="121" spans="1:39" s="11" customFormat="1" ht="15.75" thickBot="1" x14ac:dyDescent="0.3">
      <c r="A121" s="523"/>
      <c r="B121" s="492"/>
      <c r="C121" s="94"/>
      <c r="D121" s="95" t="s">
        <v>14</v>
      </c>
      <c r="E121" s="22">
        <v>11.83</v>
      </c>
      <c r="F121" s="119">
        <v>45</v>
      </c>
      <c r="G121" s="119">
        <v>4</v>
      </c>
      <c r="H121" s="119">
        <v>4.3</v>
      </c>
      <c r="I121" s="119">
        <v>0.18</v>
      </c>
      <c r="J121" s="119">
        <v>1.48</v>
      </c>
      <c r="K121" s="119">
        <v>2.4</v>
      </c>
      <c r="L121" s="119">
        <v>1.9</v>
      </c>
      <c r="M121" s="118"/>
      <c r="N121" s="476" t="s">
        <v>130</v>
      </c>
      <c r="O121" s="476"/>
      <c r="P121" s="476"/>
      <c r="Q121" s="107"/>
      <c r="R121" s="96" t="s">
        <v>133</v>
      </c>
      <c r="S121" s="264">
        <f t="shared" si="7"/>
        <v>2</v>
      </c>
      <c r="T121" s="261">
        <f t="shared" si="9"/>
        <v>10</v>
      </c>
      <c r="U121" s="22">
        <f>Adatbázis!E121*Q121</f>
        <v>0</v>
      </c>
      <c r="V121" s="48">
        <f>Adatbázis!F121*$Q121/$Q$361</f>
        <v>0</v>
      </c>
      <c r="W121" s="48">
        <f>Adatbázis!G121*$Q121/$Q$361</f>
        <v>0</v>
      </c>
      <c r="X121" s="48">
        <f>Adatbázis!H121*$Q121/$Q$361</f>
        <v>0</v>
      </c>
      <c r="Y121" s="48">
        <f>Adatbázis!I121*$Q121/$Q$361</f>
        <v>0</v>
      </c>
      <c r="Z121" s="48">
        <f>Adatbázis!J121*$Q121/$Q$361</f>
        <v>0</v>
      </c>
      <c r="AA121" s="48">
        <f>Adatbázis!K121*$Q121/$Q$361</f>
        <v>0</v>
      </c>
      <c r="AB121" s="48">
        <f>Adatbázis!L121*$Q121/$Q$361</f>
        <v>0</v>
      </c>
      <c r="AC121" s="49">
        <f>Adatbázis!C121*Q121</f>
        <v>0</v>
      </c>
      <c r="AD121" s="442">
        <f t="shared" si="8"/>
        <v>0</v>
      </c>
      <c r="AE121" s="442"/>
      <c r="AH121" s="8"/>
      <c r="AI121" s="7"/>
      <c r="AJ121" s="7"/>
    </row>
    <row r="122" spans="1:39" s="11" customFormat="1" x14ac:dyDescent="0.25">
      <c r="A122" s="524"/>
      <c r="B122" s="482" t="s">
        <v>53</v>
      </c>
      <c r="C122" s="265"/>
      <c r="D122" s="25" t="s">
        <v>14</v>
      </c>
      <c r="E122" s="42">
        <v>17.11</v>
      </c>
      <c r="F122" s="30">
        <v>0.7</v>
      </c>
      <c r="G122" s="30">
        <v>0.1</v>
      </c>
      <c r="H122" s="30">
        <v>0.2</v>
      </c>
      <c r="I122" s="30">
        <v>0</v>
      </c>
      <c r="J122" s="30">
        <v>0.03</v>
      </c>
      <c r="K122" s="30"/>
      <c r="L122" s="30"/>
      <c r="M122" s="42"/>
      <c r="N122" s="477" t="s">
        <v>357</v>
      </c>
      <c r="O122" s="477"/>
      <c r="P122" s="477"/>
      <c r="Q122" s="107"/>
      <c r="R122" s="66" t="s">
        <v>133</v>
      </c>
      <c r="S122" s="262">
        <f t="shared" si="7"/>
        <v>2</v>
      </c>
      <c r="T122" s="259">
        <f>$P$11*0.05</f>
        <v>5</v>
      </c>
      <c r="U122" s="37">
        <f>Adatbázis!E122*Q122</f>
        <v>0</v>
      </c>
      <c r="V122" s="26">
        <f>Adatbázis!F122*$Q122/$Q$361</f>
        <v>0</v>
      </c>
      <c r="W122" s="26">
        <f>Adatbázis!G122*$Q122/$Q$361</f>
        <v>0</v>
      </c>
      <c r="X122" s="26">
        <f>Adatbázis!H122*$Q122/$Q$361</f>
        <v>0</v>
      </c>
      <c r="Y122" s="26">
        <f>Adatbázis!I122*$Q122/$Q$361</f>
        <v>0</v>
      </c>
      <c r="Z122" s="26">
        <f>Adatbázis!J122*$Q122/$Q$361</f>
        <v>0</v>
      </c>
      <c r="AA122" s="26">
        <f>Adatbázis!K122*$Q122/$Q$361</f>
        <v>0</v>
      </c>
      <c r="AB122" s="26">
        <f>Adatbázis!L122*$Q122/$Q$361</f>
        <v>0</v>
      </c>
      <c r="AC122" s="40">
        <f>Adatbázis!C122*Q122</f>
        <v>0</v>
      </c>
      <c r="AD122" s="442">
        <f t="shared" si="8"/>
        <v>0</v>
      </c>
      <c r="AE122" s="442"/>
      <c r="AH122" s="8"/>
      <c r="AI122" s="7"/>
      <c r="AJ122" s="7"/>
    </row>
    <row r="123" spans="1:39" s="11" customFormat="1" x14ac:dyDescent="0.25">
      <c r="A123" s="524"/>
      <c r="B123" s="483"/>
      <c r="C123" s="267"/>
      <c r="D123" s="27" t="s">
        <v>14</v>
      </c>
      <c r="E123" s="43">
        <v>15</v>
      </c>
      <c r="F123" s="17">
        <v>58.5</v>
      </c>
      <c r="G123" s="17">
        <v>5</v>
      </c>
      <c r="H123" s="17">
        <v>0.94</v>
      </c>
      <c r="I123" s="17">
        <v>2.8000000000000001E-2</v>
      </c>
      <c r="J123" s="17">
        <v>0.49</v>
      </c>
      <c r="K123" s="17">
        <v>1.05</v>
      </c>
      <c r="L123" s="17">
        <v>1.39</v>
      </c>
      <c r="M123" s="43"/>
      <c r="N123" s="472" t="s">
        <v>391</v>
      </c>
      <c r="O123" s="472"/>
      <c r="P123" s="472"/>
      <c r="Q123" s="145"/>
      <c r="R123" s="79" t="s">
        <v>133</v>
      </c>
      <c r="S123" s="334">
        <f t="shared" si="7"/>
        <v>2</v>
      </c>
      <c r="T123" s="333">
        <f>$P$11*0.05</f>
        <v>5</v>
      </c>
      <c r="U123" s="36">
        <f>Adatbázis!E123*Q123</f>
        <v>0</v>
      </c>
      <c r="V123" s="28">
        <f>Adatbázis!F123*$Q123/$Q$361</f>
        <v>0</v>
      </c>
      <c r="W123" s="28">
        <f>Adatbázis!G123*$Q123/$Q$361</f>
        <v>0</v>
      </c>
      <c r="X123" s="28">
        <f>Adatbázis!H123*$Q123/$Q$361</f>
        <v>0</v>
      </c>
      <c r="Y123" s="28">
        <f>Adatbázis!I123*$Q123/$Q$361</f>
        <v>0</v>
      </c>
      <c r="Z123" s="28">
        <f>Adatbázis!J123*$Q123/$Q$361</f>
        <v>0</v>
      </c>
      <c r="AA123" s="28">
        <f>Adatbázis!K123*$Q123/$Q$361</f>
        <v>0</v>
      </c>
      <c r="AB123" s="28">
        <f>Adatbázis!L123*$Q123/$Q$361</f>
        <v>0</v>
      </c>
      <c r="AC123" s="41">
        <f>Adatbázis!C123*Q123</f>
        <v>0</v>
      </c>
      <c r="AD123" s="442">
        <f t="shared" si="8"/>
        <v>0</v>
      </c>
      <c r="AE123" s="442"/>
      <c r="AH123" s="8"/>
      <c r="AI123" s="7"/>
      <c r="AJ123" s="7"/>
    </row>
    <row r="124" spans="1:39" s="10" customFormat="1" ht="15" customHeight="1" x14ac:dyDescent="0.25">
      <c r="A124" s="524"/>
      <c r="B124" s="484"/>
      <c r="C124" s="267"/>
      <c r="D124" s="27" t="s">
        <v>14</v>
      </c>
      <c r="E124" s="43">
        <v>13.69</v>
      </c>
      <c r="F124" s="17">
        <v>60</v>
      </c>
      <c r="G124" s="17">
        <v>2</v>
      </c>
      <c r="H124" s="17">
        <v>3</v>
      </c>
      <c r="I124" s="17">
        <v>7.0000000000000007E-2</v>
      </c>
      <c r="J124" s="17">
        <v>0.48</v>
      </c>
      <c r="K124" s="17">
        <v>1</v>
      </c>
      <c r="L124" s="17">
        <v>1.5</v>
      </c>
      <c r="M124" s="43"/>
      <c r="N124" s="472" t="s">
        <v>335</v>
      </c>
      <c r="O124" s="472"/>
      <c r="P124" s="472"/>
      <c r="Q124" s="145"/>
      <c r="R124" s="79" t="s">
        <v>133</v>
      </c>
      <c r="S124" s="263">
        <f t="shared" si="7"/>
        <v>2</v>
      </c>
      <c r="T124" s="260">
        <f>$P$11*0.05</f>
        <v>5</v>
      </c>
      <c r="U124" s="36">
        <f>Adatbázis!E124*Q124</f>
        <v>0</v>
      </c>
      <c r="V124" s="28">
        <f>Adatbázis!F124*$Q124/$Q$361</f>
        <v>0</v>
      </c>
      <c r="W124" s="28">
        <f>Adatbázis!G124*$Q124/$Q$361</f>
        <v>0</v>
      </c>
      <c r="X124" s="28">
        <f>Adatbázis!H124*$Q124/$Q$361</f>
        <v>0</v>
      </c>
      <c r="Y124" s="28">
        <f>Adatbázis!I124*$Q124/$Q$361</f>
        <v>0</v>
      </c>
      <c r="Z124" s="28">
        <f>Adatbázis!J124*$Q124/$Q$361</f>
        <v>0</v>
      </c>
      <c r="AA124" s="28">
        <f>Adatbázis!K124*$Q124/$Q$361</f>
        <v>0</v>
      </c>
      <c r="AB124" s="28">
        <f>Adatbázis!L124*$Q124/$Q$361</f>
        <v>0</v>
      </c>
      <c r="AC124" s="41">
        <f>Adatbázis!C124*Q124</f>
        <v>0</v>
      </c>
      <c r="AD124" s="442">
        <f t="shared" si="8"/>
        <v>0</v>
      </c>
      <c r="AE124" s="442"/>
      <c r="AH124" s="8"/>
      <c r="AI124" s="7"/>
      <c r="AJ124" s="2"/>
    </row>
    <row r="125" spans="1:39" s="10" customFormat="1" x14ac:dyDescent="0.25">
      <c r="A125" s="524"/>
      <c r="B125" s="484"/>
      <c r="C125" s="267"/>
      <c r="D125" s="27" t="s">
        <v>14</v>
      </c>
      <c r="E125" s="43">
        <v>7.99</v>
      </c>
      <c r="F125" s="17">
        <v>25.7</v>
      </c>
      <c r="G125" s="17">
        <v>2.1</v>
      </c>
      <c r="H125" s="17">
        <v>9.1</v>
      </c>
      <c r="I125" s="17">
        <v>0.09</v>
      </c>
      <c r="J125" s="17">
        <v>0.57999999999999996</v>
      </c>
      <c r="K125" s="17"/>
      <c r="L125" s="17"/>
      <c r="M125" s="43"/>
      <c r="N125" s="472" t="s">
        <v>336</v>
      </c>
      <c r="O125" s="472"/>
      <c r="P125" s="472"/>
      <c r="Q125" s="107"/>
      <c r="R125" s="79" t="s">
        <v>133</v>
      </c>
      <c r="S125" s="263">
        <f>$P$11*0</f>
        <v>0</v>
      </c>
      <c r="T125" s="260">
        <f>$P$11*0.05</f>
        <v>5</v>
      </c>
      <c r="U125" s="36">
        <f>Adatbázis!E125*Q125</f>
        <v>0</v>
      </c>
      <c r="V125" s="28">
        <f>Adatbázis!F125*$Q125/$Q$361</f>
        <v>0</v>
      </c>
      <c r="W125" s="28">
        <f>Adatbázis!G125*$Q125/$Q$361</f>
        <v>0</v>
      </c>
      <c r="X125" s="28">
        <f>Adatbázis!H125*$Q125/$Q$361</f>
        <v>0</v>
      </c>
      <c r="Y125" s="28">
        <f>Adatbázis!I125*$Q125/$Q$361</f>
        <v>0</v>
      </c>
      <c r="Z125" s="28">
        <f>Adatbázis!J125*$Q125/$Q$361</f>
        <v>0</v>
      </c>
      <c r="AA125" s="28">
        <f>Adatbázis!K125*$Q125/$Q$361</f>
        <v>0</v>
      </c>
      <c r="AB125" s="28">
        <f>Adatbázis!L125*$Q125/$Q$361</f>
        <v>0</v>
      </c>
      <c r="AC125" s="41">
        <f>Adatbázis!C125*Q125</f>
        <v>0</v>
      </c>
      <c r="AD125" s="442">
        <f t="shared" si="8"/>
        <v>0</v>
      </c>
      <c r="AE125" s="442"/>
      <c r="AH125" s="8"/>
      <c r="AI125" s="7"/>
      <c r="AJ125" s="2"/>
    </row>
    <row r="126" spans="1:39" x14ac:dyDescent="0.25">
      <c r="A126" s="524"/>
      <c r="B126" s="484"/>
      <c r="C126" s="267"/>
      <c r="D126" s="27" t="s">
        <v>14</v>
      </c>
      <c r="E126" s="43">
        <v>10.27</v>
      </c>
      <c r="F126" s="17">
        <v>22.5</v>
      </c>
      <c r="G126" s="17">
        <v>3.1</v>
      </c>
      <c r="H126" s="17">
        <v>9.1</v>
      </c>
      <c r="I126" s="17">
        <v>0.08</v>
      </c>
      <c r="J126" s="17">
        <v>0.71</v>
      </c>
      <c r="K126" s="17"/>
      <c r="L126" s="17"/>
      <c r="M126" s="43"/>
      <c r="N126" s="472" t="s">
        <v>337</v>
      </c>
      <c r="O126" s="472"/>
      <c r="P126" s="472"/>
      <c r="Q126" s="107"/>
      <c r="R126" s="79" t="s">
        <v>133</v>
      </c>
      <c r="S126" s="263">
        <f>$P$11*0.02</f>
        <v>2</v>
      </c>
      <c r="T126" s="260">
        <f>$P$11*0.08</f>
        <v>8</v>
      </c>
      <c r="U126" s="36">
        <f>Adatbázis!E126*Q126</f>
        <v>0</v>
      </c>
      <c r="V126" s="28">
        <f>Adatbázis!F126*$Q126/$Q$361</f>
        <v>0</v>
      </c>
      <c r="W126" s="28">
        <f>Adatbázis!G126*$Q126/$Q$361</f>
        <v>0</v>
      </c>
      <c r="X126" s="28">
        <f>Adatbázis!H126*$Q126/$Q$361</f>
        <v>0</v>
      </c>
      <c r="Y126" s="28">
        <f>Adatbázis!I126*$Q126/$Q$361</f>
        <v>0</v>
      </c>
      <c r="Z126" s="28">
        <f>Adatbázis!J126*$Q126/$Q$361</f>
        <v>0</v>
      </c>
      <c r="AA126" s="28">
        <f>Adatbázis!K126*$Q126/$Q$361</f>
        <v>0</v>
      </c>
      <c r="AB126" s="28">
        <f>Adatbázis!L126*$Q126/$Q$361</f>
        <v>0</v>
      </c>
      <c r="AC126" s="41">
        <f>Adatbázis!C126*Q126</f>
        <v>0</v>
      </c>
      <c r="AD126" s="442">
        <f t="shared" si="8"/>
        <v>0</v>
      </c>
      <c r="AE126" s="442"/>
      <c r="AJ126" s="23"/>
    </row>
    <row r="127" spans="1:39" x14ac:dyDescent="0.25">
      <c r="A127" s="524"/>
      <c r="B127" s="485"/>
      <c r="C127" s="267"/>
      <c r="D127" s="27" t="s">
        <v>14</v>
      </c>
      <c r="E127" s="43">
        <v>10.27</v>
      </c>
      <c r="F127" s="17">
        <v>76.5</v>
      </c>
      <c r="G127" s="17">
        <v>1.8</v>
      </c>
      <c r="H127" s="17">
        <v>0.6</v>
      </c>
      <c r="I127" s="17">
        <v>0.09</v>
      </c>
      <c r="J127" s="17">
        <v>0.65</v>
      </c>
      <c r="K127" s="17">
        <v>7.5</v>
      </c>
      <c r="L127" s="17">
        <v>2.1</v>
      </c>
      <c r="M127" s="43"/>
      <c r="N127" s="472" t="s">
        <v>417</v>
      </c>
      <c r="O127" s="472"/>
      <c r="P127" s="472"/>
      <c r="Q127" s="145"/>
      <c r="R127" s="79" t="s">
        <v>133</v>
      </c>
      <c r="S127" s="403">
        <f>$P$11*0</f>
        <v>0</v>
      </c>
      <c r="T127" s="402">
        <f>$P$11*0.2</f>
        <v>20</v>
      </c>
      <c r="U127" s="36">
        <f>Adatbázis!E127*Q127</f>
        <v>0</v>
      </c>
      <c r="V127" s="28">
        <f>Adatbázis!F127*$Q127/$Q$361</f>
        <v>0</v>
      </c>
      <c r="W127" s="28">
        <f>Adatbázis!G127*$Q127/$Q$361</f>
        <v>0</v>
      </c>
      <c r="X127" s="28">
        <f>Adatbázis!H127*$Q127/$Q$361</f>
        <v>0</v>
      </c>
      <c r="Y127" s="28">
        <f>Adatbázis!I127*$Q127/$Q$361</f>
        <v>0</v>
      </c>
      <c r="Z127" s="28">
        <f>Adatbázis!J127*$Q127/$Q$361</f>
        <v>0</v>
      </c>
      <c r="AA127" s="28">
        <f>Adatbázis!K127*$Q127/$Q$361</f>
        <v>0</v>
      </c>
      <c r="AB127" s="28">
        <f>Adatbázis!L127*$Q127/$Q$361</f>
        <v>0</v>
      </c>
      <c r="AC127" s="41">
        <f>Adatbázis!C127*Q127</f>
        <v>0</v>
      </c>
      <c r="AD127" s="442">
        <f t="shared" si="8"/>
        <v>0</v>
      </c>
      <c r="AE127" s="442"/>
      <c r="AJ127" s="23"/>
    </row>
    <row r="128" spans="1:39" ht="15.75" thickBot="1" x14ac:dyDescent="0.3">
      <c r="A128" s="524"/>
      <c r="B128" s="486"/>
      <c r="C128" s="266"/>
      <c r="D128" s="29" t="s">
        <v>14</v>
      </c>
      <c r="E128" s="53">
        <v>14.1</v>
      </c>
      <c r="F128" s="20">
        <v>80</v>
      </c>
      <c r="G128" s="20">
        <v>1</v>
      </c>
      <c r="H128" s="20">
        <v>0</v>
      </c>
      <c r="I128" s="20">
        <v>0.09</v>
      </c>
      <c r="J128" s="20">
        <v>0.65</v>
      </c>
      <c r="K128" s="20">
        <v>6.81</v>
      </c>
      <c r="L128" s="20">
        <v>2.4900000000000002</v>
      </c>
      <c r="M128" s="53"/>
      <c r="N128" s="498" t="s">
        <v>378</v>
      </c>
      <c r="O128" s="498"/>
      <c r="P128" s="498"/>
      <c r="Q128" s="145"/>
      <c r="R128" s="83" t="s">
        <v>133</v>
      </c>
      <c r="S128" s="124">
        <f>$P$11*0</f>
        <v>0</v>
      </c>
      <c r="T128" s="122">
        <f>$P$11*0.2</f>
        <v>20</v>
      </c>
      <c r="U128" s="38">
        <f>Adatbázis!E128*Q128</f>
        <v>0</v>
      </c>
      <c r="V128" s="67">
        <f>Adatbázis!F128*$Q128/$Q$361</f>
        <v>0</v>
      </c>
      <c r="W128" s="67">
        <f>Adatbázis!G128*$Q128/$Q$361</f>
        <v>0</v>
      </c>
      <c r="X128" s="67">
        <f>Adatbázis!H128*$Q128/$Q$361</f>
        <v>0</v>
      </c>
      <c r="Y128" s="67">
        <f>Adatbázis!I128*$Q128/$Q$361</f>
        <v>0</v>
      </c>
      <c r="Z128" s="67">
        <f>Adatbázis!J128*$Q128/$Q$361</f>
        <v>0</v>
      </c>
      <c r="AA128" s="67">
        <f>Adatbázis!K128*$Q128/$Q$361</f>
        <v>0</v>
      </c>
      <c r="AB128" s="67">
        <f>Adatbázis!L128*$Q128/$Q$361</f>
        <v>0</v>
      </c>
      <c r="AC128" s="68">
        <f>Adatbázis!C128*Q128</f>
        <v>0</v>
      </c>
      <c r="AD128" s="442">
        <f t="shared" si="8"/>
        <v>0</v>
      </c>
      <c r="AE128" s="442"/>
      <c r="AJ128" s="23"/>
    </row>
    <row r="129" spans="1:37" ht="15" customHeight="1" x14ac:dyDescent="0.25">
      <c r="A129" s="523"/>
      <c r="B129" s="490" t="s">
        <v>54</v>
      </c>
      <c r="C129" s="87"/>
      <c r="D129" s="78" t="s">
        <v>14</v>
      </c>
      <c r="E129" s="144">
        <v>16.03</v>
      </c>
      <c r="F129" s="125">
        <v>56.2</v>
      </c>
      <c r="G129" s="125">
        <v>1.1000000000000001</v>
      </c>
      <c r="H129" s="125">
        <v>8.6999999999999993</v>
      </c>
      <c r="I129" s="125">
        <v>0.31</v>
      </c>
      <c r="J129" s="125">
        <v>0.78</v>
      </c>
      <c r="K129" s="125"/>
      <c r="L129" s="125"/>
      <c r="M129" s="144"/>
      <c r="N129" s="481" t="s">
        <v>132</v>
      </c>
      <c r="O129" s="481"/>
      <c r="P129" s="481"/>
      <c r="Q129" s="107"/>
      <c r="R129" s="120" t="s">
        <v>133</v>
      </c>
      <c r="S129" s="375">
        <f>$P$11*0</f>
        <v>0</v>
      </c>
      <c r="T129" s="372">
        <f>$P$11*0</f>
        <v>0</v>
      </c>
      <c r="U129" s="32">
        <f>Adatbázis!E129*Q129</f>
        <v>0</v>
      </c>
      <c r="V129" s="6">
        <f>Adatbázis!F129*$Q129/$Q$361</f>
        <v>0</v>
      </c>
      <c r="W129" s="6">
        <f>Adatbázis!G129*$Q129/$Q$361</f>
        <v>0</v>
      </c>
      <c r="X129" s="6">
        <f>Adatbázis!H129*$Q129/$Q$361</f>
        <v>0</v>
      </c>
      <c r="Y129" s="6">
        <f>Adatbázis!I129*$Q129/$Q$361</f>
        <v>0</v>
      </c>
      <c r="Z129" s="6">
        <f>Adatbázis!J129*$Q129/$Q$361</f>
        <v>0</v>
      </c>
      <c r="AA129" s="6">
        <f>Adatbázis!K129*$Q129/$Q$361</f>
        <v>0</v>
      </c>
      <c r="AB129" s="6">
        <f>Adatbázis!L129*$Q129/$Q$361</f>
        <v>0</v>
      </c>
      <c r="AC129" s="50">
        <f>Adatbázis!C129*Q129</f>
        <v>0</v>
      </c>
      <c r="AD129" s="442">
        <f t="shared" si="8"/>
        <v>0</v>
      </c>
      <c r="AE129" s="442"/>
      <c r="AF129" s="586" t="s">
        <v>215</v>
      </c>
      <c r="AG129" s="587"/>
      <c r="AH129" s="587"/>
      <c r="AI129" s="587"/>
      <c r="AJ129" s="587"/>
    </row>
    <row r="130" spans="1:37" s="7" customFormat="1" x14ac:dyDescent="0.25">
      <c r="A130" s="523"/>
      <c r="B130" s="491"/>
      <c r="C130" s="81"/>
      <c r="D130" s="27" t="s">
        <v>14</v>
      </c>
      <c r="E130" s="43">
        <v>8.26</v>
      </c>
      <c r="F130" s="17">
        <v>51.6</v>
      </c>
      <c r="G130" s="17">
        <v>1.3</v>
      </c>
      <c r="H130" s="17">
        <v>11.5</v>
      </c>
      <c r="I130" s="17">
        <v>0.31</v>
      </c>
      <c r="J130" s="17">
        <v>0.75</v>
      </c>
      <c r="K130" s="17"/>
      <c r="L130" s="17"/>
      <c r="M130" s="43"/>
      <c r="N130" s="472" t="s">
        <v>131</v>
      </c>
      <c r="O130" s="472"/>
      <c r="P130" s="472"/>
      <c r="Q130" s="107"/>
      <c r="R130" s="80" t="s">
        <v>133</v>
      </c>
      <c r="S130" s="375">
        <f>$P$11*0</f>
        <v>0</v>
      </c>
      <c r="T130" s="372">
        <f>$P$11*0</f>
        <v>0</v>
      </c>
      <c r="U130" s="36">
        <f>Adatbázis!E130*Q130</f>
        <v>0</v>
      </c>
      <c r="V130" s="28">
        <f>Adatbázis!F130*$Q130/$Q$361</f>
        <v>0</v>
      </c>
      <c r="W130" s="28">
        <f>Adatbázis!G130*$Q130/$Q$361</f>
        <v>0</v>
      </c>
      <c r="X130" s="28">
        <f>Adatbázis!H130*$Q130/$Q$361</f>
        <v>0</v>
      </c>
      <c r="Y130" s="28">
        <f>Adatbázis!I130*$Q130/$Q$361</f>
        <v>0</v>
      </c>
      <c r="Z130" s="28">
        <f>Adatbázis!J130*$Q130/$Q$361</f>
        <v>0</v>
      </c>
      <c r="AA130" s="28">
        <f>Adatbázis!K130*$Q130/$Q$361</f>
        <v>0</v>
      </c>
      <c r="AB130" s="28">
        <f>Adatbázis!L130*$Q130/$Q$361</f>
        <v>0</v>
      </c>
      <c r="AC130" s="41">
        <f>Adatbázis!C130*Q130</f>
        <v>0</v>
      </c>
      <c r="AD130" s="442">
        <f t="shared" si="8"/>
        <v>0</v>
      </c>
      <c r="AE130" s="442"/>
      <c r="AF130" s="586" t="s">
        <v>215</v>
      </c>
      <c r="AG130" s="587"/>
      <c r="AH130" s="587"/>
      <c r="AI130" s="587"/>
      <c r="AJ130" s="587"/>
    </row>
    <row r="131" spans="1:37" s="7" customFormat="1" x14ac:dyDescent="0.25">
      <c r="A131" s="523"/>
      <c r="B131" s="491"/>
      <c r="C131" s="81"/>
      <c r="D131" s="27" t="s">
        <v>14</v>
      </c>
      <c r="E131" s="43">
        <v>17.11</v>
      </c>
      <c r="F131" s="17">
        <v>42.9</v>
      </c>
      <c r="G131" s="17">
        <v>1.7</v>
      </c>
      <c r="H131" s="17">
        <v>15.6</v>
      </c>
      <c r="I131" s="17">
        <v>0.3</v>
      </c>
      <c r="J131" s="17">
        <v>0.85</v>
      </c>
      <c r="K131" s="17"/>
      <c r="L131" s="17"/>
      <c r="M131" s="43"/>
      <c r="N131" s="472" t="s">
        <v>50</v>
      </c>
      <c r="O131" s="472"/>
      <c r="P131" s="472"/>
      <c r="Q131" s="145"/>
      <c r="R131" s="79" t="s">
        <v>133</v>
      </c>
      <c r="S131" s="123">
        <f>$P$11*0.05</f>
        <v>5</v>
      </c>
      <c r="T131" s="121">
        <f>$P$11*0.07</f>
        <v>7.0000000000000009</v>
      </c>
      <c r="U131" s="36">
        <f>Adatbázis!E131*Q131</f>
        <v>0</v>
      </c>
      <c r="V131" s="28">
        <f>Adatbázis!F131*$Q131/$Q$361</f>
        <v>0</v>
      </c>
      <c r="W131" s="28">
        <f>Adatbázis!G131*$Q131/$Q$361</f>
        <v>0</v>
      </c>
      <c r="X131" s="28">
        <f>Adatbázis!H131*$Q131/$Q$361</f>
        <v>0</v>
      </c>
      <c r="Y131" s="28">
        <f>Adatbázis!I131*$Q131/$Q$361</f>
        <v>0</v>
      </c>
      <c r="Z131" s="28">
        <f>Adatbázis!J131*$Q131/$Q$361</f>
        <v>0</v>
      </c>
      <c r="AA131" s="28">
        <f>Adatbázis!K131*$Q131/$Q$361</f>
        <v>0</v>
      </c>
      <c r="AB131" s="28">
        <f>Adatbázis!L131*$Q131/$Q$361</f>
        <v>0</v>
      </c>
      <c r="AC131" s="41">
        <f>Adatbázis!C131*Q131</f>
        <v>0</v>
      </c>
      <c r="AD131" s="442">
        <f t="shared" si="8"/>
        <v>0</v>
      </c>
      <c r="AE131" s="442"/>
      <c r="AH131" s="8"/>
    </row>
    <row r="132" spans="1:37" x14ac:dyDescent="0.25">
      <c r="A132" s="523"/>
      <c r="B132" s="491"/>
      <c r="C132" s="81"/>
      <c r="D132" s="27" t="s">
        <v>14</v>
      </c>
      <c r="E132" s="43">
        <v>8.9700000000000006</v>
      </c>
      <c r="F132" s="17">
        <v>22.1</v>
      </c>
      <c r="G132" s="17">
        <v>11.7</v>
      </c>
      <c r="H132" s="17">
        <v>12</v>
      </c>
      <c r="I132" s="17">
        <v>0.06</v>
      </c>
      <c r="J132" s="17">
        <v>0.46</v>
      </c>
      <c r="K132" s="17">
        <v>0.61</v>
      </c>
      <c r="L132" s="17">
        <v>0.24</v>
      </c>
      <c r="M132" s="43"/>
      <c r="N132" s="472" t="s">
        <v>341</v>
      </c>
      <c r="O132" s="472"/>
      <c r="P132" s="472"/>
      <c r="Q132" s="145"/>
      <c r="R132" s="79" t="s">
        <v>133</v>
      </c>
      <c r="S132" s="123">
        <f t="shared" ref="S132:S141" si="10">$P$11*0</f>
        <v>0</v>
      </c>
      <c r="T132" s="121">
        <f>$P$11*0.05</f>
        <v>5</v>
      </c>
      <c r="U132" s="36">
        <f>Adatbázis!E132*Q132</f>
        <v>0</v>
      </c>
      <c r="V132" s="28">
        <f>Adatbázis!F132*$Q132/$Q$361</f>
        <v>0</v>
      </c>
      <c r="W132" s="28">
        <f>Adatbázis!G132*$Q132/$Q$361</f>
        <v>0</v>
      </c>
      <c r="X132" s="28">
        <f>Adatbázis!H132*$Q132/$Q$361</f>
        <v>0</v>
      </c>
      <c r="Y132" s="28">
        <f>Adatbázis!I132*$Q132/$Q$361</f>
        <v>0</v>
      </c>
      <c r="Z132" s="28">
        <f>Adatbázis!J132*$Q132/$Q$361</f>
        <v>0</v>
      </c>
      <c r="AA132" s="28">
        <f>Adatbázis!K132*$Q132/$Q$361</f>
        <v>0</v>
      </c>
      <c r="AB132" s="28">
        <f>Adatbázis!L132*$Q132/$Q$361</f>
        <v>0</v>
      </c>
      <c r="AC132" s="41">
        <f>Adatbázis!C132*Q132</f>
        <v>0</v>
      </c>
      <c r="AD132" s="442">
        <f t="shared" si="8"/>
        <v>0</v>
      </c>
      <c r="AE132" s="442"/>
    </row>
    <row r="133" spans="1:37" x14ac:dyDescent="0.25">
      <c r="A133" s="523"/>
      <c r="B133" s="491"/>
      <c r="C133" s="81"/>
      <c r="D133" s="27" t="s">
        <v>14</v>
      </c>
      <c r="E133" s="43">
        <v>10</v>
      </c>
      <c r="F133" s="17">
        <v>33</v>
      </c>
      <c r="G133" s="17">
        <v>10</v>
      </c>
      <c r="H133" s="17">
        <v>2.1</v>
      </c>
      <c r="I133" s="17">
        <v>0.06</v>
      </c>
      <c r="J133" s="17">
        <v>0.46</v>
      </c>
      <c r="K133" s="17"/>
      <c r="L133" s="17"/>
      <c r="M133" s="43"/>
      <c r="N133" s="472" t="s">
        <v>340</v>
      </c>
      <c r="O133" s="472"/>
      <c r="P133" s="472"/>
      <c r="Q133" s="107"/>
      <c r="R133" s="79" t="s">
        <v>133</v>
      </c>
      <c r="S133" s="123">
        <f t="shared" si="10"/>
        <v>0</v>
      </c>
      <c r="T133" s="121">
        <f>$P$11*0.05</f>
        <v>5</v>
      </c>
      <c r="U133" s="36">
        <f>Adatbázis!E133*Q133</f>
        <v>0</v>
      </c>
      <c r="V133" s="28">
        <f>Adatbázis!F133*$Q133/$Q$361</f>
        <v>0</v>
      </c>
      <c r="W133" s="28">
        <f>Adatbázis!G133*$Q133/$Q$361</f>
        <v>0</v>
      </c>
      <c r="X133" s="28">
        <f>Adatbázis!H133*$Q133/$Q$361</f>
        <v>0</v>
      </c>
      <c r="Y133" s="28">
        <f>Adatbázis!I133*$Q133/$Q$361</f>
        <v>0</v>
      </c>
      <c r="Z133" s="28">
        <f>Adatbázis!J133*$Q133/$Q$361</f>
        <v>0</v>
      </c>
      <c r="AA133" s="28">
        <f>Adatbázis!K133*$Q133/$Q$361</f>
        <v>0</v>
      </c>
      <c r="AB133" s="28">
        <f>Adatbázis!L133*$Q133/$Q$361</f>
        <v>0</v>
      </c>
      <c r="AC133" s="41">
        <f>Adatbázis!C133*Q133</f>
        <v>0</v>
      </c>
      <c r="AD133" s="442">
        <f t="shared" si="8"/>
        <v>0</v>
      </c>
      <c r="AE133" s="442"/>
    </row>
    <row r="134" spans="1:37" x14ac:dyDescent="0.25">
      <c r="A134" s="523"/>
      <c r="B134" s="491"/>
      <c r="C134" s="81"/>
      <c r="D134" s="27" t="s">
        <v>14</v>
      </c>
      <c r="E134" s="43">
        <v>7.59</v>
      </c>
      <c r="F134" s="17">
        <v>32.9</v>
      </c>
      <c r="G134" s="17">
        <v>5.5</v>
      </c>
      <c r="H134" s="17">
        <v>9.4</v>
      </c>
      <c r="I134" s="17"/>
      <c r="J134" s="17"/>
      <c r="K134" s="17"/>
      <c r="L134" s="17"/>
      <c r="M134" s="43"/>
      <c r="N134" s="472" t="s">
        <v>196</v>
      </c>
      <c r="O134" s="472"/>
      <c r="P134" s="472"/>
      <c r="Q134" s="107"/>
      <c r="R134" s="79" t="s">
        <v>133</v>
      </c>
      <c r="S134" s="123">
        <f t="shared" si="10"/>
        <v>0</v>
      </c>
      <c r="T134" s="121">
        <f>$P$11*0.1</f>
        <v>10</v>
      </c>
      <c r="U134" s="36">
        <f>Adatbázis!E134*Q134</f>
        <v>0</v>
      </c>
      <c r="V134" s="28">
        <f>Adatbázis!F134*$Q134/$Q$361</f>
        <v>0</v>
      </c>
      <c r="W134" s="28">
        <f>Adatbázis!G134*$Q134/$Q$361</f>
        <v>0</v>
      </c>
      <c r="X134" s="28">
        <f>Adatbázis!H134*$Q134/$Q$361</f>
        <v>0</v>
      </c>
      <c r="Y134" s="28">
        <f>Adatbázis!I134*$Q134/$Q$361</f>
        <v>0</v>
      </c>
      <c r="Z134" s="28">
        <f>Adatbázis!J134*$Q134/$Q$361</f>
        <v>0</v>
      </c>
      <c r="AA134" s="28">
        <f>Adatbázis!K134*$Q134/$Q$361</f>
        <v>0</v>
      </c>
      <c r="AB134" s="28">
        <f>Adatbázis!L134*$Q134/$Q$361</f>
        <v>0</v>
      </c>
      <c r="AC134" s="41">
        <f>Adatbázis!C134*Q134</f>
        <v>0</v>
      </c>
      <c r="AD134" s="442">
        <f t="shared" si="8"/>
        <v>0</v>
      </c>
      <c r="AE134" s="442"/>
    </row>
    <row r="135" spans="1:37" x14ac:dyDescent="0.25">
      <c r="A135" s="523"/>
      <c r="B135" s="491"/>
      <c r="C135" s="81"/>
      <c r="D135" s="27" t="s">
        <v>14</v>
      </c>
      <c r="E135" s="43"/>
      <c r="F135" s="17">
        <v>18</v>
      </c>
      <c r="G135" s="17">
        <v>10</v>
      </c>
      <c r="H135" s="17">
        <v>5</v>
      </c>
      <c r="I135" s="17"/>
      <c r="J135" s="17"/>
      <c r="K135" s="17"/>
      <c r="L135" s="17"/>
      <c r="M135" s="43"/>
      <c r="N135" s="472" t="s">
        <v>382</v>
      </c>
      <c r="O135" s="472"/>
      <c r="P135" s="472"/>
      <c r="Q135" s="145"/>
      <c r="R135" s="79" t="s">
        <v>133</v>
      </c>
      <c r="S135" s="319">
        <f t="shared" si="10"/>
        <v>0</v>
      </c>
      <c r="T135" s="318">
        <f>$P$11*0.1</f>
        <v>10</v>
      </c>
      <c r="U135" s="36">
        <f>Adatbázis!E135*Q135</f>
        <v>0</v>
      </c>
      <c r="V135" s="28">
        <f>Adatbázis!F135*$Q135/$Q$361</f>
        <v>0</v>
      </c>
      <c r="W135" s="28">
        <f>Adatbázis!G135*$Q135/$Q$361</f>
        <v>0</v>
      </c>
      <c r="X135" s="28">
        <f>Adatbázis!H135*$Q135/$Q$361</f>
        <v>0</v>
      </c>
      <c r="Y135" s="28">
        <f>Adatbázis!I135*$Q135/$Q$361</f>
        <v>0</v>
      </c>
      <c r="Z135" s="28">
        <f>Adatbázis!J135*$Q135/$Q$361</f>
        <v>0</v>
      </c>
      <c r="AA135" s="28">
        <f>Adatbázis!K135*$Q135/$Q$361</f>
        <v>0</v>
      </c>
      <c r="AB135" s="28">
        <f>Adatbázis!L135*$Q135/$Q$361</f>
        <v>0</v>
      </c>
      <c r="AC135" s="41">
        <f>Adatbázis!C135*Q135</f>
        <v>0</v>
      </c>
      <c r="AD135" s="442">
        <f t="shared" si="8"/>
        <v>0</v>
      </c>
      <c r="AE135" s="442"/>
    </row>
    <row r="136" spans="1:37" x14ac:dyDescent="0.25">
      <c r="A136" s="523"/>
      <c r="B136" s="491"/>
      <c r="C136" s="81"/>
      <c r="D136" s="27" t="s">
        <v>14</v>
      </c>
      <c r="E136" s="43">
        <v>13.5</v>
      </c>
      <c r="F136" s="17">
        <v>32.5</v>
      </c>
      <c r="G136" s="17">
        <v>14.6</v>
      </c>
      <c r="H136" s="17">
        <v>36</v>
      </c>
      <c r="I136" s="17">
        <v>0.26</v>
      </c>
      <c r="J136" s="17">
        <v>0.64</v>
      </c>
      <c r="K136" s="17"/>
      <c r="L136" s="17"/>
      <c r="M136" s="43"/>
      <c r="N136" s="472" t="s">
        <v>331</v>
      </c>
      <c r="O136" s="472"/>
      <c r="P136" s="472"/>
      <c r="Q136" s="145"/>
      <c r="R136" s="79" t="s">
        <v>133</v>
      </c>
      <c r="S136" s="123">
        <f t="shared" si="10"/>
        <v>0</v>
      </c>
      <c r="T136" s="121">
        <f>$P$11*0.05</f>
        <v>5</v>
      </c>
      <c r="U136" s="36">
        <f>Adatbázis!E136*Q136</f>
        <v>0</v>
      </c>
      <c r="V136" s="28">
        <f>Adatbázis!F136*$Q136/$Q$361</f>
        <v>0</v>
      </c>
      <c r="W136" s="28">
        <f>Adatbázis!G136*$Q136/$Q$361</f>
        <v>0</v>
      </c>
      <c r="X136" s="28">
        <f>Adatbázis!H136*$Q136/$Q$361</f>
        <v>0</v>
      </c>
      <c r="Y136" s="28">
        <f>Adatbázis!I136*$Q136/$Q$361</f>
        <v>0</v>
      </c>
      <c r="Z136" s="28">
        <f>Adatbázis!J136*$Q136/$Q$361</f>
        <v>0</v>
      </c>
      <c r="AA136" s="28">
        <f>Adatbázis!K136*$Q136/$Q$361</f>
        <v>0</v>
      </c>
      <c r="AB136" s="28">
        <f>Adatbázis!L136*$Q136/$Q$361</f>
        <v>0</v>
      </c>
      <c r="AC136" s="41">
        <f>Adatbázis!C136*Q136</f>
        <v>0</v>
      </c>
      <c r="AD136" s="442">
        <f t="shared" si="8"/>
        <v>0</v>
      </c>
      <c r="AE136" s="442"/>
    </row>
    <row r="137" spans="1:37" x14ac:dyDescent="0.25">
      <c r="A137" s="523"/>
      <c r="B137" s="491"/>
      <c r="C137" s="81"/>
      <c r="D137" s="27" t="s">
        <v>14</v>
      </c>
      <c r="E137" s="43">
        <v>14.72</v>
      </c>
      <c r="F137" s="17">
        <v>61.76</v>
      </c>
      <c r="G137" s="17">
        <v>7.2</v>
      </c>
      <c r="H137" s="17">
        <v>11.22</v>
      </c>
      <c r="I137" s="17"/>
      <c r="J137" s="17"/>
      <c r="K137" s="17"/>
      <c r="L137" s="17"/>
      <c r="M137" s="43"/>
      <c r="N137" s="493" t="s">
        <v>458</v>
      </c>
      <c r="O137" s="494"/>
      <c r="P137" s="495"/>
      <c r="Q137" s="107"/>
      <c r="R137" s="79" t="s">
        <v>133</v>
      </c>
      <c r="S137" s="446">
        <f t="shared" si="10"/>
        <v>0</v>
      </c>
      <c r="T137" s="444">
        <f>$P$11*0.1</f>
        <v>10</v>
      </c>
      <c r="U137" s="36">
        <f>Adatbázis!E137*Q137</f>
        <v>0</v>
      </c>
      <c r="V137" s="28">
        <f>Adatbázis!F137*$Q137/$Q$361</f>
        <v>0</v>
      </c>
      <c r="W137" s="28">
        <f>Adatbázis!G137*$Q137/$Q$361</f>
        <v>0</v>
      </c>
      <c r="X137" s="28">
        <f>Adatbázis!H137*$Q137/$Q$361</f>
        <v>0</v>
      </c>
      <c r="Y137" s="28">
        <f>Adatbázis!I137*$Q137/$Q$361</f>
        <v>0</v>
      </c>
      <c r="Z137" s="28">
        <f>Adatbázis!J137*$Q137/$Q$361</f>
        <v>0</v>
      </c>
      <c r="AA137" s="28">
        <f>Adatbázis!K137*$Q137/$Q$361</f>
        <v>0</v>
      </c>
      <c r="AB137" s="28">
        <f>Adatbázis!L137*$Q137/$Q$361</f>
        <v>0</v>
      </c>
      <c r="AC137" s="41">
        <f>Adatbázis!C137*Q137</f>
        <v>0</v>
      </c>
      <c r="AD137" s="442">
        <f t="shared" si="8"/>
        <v>0</v>
      </c>
      <c r="AE137" s="442"/>
    </row>
    <row r="138" spans="1:37" x14ac:dyDescent="0.25">
      <c r="A138" s="523"/>
      <c r="B138" s="491"/>
      <c r="C138" s="81"/>
      <c r="D138" s="27" t="s">
        <v>14</v>
      </c>
      <c r="E138" s="43">
        <v>13.3</v>
      </c>
      <c r="F138" s="17">
        <v>32.19</v>
      </c>
      <c r="G138" s="17">
        <v>9.1300000000000008</v>
      </c>
      <c r="H138" s="17">
        <v>46.1</v>
      </c>
      <c r="I138" s="17"/>
      <c r="J138" s="17"/>
      <c r="K138" s="17"/>
      <c r="L138" s="17"/>
      <c r="M138" s="43"/>
      <c r="N138" s="472" t="s">
        <v>459</v>
      </c>
      <c r="O138" s="472"/>
      <c r="P138" s="472"/>
      <c r="Q138" s="107"/>
      <c r="R138" s="79" t="s">
        <v>133</v>
      </c>
      <c r="S138" s="446">
        <f t="shared" si="10"/>
        <v>0</v>
      </c>
      <c r="T138" s="444">
        <f>$P$11*0.1</f>
        <v>10</v>
      </c>
      <c r="U138" s="36">
        <f>Adatbázis!E138*Q138</f>
        <v>0</v>
      </c>
      <c r="V138" s="28">
        <f>Adatbázis!F138*$Q138/$Q$361</f>
        <v>0</v>
      </c>
      <c r="W138" s="28">
        <f>Adatbázis!G138*$Q138/$Q$361</f>
        <v>0</v>
      </c>
      <c r="X138" s="28">
        <f>Adatbázis!H138*$Q138/$Q$361</f>
        <v>0</v>
      </c>
      <c r="Y138" s="28">
        <f>Adatbázis!I138*$Q138/$Q$361</f>
        <v>0</v>
      </c>
      <c r="Z138" s="28">
        <f>Adatbázis!J138*$Q138/$Q$361</f>
        <v>0</v>
      </c>
      <c r="AA138" s="28">
        <f>Adatbázis!K138*$Q138/$Q$361</f>
        <v>0</v>
      </c>
      <c r="AB138" s="28">
        <f>Adatbázis!L138*$Q138/$Q$361</f>
        <v>0</v>
      </c>
      <c r="AC138" s="41">
        <f>Adatbázis!C138*Q138</f>
        <v>0</v>
      </c>
      <c r="AD138" s="442">
        <f t="shared" si="8"/>
        <v>0</v>
      </c>
      <c r="AE138" s="442"/>
    </row>
    <row r="139" spans="1:37" x14ac:dyDescent="0.25">
      <c r="A139" s="523"/>
      <c r="B139" s="491"/>
      <c r="C139" s="81"/>
      <c r="D139" s="27" t="s">
        <v>14</v>
      </c>
      <c r="E139" s="43">
        <v>12.75</v>
      </c>
      <c r="F139" s="17">
        <v>32</v>
      </c>
      <c r="G139" s="17">
        <v>9.5</v>
      </c>
      <c r="H139" s="17">
        <v>46</v>
      </c>
      <c r="I139" s="17"/>
      <c r="J139" s="17"/>
      <c r="K139" s="17"/>
      <c r="L139" s="17"/>
      <c r="M139" s="43"/>
      <c r="N139" s="472" t="s">
        <v>456</v>
      </c>
      <c r="O139" s="472"/>
      <c r="P139" s="472"/>
      <c r="Q139" s="145"/>
      <c r="R139" s="79" t="s">
        <v>133</v>
      </c>
      <c r="S139" s="446">
        <f t="shared" si="10"/>
        <v>0</v>
      </c>
      <c r="T139" s="444">
        <f>$P$11*0.1</f>
        <v>10</v>
      </c>
      <c r="U139" s="36">
        <f>Adatbázis!E139*Q139</f>
        <v>0</v>
      </c>
      <c r="V139" s="28">
        <f>Adatbázis!F139*$Q139/$Q$361</f>
        <v>0</v>
      </c>
      <c r="W139" s="28">
        <f>Adatbázis!G139*$Q139/$Q$361</f>
        <v>0</v>
      </c>
      <c r="X139" s="28">
        <f>Adatbázis!H139*$Q139/$Q$361</f>
        <v>0</v>
      </c>
      <c r="Y139" s="28">
        <f>Adatbázis!I139*$Q139/$Q$361</f>
        <v>0</v>
      </c>
      <c r="Z139" s="28">
        <f>Adatbázis!J139*$Q139/$Q$361</f>
        <v>0</v>
      </c>
      <c r="AA139" s="28">
        <f>Adatbázis!K139*$Q139/$Q$361</f>
        <v>0</v>
      </c>
      <c r="AB139" s="28">
        <f>Adatbázis!L139*$Q139/$Q$361</f>
        <v>0</v>
      </c>
      <c r="AC139" s="41">
        <f>Adatbázis!C139*Q139</f>
        <v>0</v>
      </c>
      <c r="AD139" s="442">
        <f t="shared" si="8"/>
        <v>0</v>
      </c>
      <c r="AE139" s="442"/>
    </row>
    <row r="140" spans="1:37" x14ac:dyDescent="0.25">
      <c r="A140" s="523"/>
      <c r="B140" s="491"/>
      <c r="C140" s="81"/>
      <c r="D140" s="27" t="s">
        <v>14</v>
      </c>
      <c r="E140" s="43">
        <v>12.51</v>
      </c>
      <c r="F140" s="17">
        <v>30</v>
      </c>
      <c r="G140" s="17">
        <v>10.1</v>
      </c>
      <c r="H140" s="17">
        <v>44.4</v>
      </c>
      <c r="I140" s="17"/>
      <c r="J140" s="17"/>
      <c r="K140" s="17"/>
      <c r="L140" s="17"/>
      <c r="M140" s="43"/>
      <c r="N140" s="472" t="s">
        <v>457</v>
      </c>
      <c r="O140" s="472"/>
      <c r="P140" s="472"/>
      <c r="Q140" s="145"/>
      <c r="R140" s="79" t="s">
        <v>133</v>
      </c>
      <c r="S140" s="446">
        <f t="shared" si="10"/>
        <v>0</v>
      </c>
      <c r="T140" s="444">
        <f>$P$11*0.1</f>
        <v>10</v>
      </c>
      <c r="U140" s="36">
        <f>Adatbázis!E140*Q140</f>
        <v>0</v>
      </c>
      <c r="V140" s="28">
        <f>Adatbázis!F140*$Q140/$Q$361</f>
        <v>0</v>
      </c>
      <c r="W140" s="28">
        <f>Adatbázis!G140*$Q140/$Q$361</f>
        <v>0</v>
      </c>
      <c r="X140" s="28">
        <f>Adatbázis!H140*$Q140/$Q$361</f>
        <v>0</v>
      </c>
      <c r="Y140" s="28">
        <f>Adatbázis!I140*$Q140/$Q$361</f>
        <v>0</v>
      </c>
      <c r="Z140" s="28">
        <f>Adatbázis!J140*$Q140/$Q$361</f>
        <v>0</v>
      </c>
      <c r="AA140" s="28">
        <f>Adatbázis!K140*$Q140/$Q$361</f>
        <v>0</v>
      </c>
      <c r="AB140" s="28">
        <f>Adatbázis!L140*$Q140/$Q$361</f>
        <v>0</v>
      </c>
      <c r="AC140" s="41">
        <f>Adatbázis!C140*Q140</f>
        <v>0</v>
      </c>
      <c r="AD140" s="442">
        <f t="shared" si="8"/>
        <v>0</v>
      </c>
      <c r="AE140" s="442"/>
    </row>
    <row r="141" spans="1:37" x14ac:dyDescent="0.25">
      <c r="A141" s="523"/>
      <c r="B141" s="491"/>
      <c r="C141" s="81"/>
      <c r="D141" s="27" t="s">
        <v>14</v>
      </c>
      <c r="E141" s="43">
        <v>12.24</v>
      </c>
      <c r="F141" s="17">
        <v>28</v>
      </c>
      <c r="G141" s="17">
        <v>11.5</v>
      </c>
      <c r="H141" s="17">
        <v>42</v>
      </c>
      <c r="I141" s="17"/>
      <c r="J141" s="17"/>
      <c r="K141" s="17"/>
      <c r="L141" s="17"/>
      <c r="M141" s="43"/>
      <c r="N141" s="472" t="s">
        <v>460</v>
      </c>
      <c r="O141" s="472"/>
      <c r="P141" s="472"/>
      <c r="Q141" s="107"/>
      <c r="R141" s="79" t="s">
        <v>133</v>
      </c>
      <c r="S141" s="446">
        <f t="shared" si="10"/>
        <v>0</v>
      </c>
      <c r="T141" s="444">
        <f>$P$11*0.1</f>
        <v>10</v>
      </c>
      <c r="U141" s="36">
        <f>Adatbázis!E141*Q141</f>
        <v>0</v>
      </c>
      <c r="V141" s="28">
        <f>Adatbázis!F141*$Q141/$Q$361</f>
        <v>0</v>
      </c>
      <c r="W141" s="28">
        <f>Adatbázis!G141*$Q141/$Q$361</f>
        <v>0</v>
      </c>
      <c r="X141" s="28">
        <f>Adatbázis!H141*$Q141/$Q$361</f>
        <v>0</v>
      </c>
      <c r="Y141" s="28">
        <f>Adatbázis!I141*$Q141/$Q$361</f>
        <v>0</v>
      </c>
      <c r="Z141" s="28">
        <f>Adatbázis!J141*$Q141/$Q$361</f>
        <v>0</v>
      </c>
      <c r="AA141" s="28">
        <f>Adatbázis!K141*$Q141/$Q$361</f>
        <v>0</v>
      </c>
      <c r="AB141" s="28">
        <f>Adatbázis!L141*$Q141/$Q$361</f>
        <v>0</v>
      </c>
      <c r="AC141" s="41">
        <f>Adatbázis!C141*Q141</f>
        <v>0</v>
      </c>
      <c r="AD141" s="442">
        <f t="shared" si="8"/>
        <v>0</v>
      </c>
      <c r="AE141" s="442"/>
    </row>
    <row r="142" spans="1:37" x14ac:dyDescent="0.25">
      <c r="A142" s="523"/>
      <c r="B142" s="491"/>
      <c r="C142" s="81"/>
      <c r="D142" s="27" t="s">
        <v>14</v>
      </c>
      <c r="E142" s="43">
        <v>8.02</v>
      </c>
      <c r="F142" s="17">
        <v>37.799999999999997</v>
      </c>
      <c r="G142" s="17">
        <v>2.5</v>
      </c>
      <c r="H142" s="17">
        <v>12.9</v>
      </c>
      <c r="I142" s="17">
        <v>0.71</v>
      </c>
      <c r="J142" s="17">
        <v>1.1499999999999999</v>
      </c>
      <c r="K142" s="17">
        <v>2</v>
      </c>
      <c r="L142" s="17">
        <v>0.8</v>
      </c>
      <c r="M142" s="43"/>
      <c r="N142" s="472" t="s">
        <v>195</v>
      </c>
      <c r="O142" s="472"/>
      <c r="P142" s="472"/>
      <c r="Q142" s="107"/>
      <c r="R142" s="80" t="s">
        <v>133</v>
      </c>
      <c r="S142" s="123">
        <f>$P$11*0.03</f>
        <v>3</v>
      </c>
      <c r="T142" s="121">
        <f>$P$11*0.08</f>
        <v>8</v>
      </c>
      <c r="U142" s="36">
        <f>Adatbázis!E142*Q142</f>
        <v>0</v>
      </c>
      <c r="V142" s="28">
        <f>Adatbázis!F142*$Q142/$Q$361</f>
        <v>0</v>
      </c>
      <c r="W142" s="28">
        <f>Adatbázis!G142*$Q142/$Q$361</f>
        <v>0</v>
      </c>
      <c r="X142" s="28">
        <f>Adatbázis!H142*$Q142/$Q$361</f>
        <v>0</v>
      </c>
      <c r="Y142" s="28">
        <f>Adatbázis!I142*$Q142/$Q$361</f>
        <v>0</v>
      </c>
      <c r="Z142" s="28">
        <f>Adatbázis!J142*$Q142/$Q$361</f>
        <v>0</v>
      </c>
      <c r="AA142" s="28">
        <f>Adatbázis!K142*$Q142/$Q$361</f>
        <v>0</v>
      </c>
      <c r="AB142" s="28">
        <f>Adatbázis!L142*$Q142/$Q$361</f>
        <v>0</v>
      </c>
      <c r="AC142" s="41">
        <f>Adatbázis!C142*Q142</f>
        <v>0</v>
      </c>
      <c r="AD142" s="442">
        <f t="shared" si="8"/>
        <v>0</v>
      </c>
      <c r="AE142" s="442"/>
      <c r="AF142" s="132" t="s">
        <v>136</v>
      </c>
      <c r="AG142" s="127"/>
      <c r="AH142" s="128"/>
      <c r="AI142" s="129"/>
      <c r="AJ142" s="129"/>
      <c r="AK142" s="127"/>
    </row>
    <row r="143" spans="1:37" x14ac:dyDescent="0.25">
      <c r="A143" s="523"/>
      <c r="B143" s="491"/>
      <c r="C143" s="81"/>
      <c r="D143" s="27" t="s">
        <v>14</v>
      </c>
      <c r="E143" s="43">
        <v>8.5</v>
      </c>
      <c r="F143" s="17">
        <v>34</v>
      </c>
      <c r="G143" s="17">
        <v>2.75</v>
      </c>
      <c r="H143" s="17">
        <v>11.5</v>
      </c>
      <c r="I143" s="17">
        <v>0.68</v>
      </c>
      <c r="J143" s="17">
        <v>1.07</v>
      </c>
      <c r="K143" s="17">
        <v>1.9</v>
      </c>
      <c r="L143" s="17">
        <v>0.75</v>
      </c>
      <c r="M143" s="43"/>
      <c r="N143" s="472" t="s">
        <v>405</v>
      </c>
      <c r="O143" s="472"/>
      <c r="P143" s="472"/>
      <c r="Q143" s="145"/>
      <c r="R143" s="80" t="s">
        <v>133</v>
      </c>
      <c r="S143" s="361">
        <f>$P$11*0.03</f>
        <v>3</v>
      </c>
      <c r="T143" s="360">
        <f>$P$11*0.08</f>
        <v>8</v>
      </c>
      <c r="U143" s="36">
        <f>Adatbázis!E143*Q143</f>
        <v>0</v>
      </c>
      <c r="V143" s="28">
        <f>Adatbázis!F143*$Q143/$Q$361</f>
        <v>0</v>
      </c>
      <c r="W143" s="28">
        <f>Adatbázis!G143*$Q143/$Q$361</f>
        <v>0</v>
      </c>
      <c r="X143" s="28">
        <f>Adatbázis!H143*$Q143/$Q$361</f>
        <v>0</v>
      </c>
      <c r="Y143" s="28">
        <f>Adatbázis!I143*$Q143/$Q$361</f>
        <v>0</v>
      </c>
      <c r="Z143" s="28">
        <f>Adatbázis!J143*$Q143/$Q$361</f>
        <v>0</v>
      </c>
      <c r="AA143" s="28">
        <f>Adatbázis!K143*$Q143/$Q$361</f>
        <v>0</v>
      </c>
      <c r="AB143" s="28">
        <f>Adatbázis!L143*$Q143/$Q$361</f>
        <v>0</v>
      </c>
      <c r="AC143" s="41">
        <f>Adatbázis!C143*Q143</f>
        <v>0</v>
      </c>
      <c r="AD143" s="442">
        <f t="shared" si="8"/>
        <v>0</v>
      </c>
      <c r="AE143" s="442"/>
      <c r="AF143" s="132" t="s">
        <v>136</v>
      </c>
      <c r="AG143" s="127"/>
      <c r="AH143" s="128"/>
      <c r="AI143" s="129"/>
      <c r="AJ143" s="129"/>
      <c r="AK143" s="127"/>
    </row>
    <row r="144" spans="1:37" x14ac:dyDescent="0.25">
      <c r="A144" s="523"/>
      <c r="B144" s="491"/>
      <c r="C144" s="81"/>
      <c r="D144" s="27" t="s">
        <v>14</v>
      </c>
      <c r="E144" s="43">
        <v>9</v>
      </c>
      <c r="F144" s="17">
        <v>31</v>
      </c>
      <c r="G144" s="17">
        <v>3</v>
      </c>
      <c r="H144" s="17">
        <v>10</v>
      </c>
      <c r="I144" s="17">
        <v>0.6</v>
      </c>
      <c r="J144" s="17">
        <v>1</v>
      </c>
      <c r="K144" s="17">
        <v>1.85</v>
      </c>
      <c r="L144" s="17">
        <v>0.72</v>
      </c>
      <c r="M144" s="43"/>
      <c r="N144" s="472" t="s">
        <v>358</v>
      </c>
      <c r="O144" s="472"/>
      <c r="P144" s="472"/>
      <c r="Q144" s="145"/>
      <c r="R144" s="80" t="s">
        <v>133</v>
      </c>
      <c r="S144" s="263">
        <f>$P$11*0.03</f>
        <v>3</v>
      </c>
      <c r="T144" s="260">
        <f>$P$11*0.08</f>
        <v>8</v>
      </c>
      <c r="U144" s="36">
        <f>Adatbázis!E144*Q144</f>
        <v>0</v>
      </c>
      <c r="V144" s="28">
        <f>Adatbázis!F144*$Q144/$Q$361</f>
        <v>0</v>
      </c>
      <c r="W144" s="28">
        <f>Adatbázis!G144*$Q144/$Q$361</f>
        <v>0</v>
      </c>
      <c r="X144" s="28">
        <f>Adatbázis!H144*$Q144/$Q$361</f>
        <v>0</v>
      </c>
      <c r="Y144" s="28">
        <f>Adatbázis!I144*$Q144/$Q$361</f>
        <v>0</v>
      </c>
      <c r="Z144" s="28">
        <f>Adatbázis!J144*$Q144/$Q$361</f>
        <v>0</v>
      </c>
      <c r="AA144" s="28">
        <f>Adatbázis!K144*$Q144/$Q$361</f>
        <v>0</v>
      </c>
      <c r="AB144" s="28">
        <f>Adatbázis!L144*$Q144/$Q$361</f>
        <v>0</v>
      </c>
      <c r="AC144" s="41">
        <f>Adatbázis!C144*Q144</f>
        <v>0</v>
      </c>
      <c r="AD144" s="442">
        <f t="shared" si="8"/>
        <v>0</v>
      </c>
      <c r="AE144" s="442"/>
      <c r="AF144" s="132" t="s">
        <v>136</v>
      </c>
      <c r="AG144" s="127"/>
      <c r="AH144" s="128"/>
      <c r="AI144" s="129"/>
      <c r="AJ144" s="129"/>
      <c r="AK144" s="127"/>
    </row>
    <row r="145" spans="1:37" ht="15" customHeight="1" x14ac:dyDescent="0.25">
      <c r="A145" s="523"/>
      <c r="B145" s="491"/>
      <c r="C145" s="81"/>
      <c r="D145" s="27" t="s">
        <v>14</v>
      </c>
      <c r="E145" s="43">
        <v>10.7</v>
      </c>
      <c r="F145" s="17">
        <v>53.9</v>
      </c>
      <c r="G145" s="17">
        <v>1.8</v>
      </c>
      <c r="H145" s="17">
        <v>6.4</v>
      </c>
      <c r="I145" s="17">
        <v>0.33</v>
      </c>
      <c r="J145" s="17">
        <v>0.66</v>
      </c>
      <c r="K145" s="17">
        <v>3.33</v>
      </c>
      <c r="L145" s="17">
        <v>1.8</v>
      </c>
      <c r="M145" s="43"/>
      <c r="N145" s="472" t="s">
        <v>126</v>
      </c>
      <c r="O145" s="472"/>
      <c r="P145" s="472"/>
      <c r="Q145" s="107"/>
      <c r="R145" s="80" t="s">
        <v>133</v>
      </c>
      <c r="S145" s="123">
        <f t="shared" ref="S145:S176" si="11">$P$11*0.05</f>
        <v>5</v>
      </c>
      <c r="T145" s="121">
        <f t="shared" ref="T145:T158" si="12">$P$11*0.32</f>
        <v>32</v>
      </c>
      <c r="U145" s="36">
        <f>Adatbázis!E145*Q145</f>
        <v>0</v>
      </c>
      <c r="V145" s="28">
        <f>Adatbázis!F145*$Q145/$Q$361</f>
        <v>0</v>
      </c>
      <c r="W145" s="28">
        <f>Adatbázis!G145*$Q145/$Q$361</f>
        <v>0</v>
      </c>
      <c r="X145" s="28">
        <f>Adatbázis!H145*$Q145/$Q$361</f>
        <v>0</v>
      </c>
      <c r="Y145" s="28">
        <f>Adatbázis!I145*$Q145/$Q$361</f>
        <v>0</v>
      </c>
      <c r="Z145" s="28">
        <f>Adatbázis!J145*$Q145/$Q$361</f>
        <v>0</v>
      </c>
      <c r="AA145" s="28">
        <f>Adatbázis!K145*$Q145/$Q$361</f>
        <v>0</v>
      </c>
      <c r="AB145" s="28">
        <f>Adatbázis!L145*$Q145/$Q$361</f>
        <v>0</v>
      </c>
      <c r="AC145" s="41">
        <f>Adatbázis!C145*Q145</f>
        <v>0</v>
      </c>
      <c r="AD145" s="442">
        <f t="shared" si="8"/>
        <v>0</v>
      </c>
      <c r="AE145" s="442"/>
      <c r="AF145" s="497" t="s">
        <v>211</v>
      </c>
      <c r="AG145" s="588"/>
      <c r="AH145" s="588"/>
      <c r="AI145" s="589"/>
      <c r="AJ145" s="69"/>
      <c r="AK145" s="69"/>
    </row>
    <row r="146" spans="1:37" ht="15" customHeight="1" x14ac:dyDescent="0.25">
      <c r="A146" s="523"/>
      <c r="B146" s="491"/>
      <c r="C146" s="81"/>
      <c r="D146" s="27" t="s">
        <v>14</v>
      </c>
      <c r="E146" s="43">
        <v>10.48</v>
      </c>
      <c r="F146" s="17">
        <v>51.8</v>
      </c>
      <c r="G146" s="17">
        <v>1.8</v>
      </c>
      <c r="H146" s="17">
        <v>7.1</v>
      </c>
      <c r="I146" s="17">
        <v>0.28000000000000003</v>
      </c>
      <c r="J146" s="17">
        <v>0.64</v>
      </c>
      <c r="K146" s="17">
        <v>3.23</v>
      </c>
      <c r="L146" s="17">
        <v>1.6</v>
      </c>
      <c r="M146" s="43"/>
      <c r="N146" s="472" t="s">
        <v>127</v>
      </c>
      <c r="O146" s="472"/>
      <c r="P146" s="472"/>
      <c r="Q146" s="107"/>
      <c r="R146" s="80" t="s">
        <v>133</v>
      </c>
      <c r="S146" s="123">
        <f t="shared" si="11"/>
        <v>5</v>
      </c>
      <c r="T146" s="121">
        <f t="shared" si="12"/>
        <v>32</v>
      </c>
      <c r="U146" s="36">
        <f>Adatbázis!E146*Q146</f>
        <v>0</v>
      </c>
      <c r="V146" s="28">
        <f>Adatbázis!F146*$Q146/$Q$361</f>
        <v>0</v>
      </c>
      <c r="W146" s="28">
        <f>Adatbázis!G146*$Q146/$Q$361</f>
        <v>0</v>
      </c>
      <c r="X146" s="28">
        <f>Adatbázis!H146*$Q146/$Q$361</f>
        <v>0</v>
      </c>
      <c r="Y146" s="28">
        <f>Adatbázis!I146*$Q146/$Q$361</f>
        <v>0</v>
      </c>
      <c r="Z146" s="28">
        <f>Adatbázis!J146*$Q146/$Q$361</f>
        <v>0</v>
      </c>
      <c r="AA146" s="28">
        <f>Adatbázis!K146*$Q146/$Q$361</f>
        <v>0</v>
      </c>
      <c r="AB146" s="28">
        <f>Adatbázis!L146*$Q146/$Q$361</f>
        <v>0</v>
      </c>
      <c r="AC146" s="41">
        <f>Adatbázis!C146*Q146</f>
        <v>0</v>
      </c>
      <c r="AD146" s="442">
        <f t="shared" si="8"/>
        <v>0</v>
      </c>
      <c r="AE146" s="442"/>
      <c r="AF146" s="497" t="s">
        <v>211</v>
      </c>
      <c r="AG146" s="588"/>
      <c r="AH146" s="588"/>
      <c r="AI146" s="589"/>
    </row>
    <row r="147" spans="1:37" ht="15" customHeight="1" x14ac:dyDescent="0.25">
      <c r="A147" s="523"/>
      <c r="B147" s="491"/>
      <c r="C147" s="81"/>
      <c r="D147" s="27" t="s">
        <v>14</v>
      </c>
      <c r="E147" s="43">
        <v>10.25</v>
      </c>
      <c r="F147" s="17">
        <v>48</v>
      </c>
      <c r="G147" s="17">
        <v>2.1</v>
      </c>
      <c r="H147" s="17">
        <v>7.6</v>
      </c>
      <c r="I147" s="17">
        <v>0.34</v>
      </c>
      <c r="J147" s="17">
        <v>0.63</v>
      </c>
      <c r="K147" s="17">
        <v>3.1</v>
      </c>
      <c r="L147" s="17">
        <v>1.4</v>
      </c>
      <c r="M147" s="43"/>
      <c r="N147" s="472" t="s">
        <v>260</v>
      </c>
      <c r="O147" s="472"/>
      <c r="P147" s="472"/>
      <c r="Q147" s="145"/>
      <c r="R147" s="80" t="s">
        <v>133</v>
      </c>
      <c r="S147" s="123">
        <f t="shared" si="11"/>
        <v>5</v>
      </c>
      <c r="T147" s="121">
        <f t="shared" si="12"/>
        <v>32</v>
      </c>
      <c r="U147" s="36">
        <f>Adatbázis!E147*Q147</f>
        <v>0</v>
      </c>
      <c r="V147" s="28">
        <f>Adatbázis!F147*$Q147/$Q$361</f>
        <v>0</v>
      </c>
      <c r="W147" s="28">
        <f>Adatbázis!G147*$Q147/$Q$361</f>
        <v>0</v>
      </c>
      <c r="X147" s="28">
        <f>Adatbázis!H147*$Q147/$Q$361</f>
        <v>0</v>
      </c>
      <c r="Y147" s="28">
        <f>Adatbázis!I147*$Q147/$Q$361</f>
        <v>0</v>
      </c>
      <c r="Z147" s="28">
        <f>Adatbázis!J147*$Q147/$Q$361</f>
        <v>0</v>
      </c>
      <c r="AA147" s="28">
        <f>Adatbázis!K147*$Q147/$Q$361</f>
        <v>0</v>
      </c>
      <c r="AB147" s="28">
        <f>Adatbázis!L147*$Q147/$Q$361</f>
        <v>0</v>
      </c>
      <c r="AC147" s="41">
        <f>Adatbázis!C147*Q147</f>
        <v>0</v>
      </c>
      <c r="AD147" s="442">
        <f t="shared" si="8"/>
        <v>0</v>
      </c>
      <c r="AE147" s="442"/>
      <c r="AF147" s="497" t="s">
        <v>211</v>
      </c>
      <c r="AG147" s="588"/>
      <c r="AH147" s="588"/>
      <c r="AI147" s="589"/>
    </row>
    <row r="148" spans="1:37" ht="15" customHeight="1" x14ac:dyDescent="0.25">
      <c r="A148" s="523"/>
      <c r="B148" s="491"/>
      <c r="C148" s="81"/>
      <c r="D148" s="27" t="s">
        <v>14</v>
      </c>
      <c r="E148" s="43">
        <v>10.25</v>
      </c>
      <c r="F148" s="17">
        <v>46.45</v>
      </c>
      <c r="G148" s="17">
        <v>0.99</v>
      </c>
      <c r="H148" s="17">
        <v>4.4400000000000004</v>
      </c>
      <c r="I148" s="17">
        <v>0.3</v>
      </c>
      <c r="J148" s="17">
        <v>0.68</v>
      </c>
      <c r="K148" s="17">
        <v>2.97</v>
      </c>
      <c r="L148" s="17">
        <v>1.27</v>
      </c>
      <c r="M148" s="43"/>
      <c r="N148" s="472" t="s">
        <v>360</v>
      </c>
      <c r="O148" s="472"/>
      <c r="P148" s="472"/>
      <c r="Q148" s="145"/>
      <c r="R148" s="80" t="s">
        <v>133</v>
      </c>
      <c r="S148" s="287">
        <f t="shared" si="11"/>
        <v>5</v>
      </c>
      <c r="T148" s="286">
        <f t="shared" si="12"/>
        <v>32</v>
      </c>
      <c r="U148" s="36">
        <f>Adatbázis!E148*Q148</f>
        <v>0</v>
      </c>
      <c r="V148" s="28">
        <f>Adatbázis!F148*$Q148/$Q$361</f>
        <v>0</v>
      </c>
      <c r="W148" s="28">
        <f>Adatbázis!G148*$Q148/$Q$361</f>
        <v>0</v>
      </c>
      <c r="X148" s="28">
        <f>Adatbázis!H148*$Q148/$Q$361</f>
        <v>0</v>
      </c>
      <c r="Y148" s="28">
        <f>Adatbázis!I148*$Q148/$Q$361</f>
        <v>0</v>
      </c>
      <c r="Z148" s="28">
        <f>Adatbázis!J148*$Q148/$Q$361</f>
        <v>0</v>
      </c>
      <c r="AA148" s="28">
        <f>Adatbázis!K148*$Q148/$Q$361</f>
        <v>0</v>
      </c>
      <c r="AB148" s="28">
        <f>Adatbázis!L148*$Q148/$Q$361</f>
        <v>0</v>
      </c>
      <c r="AC148" s="41">
        <f>Adatbázis!C148*Q148</f>
        <v>0</v>
      </c>
      <c r="AD148" s="442">
        <f t="shared" si="8"/>
        <v>0</v>
      </c>
      <c r="AE148" s="442"/>
      <c r="AF148" s="497" t="s">
        <v>211</v>
      </c>
      <c r="AG148" s="588"/>
      <c r="AH148" s="588"/>
      <c r="AI148" s="589"/>
    </row>
    <row r="149" spans="1:37" ht="15" customHeight="1" x14ac:dyDescent="0.25">
      <c r="A149" s="523"/>
      <c r="B149" s="491"/>
      <c r="C149" s="81"/>
      <c r="D149" s="27" t="s">
        <v>14</v>
      </c>
      <c r="E149" s="43">
        <v>10.25</v>
      </c>
      <c r="F149" s="17">
        <v>46</v>
      </c>
      <c r="G149" s="17">
        <v>0.99</v>
      </c>
      <c r="H149" s="17">
        <v>4.4400000000000004</v>
      </c>
      <c r="I149" s="17">
        <v>0.3</v>
      </c>
      <c r="J149" s="17">
        <v>0.68</v>
      </c>
      <c r="K149" s="17">
        <v>2.97</v>
      </c>
      <c r="L149" s="17">
        <v>1.27</v>
      </c>
      <c r="M149" s="43"/>
      <c r="N149" s="472" t="s">
        <v>327</v>
      </c>
      <c r="O149" s="472"/>
      <c r="P149" s="472"/>
      <c r="Q149" s="107"/>
      <c r="R149" s="80" t="s">
        <v>133</v>
      </c>
      <c r="S149" s="207">
        <f t="shared" si="11"/>
        <v>5</v>
      </c>
      <c r="T149" s="208">
        <f t="shared" si="12"/>
        <v>32</v>
      </c>
      <c r="U149" s="36">
        <f>Adatbázis!E149*Q149</f>
        <v>0</v>
      </c>
      <c r="V149" s="28">
        <f>Adatbázis!F149*$Q149/$Q$361</f>
        <v>0</v>
      </c>
      <c r="W149" s="28">
        <f>Adatbázis!G149*$Q149/$Q$361</f>
        <v>0</v>
      </c>
      <c r="X149" s="28">
        <f>Adatbázis!H149*$Q149/$Q$361</f>
        <v>0</v>
      </c>
      <c r="Y149" s="28">
        <f>Adatbázis!I149*$Q149/$Q$361</f>
        <v>0</v>
      </c>
      <c r="Z149" s="28">
        <f>Adatbázis!J149*$Q149/$Q$361</f>
        <v>0</v>
      </c>
      <c r="AA149" s="28">
        <f>Adatbázis!K149*$Q149/$Q$361</f>
        <v>0</v>
      </c>
      <c r="AB149" s="28">
        <f>Adatbázis!L149*$Q149/$Q$361</f>
        <v>0</v>
      </c>
      <c r="AC149" s="41">
        <f>Adatbázis!C149*Q149</f>
        <v>0</v>
      </c>
      <c r="AD149" s="442">
        <f t="shared" si="8"/>
        <v>0</v>
      </c>
      <c r="AE149" s="442"/>
      <c r="AF149" s="497" t="s">
        <v>211</v>
      </c>
      <c r="AG149" s="588"/>
      <c r="AH149" s="588"/>
      <c r="AI149" s="589"/>
    </row>
    <row r="150" spans="1:37" ht="15" customHeight="1" x14ac:dyDescent="0.25">
      <c r="A150" s="523"/>
      <c r="B150" s="491"/>
      <c r="C150" s="81"/>
      <c r="D150" s="27" t="s">
        <v>14</v>
      </c>
      <c r="E150" s="43">
        <v>10.25</v>
      </c>
      <c r="F150" s="17">
        <v>46</v>
      </c>
      <c r="G150" s="17">
        <v>2</v>
      </c>
      <c r="H150" s="17">
        <v>6.5</v>
      </c>
      <c r="I150" s="17">
        <v>0.3</v>
      </c>
      <c r="J150" s="17">
        <v>0.68</v>
      </c>
      <c r="K150" s="17">
        <v>2.97</v>
      </c>
      <c r="L150" s="17">
        <v>1.27</v>
      </c>
      <c r="M150" s="43"/>
      <c r="N150" s="472" t="s">
        <v>411</v>
      </c>
      <c r="O150" s="472"/>
      <c r="P150" s="472"/>
      <c r="Q150" s="107"/>
      <c r="R150" s="80" t="s">
        <v>133</v>
      </c>
      <c r="S150" s="367">
        <f t="shared" si="11"/>
        <v>5</v>
      </c>
      <c r="T150" s="366">
        <f t="shared" si="12"/>
        <v>32</v>
      </c>
      <c r="U150" s="36">
        <f>Adatbázis!E150*Q150</f>
        <v>0</v>
      </c>
      <c r="V150" s="28">
        <f>Adatbázis!F150*$Q150/$Q$361</f>
        <v>0</v>
      </c>
      <c r="W150" s="28">
        <f>Adatbázis!G150*$Q150/$Q$361</f>
        <v>0</v>
      </c>
      <c r="X150" s="28">
        <f>Adatbázis!H150*$Q150/$Q$361</f>
        <v>0</v>
      </c>
      <c r="Y150" s="28">
        <f>Adatbázis!I150*$Q150/$Q$361</f>
        <v>0</v>
      </c>
      <c r="Z150" s="28">
        <f>Adatbázis!J150*$Q150/$Q$361</f>
        <v>0</v>
      </c>
      <c r="AA150" s="28">
        <f>Adatbázis!K150*$Q150/$Q$361</f>
        <v>0</v>
      </c>
      <c r="AB150" s="28">
        <f>Adatbázis!L150*$Q150/$Q$361</f>
        <v>0</v>
      </c>
      <c r="AC150" s="41">
        <f>Adatbázis!C150*Q150</f>
        <v>0</v>
      </c>
      <c r="AD150" s="442">
        <f t="shared" si="8"/>
        <v>0</v>
      </c>
      <c r="AE150" s="442"/>
      <c r="AF150" s="497" t="s">
        <v>211</v>
      </c>
      <c r="AG150" s="588"/>
      <c r="AH150" s="588"/>
      <c r="AI150" s="589"/>
    </row>
    <row r="151" spans="1:37" ht="15" customHeight="1" x14ac:dyDescent="0.25">
      <c r="A151" s="523"/>
      <c r="B151" s="491"/>
      <c r="C151" s="81"/>
      <c r="D151" s="27" t="s">
        <v>14</v>
      </c>
      <c r="E151" s="43">
        <v>10.5</v>
      </c>
      <c r="F151" s="17">
        <v>45.5</v>
      </c>
      <c r="G151" s="17">
        <v>2</v>
      </c>
      <c r="H151" s="17">
        <v>3.5</v>
      </c>
      <c r="I151" s="17">
        <v>0.3</v>
      </c>
      <c r="J151" s="17">
        <v>0.68</v>
      </c>
      <c r="K151" s="17">
        <v>2.97</v>
      </c>
      <c r="L151" s="17">
        <v>1.27</v>
      </c>
      <c r="M151" s="43"/>
      <c r="N151" s="472" t="s">
        <v>368</v>
      </c>
      <c r="O151" s="472"/>
      <c r="P151" s="472"/>
      <c r="Q151" s="145"/>
      <c r="R151" s="80" t="s">
        <v>133</v>
      </c>
      <c r="S151" s="308">
        <f t="shared" si="11"/>
        <v>5</v>
      </c>
      <c r="T151" s="307">
        <f t="shared" si="12"/>
        <v>32</v>
      </c>
      <c r="U151" s="36">
        <f>Adatbázis!E151*Q151</f>
        <v>0</v>
      </c>
      <c r="V151" s="28">
        <f>Adatbázis!F151*$Q151/$Q$361</f>
        <v>0</v>
      </c>
      <c r="W151" s="28">
        <f>Adatbázis!G151*$Q151/$Q$361</f>
        <v>0</v>
      </c>
      <c r="X151" s="28">
        <f>Adatbázis!H151*$Q151/$Q$361</f>
        <v>0</v>
      </c>
      <c r="Y151" s="28">
        <f>Adatbázis!I151*$Q151/$Q$361</f>
        <v>0</v>
      </c>
      <c r="Z151" s="28">
        <f>Adatbázis!J151*$Q151/$Q$361</f>
        <v>0</v>
      </c>
      <c r="AA151" s="28">
        <f>Adatbázis!K151*$Q151/$Q$361</f>
        <v>0</v>
      </c>
      <c r="AB151" s="28">
        <f>Adatbázis!L151*$Q151/$Q$361</f>
        <v>0</v>
      </c>
      <c r="AC151" s="41">
        <f>Adatbázis!C151*Q151</f>
        <v>0</v>
      </c>
      <c r="AD151" s="442">
        <f t="shared" si="8"/>
        <v>0</v>
      </c>
      <c r="AE151" s="442"/>
      <c r="AF151" s="497" t="s">
        <v>211</v>
      </c>
      <c r="AG151" s="588"/>
      <c r="AH151" s="588"/>
      <c r="AI151" s="589"/>
    </row>
    <row r="152" spans="1:37" ht="15" customHeight="1" x14ac:dyDescent="0.25">
      <c r="A152" s="523"/>
      <c r="B152" s="491"/>
      <c r="C152" s="81"/>
      <c r="D152" s="27" t="s">
        <v>14</v>
      </c>
      <c r="E152" s="36">
        <v>10.3</v>
      </c>
      <c r="F152" s="17">
        <v>45</v>
      </c>
      <c r="G152" s="17">
        <v>2.5</v>
      </c>
      <c r="H152" s="17">
        <v>4.5</v>
      </c>
      <c r="I152" s="17">
        <v>0.26</v>
      </c>
      <c r="J152" s="17">
        <v>0.85</v>
      </c>
      <c r="K152" s="17">
        <v>2.89</v>
      </c>
      <c r="L152" s="17">
        <v>1</v>
      </c>
      <c r="M152" s="43"/>
      <c r="N152" s="472" t="s">
        <v>128</v>
      </c>
      <c r="O152" s="472"/>
      <c r="P152" s="472"/>
      <c r="Q152" s="145"/>
      <c r="R152" s="80" t="s">
        <v>133</v>
      </c>
      <c r="S152" s="123">
        <f t="shared" si="11"/>
        <v>5</v>
      </c>
      <c r="T152" s="121">
        <f t="shared" si="12"/>
        <v>32</v>
      </c>
      <c r="U152" s="36">
        <f>Adatbázis!E152*Q152</f>
        <v>0</v>
      </c>
      <c r="V152" s="28">
        <f>Adatbázis!F152*$Q152/$Q$361</f>
        <v>0</v>
      </c>
      <c r="W152" s="28">
        <f>Adatbázis!G152*$Q152/$Q$361</f>
        <v>0</v>
      </c>
      <c r="X152" s="28">
        <f>Adatbázis!H152*$Q152/$Q$361</f>
        <v>0</v>
      </c>
      <c r="Y152" s="28">
        <f>Adatbázis!I152*$Q152/$Q$361</f>
        <v>0</v>
      </c>
      <c r="Z152" s="28">
        <f>Adatbázis!J152*$Q152/$Q$361</f>
        <v>0</v>
      </c>
      <c r="AA152" s="28">
        <f>Adatbázis!K152*$Q152/$Q$361</f>
        <v>0</v>
      </c>
      <c r="AB152" s="28">
        <f>Adatbázis!L152*$Q152/$Q$361</f>
        <v>0</v>
      </c>
      <c r="AC152" s="41">
        <f>Adatbázis!C152*Q152</f>
        <v>0</v>
      </c>
      <c r="AD152" s="442">
        <f t="shared" si="8"/>
        <v>0</v>
      </c>
      <c r="AE152" s="442"/>
      <c r="AF152" s="497" t="s">
        <v>211</v>
      </c>
      <c r="AG152" s="588"/>
      <c r="AH152" s="588"/>
      <c r="AI152" s="589"/>
    </row>
    <row r="153" spans="1:37" ht="15" customHeight="1" x14ac:dyDescent="0.25">
      <c r="A153" s="523"/>
      <c r="B153" s="491"/>
      <c r="C153" s="81"/>
      <c r="D153" s="27" t="s">
        <v>14</v>
      </c>
      <c r="E153" s="36">
        <v>10.3</v>
      </c>
      <c r="F153" s="17">
        <v>44</v>
      </c>
      <c r="G153" s="17">
        <v>3</v>
      </c>
      <c r="H153" s="17">
        <v>4.5</v>
      </c>
      <c r="I153" s="17">
        <v>0.26</v>
      </c>
      <c r="J153" s="17">
        <v>0.85</v>
      </c>
      <c r="K153" s="17">
        <v>2.8</v>
      </c>
      <c r="L153" s="17">
        <v>0.8</v>
      </c>
      <c r="M153" s="43"/>
      <c r="N153" s="472" t="s">
        <v>329</v>
      </c>
      <c r="O153" s="472"/>
      <c r="P153" s="472"/>
      <c r="Q153" s="107"/>
      <c r="R153" s="80" t="s">
        <v>133</v>
      </c>
      <c r="S153" s="263">
        <f t="shared" si="11"/>
        <v>5</v>
      </c>
      <c r="T153" s="260">
        <f t="shared" si="12"/>
        <v>32</v>
      </c>
      <c r="U153" s="36">
        <f>Adatbázis!E153*Q153</f>
        <v>0</v>
      </c>
      <c r="V153" s="28">
        <f>Adatbázis!F153*$Q153/$Q$361</f>
        <v>0</v>
      </c>
      <c r="W153" s="28">
        <f>Adatbázis!G153*$Q153/$Q$361</f>
        <v>0</v>
      </c>
      <c r="X153" s="28">
        <f>Adatbázis!H153*$Q153/$Q$361</f>
        <v>0</v>
      </c>
      <c r="Y153" s="28">
        <f>Adatbázis!I153*$Q153/$Q$361</f>
        <v>0</v>
      </c>
      <c r="Z153" s="28">
        <f>Adatbázis!J153*$Q153/$Q$361</f>
        <v>0</v>
      </c>
      <c r="AA153" s="28">
        <f>Adatbázis!K153*$Q153/$Q$361</f>
        <v>0</v>
      </c>
      <c r="AB153" s="28">
        <f>Adatbázis!L153*$Q153/$Q$361</f>
        <v>0</v>
      </c>
      <c r="AC153" s="41">
        <f>Adatbázis!C153*Q153</f>
        <v>0</v>
      </c>
      <c r="AD153" s="442">
        <f t="shared" si="8"/>
        <v>0</v>
      </c>
      <c r="AE153" s="442"/>
      <c r="AF153" s="497" t="s">
        <v>211</v>
      </c>
      <c r="AG153" s="588"/>
      <c r="AH153" s="588"/>
      <c r="AI153" s="589"/>
    </row>
    <row r="154" spans="1:37" ht="15" customHeight="1" x14ac:dyDescent="0.25">
      <c r="A154" s="523"/>
      <c r="B154" s="491"/>
      <c r="C154" s="81"/>
      <c r="D154" s="27" t="s">
        <v>14</v>
      </c>
      <c r="E154" s="36">
        <v>10.3</v>
      </c>
      <c r="F154" s="17">
        <v>43</v>
      </c>
      <c r="G154" s="17">
        <v>4</v>
      </c>
      <c r="H154" s="17">
        <v>5.5</v>
      </c>
      <c r="I154" s="17">
        <v>0.25</v>
      </c>
      <c r="J154" s="17">
        <v>0.65</v>
      </c>
      <c r="K154" s="17">
        <v>2.71</v>
      </c>
      <c r="L154" s="17">
        <v>0.62</v>
      </c>
      <c r="M154" s="43"/>
      <c r="N154" s="472" t="s">
        <v>212</v>
      </c>
      <c r="O154" s="472"/>
      <c r="P154" s="472"/>
      <c r="Q154" s="107"/>
      <c r="R154" s="80" t="s">
        <v>133</v>
      </c>
      <c r="S154" s="123">
        <f t="shared" si="11"/>
        <v>5</v>
      </c>
      <c r="T154" s="121">
        <f t="shared" si="12"/>
        <v>32</v>
      </c>
      <c r="U154" s="36">
        <f>Adatbázis!E154*Q154</f>
        <v>0</v>
      </c>
      <c r="V154" s="28">
        <f>Adatbázis!F154*$Q154/$Q$361</f>
        <v>0</v>
      </c>
      <c r="W154" s="28">
        <f>Adatbázis!G154*$Q154/$Q$361</f>
        <v>0</v>
      </c>
      <c r="X154" s="28">
        <f>Adatbázis!H154*$Q154/$Q$361</f>
        <v>0</v>
      </c>
      <c r="Y154" s="28">
        <f>Adatbázis!I154*$Q154/$Q$361</f>
        <v>0</v>
      </c>
      <c r="Z154" s="28">
        <f>Adatbázis!J154*$Q154/$Q$361</f>
        <v>0</v>
      </c>
      <c r="AA154" s="28">
        <f>Adatbázis!K154*$Q154/$Q$361</f>
        <v>0</v>
      </c>
      <c r="AB154" s="28">
        <f>Adatbázis!L154*$Q154/$Q$361</f>
        <v>0</v>
      </c>
      <c r="AC154" s="41">
        <f>Adatbázis!C154*Q154</f>
        <v>0</v>
      </c>
      <c r="AD154" s="442">
        <f t="shared" si="8"/>
        <v>0</v>
      </c>
      <c r="AE154" s="442"/>
      <c r="AF154" s="497" t="s">
        <v>211</v>
      </c>
      <c r="AG154" s="588"/>
      <c r="AH154" s="588"/>
      <c r="AI154" s="589"/>
    </row>
    <row r="155" spans="1:37" ht="15" customHeight="1" x14ac:dyDescent="0.25">
      <c r="A155" s="523"/>
      <c r="B155" s="491"/>
      <c r="C155" s="81"/>
      <c r="D155" s="27" t="s">
        <v>14</v>
      </c>
      <c r="E155" s="36">
        <v>10</v>
      </c>
      <c r="F155" s="17">
        <v>34</v>
      </c>
      <c r="G155" s="17">
        <v>1.8</v>
      </c>
      <c r="H155" s="17">
        <v>5</v>
      </c>
      <c r="I155" s="17">
        <v>0.25</v>
      </c>
      <c r="J155" s="17">
        <v>0.85</v>
      </c>
      <c r="K155" s="17"/>
      <c r="L155" s="17"/>
      <c r="M155" s="43"/>
      <c r="N155" s="472" t="s">
        <v>386</v>
      </c>
      <c r="O155" s="472"/>
      <c r="P155" s="472"/>
      <c r="Q155" s="145"/>
      <c r="R155" s="80" t="s">
        <v>133</v>
      </c>
      <c r="S155" s="123">
        <f t="shared" si="11"/>
        <v>5</v>
      </c>
      <c r="T155" s="121">
        <f t="shared" si="12"/>
        <v>32</v>
      </c>
      <c r="U155" s="36">
        <f>Adatbázis!E155*Q155</f>
        <v>0</v>
      </c>
      <c r="V155" s="28">
        <f>Adatbázis!F155*$Q155/$Q$361</f>
        <v>0</v>
      </c>
      <c r="W155" s="28">
        <f>Adatbázis!G155*$Q155/$Q$361</f>
        <v>0</v>
      </c>
      <c r="X155" s="28">
        <f>Adatbázis!H155*$Q155/$Q$361</f>
        <v>0</v>
      </c>
      <c r="Y155" s="28">
        <f>Adatbázis!I155*$Q155/$Q$361</f>
        <v>0</v>
      </c>
      <c r="Z155" s="28">
        <f>Adatbázis!J155*$Q155/$Q$361</f>
        <v>0</v>
      </c>
      <c r="AA155" s="28">
        <f>Adatbázis!K155*$Q155/$Q$361</f>
        <v>0</v>
      </c>
      <c r="AB155" s="28">
        <f>Adatbázis!L155*$Q155/$Q$361</f>
        <v>0</v>
      </c>
      <c r="AC155" s="41">
        <f>Adatbázis!C155*Q155</f>
        <v>0</v>
      </c>
      <c r="AD155" s="442">
        <f t="shared" si="8"/>
        <v>0</v>
      </c>
      <c r="AE155" s="442"/>
      <c r="AF155" s="497" t="s">
        <v>211</v>
      </c>
      <c r="AG155" s="588"/>
      <c r="AH155" s="588"/>
      <c r="AI155" s="589"/>
    </row>
    <row r="156" spans="1:37" x14ac:dyDescent="0.25">
      <c r="A156" s="523"/>
      <c r="B156" s="491"/>
      <c r="C156" s="94"/>
      <c r="D156" s="95" t="s">
        <v>14</v>
      </c>
      <c r="E156" s="118">
        <v>20.100000000000001</v>
      </c>
      <c r="F156" s="119">
        <v>38</v>
      </c>
      <c r="G156" s="119">
        <v>18</v>
      </c>
      <c r="H156" s="119">
        <v>5</v>
      </c>
      <c r="I156" s="119"/>
      <c r="J156" s="119"/>
      <c r="K156" s="119">
        <v>2.27</v>
      </c>
      <c r="L156" s="119">
        <v>0.52</v>
      </c>
      <c r="M156" s="118"/>
      <c r="N156" s="476" t="s">
        <v>295</v>
      </c>
      <c r="O156" s="476"/>
      <c r="P156" s="476"/>
      <c r="Q156" s="145"/>
      <c r="R156" s="151" t="s">
        <v>133</v>
      </c>
      <c r="S156" s="149">
        <f t="shared" si="11"/>
        <v>5</v>
      </c>
      <c r="T156" s="150">
        <f t="shared" si="12"/>
        <v>32</v>
      </c>
      <c r="U156" s="22">
        <f>Adatbázis!E156*Q156</f>
        <v>0</v>
      </c>
      <c r="V156" s="48">
        <f>Adatbázis!F156*$Q156/$Q$361</f>
        <v>0</v>
      </c>
      <c r="W156" s="48">
        <f>Adatbázis!G156*$Q156/$Q$361</f>
        <v>0</v>
      </c>
      <c r="X156" s="48">
        <f>Adatbázis!H156*$Q156/$Q$361</f>
        <v>0</v>
      </c>
      <c r="Y156" s="48">
        <f>Adatbázis!I156*$Q156/$Q$361</f>
        <v>0</v>
      </c>
      <c r="Z156" s="48">
        <f>Adatbázis!J156*$Q156/$Q$361</f>
        <v>0</v>
      </c>
      <c r="AA156" s="48">
        <f>Adatbázis!K156*$Q156/$Q$361</f>
        <v>0</v>
      </c>
      <c r="AB156" s="48">
        <f>Adatbázis!L156*$Q156/$Q$361</f>
        <v>0</v>
      </c>
      <c r="AC156" s="49">
        <f>Adatbázis!C156*Q156</f>
        <v>0</v>
      </c>
      <c r="AD156" s="442">
        <f t="shared" si="8"/>
        <v>0</v>
      </c>
      <c r="AE156" s="442"/>
      <c r="AF156" s="130" t="s">
        <v>211</v>
      </c>
      <c r="AG156" s="130"/>
      <c r="AH156" s="130"/>
      <c r="AI156" s="131"/>
    </row>
    <row r="157" spans="1:37" x14ac:dyDescent="0.25">
      <c r="A157" s="523"/>
      <c r="B157" s="491"/>
      <c r="C157" s="94"/>
      <c r="D157" s="95" t="s">
        <v>14</v>
      </c>
      <c r="E157" s="118">
        <v>20.100000000000001</v>
      </c>
      <c r="F157" s="119">
        <v>36</v>
      </c>
      <c r="G157" s="119">
        <v>18</v>
      </c>
      <c r="H157" s="119">
        <v>5</v>
      </c>
      <c r="I157" s="119"/>
      <c r="J157" s="119"/>
      <c r="K157" s="119">
        <v>2.27</v>
      </c>
      <c r="L157" s="119">
        <v>0.52</v>
      </c>
      <c r="M157" s="118"/>
      <c r="N157" s="476" t="s">
        <v>370</v>
      </c>
      <c r="O157" s="476"/>
      <c r="P157" s="476"/>
      <c r="Q157" s="107"/>
      <c r="R157" s="151" t="s">
        <v>133</v>
      </c>
      <c r="S157" s="264">
        <f t="shared" si="11"/>
        <v>5</v>
      </c>
      <c r="T157" s="261">
        <f t="shared" si="12"/>
        <v>32</v>
      </c>
      <c r="U157" s="22">
        <f>Adatbázis!E157*Q157</f>
        <v>0</v>
      </c>
      <c r="V157" s="48">
        <f>Adatbázis!F157*$Q157/$Q$361</f>
        <v>0</v>
      </c>
      <c r="W157" s="48">
        <f>Adatbázis!G157*$Q157/$Q$361</f>
        <v>0</v>
      </c>
      <c r="X157" s="48">
        <f>Adatbázis!H157*$Q157/$Q$361</f>
        <v>0</v>
      </c>
      <c r="Y157" s="48">
        <f>Adatbázis!I157*$Q157/$Q$361</f>
        <v>0</v>
      </c>
      <c r="Z157" s="48">
        <f>Adatbázis!J157*$Q157/$Q$361</f>
        <v>0</v>
      </c>
      <c r="AA157" s="48">
        <f>Adatbázis!K157*$Q157/$Q$361</f>
        <v>0</v>
      </c>
      <c r="AB157" s="48">
        <f>Adatbázis!L157*$Q157/$Q$361</f>
        <v>0</v>
      </c>
      <c r="AC157" s="49">
        <f>Adatbázis!C157*Q157</f>
        <v>0</v>
      </c>
      <c r="AD157" s="442">
        <f t="shared" si="8"/>
        <v>0</v>
      </c>
      <c r="AE157" s="442"/>
      <c r="AF157" s="130" t="s">
        <v>211</v>
      </c>
      <c r="AG157" s="130"/>
      <c r="AH157" s="130"/>
      <c r="AI157" s="131"/>
    </row>
    <row r="158" spans="1:37" ht="15" customHeight="1" x14ac:dyDescent="0.25">
      <c r="A158" s="523"/>
      <c r="B158" s="491"/>
      <c r="C158" s="81"/>
      <c r="D158" s="27" t="s">
        <v>14</v>
      </c>
      <c r="E158" s="36">
        <v>10</v>
      </c>
      <c r="F158" s="17">
        <v>33</v>
      </c>
      <c r="G158" s="17">
        <v>18</v>
      </c>
      <c r="H158" s="17">
        <v>5</v>
      </c>
      <c r="I158" s="17">
        <v>0.25</v>
      </c>
      <c r="J158" s="17">
        <v>0.65</v>
      </c>
      <c r="K158" s="17">
        <v>2.27</v>
      </c>
      <c r="L158" s="17">
        <v>0.52</v>
      </c>
      <c r="M158" s="43"/>
      <c r="N158" s="472" t="s">
        <v>252</v>
      </c>
      <c r="O158" s="472"/>
      <c r="P158" s="472"/>
      <c r="Q158" s="107"/>
      <c r="R158" s="80" t="s">
        <v>133</v>
      </c>
      <c r="S158" s="139">
        <f t="shared" si="11"/>
        <v>5</v>
      </c>
      <c r="T158" s="138">
        <f t="shared" si="12"/>
        <v>32</v>
      </c>
      <c r="U158" s="36">
        <f>Adatbázis!E158*Q158</f>
        <v>0</v>
      </c>
      <c r="V158" s="28">
        <f>Adatbázis!F158*$Q158/$Q$361</f>
        <v>0</v>
      </c>
      <c r="W158" s="28">
        <f>Adatbázis!G158*$Q158/$Q$361</f>
        <v>0</v>
      </c>
      <c r="X158" s="28">
        <f>Adatbázis!H158*$Q158/$Q$361</f>
        <v>0</v>
      </c>
      <c r="Y158" s="28">
        <f>Adatbázis!I158*$Q158/$Q$361</f>
        <v>0</v>
      </c>
      <c r="Z158" s="28">
        <f>Adatbázis!J158*$Q158/$Q$361</f>
        <v>0</v>
      </c>
      <c r="AA158" s="28">
        <f>Adatbázis!K158*$Q158/$Q$361</f>
        <v>0</v>
      </c>
      <c r="AB158" s="28">
        <f>Adatbázis!L158*$Q158/$Q$361</f>
        <v>0</v>
      </c>
      <c r="AC158" s="41">
        <f>Adatbázis!C158*Q158</f>
        <v>0</v>
      </c>
      <c r="AD158" s="442">
        <f t="shared" si="8"/>
        <v>0</v>
      </c>
      <c r="AE158" s="442"/>
      <c r="AF158" s="497" t="s">
        <v>211</v>
      </c>
      <c r="AG158" s="588"/>
      <c r="AH158" s="588"/>
      <c r="AI158" s="589"/>
    </row>
    <row r="159" spans="1:37" ht="15" customHeight="1" x14ac:dyDescent="0.25">
      <c r="A159" s="523"/>
      <c r="B159" s="491"/>
      <c r="C159" s="81"/>
      <c r="D159" s="27" t="s">
        <v>14</v>
      </c>
      <c r="E159" s="43"/>
      <c r="F159" s="17">
        <v>52</v>
      </c>
      <c r="G159" s="17">
        <v>13.1</v>
      </c>
      <c r="H159" s="17">
        <v>16</v>
      </c>
      <c r="I159" s="17"/>
      <c r="J159" s="17"/>
      <c r="K159" s="17">
        <v>0.96</v>
      </c>
      <c r="L159" s="17">
        <v>0.64</v>
      </c>
      <c r="M159" s="43"/>
      <c r="N159" s="472" t="s">
        <v>418</v>
      </c>
      <c r="O159" s="472"/>
      <c r="P159" s="472"/>
      <c r="Q159" s="145"/>
      <c r="R159" s="79" t="s">
        <v>133</v>
      </c>
      <c r="S159" s="405">
        <f t="shared" si="11"/>
        <v>5</v>
      </c>
      <c r="T159" s="404">
        <f>$P$11*0.18</f>
        <v>18</v>
      </c>
      <c r="U159" s="36">
        <f>Adatbázis!E159*Q159</f>
        <v>0</v>
      </c>
      <c r="V159" s="28">
        <f>Adatbázis!F159*$Q159/$Q$361</f>
        <v>0</v>
      </c>
      <c r="W159" s="28">
        <f>Adatbázis!G159*$Q159/$Q$361</f>
        <v>0</v>
      </c>
      <c r="X159" s="28">
        <f>Adatbázis!H159*$Q159/$Q$361</f>
        <v>0</v>
      </c>
      <c r="Y159" s="28">
        <f>Adatbázis!I159*$Q159/$Q$361</f>
        <v>0</v>
      </c>
      <c r="Z159" s="28">
        <f>Adatbázis!J159*$Q159/$Q$361</f>
        <v>0</v>
      </c>
      <c r="AA159" s="28">
        <f>Adatbázis!K159*$Q159/$Q$361</f>
        <v>0</v>
      </c>
      <c r="AB159" s="28">
        <f>Adatbázis!L159*$Q159/$Q$361</f>
        <v>0</v>
      </c>
      <c r="AC159" s="41">
        <f>Adatbázis!C159*Q159</f>
        <v>0</v>
      </c>
      <c r="AD159" s="442">
        <f t="shared" si="8"/>
        <v>0</v>
      </c>
      <c r="AE159" s="442"/>
      <c r="AF159" s="275"/>
      <c r="AG159" s="406"/>
      <c r="AH159" s="406"/>
      <c r="AI159" s="406"/>
    </row>
    <row r="160" spans="1:37" x14ac:dyDescent="0.25">
      <c r="A160" s="523"/>
      <c r="B160" s="491"/>
      <c r="C160" s="81"/>
      <c r="D160" s="27" t="s">
        <v>14</v>
      </c>
      <c r="E160" s="43">
        <v>10.17</v>
      </c>
      <c r="F160" s="17">
        <v>52</v>
      </c>
      <c r="G160" s="17">
        <v>9</v>
      </c>
      <c r="H160" s="17">
        <v>16</v>
      </c>
      <c r="I160" s="17"/>
      <c r="J160" s="17"/>
      <c r="K160" s="17">
        <v>0.96</v>
      </c>
      <c r="L160" s="17">
        <v>0.64</v>
      </c>
      <c r="M160" s="43"/>
      <c r="N160" s="472" t="s">
        <v>325</v>
      </c>
      <c r="O160" s="472"/>
      <c r="P160" s="472"/>
      <c r="Q160" s="145"/>
      <c r="R160" s="79" t="s">
        <v>133</v>
      </c>
      <c r="S160" s="258">
        <f t="shared" si="11"/>
        <v>5</v>
      </c>
      <c r="T160" s="257">
        <f>$P$11*0.18</f>
        <v>18</v>
      </c>
      <c r="U160" s="36">
        <f>Adatbázis!E160*Q160</f>
        <v>0</v>
      </c>
      <c r="V160" s="28">
        <f>Adatbázis!F160*$Q160/$Q$361</f>
        <v>0</v>
      </c>
      <c r="W160" s="28">
        <f>Adatbázis!G160*$Q160/$Q$361</f>
        <v>0</v>
      </c>
      <c r="X160" s="28">
        <f>Adatbázis!H160*$Q160/$Q$361</f>
        <v>0</v>
      </c>
      <c r="Y160" s="28">
        <f>Adatbázis!I160*$Q160/$Q$361</f>
        <v>0</v>
      </c>
      <c r="Z160" s="28">
        <f>Adatbázis!J160*$Q160/$Q$361</f>
        <v>0</v>
      </c>
      <c r="AA160" s="28">
        <f>Adatbázis!K160*$Q160/$Q$361</f>
        <v>0</v>
      </c>
      <c r="AB160" s="28">
        <f>Adatbázis!L160*$Q160/$Q$361</f>
        <v>0</v>
      </c>
      <c r="AC160" s="41">
        <f>Adatbázis!C160*Q160</f>
        <v>0</v>
      </c>
      <c r="AD160" s="442">
        <f t="shared" si="8"/>
        <v>0</v>
      </c>
      <c r="AE160" s="442"/>
      <c r="AF160" s="275"/>
      <c r="AG160" s="275"/>
      <c r="AH160" s="275"/>
      <c r="AI160" s="275"/>
    </row>
    <row r="161" spans="1:35" x14ac:dyDescent="0.25">
      <c r="A161" s="523"/>
      <c r="B161" s="491"/>
      <c r="C161" s="81"/>
      <c r="D161" s="27" t="s">
        <v>14</v>
      </c>
      <c r="E161" s="43">
        <v>10.17</v>
      </c>
      <c r="F161" s="17">
        <v>50</v>
      </c>
      <c r="G161" s="17">
        <v>9</v>
      </c>
      <c r="H161" s="17">
        <v>16</v>
      </c>
      <c r="I161" s="17"/>
      <c r="J161" s="17"/>
      <c r="K161" s="17">
        <v>0.96</v>
      </c>
      <c r="L161" s="17">
        <v>0.64</v>
      </c>
      <c r="M161" s="43"/>
      <c r="N161" s="472" t="s">
        <v>403</v>
      </c>
      <c r="O161" s="472"/>
      <c r="P161" s="472"/>
      <c r="Q161" s="107"/>
      <c r="R161" s="79" t="s">
        <v>133</v>
      </c>
      <c r="S161" s="351">
        <f t="shared" si="11"/>
        <v>5</v>
      </c>
      <c r="T161" s="350">
        <f>$P$11*0.18</f>
        <v>18</v>
      </c>
      <c r="U161" s="36">
        <f>Adatbázis!E161*Q161</f>
        <v>0</v>
      </c>
      <c r="V161" s="28">
        <f>Adatbázis!F161*$Q161/$Q$361</f>
        <v>0</v>
      </c>
      <c r="W161" s="28">
        <f>Adatbázis!G161*$Q161/$Q$361</f>
        <v>0</v>
      </c>
      <c r="X161" s="28">
        <f>Adatbázis!H161*$Q161/$Q$361</f>
        <v>0</v>
      </c>
      <c r="Y161" s="28">
        <f>Adatbázis!I161*$Q161/$Q$361</f>
        <v>0</v>
      </c>
      <c r="Z161" s="28">
        <f>Adatbázis!J161*$Q161/$Q$361</f>
        <v>0</v>
      </c>
      <c r="AA161" s="28">
        <f>Adatbázis!K161*$Q161/$Q$361</f>
        <v>0</v>
      </c>
      <c r="AB161" s="28">
        <f>Adatbázis!L161*$Q161/$Q$361</f>
        <v>0</v>
      </c>
      <c r="AC161" s="41">
        <f>Adatbázis!C161*Q161</f>
        <v>0</v>
      </c>
      <c r="AD161" s="442">
        <f t="shared" si="8"/>
        <v>0</v>
      </c>
      <c r="AE161" s="442"/>
      <c r="AF161" s="275"/>
      <c r="AG161" s="275"/>
      <c r="AH161" s="275"/>
      <c r="AI161" s="275"/>
    </row>
    <row r="162" spans="1:35" x14ac:dyDescent="0.25">
      <c r="A162" s="523"/>
      <c r="B162" s="491"/>
      <c r="C162" s="81"/>
      <c r="D162" s="27" t="s">
        <v>14</v>
      </c>
      <c r="E162" s="43">
        <v>9.84</v>
      </c>
      <c r="F162" s="17">
        <v>46</v>
      </c>
      <c r="G162" s="17">
        <v>0.8</v>
      </c>
      <c r="H162" s="17">
        <v>8</v>
      </c>
      <c r="I162" s="17">
        <v>0.44</v>
      </c>
      <c r="J162" s="17">
        <v>1.5</v>
      </c>
      <c r="K162" s="17">
        <v>1.73</v>
      </c>
      <c r="L162" s="17">
        <v>1.1599999999999999</v>
      </c>
      <c r="M162" s="43"/>
      <c r="N162" s="472" t="s">
        <v>389</v>
      </c>
      <c r="O162" s="472"/>
      <c r="P162" s="472"/>
      <c r="Q162" s="107"/>
      <c r="R162" s="80" t="s">
        <v>133</v>
      </c>
      <c r="S162" s="334">
        <f t="shared" si="11"/>
        <v>5</v>
      </c>
      <c r="T162" s="333">
        <f>$P$11*0.2</f>
        <v>20</v>
      </c>
      <c r="U162" s="36">
        <f>Adatbázis!E162*Q162</f>
        <v>0</v>
      </c>
      <c r="V162" s="28">
        <f>Adatbázis!F162*$Q162/$Q$361</f>
        <v>0</v>
      </c>
      <c r="W162" s="28">
        <f>Adatbázis!G162*$Q162/$Q$361</f>
        <v>0</v>
      </c>
      <c r="X162" s="28">
        <f>Adatbázis!H162*$Q162/$Q$361</f>
        <v>0</v>
      </c>
      <c r="Y162" s="28">
        <f>Adatbázis!I162*$Q162/$Q$361</f>
        <v>0</v>
      </c>
      <c r="Z162" s="28">
        <f>Adatbázis!J162*$Q162/$Q$361</f>
        <v>0</v>
      </c>
      <c r="AA162" s="28">
        <f>Adatbázis!K162*$Q162/$Q$361</f>
        <v>0</v>
      </c>
      <c r="AB162" s="28">
        <f>Adatbázis!L162*$Q162/$Q$361</f>
        <v>0</v>
      </c>
      <c r="AC162" s="41">
        <f>Adatbázis!C162*Q162</f>
        <v>0</v>
      </c>
      <c r="AD162" s="442">
        <f t="shared" si="8"/>
        <v>0</v>
      </c>
      <c r="AE162" s="442"/>
      <c r="AF162" s="496" t="s">
        <v>390</v>
      </c>
      <c r="AG162" s="497"/>
      <c r="AH162" s="497"/>
      <c r="AI162" s="479"/>
    </row>
    <row r="163" spans="1:35" x14ac:dyDescent="0.25">
      <c r="A163" s="523"/>
      <c r="B163" s="491"/>
      <c r="C163" s="81"/>
      <c r="D163" s="27" t="s">
        <v>14</v>
      </c>
      <c r="E163" s="43">
        <v>10.17</v>
      </c>
      <c r="F163" s="17">
        <v>44</v>
      </c>
      <c r="G163" s="17">
        <v>12.7</v>
      </c>
      <c r="H163" s="17">
        <v>14.5</v>
      </c>
      <c r="I163" s="17"/>
      <c r="J163" s="17"/>
      <c r="K163" s="17">
        <v>0.96</v>
      </c>
      <c r="L163" s="17">
        <v>0.64</v>
      </c>
      <c r="M163" s="43"/>
      <c r="N163" s="472" t="s">
        <v>312</v>
      </c>
      <c r="O163" s="472"/>
      <c r="P163" s="472"/>
      <c r="Q163" s="145"/>
      <c r="R163" s="79" t="s">
        <v>133</v>
      </c>
      <c r="S163" s="242">
        <f t="shared" si="11"/>
        <v>5</v>
      </c>
      <c r="T163" s="241">
        <f t="shared" ref="T163:T176" si="13">$P$11*0.18</f>
        <v>18</v>
      </c>
      <c r="U163" s="36">
        <f>Adatbázis!E163*Q163</f>
        <v>0</v>
      </c>
      <c r="V163" s="28">
        <f>Adatbázis!F163*$Q163/$Q$361</f>
        <v>0</v>
      </c>
      <c r="W163" s="28">
        <f>Adatbázis!G163*$Q163/$Q$361</f>
        <v>0</v>
      </c>
      <c r="X163" s="28">
        <f>Adatbázis!H163*$Q163/$Q$361</f>
        <v>0</v>
      </c>
      <c r="Y163" s="28">
        <f>Adatbázis!I163*$Q163/$Q$361</f>
        <v>0</v>
      </c>
      <c r="Z163" s="28">
        <f>Adatbázis!J163*$Q163/$Q$361</f>
        <v>0</v>
      </c>
      <c r="AA163" s="28">
        <f>Adatbázis!K163*$Q163/$Q$361</f>
        <v>0</v>
      </c>
      <c r="AB163" s="28">
        <f>Adatbázis!L163*$Q163/$Q$361</f>
        <v>0</v>
      </c>
      <c r="AC163" s="41">
        <f>Adatbázis!C163*Q163</f>
        <v>0</v>
      </c>
      <c r="AD163" s="442">
        <f t="shared" si="8"/>
        <v>0</v>
      </c>
      <c r="AE163" s="442"/>
      <c r="AF163" s="275"/>
      <c r="AG163" s="275"/>
      <c r="AH163" s="275"/>
      <c r="AI163" s="275"/>
    </row>
    <row r="164" spans="1:35" x14ac:dyDescent="0.25">
      <c r="A164" s="523"/>
      <c r="B164" s="491"/>
      <c r="C164" s="81"/>
      <c r="D164" s="27" t="s">
        <v>14</v>
      </c>
      <c r="E164" s="43">
        <v>7.47</v>
      </c>
      <c r="F164" s="17">
        <v>42</v>
      </c>
      <c r="G164" s="17">
        <v>1.9</v>
      </c>
      <c r="H164" s="17">
        <v>14.9</v>
      </c>
      <c r="I164" s="17">
        <v>0.4</v>
      </c>
      <c r="J164" s="17">
        <v>1.1599999999999999</v>
      </c>
      <c r="K164" s="17"/>
      <c r="L164" s="17"/>
      <c r="M164" s="43"/>
      <c r="N164" s="472" t="s">
        <v>422</v>
      </c>
      <c r="O164" s="472"/>
      <c r="P164" s="472"/>
      <c r="Q164" s="145"/>
      <c r="R164" s="79" t="s">
        <v>133</v>
      </c>
      <c r="S164" s="123">
        <f t="shared" si="11"/>
        <v>5</v>
      </c>
      <c r="T164" s="121">
        <f t="shared" si="13"/>
        <v>18</v>
      </c>
      <c r="U164" s="36">
        <f>Adatbázis!E164*Q164</f>
        <v>0</v>
      </c>
      <c r="V164" s="28">
        <f>Adatbázis!F164*$Q164/$Q$361</f>
        <v>0</v>
      </c>
      <c r="W164" s="28">
        <f>Adatbázis!G164*$Q164/$Q$361</f>
        <v>0</v>
      </c>
      <c r="X164" s="28">
        <f>Adatbázis!H164*$Q164/$Q$361</f>
        <v>0</v>
      </c>
      <c r="Y164" s="28">
        <f>Adatbázis!I164*$Q164/$Q$361</f>
        <v>0</v>
      </c>
      <c r="Z164" s="28">
        <f>Adatbázis!J164*$Q164/$Q$361</f>
        <v>0</v>
      </c>
      <c r="AA164" s="28">
        <f>Adatbázis!K164*$Q164/$Q$361</f>
        <v>0</v>
      </c>
      <c r="AB164" s="28">
        <f>Adatbázis!L164*$Q164/$Q$361</f>
        <v>0</v>
      </c>
      <c r="AC164" s="41">
        <f>Adatbázis!C164*Q164</f>
        <v>0</v>
      </c>
      <c r="AD164" s="442">
        <f t="shared" si="8"/>
        <v>0</v>
      </c>
      <c r="AE164" s="442"/>
      <c r="AF164" s="275"/>
      <c r="AG164" s="275"/>
      <c r="AH164" s="275"/>
      <c r="AI164" s="275"/>
    </row>
    <row r="165" spans="1:35" x14ac:dyDescent="0.25">
      <c r="A165" s="523"/>
      <c r="B165" s="491"/>
      <c r="C165" s="81"/>
      <c r="D165" s="27" t="s">
        <v>14</v>
      </c>
      <c r="E165" s="43">
        <v>7.17</v>
      </c>
      <c r="F165" s="17">
        <v>40</v>
      </c>
      <c r="G165" s="17">
        <v>2</v>
      </c>
      <c r="H165" s="17">
        <v>18.7</v>
      </c>
      <c r="I165" s="17">
        <v>0.33</v>
      </c>
      <c r="J165" s="17">
        <v>1.34</v>
      </c>
      <c r="K165" s="17">
        <v>1.39</v>
      </c>
      <c r="L165" s="17">
        <v>0.86</v>
      </c>
      <c r="M165" s="43"/>
      <c r="N165" s="472" t="s">
        <v>316</v>
      </c>
      <c r="O165" s="472"/>
      <c r="P165" s="472"/>
      <c r="Q165" s="107"/>
      <c r="R165" s="79" t="s">
        <v>133</v>
      </c>
      <c r="S165" s="123">
        <f t="shared" si="11"/>
        <v>5</v>
      </c>
      <c r="T165" s="225">
        <f t="shared" si="13"/>
        <v>18</v>
      </c>
      <c r="U165" s="36">
        <f>Adatbázis!E165*Q165</f>
        <v>0</v>
      </c>
      <c r="V165" s="28">
        <f>Adatbázis!F165*$Q165/$Q$361</f>
        <v>0</v>
      </c>
      <c r="W165" s="28">
        <f>Adatbázis!G165*$Q165/$Q$361</f>
        <v>0</v>
      </c>
      <c r="X165" s="28">
        <f>Adatbázis!H165*$Q165/$Q$361</f>
        <v>0</v>
      </c>
      <c r="Y165" s="28">
        <f>Adatbázis!I165*$Q165/$Q$361</f>
        <v>0</v>
      </c>
      <c r="Z165" s="28">
        <f>Adatbázis!J165*$Q165/$Q$361</f>
        <v>0</v>
      </c>
      <c r="AA165" s="28">
        <f>Adatbázis!K165*$Q165/$Q$361</f>
        <v>0</v>
      </c>
      <c r="AB165" s="28">
        <f>Adatbázis!L165*$Q165/$Q$361</f>
        <v>0</v>
      </c>
      <c r="AC165" s="41">
        <f>Adatbázis!C165*Q165</f>
        <v>0</v>
      </c>
      <c r="AD165" s="442">
        <f t="shared" si="8"/>
        <v>0</v>
      </c>
      <c r="AE165" s="442"/>
      <c r="AF165" s="275"/>
      <c r="AG165" s="275"/>
      <c r="AH165" s="275"/>
      <c r="AI165" s="275"/>
    </row>
    <row r="166" spans="1:35" x14ac:dyDescent="0.25">
      <c r="A166" s="523"/>
      <c r="B166" s="491"/>
      <c r="C166" s="81"/>
      <c r="D166" s="27" t="s">
        <v>14</v>
      </c>
      <c r="E166" s="43">
        <v>7.19</v>
      </c>
      <c r="F166" s="17">
        <v>36</v>
      </c>
      <c r="G166" s="17">
        <v>2</v>
      </c>
      <c r="H166" s="17">
        <v>20</v>
      </c>
      <c r="I166" s="17">
        <v>0.32</v>
      </c>
      <c r="J166" s="17">
        <v>0.78</v>
      </c>
      <c r="K166" s="17">
        <v>1.39</v>
      </c>
      <c r="L166" s="17">
        <v>0.86</v>
      </c>
      <c r="M166" s="43"/>
      <c r="N166" s="472" t="s">
        <v>385</v>
      </c>
      <c r="O166" s="472"/>
      <c r="P166" s="472"/>
      <c r="Q166" s="107"/>
      <c r="R166" s="79" t="s">
        <v>133</v>
      </c>
      <c r="S166" s="304">
        <f t="shared" si="11"/>
        <v>5</v>
      </c>
      <c r="T166" s="303">
        <f t="shared" si="13"/>
        <v>18</v>
      </c>
      <c r="U166" s="36">
        <f>Adatbázis!E166*Q166</f>
        <v>0</v>
      </c>
      <c r="V166" s="28">
        <f>Adatbázis!F166*$Q166/$Q$361</f>
        <v>0</v>
      </c>
      <c r="W166" s="28">
        <f>Adatbázis!G166*$Q166/$Q$361</f>
        <v>0</v>
      </c>
      <c r="X166" s="28">
        <f>Adatbázis!H166*$Q166/$Q$361</f>
        <v>0</v>
      </c>
      <c r="Y166" s="28">
        <f>Adatbázis!I166*$Q166/$Q$361</f>
        <v>0</v>
      </c>
      <c r="Z166" s="28">
        <f>Adatbázis!J166*$Q166/$Q$361</f>
        <v>0</v>
      </c>
      <c r="AA166" s="28">
        <f>Adatbázis!K166*$Q166/$Q$361</f>
        <v>0</v>
      </c>
      <c r="AB166" s="28">
        <f>Adatbázis!L166*$Q166/$Q$361</f>
        <v>0</v>
      </c>
      <c r="AC166" s="41">
        <f>Adatbázis!C166*Q166</f>
        <v>0</v>
      </c>
      <c r="AD166" s="442">
        <f t="shared" si="8"/>
        <v>0</v>
      </c>
      <c r="AE166" s="442"/>
      <c r="AF166" s="275"/>
      <c r="AG166" s="275"/>
      <c r="AH166" s="275"/>
      <c r="AI166" s="275"/>
    </row>
    <row r="167" spans="1:35" x14ac:dyDescent="0.25">
      <c r="A167" s="523"/>
      <c r="B167" s="491"/>
      <c r="C167" s="81"/>
      <c r="D167" s="27" t="s">
        <v>14</v>
      </c>
      <c r="E167" s="43">
        <v>7.19</v>
      </c>
      <c r="F167" s="17">
        <v>35.5</v>
      </c>
      <c r="G167" s="17">
        <v>3</v>
      </c>
      <c r="H167" s="17">
        <v>20.5</v>
      </c>
      <c r="I167" s="17">
        <v>0.32</v>
      </c>
      <c r="J167" s="17">
        <v>0.78</v>
      </c>
      <c r="K167" s="17">
        <v>1.39</v>
      </c>
      <c r="L167" s="17">
        <v>0.86</v>
      </c>
      <c r="M167" s="43"/>
      <c r="N167" s="472" t="s">
        <v>412</v>
      </c>
      <c r="O167" s="472"/>
      <c r="P167" s="472"/>
      <c r="Q167" s="145"/>
      <c r="R167" s="79" t="s">
        <v>133</v>
      </c>
      <c r="S167" s="367">
        <f t="shared" si="11"/>
        <v>5</v>
      </c>
      <c r="T167" s="366">
        <f t="shared" si="13"/>
        <v>18</v>
      </c>
      <c r="U167" s="36">
        <f>Adatbázis!E167*Q167</f>
        <v>0</v>
      </c>
      <c r="V167" s="28">
        <f>Adatbázis!F167*$Q167/$Q$361</f>
        <v>0</v>
      </c>
      <c r="W167" s="28">
        <f>Adatbázis!G167*$Q167/$Q$361</f>
        <v>0</v>
      </c>
      <c r="X167" s="28">
        <f>Adatbázis!H167*$Q167/$Q$361</f>
        <v>0</v>
      </c>
      <c r="Y167" s="28">
        <f>Adatbázis!I167*$Q167/$Q$361</f>
        <v>0</v>
      </c>
      <c r="Z167" s="28">
        <f>Adatbázis!J167*$Q167/$Q$361</f>
        <v>0</v>
      </c>
      <c r="AA167" s="28">
        <f>Adatbázis!K167*$Q167/$Q$361</f>
        <v>0</v>
      </c>
      <c r="AB167" s="28">
        <f>Adatbázis!L167*$Q167/$Q$361</f>
        <v>0</v>
      </c>
      <c r="AC167" s="41">
        <f>Adatbázis!C167*Q167</f>
        <v>0</v>
      </c>
      <c r="AD167" s="442">
        <f t="shared" si="8"/>
        <v>0</v>
      </c>
      <c r="AE167" s="442"/>
      <c r="AF167" s="275"/>
      <c r="AG167" s="275"/>
      <c r="AH167" s="275"/>
      <c r="AI167" s="275"/>
    </row>
    <row r="168" spans="1:35" x14ac:dyDescent="0.25">
      <c r="A168" s="523"/>
      <c r="B168" s="491"/>
      <c r="C168" s="81"/>
      <c r="D168" s="27" t="s">
        <v>14</v>
      </c>
      <c r="E168" s="43">
        <v>7.19</v>
      </c>
      <c r="F168" s="17">
        <v>35.5</v>
      </c>
      <c r="G168" s="17">
        <v>2</v>
      </c>
      <c r="H168" s="17">
        <v>20</v>
      </c>
      <c r="I168" s="17">
        <v>0.32</v>
      </c>
      <c r="J168" s="17">
        <v>0.78</v>
      </c>
      <c r="K168" s="17">
        <v>1.39</v>
      </c>
      <c r="L168" s="17">
        <v>0.86</v>
      </c>
      <c r="M168" s="43"/>
      <c r="N168" s="472" t="s">
        <v>395</v>
      </c>
      <c r="O168" s="472"/>
      <c r="P168" s="472"/>
      <c r="Q168" s="145"/>
      <c r="R168" s="79" t="s">
        <v>133</v>
      </c>
      <c r="S168" s="336">
        <f t="shared" si="11"/>
        <v>5</v>
      </c>
      <c r="T168" s="335">
        <f t="shared" si="13"/>
        <v>18</v>
      </c>
      <c r="U168" s="36">
        <f>Adatbázis!E168*Q168</f>
        <v>0</v>
      </c>
      <c r="V168" s="28">
        <f>Adatbázis!F168*$Q168/$Q$361</f>
        <v>0</v>
      </c>
      <c r="W168" s="28">
        <f>Adatbázis!G168*$Q168/$Q$361</f>
        <v>0</v>
      </c>
      <c r="X168" s="28">
        <f>Adatbázis!H168*$Q168/$Q$361</f>
        <v>0</v>
      </c>
      <c r="Y168" s="28">
        <f>Adatbázis!I168*$Q168/$Q$361</f>
        <v>0</v>
      </c>
      <c r="Z168" s="28">
        <f>Adatbázis!J168*$Q168/$Q$361</f>
        <v>0</v>
      </c>
      <c r="AA168" s="28">
        <f>Adatbázis!K168*$Q168/$Q$361</f>
        <v>0</v>
      </c>
      <c r="AB168" s="28">
        <f>Adatbázis!L168*$Q168/$Q$361</f>
        <v>0</v>
      </c>
      <c r="AC168" s="41">
        <f>Adatbázis!C168*Q168</f>
        <v>0</v>
      </c>
      <c r="AD168" s="442">
        <f t="shared" si="8"/>
        <v>0</v>
      </c>
      <c r="AE168" s="442"/>
      <c r="AF168" s="275"/>
      <c r="AG168" s="275"/>
      <c r="AH168" s="275"/>
      <c r="AI168" s="275"/>
    </row>
    <row r="169" spans="1:35" x14ac:dyDescent="0.25">
      <c r="A169" s="523"/>
      <c r="B169" s="491"/>
      <c r="C169" s="81"/>
      <c r="D169" s="27" t="s">
        <v>14</v>
      </c>
      <c r="E169" s="43">
        <v>7.19</v>
      </c>
      <c r="F169" s="17">
        <v>35</v>
      </c>
      <c r="G169" s="17">
        <v>2</v>
      </c>
      <c r="H169" s="17">
        <v>20</v>
      </c>
      <c r="I169" s="17">
        <v>0.32</v>
      </c>
      <c r="J169" s="17">
        <v>0.78</v>
      </c>
      <c r="K169" s="17">
        <v>1.39</v>
      </c>
      <c r="L169" s="17">
        <v>0.86</v>
      </c>
      <c r="M169" s="43"/>
      <c r="N169" s="472" t="s">
        <v>400</v>
      </c>
      <c r="O169" s="472"/>
      <c r="P169" s="472"/>
      <c r="Q169" s="107"/>
      <c r="R169" s="79" t="s">
        <v>133</v>
      </c>
      <c r="S169" s="347">
        <f t="shared" si="11"/>
        <v>5</v>
      </c>
      <c r="T169" s="346">
        <f t="shared" si="13"/>
        <v>18</v>
      </c>
      <c r="U169" s="36">
        <f>Adatbázis!E169*Q169</f>
        <v>0</v>
      </c>
      <c r="V169" s="28">
        <f>Adatbázis!F169*$Q169/$Q$361</f>
        <v>0</v>
      </c>
      <c r="W169" s="28">
        <f>Adatbázis!G169*$Q169/$Q$361</f>
        <v>0</v>
      </c>
      <c r="X169" s="28">
        <f>Adatbázis!H169*$Q169/$Q$361</f>
        <v>0</v>
      </c>
      <c r="Y169" s="28">
        <f>Adatbázis!I169*$Q169/$Q$361</f>
        <v>0</v>
      </c>
      <c r="Z169" s="28">
        <f>Adatbázis!J169*$Q169/$Q$361</f>
        <v>0</v>
      </c>
      <c r="AA169" s="28">
        <f>Adatbázis!K169*$Q169/$Q$361</f>
        <v>0</v>
      </c>
      <c r="AB169" s="28">
        <f>Adatbázis!L169*$Q169/$Q$361</f>
        <v>0</v>
      </c>
      <c r="AC169" s="41">
        <f>Adatbázis!C169*Q169</f>
        <v>0</v>
      </c>
      <c r="AD169" s="442">
        <f t="shared" si="8"/>
        <v>0</v>
      </c>
      <c r="AE169" s="442"/>
      <c r="AF169" s="275"/>
      <c r="AG169" s="275"/>
      <c r="AH169" s="275"/>
      <c r="AI169" s="275"/>
    </row>
    <row r="170" spans="1:35" x14ac:dyDescent="0.25">
      <c r="A170" s="523"/>
      <c r="B170" s="491"/>
      <c r="C170" s="81"/>
      <c r="D170" s="27" t="s">
        <v>14</v>
      </c>
      <c r="E170" s="43">
        <v>7.5</v>
      </c>
      <c r="F170" s="17">
        <v>34</v>
      </c>
      <c r="G170" s="17">
        <v>2</v>
      </c>
      <c r="H170" s="17">
        <v>23</v>
      </c>
      <c r="I170" s="17"/>
      <c r="J170" s="17"/>
      <c r="K170" s="17">
        <v>1.1599999999999999</v>
      </c>
      <c r="L170" s="17">
        <v>0.74</v>
      </c>
      <c r="M170" s="43"/>
      <c r="N170" s="472" t="s">
        <v>306</v>
      </c>
      <c r="O170" s="472"/>
      <c r="P170" s="472"/>
      <c r="Q170" s="107"/>
      <c r="R170" s="79" t="s">
        <v>133</v>
      </c>
      <c r="S170" s="224">
        <f t="shared" si="11"/>
        <v>5</v>
      </c>
      <c r="T170" s="225">
        <f t="shared" si="13"/>
        <v>18</v>
      </c>
      <c r="U170" s="36">
        <f>Adatbázis!E170*Q170</f>
        <v>0</v>
      </c>
      <c r="V170" s="28">
        <f>Adatbázis!F170*$Q170/$Q$361</f>
        <v>0</v>
      </c>
      <c r="W170" s="28">
        <f>Adatbázis!G170*$Q170/$Q$361</f>
        <v>0</v>
      </c>
      <c r="X170" s="28">
        <f>Adatbázis!H170*$Q170/$Q$361</f>
        <v>0</v>
      </c>
      <c r="Y170" s="28">
        <f>Adatbázis!I170*$Q170/$Q$361</f>
        <v>0</v>
      </c>
      <c r="Z170" s="28">
        <f>Adatbázis!J170*$Q170/$Q$361</f>
        <v>0</v>
      </c>
      <c r="AA170" s="28">
        <f>Adatbázis!K170*$Q170/$Q$361</f>
        <v>0</v>
      </c>
      <c r="AB170" s="28">
        <f>Adatbázis!L170*$Q170/$Q$361</f>
        <v>0</v>
      </c>
      <c r="AC170" s="41">
        <f>Adatbázis!C170*Q170</f>
        <v>0</v>
      </c>
      <c r="AD170" s="442">
        <f t="shared" si="8"/>
        <v>0</v>
      </c>
      <c r="AE170" s="442"/>
      <c r="AF170" s="275"/>
      <c r="AG170" s="275"/>
      <c r="AH170" s="275"/>
      <c r="AI170" s="275"/>
    </row>
    <row r="171" spans="1:35" x14ac:dyDescent="0.25">
      <c r="A171" s="523"/>
      <c r="B171" s="491"/>
      <c r="C171" s="81"/>
      <c r="D171" s="27" t="s">
        <v>14</v>
      </c>
      <c r="E171" s="43">
        <v>10.46</v>
      </c>
      <c r="F171" s="17">
        <v>38</v>
      </c>
      <c r="G171" s="17">
        <v>16.5</v>
      </c>
      <c r="H171" s="17">
        <v>22</v>
      </c>
      <c r="I171" s="17">
        <v>0.31</v>
      </c>
      <c r="J171" s="17">
        <v>1.1200000000000001</v>
      </c>
      <c r="K171" s="17">
        <v>1.3</v>
      </c>
      <c r="L171" s="17">
        <v>0.83</v>
      </c>
      <c r="M171" s="43"/>
      <c r="N171" s="472" t="s">
        <v>303</v>
      </c>
      <c r="O171" s="472"/>
      <c r="P171" s="472"/>
      <c r="Q171" s="145"/>
      <c r="R171" s="79" t="s">
        <v>133</v>
      </c>
      <c r="S171" s="123">
        <f t="shared" si="11"/>
        <v>5</v>
      </c>
      <c r="T171" s="121">
        <f t="shared" si="13"/>
        <v>18</v>
      </c>
      <c r="U171" s="36">
        <f>Adatbázis!E171*Q171</f>
        <v>0</v>
      </c>
      <c r="V171" s="28">
        <f>Adatbázis!F171*$Q171/$Q$361</f>
        <v>0</v>
      </c>
      <c r="W171" s="28">
        <f>Adatbázis!G171*$Q171/$Q$361</f>
        <v>0</v>
      </c>
      <c r="X171" s="28">
        <f>Adatbázis!H171*$Q171/$Q$361</f>
        <v>0</v>
      </c>
      <c r="Y171" s="28">
        <f>Adatbázis!I171*$Q171/$Q$361</f>
        <v>0</v>
      </c>
      <c r="Z171" s="28">
        <f>Adatbázis!J171*$Q171/$Q$361</f>
        <v>0</v>
      </c>
      <c r="AA171" s="28">
        <f>Adatbázis!K171*$Q171/$Q$361</f>
        <v>0</v>
      </c>
      <c r="AB171" s="28">
        <f>Adatbázis!L171*$Q171/$Q$361</f>
        <v>0</v>
      </c>
      <c r="AC171" s="41">
        <f>Adatbázis!C171*Q171</f>
        <v>0</v>
      </c>
      <c r="AD171" s="442">
        <f t="shared" si="8"/>
        <v>0</v>
      </c>
      <c r="AE171" s="442"/>
    </row>
    <row r="172" spans="1:35" x14ac:dyDescent="0.25">
      <c r="A172" s="523"/>
      <c r="B172" s="491"/>
      <c r="C172" s="81"/>
      <c r="D172" s="27" t="s">
        <v>14</v>
      </c>
      <c r="E172" s="43">
        <v>10.46</v>
      </c>
      <c r="F172" s="17">
        <v>36</v>
      </c>
      <c r="G172" s="17">
        <v>17.100000000000001</v>
      </c>
      <c r="H172" s="17">
        <v>21</v>
      </c>
      <c r="I172" s="17">
        <v>0.31</v>
      </c>
      <c r="J172" s="17">
        <v>1.1200000000000001</v>
      </c>
      <c r="K172" s="17">
        <v>1.23</v>
      </c>
      <c r="L172" s="17">
        <v>0.79</v>
      </c>
      <c r="M172" s="43"/>
      <c r="N172" s="472" t="s">
        <v>304</v>
      </c>
      <c r="O172" s="472"/>
      <c r="P172" s="472"/>
      <c r="Q172" s="145"/>
      <c r="R172" s="79" t="s">
        <v>133</v>
      </c>
      <c r="S172" s="123">
        <f t="shared" si="11"/>
        <v>5</v>
      </c>
      <c r="T172" s="121">
        <f t="shared" si="13"/>
        <v>18</v>
      </c>
      <c r="U172" s="36">
        <f>Adatbázis!E172*Q172</f>
        <v>0</v>
      </c>
      <c r="V172" s="28">
        <f>Adatbázis!F172*$Q172/$Q$361</f>
        <v>0</v>
      </c>
      <c r="W172" s="28">
        <f>Adatbázis!G172*$Q172/$Q$361</f>
        <v>0</v>
      </c>
      <c r="X172" s="28">
        <f>Adatbázis!H172*$Q172/$Q$361</f>
        <v>0</v>
      </c>
      <c r="Y172" s="28">
        <f>Adatbázis!I172*$Q172/$Q$361</f>
        <v>0</v>
      </c>
      <c r="Z172" s="28">
        <f>Adatbázis!J172*$Q172/$Q$361</f>
        <v>0</v>
      </c>
      <c r="AA172" s="28">
        <f>Adatbázis!K172*$Q172/$Q$361</f>
        <v>0</v>
      </c>
      <c r="AB172" s="28">
        <f>Adatbázis!L172*$Q172/$Q$361</f>
        <v>0</v>
      </c>
      <c r="AC172" s="41">
        <f>Adatbázis!C172*Q172</f>
        <v>0</v>
      </c>
      <c r="AD172" s="442">
        <f t="shared" si="8"/>
        <v>0</v>
      </c>
      <c r="AE172" s="442"/>
    </row>
    <row r="173" spans="1:35" x14ac:dyDescent="0.25">
      <c r="A173" s="523"/>
      <c r="B173" s="491"/>
      <c r="C173" s="81"/>
      <c r="D173" s="27" t="s">
        <v>14</v>
      </c>
      <c r="E173" s="43">
        <v>10.46</v>
      </c>
      <c r="F173" s="17">
        <v>34</v>
      </c>
      <c r="G173" s="17">
        <v>18.100000000000001</v>
      </c>
      <c r="H173" s="17">
        <v>20</v>
      </c>
      <c r="I173" s="17">
        <v>0.31</v>
      </c>
      <c r="J173" s="17">
        <v>1.1200000000000001</v>
      </c>
      <c r="K173" s="17">
        <v>1.1599999999999999</v>
      </c>
      <c r="L173" s="17">
        <v>0.74</v>
      </c>
      <c r="M173" s="43"/>
      <c r="N173" s="472" t="s">
        <v>305</v>
      </c>
      <c r="O173" s="472"/>
      <c r="P173" s="472"/>
      <c r="Q173" s="107"/>
      <c r="R173" s="79" t="s">
        <v>133</v>
      </c>
      <c r="S173" s="123">
        <f t="shared" si="11"/>
        <v>5</v>
      </c>
      <c r="T173" s="121">
        <f t="shared" si="13"/>
        <v>18</v>
      </c>
      <c r="U173" s="36">
        <f>Adatbázis!E173*Q173</f>
        <v>0</v>
      </c>
      <c r="V173" s="28">
        <f>Adatbázis!F173*$Q173/$Q$361</f>
        <v>0</v>
      </c>
      <c r="W173" s="28">
        <f>Adatbázis!G173*$Q173/$Q$361</f>
        <v>0</v>
      </c>
      <c r="X173" s="28">
        <f>Adatbázis!H173*$Q173/$Q$361</f>
        <v>0</v>
      </c>
      <c r="Y173" s="28">
        <f>Adatbázis!I173*$Q173/$Q$361</f>
        <v>0</v>
      </c>
      <c r="Z173" s="28">
        <f>Adatbázis!J173*$Q173/$Q$361</f>
        <v>0</v>
      </c>
      <c r="AA173" s="28">
        <f>Adatbázis!K173*$Q173/$Q$361</f>
        <v>0</v>
      </c>
      <c r="AB173" s="28">
        <f>Adatbázis!L173*$Q173/$Q$361</f>
        <v>0</v>
      </c>
      <c r="AC173" s="41">
        <f>Adatbázis!C173*Q173</f>
        <v>0</v>
      </c>
      <c r="AD173" s="442">
        <f t="shared" si="8"/>
        <v>0</v>
      </c>
      <c r="AE173" s="442"/>
    </row>
    <row r="174" spans="1:35" x14ac:dyDescent="0.25">
      <c r="A174" s="523"/>
      <c r="B174" s="491"/>
      <c r="C174" s="81"/>
      <c r="D174" s="27" t="s">
        <v>14</v>
      </c>
      <c r="E174" s="43">
        <v>10.46</v>
      </c>
      <c r="F174" s="17">
        <v>32</v>
      </c>
      <c r="G174" s="17">
        <v>19</v>
      </c>
      <c r="H174" s="17">
        <v>19</v>
      </c>
      <c r="I174" s="17">
        <v>0.31</v>
      </c>
      <c r="J174" s="17">
        <v>1.1200000000000001</v>
      </c>
      <c r="K174" s="17">
        <v>1.0900000000000001</v>
      </c>
      <c r="L174" s="17">
        <v>0.69</v>
      </c>
      <c r="M174" s="43"/>
      <c r="N174" s="472" t="s">
        <v>311</v>
      </c>
      <c r="O174" s="472"/>
      <c r="P174" s="472"/>
      <c r="Q174" s="107"/>
      <c r="R174" s="79" t="s">
        <v>133</v>
      </c>
      <c r="S174" s="240">
        <f t="shared" si="11"/>
        <v>5</v>
      </c>
      <c r="T174" s="239">
        <f t="shared" si="13"/>
        <v>18</v>
      </c>
      <c r="U174" s="36">
        <f>Adatbázis!E174*Q174</f>
        <v>0</v>
      </c>
      <c r="V174" s="28">
        <f>Adatbázis!F174*$Q174/$Q$361</f>
        <v>0</v>
      </c>
      <c r="W174" s="28">
        <f>Adatbázis!G174*$Q174/$Q$361</f>
        <v>0</v>
      </c>
      <c r="X174" s="28">
        <f>Adatbázis!H174*$Q174/$Q$361</f>
        <v>0</v>
      </c>
      <c r="Y174" s="28">
        <f>Adatbázis!I174*$Q174/$Q$361</f>
        <v>0</v>
      </c>
      <c r="Z174" s="28">
        <f>Adatbázis!J174*$Q174/$Q$361</f>
        <v>0</v>
      </c>
      <c r="AA174" s="28">
        <f>Adatbázis!K174*$Q174/$Q$361</f>
        <v>0</v>
      </c>
      <c r="AB174" s="28">
        <f>Adatbázis!L174*$Q174/$Q$361</f>
        <v>0</v>
      </c>
      <c r="AC174" s="41">
        <f>Adatbázis!C174*Q174</f>
        <v>0</v>
      </c>
      <c r="AD174" s="442">
        <f t="shared" si="8"/>
        <v>0</v>
      </c>
      <c r="AE174" s="442"/>
    </row>
    <row r="175" spans="1:35" x14ac:dyDescent="0.25">
      <c r="A175" s="523"/>
      <c r="B175" s="491"/>
      <c r="C175" s="81"/>
      <c r="D175" s="27" t="s">
        <v>14</v>
      </c>
      <c r="E175" s="43">
        <v>7.5</v>
      </c>
      <c r="F175" s="17">
        <v>25</v>
      </c>
      <c r="G175" s="17">
        <v>14.25</v>
      </c>
      <c r="H175" s="17">
        <v>26</v>
      </c>
      <c r="I175" s="17">
        <v>0.31</v>
      </c>
      <c r="J175" s="17">
        <v>1.1200000000000001</v>
      </c>
      <c r="K175" s="17">
        <v>1</v>
      </c>
      <c r="L175" s="17">
        <v>0.65</v>
      </c>
      <c r="M175" s="43"/>
      <c r="N175" s="472" t="s">
        <v>421</v>
      </c>
      <c r="O175" s="472"/>
      <c r="P175" s="472"/>
      <c r="Q175" s="145"/>
      <c r="R175" s="79" t="s">
        <v>133</v>
      </c>
      <c r="S175" s="143">
        <f t="shared" si="11"/>
        <v>5</v>
      </c>
      <c r="T175" s="142">
        <f t="shared" si="13"/>
        <v>18</v>
      </c>
      <c r="U175" s="36">
        <f>Adatbázis!E175*Q175</f>
        <v>0</v>
      </c>
      <c r="V175" s="28">
        <f>Adatbázis!F175*$Q175/$Q$361</f>
        <v>0</v>
      </c>
      <c r="W175" s="28">
        <f>Adatbázis!G175*$Q175/$Q$361</f>
        <v>0</v>
      </c>
      <c r="X175" s="28">
        <f>Adatbázis!H175*$Q175/$Q$361</f>
        <v>0</v>
      </c>
      <c r="Y175" s="28">
        <f>Adatbázis!I175*$Q175/$Q$361</f>
        <v>0</v>
      </c>
      <c r="Z175" s="28">
        <f>Adatbázis!J175*$Q175/$Q$361</f>
        <v>0</v>
      </c>
      <c r="AA175" s="28">
        <f>Adatbázis!K175*$Q175/$Q$361</f>
        <v>0</v>
      </c>
      <c r="AB175" s="28">
        <f>Adatbázis!L175*$Q175/$Q$361</f>
        <v>0</v>
      </c>
      <c r="AC175" s="41">
        <f>Adatbázis!C175*Q175</f>
        <v>0</v>
      </c>
      <c r="AD175" s="442">
        <f t="shared" si="8"/>
        <v>0</v>
      </c>
      <c r="AE175" s="442"/>
    </row>
    <row r="176" spans="1:35" x14ac:dyDescent="0.25">
      <c r="A176" s="523"/>
      <c r="B176" s="491"/>
      <c r="C176" s="81"/>
      <c r="D176" s="27" t="s">
        <v>14</v>
      </c>
      <c r="E176" s="43">
        <v>7.5</v>
      </c>
      <c r="F176" s="17">
        <v>23</v>
      </c>
      <c r="G176" s="17">
        <v>15</v>
      </c>
      <c r="H176" s="17">
        <v>27</v>
      </c>
      <c r="I176" s="17">
        <v>0.31</v>
      </c>
      <c r="J176" s="17">
        <v>1.1200000000000001</v>
      </c>
      <c r="K176" s="17">
        <v>1</v>
      </c>
      <c r="L176" s="17">
        <v>0.65</v>
      </c>
      <c r="M176" s="43"/>
      <c r="N176" s="472" t="s">
        <v>367</v>
      </c>
      <c r="O176" s="472"/>
      <c r="P176" s="472"/>
      <c r="Q176" s="145"/>
      <c r="R176" s="79" t="s">
        <v>133</v>
      </c>
      <c r="S176" s="306">
        <f t="shared" si="11"/>
        <v>5</v>
      </c>
      <c r="T176" s="305">
        <f t="shared" si="13"/>
        <v>18</v>
      </c>
      <c r="U176" s="36">
        <f>Adatbázis!E176*Q176</f>
        <v>0</v>
      </c>
      <c r="V176" s="28">
        <f>Adatbázis!F176*$Q176/$Q$361</f>
        <v>0</v>
      </c>
      <c r="W176" s="28">
        <f>Adatbázis!G176*$Q176/$Q$361</f>
        <v>0</v>
      </c>
      <c r="X176" s="28">
        <f>Adatbázis!H176*$Q176/$Q$361</f>
        <v>0</v>
      </c>
      <c r="Y176" s="28">
        <f>Adatbázis!I176*$Q176/$Q$361</f>
        <v>0</v>
      </c>
      <c r="Z176" s="28">
        <f>Adatbázis!J176*$Q176/$Q$361</f>
        <v>0</v>
      </c>
      <c r="AA176" s="28">
        <f>Adatbázis!K176*$Q176/$Q$361</f>
        <v>0</v>
      </c>
      <c r="AB176" s="28">
        <f>Adatbázis!L176*$Q176/$Q$361</f>
        <v>0</v>
      </c>
      <c r="AC176" s="41">
        <f>Adatbázis!C176*Q176</f>
        <v>0</v>
      </c>
      <c r="AD176" s="442">
        <f t="shared" si="8"/>
        <v>0</v>
      </c>
      <c r="AE176" s="442"/>
    </row>
    <row r="177" spans="1:31" x14ac:dyDescent="0.25">
      <c r="A177" s="523"/>
      <c r="B177" s="491"/>
      <c r="C177" s="81"/>
      <c r="D177" s="27" t="s">
        <v>14</v>
      </c>
      <c r="E177" s="43">
        <v>6.71</v>
      </c>
      <c r="F177" s="17">
        <v>21</v>
      </c>
      <c r="G177" s="17">
        <v>1.6</v>
      </c>
      <c r="H177" s="17">
        <v>42</v>
      </c>
      <c r="I177" s="17">
        <v>0.04</v>
      </c>
      <c r="J177" s="17">
        <v>0.05</v>
      </c>
      <c r="K177" s="17">
        <v>0.64</v>
      </c>
      <c r="L177" s="17">
        <v>0.4</v>
      </c>
      <c r="M177" s="43"/>
      <c r="N177" s="472" t="s">
        <v>406</v>
      </c>
      <c r="O177" s="472"/>
      <c r="P177" s="472"/>
      <c r="Q177" s="107"/>
      <c r="R177" s="79" t="s">
        <v>133</v>
      </c>
      <c r="S177" s="363">
        <f>$P$11*0</f>
        <v>0</v>
      </c>
      <c r="T177" s="362">
        <f>$P$11*0</f>
        <v>0</v>
      </c>
      <c r="U177" s="36">
        <f>Adatbázis!E177*Q177</f>
        <v>0</v>
      </c>
      <c r="V177" s="28">
        <f>Adatbázis!F177*$Q177/$Q$361</f>
        <v>0</v>
      </c>
      <c r="W177" s="28">
        <f>Adatbázis!G177*$Q177/$Q$361</f>
        <v>0</v>
      </c>
      <c r="X177" s="28">
        <f>Adatbázis!H177*$Q177/$Q$361</f>
        <v>0</v>
      </c>
      <c r="Y177" s="28">
        <f>Adatbázis!I177*$Q177/$Q$361</f>
        <v>0</v>
      </c>
      <c r="Z177" s="28">
        <f>Adatbázis!J177*$Q177/$Q$361</f>
        <v>0</v>
      </c>
      <c r="AA177" s="28">
        <f>Adatbázis!K177*$Q177/$Q$361</f>
        <v>0</v>
      </c>
      <c r="AB177" s="28">
        <f>Adatbázis!L177*$Q177/$Q$361</f>
        <v>0</v>
      </c>
      <c r="AC177" s="41">
        <f>Adatbázis!C177*Q177</f>
        <v>0</v>
      </c>
      <c r="AD177" s="442">
        <f t="shared" si="8"/>
        <v>0</v>
      </c>
      <c r="AE177" s="442"/>
    </row>
    <row r="178" spans="1:31" x14ac:dyDescent="0.25">
      <c r="A178" s="523"/>
      <c r="B178" s="491"/>
      <c r="C178" s="81"/>
      <c r="D178" s="27" t="s">
        <v>14</v>
      </c>
      <c r="E178" s="43">
        <v>12.7</v>
      </c>
      <c r="F178" s="17">
        <v>65</v>
      </c>
      <c r="G178" s="17">
        <v>6.5</v>
      </c>
      <c r="H178" s="17">
        <v>11.4</v>
      </c>
      <c r="I178" s="17"/>
      <c r="J178" s="17"/>
      <c r="K178" s="17"/>
      <c r="L178" s="17"/>
      <c r="M178" s="43"/>
      <c r="N178" s="472" t="s">
        <v>471</v>
      </c>
      <c r="O178" s="472"/>
      <c r="P178" s="472"/>
      <c r="Q178" s="107"/>
      <c r="R178" s="79" t="s">
        <v>133</v>
      </c>
      <c r="S178" s="463">
        <f t="shared" ref="S178:S183" si="14">$P$11*0.05</f>
        <v>5</v>
      </c>
      <c r="T178" s="462">
        <f t="shared" ref="T178:T183" si="15">$P$11*0.2</f>
        <v>20</v>
      </c>
      <c r="U178" s="36">
        <f>Adatbázis!E178*Q178</f>
        <v>0</v>
      </c>
      <c r="V178" s="28">
        <f>Adatbázis!F178*$Q178/$Q$361</f>
        <v>0</v>
      </c>
      <c r="W178" s="28">
        <f>Adatbázis!G178*$Q178/$Q$361</f>
        <v>0</v>
      </c>
      <c r="X178" s="28">
        <f>Adatbázis!H178*$Q178/$Q$361</f>
        <v>0</v>
      </c>
      <c r="Y178" s="28">
        <f>Adatbázis!I178*$Q178/$Q$361</f>
        <v>0</v>
      </c>
      <c r="Z178" s="28">
        <f>Adatbázis!J178*$Q178/$Q$361</f>
        <v>0</v>
      </c>
      <c r="AA178" s="28">
        <f>Adatbázis!K178*$Q178/$Q$361</f>
        <v>0</v>
      </c>
      <c r="AB178" s="28">
        <f>Adatbázis!L178*$Q178/$Q$361</f>
        <v>0</v>
      </c>
      <c r="AC178" s="41">
        <f>Adatbázis!C178*Q178</f>
        <v>0</v>
      </c>
      <c r="AD178" s="442"/>
      <c r="AE178" s="442"/>
    </row>
    <row r="179" spans="1:31" x14ac:dyDescent="0.25">
      <c r="A179" s="523"/>
      <c r="B179" s="491"/>
      <c r="C179" s="81"/>
      <c r="D179" s="27" t="s">
        <v>14</v>
      </c>
      <c r="E179" s="43">
        <v>13</v>
      </c>
      <c r="F179" s="17">
        <v>61.76</v>
      </c>
      <c r="G179" s="17">
        <v>7.2</v>
      </c>
      <c r="H179" s="17">
        <v>11.22</v>
      </c>
      <c r="I179" s="17"/>
      <c r="J179" s="17"/>
      <c r="K179" s="17"/>
      <c r="L179" s="17"/>
      <c r="M179" s="43"/>
      <c r="N179" s="472" t="s">
        <v>413</v>
      </c>
      <c r="O179" s="472"/>
      <c r="P179" s="472"/>
      <c r="Q179" s="107"/>
      <c r="R179" s="79" t="s">
        <v>133</v>
      </c>
      <c r="S179" s="369">
        <f t="shared" si="14"/>
        <v>5</v>
      </c>
      <c r="T179" s="368">
        <f t="shared" si="15"/>
        <v>20</v>
      </c>
      <c r="U179" s="36">
        <f>Adatbázis!E179*Q179</f>
        <v>0</v>
      </c>
      <c r="V179" s="28">
        <f>Adatbázis!F179*$Q179/$Q$361</f>
        <v>0</v>
      </c>
      <c r="W179" s="28">
        <f>Adatbázis!G179*$Q179/$Q$361</f>
        <v>0</v>
      </c>
      <c r="X179" s="28">
        <f>Adatbázis!H179*$Q179/$Q$361</f>
        <v>0</v>
      </c>
      <c r="Y179" s="28">
        <f>Adatbázis!I179*$Q179/$Q$361</f>
        <v>0</v>
      </c>
      <c r="Z179" s="28">
        <f>Adatbázis!J179*$Q179/$Q$361</f>
        <v>0</v>
      </c>
      <c r="AA179" s="28">
        <f>Adatbázis!K179*$Q179/$Q$361</f>
        <v>0</v>
      </c>
      <c r="AB179" s="28">
        <f>Adatbázis!L179*$Q179/$Q$361</f>
        <v>0</v>
      </c>
      <c r="AC179" s="41">
        <f>Adatbázis!C179*Q179</f>
        <v>0</v>
      </c>
      <c r="AD179" s="442">
        <f t="shared" si="8"/>
        <v>0</v>
      </c>
      <c r="AE179" s="442"/>
    </row>
    <row r="180" spans="1:31" x14ac:dyDescent="0.25">
      <c r="A180" s="523"/>
      <c r="B180" s="491"/>
      <c r="C180" s="81"/>
      <c r="D180" s="27" t="s">
        <v>14</v>
      </c>
      <c r="E180" s="43">
        <v>14</v>
      </c>
      <c r="F180" s="17">
        <v>58</v>
      </c>
      <c r="G180" s="17">
        <v>7.2</v>
      </c>
      <c r="H180" s="17">
        <v>11.2</v>
      </c>
      <c r="I180" s="17"/>
      <c r="J180" s="17"/>
      <c r="K180" s="17"/>
      <c r="L180" s="17"/>
      <c r="M180" s="43"/>
      <c r="N180" s="472" t="s">
        <v>332</v>
      </c>
      <c r="O180" s="472"/>
      <c r="P180" s="472"/>
      <c r="Q180" s="145"/>
      <c r="R180" s="79" t="s">
        <v>133</v>
      </c>
      <c r="S180" s="123">
        <f t="shared" si="14"/>
        <v>5</v>
      </c>
      <c r="T180" s="121">
        <f t="shared" si="15"/>
        <v>20</v>
      </c>
      <c r="U180" s="36">
        <f>Adatbázis!E180*Q180</f>
        <v>0</v>
      </c>
      <c r="V180" s="28">
        <f>Adatbázis!F180*$Q180/$Q$361</f>
        <v>0</v>
      </c>
      <c r="W180" s="28">
        <f>Adatbázis!G180*$Q180/$Q$361</f>
        <v>0</v>
      </c>
      <c r="X180" s="28">
        <f>Adatbázis!H180*$Q180/$Q$361</f>
        <v>0</v>
      </c>
      <c r="Y180" s="28">
        <f>Adatbázis!I180*$Q180/$Q$361</f>
        <v>0</v>
      </c>
      <c r="Z180" s="28">
        <f>Adatbázis!J180*$Q180/$Q$361</f>
        <v>0</v>
      </c>
      <c r="AA180" s="28">
        <f>Adatbázis!K180*$Q180/$Q$361</f>
        <v>0</v>
      </c>
      <c r="AB180" s="28">
        <f>Adatbázis!L180*$Q180/$Q$361</f>
        <v>0</v>
      </c>
      <c r="AC180" s="41">
        <f>Adatbázis!C180*Q180</f>
        <v>0</v>
      </c>
      <c r="AD180" s="442">
        <f t="shared" si="8"/>
        <v>0</v>
      </c>
      <c r="AE180" s="442"/>
    </row>
    <row r="181" spans="1:31" x14ac:dyDescent="0.25">
      <c r="A181" s="523"/>
      <c r="B181" s="492"/>
      <c r="C181" s="81"/>
      <c r="D181" s="27" t="s">
        <v>14</v>
      </c>
      <c r="E181" s="43">
        <v>14.7</v>
      </c>
      <c r="F181" s="17">
        <v>56.5</v>
      </c>
      <c r="G181" s="17">
        <v>7.2</v>
      </c>
      <c r="H181" s="17">
        <v>11.22</v>
      </c>
      <c r="I181" s="17"/>
      <c r="J181" s="17"/>
      <c r="K181" s="17"/>
      <c r="L181" s="17"/>
      <c r="M181" s="43"/>
      <c r="N181" s="472" t="s">
        <v>333</v>
      </c>
      <c r="O181" s="472"/>
      <c r="P181" s="472"/>
      <c r="Q181" s="145"/>
      <c r="R181" s="79" t="s">
        <v>133</v>
      </c>
      <c r="S181" s="256">
        <f t="shared" si="14"/>
        <v>5</v>
      </c>
      <c r="T181" s="255">
        <f t="shared" si="15"/>
        <v>20</v>
      </c>
      <c r="U181" s="36">
        <f>Adatbázis!E181*Q181</f>
        <v>0</v>
      </c>
      <c r="V181" s="28">
        <f>Adatbázis!F181*$Q181/$Q$361</f>
        <v>0</v>
      </c>
      <c r="W181" s="28">
        <f>Adatbázis!G181*$Q181/$Q$361</f>
        <v>0</v>
      </c>
      <c r="X181" s="28">
        <f>Adatbázis!H181*$Q181/$Q$361</f>
        <v>0</v>
      </c>
      <c r="Y181" s="28">
        <f>Adatbázis!I181*$Q181/$Q$361</f>
        <v>0</v>
      </c>
      <c r="Z181" s="28">
        <f>Adatbázis!J181*$Q181/$Q$361</f>
        <v>0</v>
      </c>
      <c r="AA181" s="28">
        <f>Adatbázis!K181*$Q181/$Q$361</f>
        <v>0</v>
      </c>
      <c r="AB181" s="28">
        <f>Adatbázis!L181*$Q181/$Q$361</f>
        <v>0</v>
      </c>
      <c r="AC181" s="41">
        <f>Adatbázis!C181*Q181</f>
        <v>0</v>
      </c>
      <c r="AD181" s="442">
        <f t="shared" si="8"/>
        <v>0</v>
      </c>
      <c r="AE181" s="442"/>
    </row>
    <row r="182" spans="1:31" x14ac:dyDescent="0.25">
      <c r="A182" s="523"/>
      <c r="B182" s="492"/>
      <c r="C182" s="94"/>
      <c r="D182" s="95" t="s">
        <v>14</v>
      </c>
      <c r="E182" s="118">
        <v>15</v>
      </c>
      <c r="F182" s="119">
        <v>42</v>
      </c>
      <c r="G182" s="119">
        <v>9</v>
      </c>
      <c r="H182" s="119">
        <v>12</v>
      </c>
      <c r="I182" s="119"/>
      <c r="J182" s="119"/>
      <c r="K182" s="119"/>
      <c r="L182" s="119"/>
      <c r="M182" s="118"/>
      <c r="N182" s="476" t="s">
        <v>334</v>
      </c>
      <c r="O182" s="476"/>
      <c r="P182" s="476"/>
      <c r="Q182" s="107"/>
      <c r="R182" s="96" t="s">
        <v>133</v>
      </c>
      <c r="S182" s="264">
        <f t="shared" si="14"/>
        <v>5</v>
      </c>
      <c r="T182" s="261">
        <f t="shared" si="15"/>
        <v>20</v>
      </c>
      <c r="U182" s="22">
        <f>Adatbázis!E182*Q182</f>
        <v>0</v>
      </c>
      <c r="V182" s="48">
        <f>Adatbázis!F182*$Q182/$Q$361</f>
        <v>0</v>
      </c>
      <c r="W182" s="48">
        <f>Adatbázis!G182*$Q182/$Q$361</f>
        <v>0</v>
      </c>
      <c r="X182" s="48">
        <f>Adatbázis!H182*$Q182/$Q$361</f>
        <v>0</v>
      </c>
      <c r="Y182" s="48">
        <f>Adatbázis!I182*$Q182/$Q$361</f>
        <v>0</v>
      </c>
      <c r="Z182" s="48">
        <f>Adatbázis!J182*$Q182/$Q$361</f>
        <v>0</v>
      </c>
      <c r="AA182" s="48">
        <f>Adatbázis!K182*$Q182/$Q$361</f>
        <v>0</v>
      </c>
      <c r="AB182" s="48">
        <f>Adatbázis!L182*$Q182/$Q$361</f>
        <v>0</v>
      </c>
      <c r="AC182" s="49">
        <f>Adatbázis!C182*Q182</f>
        <v>0</v>
      </c>
      <c r="AD182" s="442">
        <f t="shared" si="8"/>
        <v>0</v>
      </c>
      <c r="AE182" s="442"/>
    </row>
    <row r="183" spans="1:31" ht="15.75" thickBot="1" x14ac:dyDescent="0.3">
      <c r="A183" s="524"/>
      <c r="B183" s="443"/>
      <c r="C183" s="94"/>
      <c r="D183" s="95" t="s">
        <v>14</v>
      </c>
      <c r="E183" s="118">
        <v>15.1</v>
      </c>
      <c r="F183" s="119">
        <v>40</v>
      </c>
      <c r="G183" s="119">
        <v>9</v>
      </c>
      <c r="H183" s="119">
        <v>12</v>
      </c>
      <c r="I183" s="119"/>
      <c r="J183" s="119"/>
      <c r="K183" s="119"/>
      <c r="L183" s="119"/>
      <c r="M183" s="118"/>
      <c r="N183" s="476" t="s">
        <v>461</v>
      </c>
      <c r="O183" s="476"/>
      <c r="P183" s="476"/>
      <c r="Q183" s="107"/>
      <c r="R183" s="96" t="s">
        <v>133</v>
      </c>
      <c r="S183" s="447">
        <f t="shared" si="14"/>
        <v>5</v>
      </c>
      <c r="T183" s="445">
        <f t="shared" si="15"/>
        <v>20</v>
      </c>
      <c r="U183" s="22">
        <f>Adatbázis!E183*Q183</f>
        <v>0</v>
      </c>
      <c r="V183" s="48">
        <f>Adatbázis!F183*$Q183/$Q$361</f>
        <v>0</v>
      </c>
      <c r="W183" s="48">
        <f>Adatbázis!G183*$Q183/$Q$361</f>
        <v>0</v>
      </c>
      <c r="X183" s="48">
        <f>Adatbázis!H183*$Q183/$Q$361</f>
        <v>0</v>
      </c>
      <c r="Y183" s="48">
        <f>Adatbázis!I183*$Q183/$Q$361</f>
        <v>0</v>
      </c>
      <c r="Z183" s="48">
        <f>Adatbázis!J183*$Q183/$Q$361</f>
        <v>0</v>
      </c>
      <c r="AA183" s="48">
        <f>Adatbázis!K183*$Q183/$Q$361</f>
        <v>0</v>
      </c>
      <c r="AB183" s="48">
        <f>Adatbázis!L183*$Q183/$Q$361</f>
        <v>0</v>
      </c>
      <c r="AC183" s="49">
        <f>Adatbázis!C183*Q183</f>
        <v>0</v>
      </c>
      <c r="AD183" s="442">
        <f t="shared" si="8"/>
        <v>0</v>
      </c>
      <c r="AE183" s="442"/>
    </row>
    <row r="184" spans="1:31" x14ac:dyDescent="0.25">
      <c r="A184" s="524"/>
      <c r="B184" s="487" t="s">
        <v>55</v>
      </c>
      <c r="C184" s="265"/>
      <c r="D184" s="25" t="s">
        <v>14</v>
      </c>
      <c r="E184" s="42">
        <v>12.38</v>
      </c>
      <c r="F184" s="30">
        <v>10.8</v>
      </c>
      <c r="G184" s="30"/>
      <c r="H184" s="30"/>
      <c r="I184" s="30">
        <v>0.3</v>
      </c>
      <c r="J184" s="30">
        <v>0.03</v>
      </c>
      <c r="K184" s="30"/>
      <c r="L184" s="30"/>
      <c r="M184" s="42"/>
      <c r="N184" s="477" t="s">
        <v>51</v>
      </c>
      <c r="O184" s="477"/>
      <c r="P184" s="477"/>
      <c r="Q184" s="145"/>
      <c r="R184" s="66" t="s">
        <v>133</v>
      </c>
      <c r="S184" s="262">
        <f t="shared" ref="S184:S201" si="16">$P$11*0</f>
        <v>0</v>
      </c>
      <c r="T184" s="259">
        <f>$P$11*0.03</f>
        <v>3</v>
      </c>
      <c r="U184" s="37">
        <f>Adatbázis!E184*Q184</f>
        <v>0</v>
      </c>
      <c r="V184" s="26">
        <f>Adatbázis!F184*$Q184/$Q$361</f>
        <v>0</v>
      </c>
      <c r="W184" s="26">
        <f>Adatbázis!G184*$Q184/$Q$361</f>
        <v>0</v>
      </c>
      <c r="X184" s="26">
        <f>Adatbázis!H184*$Q184/$Q$361</f>
        <v>0</v>
      </c>
      <c r="Y184" s="26">
        <f>Adatbázis!I184*$Q184/$Q$361</f>
        <v>0</v>
      </c>
      <c r="Z184" s="26">
        <f>Adatbázis!J184*$Q184/$Q$361</f>
        <v>0</v>
      </c>
      <c r="AA184" s="26">
        <f>Adatbázis!K184*$Q184/$Q$361</f>
        <v>0</v>
      </c>
      <c r="AB184" s="26">
        <f>Adatbázis!L184*$Q184/$Q$361</f>
        <v>0</v>
      </c>
      <c r="AC184" s="40">
        <f>Adatbázis!C184*Q184</f>
        <v>0</v>
      </c>
      <c r="AD184" s="442">
        <f t="shared" si="8"/>
        <v>0</v>
      </c>
      <c r="AE184" s="442"/>
    </row>
    <row r="185" spans="1:31" ht="15.75" thickBot="1" x14ac:dyDescent="0.3">
      <c r="A185" s="524"/>
      <c r="B185" s="488"/>
      <c r="C185" s="266"/>
      <c r="D185" s="29" t="s">
        <v>14</v>
      </c>
      <c r="E185" s="53">
        <v>12.72</v>
      </c>
      <c r="F185" s="20">
        <v>3</v>
      </c>
      <c r="G185" s="20"/>
      <c r="H185" s="20"/>
      <c r="I185" s="20"/>
      <c r="J185" s="20"/>
      <c r="K185" s="20"/>
      <c r="L185" s="20"/>
      <c r="M185" s="53"/>
      <c r="N185" s="489" t="s">
        <v>349</v>
      </c>
      <c r="O185" s="489"/>
      <c r="P185" s="489"/>
      <c r="Q185" s="145"/>
      <c r="R185" s="83" t="s">
        <v>133</v>
      </c>
      <c r="S185" s="124">
        <f t="shared" si="16"/>
        <v>0</v>
      </c>
      <c r="T185" s="122">
        <f>$P$11*0.03</f>
        <v>3</v>
      </c>
      <c r="U185" s="38">
        <f>Adatbázis!E185*Q185</f>
        <v>0</v>
      </c>
      <c r="V185" s="67">
        <f>Adatbázis!F185*$Q185/$Q$361</f>
        <v>0</v>
      </c>
      <c r="W185" s="67">
        <f>Adatbázis!G185*$Q185/$Q$361</f>
        <v>0</v>
      </c>
      <c r="X185" s="67">
        <f>Adatbázis!H185*$Q185/$Q$361</f>
        <v>0</v>
      </c>
      <c r="Y185" s="67">
        <f>Adatbázis!I185*$Q185/$Q$361</f>
        <v>0</v>
      </c>
      <c r="Z185" s="67">
        <f>Adatbázis!J185*$Q185/$Q$361</f>
        <v>0</v>
      </c>
      <c r="AA185" s="67">
        <f>Adatbázis!K185*$Q185/$Q$361</f>
        <v>0</v>
      </c>
      <c r="AB185" s="67">
        <f>Adatbázis!L185*$Q185/$Q$361</f>
        <v>0</v>
      </c>
      <c r="AC185" s="68">
        <f>Adatbázis!C185*Q185</f>
        <v>0</v>
      </c>
      <c r="AD185" s="442">
        <f t="shared" ref="AD185:AD200" si="17">IF(AND(Q185&gt;T185),1,0)</f>
        <v>0</v>
      </c>
      <c r="AE185" s="442"/>
    </row>
    <row r="186" spans="1:31" x14ac:dyDescent="0.25">
      <c r="A186" s="523"/>
      <c r="B186" s="490" t="s">
        <v>61</v>
      </c>
      <c r="C186" s="87"/>
      <c r="D186" s="78" t="s">
        <v>14</v>
      </c>
      <c r="E186" s="144">
        <v>24.22</v>
      </c>
      <c r="F186" s="125">
        <v>24.4</v>
      </c>
      <c r="G186" s="125">
        <v>63.8</v>
      </c>
      <c r="H186" s="125"/>
      <c r="I186" s="125">
        <v>0</v>
      </c>
      <c r="J186" s="125">
        <v>0</v>
      </c>
      <c r="K186" s="125"/>
      <c r="L186" s="125"/>
      <c r="M186" s="144"/>
      <c r="N186" s="481" t="s">
        <v>56</v>
      </c>
      <c r="O186" s="481"/>
      <c r="P186" s="481"/>
      <c r="Q186" s="107"/>
      <c r="R186" s="64" t="s">
        <v>133</v>
      </c>
      <c r="S186" s="89">
        <f t="shared" si="16"/>
        <v>0</v>
      </c>
      <c r="T186" s="90">
        <f>$P$11*0.06</f>
        <v>6</v>
      </c>
      <c r="U186" s="32">
        <f>Adatbázis!E186*Q186</f>
        <v>0</v>
      </c>
      <c r="V186" s="6">
        <f>Adatbázis!F186*$Q186/$Q$361</f>
        <v>0</v>
      </c>
      <c r="W186" s="6">
        <f>Adatbázis!G186*$Q186/$Q$361</f>
        <v>0</v>
      </c>
      <c r="X186" s="6">
        <f>Adatbázis!H186*$Q186/$Q$361</f>
        <v>0</v>
      </c>
      <c r="Y186" s="6">
        <f>Adatbázis!I186*$Q186/$Q$361</f>
        <v>0</v>
      </c>
      <c r="Z186" s="6">
        <f>Adatbázis!J186*$Q186/$Q$361</f>
        <v>0</v>
      </c>
      <c r="AA186" s="6">
        <f>Adatbázis!K186*$Q186/$Q$361</f>
        <v>0</v>
      </c>
      <c r="AB186" s="6">
        <f>Adatbázis!L186*$Q186/$Q$361</f>
        <v>0</v>
      </c>
      <c r="AC186" s="50">
        <f>Adatbázis!C186*Q186</f>
        <v>0</v>
      </c>
      <c r="AD186" s="442">
        <f t="shared" si="17"/>
        <v>0</v>
      </c>
      <c r="AE186" s="442"/>
    </row>
    <row r="187" spans="1:31" x14ac:dyDescent="0.25">
      <c r="A187" s="523"/>
      <c r="B187" s="491"/>
      <c r="C187" s="81"/>
      <c r="D187" s="27" t="s">
        <v>14</v>
      </c>
      <c r="E187" s="43">
        <v>14.93</v>
      </c>
      <c r="F187" s="17">
        <v>71</v>
      </c>
      <c r="G187" s="17">
        <v>12</v>
      </c>
      <c r="H187" s="17"/>
      <c r="I187" s="17">
        <v>3.52</v>
      </c>
      <c r="J187" s="17">
        <v>2.39</v>
      </c>
      <c r="K187" s="17">
        <v>5.59</v>
      </c>
      <c r="L187" s="17">
        <v>2.17</v>
      </c>
      <c r="M187" s="43"/>
      <c r="N187" s="472" t="s">
        <v>57</v>
      </c>
      <c r="O187" s="472"/>
      <c r="P187" s="472"/>
      <c r="Q187" s="107"/>
      <c r="R187" s="79" t="s">
        <v>133</v>
      </c>
      <c r="S187" s="123">
        <f t="shared" si="16"/>
        <v>0</v>
      </c>
      <c r="T187" s="121">
        <f>$P$11*0.05</f>
        <v>5</v>
      </c>
      <c r="U187" s="36">
        <f>Adatbázis!E187*Q187</f>
        <v>0</v>
      </c>
      <c r="V187" s="28">
        <f>Adatbázis!F187*$Q187/$Q$361</f>
        <v>0</v>
      </c>
      <c r="W187" s="28">
        <f>Adatbázis!G187*$Q187/$Q$361</f>
        <v>0</v>
      </c>
      <c r="X187" s="28">
        <f>Adatbázis!H187*$Q187/$Q$361</f>
        <v>0</v>
      </c>
      <c r="Y187" s="28">
        <f>Adatbázis!I187*$Q187/$Q$361</f>
        <v>0</v>
      </c>
      <c r="Z187" s="28">
        <f>Adatbázis!J187*$Q187/$Q$361</f>
        <v>0</v>
      </c>
      <c r="AA187" s="28">
        <f>Adatbázis!K187*$Q187/$Q$361</f>
        <v>0</v>
      </c>
      <c r="AB187" s="28">
        <f>Adatbázis!L187*$Q187/$Q$361</f>
        <v>0</v>
      </c>
      <c r="AC187" s="41">
        <f>Adatbázis!C187*Q187</f>
        <v>0</v>
      </c>
      <c r="AD187" s="442">
        <f t="shared" si="17"/>
        <v>0</v>
      </c>
      <c r="AE187" s="442"/>
    </row>
    <row r="188" spans="1:31" x14ac:dyDescent="0.25">
      <c r="A188" s="523"/>
      <c r="B188" s="491"/>
      <c r="C188" s="81"/>
      <c r="D188" s="27" t="s">
        <v>14</v>
      </c>
      <c r="E188" s="43">
        <v>14.26</v>
      </c>
      <c r="F188" s="17">
        <v>64</v>
      </c>
      <c r="G188" s="17">
        <v>10</v>
      </c>
      <c r="H188" s="17"/>
      <c r="I188" s="17">
        <v>3.9</v>
      </c>
      <c r="J188" s="17">
        <v>2.2999999999999998</v>
      </c>
      <c r="K188" s="17">
        <v>4.5</v>
      </c>
      <c r="L188" s="17">
        <v>1.45</v>
      </c>
      <c r="M188" s="43"/>
      <c r="N188" s="472" t="s">
        <v>58</v>
      </c>
      <c r="O188" s="472"/>
      <c r="P188" s="472"/>
      <c r="Q188" s="145"/>
      <c r="R188" s="79" t="s">
        <v>133</v>
      </c>
      <c r="S188" s="123">
        <f t="shared" si="16"/>
        <v>0</v>
      </c>
      <c r="T188" s="121">
        <f>$P$11*0.05</f>
        <v>5</v>
      </c>
      <c r="U188" s="36">
        <f>Adatbázis!E188*Q188</f>
        <v>0</v>
      </c>
      <c r="V188" s="28">
        <f>Adatbázis!F188*$Q188/$Q$361</f>
        <v>0</v>
      </c>
      <c r="W188" s="28">
        <f>Adatbázis!G188*$Q188/$Q$361</f>
        <v>0</v>
      </c>
      <c r="X188" s="28">
        <f>Adatbázis!H188*$Q188/$Q$361</f>
        <v>0</v>
      </c>
      <c r="Y188" s="28">
        <f>Adatbázis!I188*$Q188/$Q$361</f>
        <v>0</v>
      </c>
      <c r="Z188" s="28">
        <f>Adatbázis!J188*$Q188/$Q$361</f>
        <v>0</v>
      </c>
      <c r="AA188" s="28">
        <f>Adatbázis!K188*$Q188/$Q$361</f>
        <v>0</v>
      </c>
      <c r="AB188" s="28">
        <f>Adatbázis!L188*$Q188/$Q$361</f>
        <v>0</v>
      </c>
      <c r="AC188" s="41">
        <f>Adatbázis!C188*Q188</f>
        <v>0</v>
      </c>
      <c r="AD188" s="442">
        <f t="shared" si="17"/>
        <v>0</v>
      </c>
      <c r="AE188" s="442"/>
    </row>
    <row r="189" spans="1:31" x14ac:dyDescent="0.25">
      <c r="A189" s="523"/>
      <c r="B189" s="491"/>
      <c r="C189" s="81"/>
      <c r="D189" s="27" t="s">
        <v>14</v>
      </c>
      <c r="E189" s="43">
        <v>14.33</v>
      </c>
      <c r="F189" s="17">
        <v>62</v>
      </c>
      <c r="G189" s="17">
        <v>16</v>
      </c>
      <c r="H189" s="17"/>
      <c r="I189" s="17">
        <v>3.5</v>
      </c>
      <c r="J189" s="17">
        <v>2.94</v>
      </c>
      <c r="K189" s="17">
        <v>4.33</v>
      </c>
      <c r="L189" s="17">
        <v>1.93</v>
      </c>
      <c r="M189" s="43"/>
      <c r="N189" s="472" t="s">
        <v>60</v>
      </c>
      <c r="O189" s="472"/>
      <c r="P189" s="472"/>
      <c r="Q189" s="145"/>
      <c r="R189" s="79" t="s">
        <v>133</v>
      </c>
      <c r="S189" s="123">
        <f t="shared" si="16"/>
        <v>0</v>
      </c>
      <c r="T189" s="121">
        <f>$P$11*0.05</f>
        <v>5</v>
      </c>
      <c r="U189" s="36">
        <f>Adatbázis!E189*Q189</f>
        <v>0</v>
      </c>
      <c r="V189" s="28">
        <f>Adatbázis!F189*$Q189/$Q$361</f>
        <v>0</v>
      </c>
      <c r="W189" s="28">
        <f>Adatbázis!G189*$Q189/$Q$361</f>
        <v>0</v>
      </c>
      <c r="X189" s="28">
        <f>Adatbázis!H189*$Q189/$Q$361</f>
        <v>0</v>
      </c>
      <c r="Y189" s="28">
        <f>Adatbázis!I189*$Q189/$Q$361</f>
        <v>0</v>
      </c>
      <c r="Z189" s="28">
        <f>Adatbázis!J189*$Q189/$Q$361</f>
        <v>0</v>
      </c>
      <c r="AA189" s="28">
        <f>Adatbázis!K189*$Q189/$Q$361</f>
        <v>0</v>
      </c>
      <c r="AB189" s="28">
        <f>Adatbázis!L189*$Q189/$Q$361</f>
        <v>0</v>
      </c>
      <c r="AC189" s="41">
        <f>Adatbázis!C189*Q189</f>
        <v>0</v>
      </c>
      <c r="AD189" s="442">
        <f t="shared" si="17"/>
        <v>0</v>
      </c>
      <c r="AE189" s="442"/>
    </row>
    <row r="190" spans="1:31" x14ac:dyDescent="0.25">
      <c r="A190" s="523"/>
      <c r="B190" s="491"/>
      <c r="C190" s="81"/>
      <c r="D190" s="27" t="s">
        <v>14</v>
      </c>
      <c r="E190" s="43"/>
      <c r="F190" s="17">
        <v>50</v>
      </c>
      <c r="G190" s="17">
        <v>10</v>
      </c>
      <c r="H190" s="17"/>
      <c r="I190" s="17">
        <v>8</v>
      </c>
      <c r="J190" s="17">
        <v>4</v>
      </c>
      <c r="K190" s="17"/>
      <c r="L190" s="17"/>
      <c r="M190" s="43"/>
      <c r="N190" s="472" t="s">
        <v>111</v>
      </c>
      <c r="O190" s="472"/>
      <c r="P190" s="472"/>
      <c r="Q190" s="107"/>
      <c r="R190" s="79" t="s">
        <v>133</v>
      </c>
      <c r="S190" s="123">
        <f t="shared" si="16"/>
        <v>0</v>
      </c>
      <c r="T190" s="121">
        <f>$P$11*0.05</f>
        <v>5</v>
      </c>
      <c r="U190" s="36">
        <f>Adatbázis!E190*Q190</f>
        <v>0</v>
      </c>
      <c r="V190" s="28">
        <f>Adatbázis!F190*$Q190/$Q$361</f>
        <v>0</v>
      </c>
      <c r="W190" s="28">
        <f>Adatbázis!G190*$Q190/$Q$361</f>
        <v>0</v>
      </c>
      <c r="X190" s="28">
        <f>Adatbázis!H190*$Q190/$Q$361</f>
        <v>0</v>
      </c>
      <c r="Y190" s="28">
        <f>Adatbázis!I190*$Q190/$Q$361</f>
        <v>0</v>
      </c>
      <c r="Z190" s="28">
        <f>Adatbázis!J190*$Q190/$Q$361</f>
        <v>0</v>
      </c>
      <c r="AA190" s="28">
        <f>Adatbázis!K190*$Q190/$Q$361</f>
        <v>0</v>
      </c>
      <c r="AB190" s="28">
        <f>Adatbázis!L190*$Q190/$Q$361</f>
        <v>0</v>
      </c>
      <c r="AC190" s="41">
        <f>Adatbázis!C190*Q190</f>
        <v>0</v>
      </c>
      <c r="AD190" s="442">
        <f t="shared" si="17"/>
        <v>0</v>
      </c>
      <c r="AE190" s="442"/>
    </row>
    <row r="191" spans="1:31" x14ac:dyDescent="0.25">
      <c r="A191" s="523"/>
      <c r="B191" s="491"/>
      <c r="C191" s="81"/>
      <c r="D191" s="27" t="s">
        <v>14</v>
      </c>
      <c r="E191" s="43">
        <v>17.579999999999998</v>
      </c>
      <c r="F191" s="17">
        <v>95</v>
      </c>
      <c r="G191" s="17">
        <v>1</v>
      </c>
      <c r="H191" s="17"/>
      <c r="I191" s="17">
        <v>0.02</v>
      </c>
      <c r="J191" s="17">
        <v>0.1</v>
      </c>
      <c r="K191" s="17">
        <v>9</v>
      </c>
      <c r="L191" s="17">
        <v>0.7</v>
      </c>
      <c r="M191" s="43"/>
      <c r="N191" s="472" t="s">
        <v>59</v>
      </c>
      <c r="O191" s="472"/>
      <c r="P191" s="472"/>
      <c r="Q191" s="107"/>
      <c r="R191" s="79" t="s">
        <v>133</v>
      </c>
      <c r="S191" s="123">
        <f t="shared" si="16"/>
        <v>0</v>
      </c>
      <c r="T191" s="121">
        <f>$P$11*0.03</f>
        <v>3</v>
      </c>
      <c r="U191" s="36">
        <f>Adatbázis!E191*Q191</f>
        <v>0</v>
      </c>
      <c r="V191" s="28">
        <f>Adatbázis!F191*$Q191/$Q$361</f>
        <v>0</v>
      </c>
      <c r="W191" s="28">
        <f>Adatbázis!G191*$Q191/$Q$361</f>
        <v>0</v>
      </c>
      <c r="X191" s="28">
        <f>Adatbázis!H191*$Q191/$Q$361</f>
        <v>0</v>
      </c>
      <c r="Y191" s="28">
        <f>Adatbázis!I191*$Q191/$Q$361</f>
        <v>0</v>
      </c>
      <c r="Z191" s="28">
        <f>Adatbázis!J191*$Q191/$Q$361</f>
        <v>0</v>
      </c>
      <c r="AA191" s="28">
        <f>Adatbázis!K191*$Q191/$Q$361</f>
        <v>0</v>
      </c>
      <c r="AB191" s="28">
        <f>Adatbázis!L191*$Q191/$Q$361</f>
        <v>0</v>
      </c>
      <c r="AC191" s="41">
        <f>Adatbázis!C191*Q191</f>
        <v>0</v>
      </c>
      <c r="AD191" s="442">
        <f t="shared" si="17"/>
        <v>0</v>
      </c>
      <c r="AE191" s="442"/>
    </row>
    <row r="192" spans="1:31" x14ac:dyDescent="0.25">
      <c r="A192" s="523"/>
      <c r="B192" s="491"/>
      <c r="C192" s="81"/>
      <c r="D192" s="27" t="s">
        <v>14</v>
      </c>
      <c r="E192" s="43"/>
      <c r="F192" s="17">
        <v>51</v>
      </c>
      <c r="G192" s="17">
        <v>28</v>
      </c>
      <c r="H192" s="17">
        <v>8</v>
      </c>
      <c r="I192" s="17"/>
      <c r="J192" s="17"/>
      <c r="K192" s="17"/>
      <c r="L192" s="17"/>
      <c r="M192" s="43"/>
      <c r="N192" s="472" t="s">
        <v>267</v>
      </c>
      <c r="O192" s="472"/>
      <c r="P192" s="472"/>
      <c r="Q192" s="145"/>
      <c r="R192" s="79" t="s">
        <v>133</v>
      </c>
      <c r="S192" s="160">
        <f t="shared" si="16"/>
        <v>0</v>
      </c>
      <c r="T192" s="163">
        <f>$P$11*0.2</f>
        <v>20</v>
      </c>
      <c r="U192" s="36">
        <f>Adatbázis!E192*Q192</f>
        <v>0</v>
      </c>
      <c r="V192" s="28">
        <f>Adatbázis!F192*$Q192/$Q$361</f>
        <v>0</v>
      </c>
      <c r="W192" s="28">
        <f>Adatbázis!G192*$Q192/$Q$361</f>
        <v>0</v>
      </c>
      <c r="X192" s="28">
        <f>Adatbázis!H192*$Q192/$Q$361</f>
        <v>0</v>
      </c>
      <c r="Y192" s="28">
        <f>Adatbázis!I192*$Q192/$Q$361</f>
        <v>0</v>
      </c>
      <c r="Z192" s="28">
        <f>Adatbázis!J192*$Q192/$Q$361</f>
        <v>0</v>
      </c>
      <c r="AA192" s="28">
        <f>Adatbázis!K192*$Q192/$Q$361</f>
        <v>0</v>
      </c>
      <c r="AB192" s="28">
        <f>Adatbázis!L192*$Q192/$Q$361</f>
        <v>0</v>
      </c>
      <c r="AC192" s="41">
        <f>Adatbázis!C192*Q192</f>
        <v>0</v>
      </c>
      <c r="AD192" s="442">
        <f t="shared" si="17"/>
        <v>0</v>
      </c>
      <c r="AE192" s="442"/>
    </row>
    <row r="193" spans="1:36" x14ac:dyDescent="0.25">
      <c r="A193" s="523"/>
      <c r="B193" s="491"/>
      <c r="C193" s="81"/>
      <c r="D193" s="27" t="s">
        <v>14</v>
      </c>
      <c r="E193" s="43"/>
      <c r="F193" s="17">
        <v>57</v>
      </c>
      <c r="G193" s="17">
        <v>10.4</v>
      </c>
      <c r="H193" s="17">
        <v>8</v>
      </c>
      <c r="I193" s="17">
        <v>2.6</v>
      </c>
      <c r="J193" s="17"/>
      <c r="K193" s="17"/>
      <c r="L193" s="17"/>
      <c r="M193" s="43"/>
      <c r="N193" s="472" t="s">
        <v>420</v>
      </c>
      <c r="O193" s="472"/>
      <c r="P193" s="472"/>
      <c r="Q193" s="145"/>
      <c r="R193" s="79" t="s">
        <v>133</v>
      </c>
      <c r="S193" s="408">
        <f t="shared" si="16"/>
        <v>0</v>
      </c>
      <c r="T193" s="407">
        <f>$P$11*0.2</f>
        <v>20</v>
      </c>
      <c r="U193" s="36">
        <f>Adatbázis!E193*Q193</f>
        <v>0</v>
      </c>
      <c r="V193" s="28">
        <f>Adatbázis!F193*$Q193/$Q$361</f>
        <v>0</v>
      </c>
      <c r="W193" s="28">
        <f>Adatbázis!G193*$Q193/$Q$361</f>
        <v>0</v>
      </c>
      <c r="X193" s="28">
        <f>Adatbázis!H193*$Q193/$Q$361</f>
        <v>0</v>
      </c>
      <c r="Y193" s="28">
        <f>Adatbázis!I193*$Q193/$Q$361</f>
        <v>0</v>
      </c>
      <c r="Z193" s="28">
        <f>Adatbázis!J193*$Q193/$Q$361</f>
        <v>0</v>
      </c>
      <c r="AA193" s="28">
        <f>Adatbázis!K193*$Q193/$Q$361</f>
        <v>0</v>
      </c>
      <c r="AB193" s="28">
        <f>Adatbázis!L193*$Q193/$Q$361</f>
        <v>0</v>
      </c>
      <c r="AC193" s="41">
        <f>Adatbázis!C193*Q193</f>
        <v>0</v>
      </c>
      <c r="AD193" s="442">
        <f t="shared" si="17"/>
        <v>0</v>
      </c>
      <c r="AE193" s="442"/>
    </row>
    <row r="194" spans="1:36" x14ac:dyDescent="0.25">
      <c r="A194" s="523"/>
      <c r="B194" s="491"/>
      <c r="C194" s="81"/>
      <c r="D194" s="27" t="s">
        <v>14</v>
      </c>
      <c r="E194" s="43"/>
      <c r="F194" s="17">
        <v>45.2</v>
      </c>
      <c r="G194" s="17">
        <v>29.8</v>
      </c>
      <c r="H194" s="17">
        <v>7.5</v>
      </c>
      <c r="I194" s="17">
        <v>0.02</v>
      </c>
      <c r="J194" s="17">
        <v>0.01</v>
      </c>
      <c r="K194" s="17"/>
      <c r="L194" s="17"/>
      <c r="M194" s="43"/>
      <c r="N194" s="472" t="s">
        <v>416</v>
      </c>
      <c r="O194" s="472"/>
      <c r="P194" s="472"/>
      <c r="Q194" s="107"/>
      <c r="R194" s="79" t="s">
        <v>133</v>
      </c>
      <c r="S194" s="403">
        <f t="shared" si="16"/>
        <v>0</v>
      </c>
      <c r="T194" s="402">
        <f>$P$11*0.2</f>
        <v>20</v>
      </c>
      <c r="U194" s="36">
        <f>Adatbázis!E194*Q194</f>
        <v>0</v>
      </c>
      <c r="V194" s="28">
        <f>Adatbázis!F194*$Q194/$Q$361</f>
        <v>0</v>
      </c>
      <c r="W194" s="28">
        <f>Adatbázis!G194*$Q194/$Q$361</f>
        <v>0</v>
      </c>
      <c r="X194" s="28">
        <f>Adatbázis!H194*$Q194/$Q$361</f>
        <v>0</v>
      </c>
      <c r="Y194" s="28">
        <f>Adatbázis!I194*$Q194/$Q$361</f>
        <v>0</v>
      </c>
      <c r="Z194" s="28">
        <f>Adatbázis!J194*$Q194/$Q$361</f>
        <v>0</v>
      </c>
      <c r="AA194" s="28">
        <f>Adatbázis!K194*$Q194/$Q$361</f>
        <v>0</v>
      </c>
      <c r="AB194" s="28">
        <f>Adatbázis!L194*$Q194/$Q$361</f>
        <v>0</v>
      </c>
      <c r="AC194" s="41">
        <f>Adatbázis!C194*Q194</f>
        <v>0</v>
      </c>
      <c r="AD194" s="442">
        <f t="shared" si="17"/>
        <v>0</v>
      </c>
      <c r="AE194" s="442"/>
    </row>
    <row r="195" spans="1:36" x14ac:dyDescent="0.25">
      <c r="A195" s="523"/>
      <c r="B195" s="491"/>
      <c r="C195" s="81"/>
      <c r="D195" s="27" t="s">
        <v>14</v>
      </c>
      <c r="E195" s="43"/>
      <c r="F195" s="17">
        <v>41.5</v>
      </c>
      <c r="G195" s="17">
        <v>30.2</v>
      </c>
      <c r="H195" s="17">
        <v>24.5</v>
      </c>
      <c r="I195" s="17"/>
      <c r="J195" s="17"/>
      <c r="K195" s="17">
        <v>23</v>
      </c>
      <c r="L195" s="17">
        <v>7.6</v>
      </c>
      <c r="M195" s="43"/>
      <c r="N195" s="472" t="s">
        <v>114</v>
      </c>
      <c r="O195" s="472"/>
      <c r="P195" s="472"/>
      <c r="Q195" s="107"/>
      <c r="R195" s="79" t="s">
        <v>133</v>
      </c>
      <c r="S195" s="123">
        <f t="shared" si="16"/>
        <v>0</v>
      </c>
      <c r="T195" s="121">
        <f>$P$11*0.2</f>
        <v>20</v>
      </c>
      <c r="U195" s="36">
        <f>Adatbázis!E195*Q195</f>
        <v>0</v>
      </c>
      <c r="V195" s="28">
        <f>Adatbázis!F195*$Q195/$Q$361</f>
        <v>0</v>
      </c>
      <c r="W195" s="28">
        <f>Adatbázis!G195*$Q195/$Q$361</f>
        <v>0</v>
      </c>
      <c r="X195" s="28">
        <f>Adatbázis!H195*$Q195/$Q$361</f>
        <v>0</v>
      </c>
      <c r="Y195" s="28">
        <f>Adatbázis!I195*$Q195/$Q$361</f>
        <v>0</v>
      </c>
      <c r="Z195" s="28">
        <f>Adatbázis!J195*$Q195/$Q$361</f>
        <v>0</v>
      </c>
      <c r="AA195" s="28">
        <f>Adatbázis!K195*$Q195/$Q$361</f>
        <v>0</v>
      </c>
      <c r="AB195" s="28">
        <f>Adatbázis!L195*$Q195/$Q$361</f>
        <v>0</v>
      </c>
      <c r="AC195" s="41">
        <f>Adatbázis!C195*Q195</f>
        <v>0</v>
      </c>
      <c r="AD195" s="442">
        <f t="shared" si="17"/>
        <v>0</v>
      </c>
      <c r="AE195" s="442"/>
    </row>
    <row r="196" spans="1:36" ht="15.75" thickBot="1" x14ac:dyDescent="0.3">
      <c r="A196" s="523"/>
      <c r="B196" s="492"/>
      <c r="C196" s="94"/>
      <c r="D196" s="95" t="s">
        <v>14</v>
      </c>
      <c r="E196" s="118"/>
      <c r="F196" s="119">
        <v>61.45</v>
      </c>
      <c r="G196" s="119">
        <v>10.49</v>
      </c>
      <c r="H196" s="119"/>
      <c r="I196" s="119"/>
      <c r="J196" s="119"/>
      <c r="K196" s="119">
        <v>23</v>
      </c>
      <c r="L196" s="119">
        <v>7.6</v>
      </c>
      <c r="M196" s="118"/>
      <c r="N196" s="476" t="s">
        <v>115</v>
      </c>
      <c r="O196" s="476"/>
      <c r="P196" s="476"/>
      <c r="Q196" s="145"/>
      <c r="R196" s="96" t="s">
        <v>133</v>
      </c>
      <c r="S196" s="97">
        <f t="shared" si="16"/>
        <v>0</v>
      </c>
      <c r="T196" s="98">
        <f>$P$11*0.2</f>
        <v>20</v>
      </c>
      <c r="U196" s="22">
        <f>Adatbázis!E196*Q196</f>
        <v>0</v>
      </c>
      <c r="V196" s="48">
        <f>Adatbázis!F196*$Q196/$Q$361</f>
        <v>0</v>
      </c>
      <c r="W196" s="48">
        <f>Adatbázis!G196*$Q196/$Q$361</f>
        <v>0</v>
      </c>
      <c r="X196" s="48">
        <f>Adatbázis!H196*$Q196/$Q$361</f>
        <v>0</v>
      </c>
      <c r="Y196" s="48">
        <f>Adatbázis!I196*$Q196/$Q$361</f>
        <v>0</v>
      </c>
      <c r="Z196" s="48">
        <f>Adatbázis!J196*$Q196/$Q$361</f>
        <v>0</v>
      </c>
      <c r="AA196" s="48">
        <f>Adatbázis!K196*$Q196/$Q$361</f>
        <v>0</v>
      </c>
      <c r="AB196" s="48">
        <f>Adatbázis!L196*$Q196/$Q$361</f>
        <v>0</v>
      </c>
      <c r="AC196" s="49">
        <f>Adatbázis!C196*Q196</f>
        <v>0</v>
      </c>
      <c r="AD196" s="442">
        <f t="shared" si="17"/>
        <v>0</v>
      </c>
      <c r="AE196" s="442"/>
    </row>
    <row r="197" spans="1:36" ht="15" customHeight="1" thickBot="1" x14ac:dyDescent="0.3">
      <c r="A197" s="523"/>
      <c r="B197" s="526" t="s">
        <v>62</v>
      </c>
      <c r="C197" s="265"/>
      <c r="D197" s="25" t="s">
        <v>14</v>
      </c>
      <c r="E197" s="42">
        <v>13.14</v>
      </c>
      <c r="F197" s="30">
        <v>75</v>
      </c>
      <c r="G197" s="30">
        <v>4.5</v>
      </c>
      <c r="H197" s="30">
        <v>0.2</v>
      </c>
      <c r="I197" s="30">
        <v>0.1</v>
      </c>
      <c r="J197" s="30">
        <v>0.7</v>
      </c>
      <c r="K197" s="30">
        <v>2.4</v>
      </c>
      <c r="L197" s="30">
        <v>0.9</v>
      </c>
      <c r="M197" s="272"/>
      <c r="N197" s="585" t="s">
        <v>222</v>
      </c>
      <c r="O197" s="585"/>
      <c r="P197" s="585"/>
      <c r="Q197" s="145"/>
      <c r="R197" s="271" t="s">
        <v>133</v>
      </c>
      <c r="S197" s="152">
        <f t="shared" si="16"/>
        <v>0</v>
      </c>
      <c r="T197" s="154">
        <f>$P$11*0.08</f>
        <v>8</v>
      </c>
      <c r="U197" s="37">
        <f>Adatbázis!E197*Q197</f>
        <v>0</v>
      </c>
      <c r="V197" s="26">
        <f>Adatbázis!F197*$Q197/$Q$361</f>
        <v>0</v>
      </c>
      <c r="W197" s="26">
        <f>Adatbázis!G197*$Q197/$Q$361</f>
        <v>0</v>
      </c>
      <c r="X197" s="26">
        <f>Adatbázis!H197*$Q197/$Q$361</f>
        <v>0</v>
      </c>
      <c r="Y197" s="26">
        <f>Adatbázis!I197*$Q197/$Q$361</f>
        <v>0</v>
      </c>
      <c r="Z197" s="26">
        <f>Adatbázis!J197*$Q197/$Q$361</f>
        <v>0</v>
      </c>
      <c r="AA197" s="26">
        <f>Adatbázis!K197*$Q197/$Q$361</f>
        <v>0</v>
      </c>
      <c r="AB197" s="26">
        <f>Adatbázis!L197*$Q197/$Q$361</f>
        <v>0</v>
      </c>
      <c r="AC197" s="40">
        <f>Adatbázis!C197*Q197</f>
        <v>0</v>
      </c>
      <c r="AD197" s="442">
        <f t="shared" si="17"/>
        <v>0</v>
      </c>
      <c r="AE197" s="442"/>
      <c r="AF197" s="276" t="s">
        <v>330</v>
      </c>
      <c r="AJ197" s="24"/>
    </row>
    <row r="198" spans="1:36" ht="15" customHeight="1" thickBot="1" x14ac:dyDescent="0.3">
      <c r="A198" s="523"/>
      <c r="B198" s="527"/>
      <c r="C198" s="267"/>
      <c r="D198" s="27" t="s">
        <v>14</v>
      </c>
      <c r="E198" s="43">
        <v>13.14</v>
      </c>
      <c r="F198" s="17">
        <v>68</v>
      </c>
      <c r="G198" s="17">
        <v>1.5</v>
      </c>
      <c r="H198" s="17">
        <v>10</v>
      </c>
      <c r="I198" s="17">
        <v>0.1</v>
      </c>
      <c r="J198" s="17">
        <v>1</v>
      </c>
      <c r="K198" s="17">
        <v>11.26</v>
      </c>
      <c r="L198" s="17">
        <v>0.7</v>
      </c>
      <c r="M198" s="273"/>
      <c r="N198" s="478" t="s">
        <v>223</v>
      </c>
      <c r="O198" s="478"/>
      <c r="P198" s="478"/>
      <c r="Q198" s="107"/>
      <c r="R198" s="103" t="s">
        <v>133</v>
      </c>
      <c r="S198" s="153">
        <f t="shared" si="16"/>
        <v>0</v>
      </c>
      <c r="T198" s="155">
        <f>$P$11*0.08</f>
        <v>8</v>
      </c>
      <c r="U198" s="36">
        <f>Adatbázis!E198*Q198</f>
        <v>0</v>
      </c>
      <c r="V198" s="28">
        <f>Adatbázis!F198*$Q198/$Q$361</f>
        <v>0</v>
      </c>
      <c r="W198" s="28">
        <f>Adatbázis!G198*$Q198/$Q$361</f>
        <v>0</v>
      </c>
      <c r="X198" s="28">
        <f>Adatbázis!H198*$Q198/$Q$361</f>
        <v>0</v>
      </c>
      <c r="Y198" s="28">
        <f>Adatbázis!I198*$Q198/$Q$361</f>
        <v>0</v>
      </c>
      <c r="Z198" s="28">
        <f>Adatbázis!J198*$Q198/$Q$361</f>
        <v>0</v>
      </c>
      <c r="AA198" s="28">
        <f>Adatbázis!K198*$Q198/$Q$361</f>
        <v>0</v>
      </c>
      <c r="AB198" s="28">
        <f>Adatbázis!L198*$Q198/$Q$361</f>
        <v>0</v>
      </c>
      <c r="AC198" s="41">
        <f>Adatbázis!C198*Q198</f>
        <v>0</v>
      </c>
      <c r="AD198" s="442">
        <f t="shared" si="17"/>
        <v>0</v>
      </c>
      <c r="AE198" s="442"/>
      <c r="AF198" s="276" t="s">
        <v>330</v>
      </c>
      <c r="AJ198" s="24"/>
    </row>
    <row r="199" spans="1:36" x14ac:dyDescent="0.25">
      <c r="A199" s="523"/>
      <c r="B199" s="528"/>
      <c r="C199" s="267"/>
      <c r="D199" s="27" t="s">
        <v>14</v>
      </c>
      <c r="E199" s="43"/>
      <c r="F199" s="17">
        <v>70</v>
      </c>
      <c r="G199" s="17">
        <v>4</v>
      </c>
      <c r="H199" s="17"/>
      <c r="I199" s="17"/>
      <c r="J199" s="17"/>
      <c r="K199" s="17">
        <v>3.06</v>
      </c>
      <c r="L199" s="17">
        <v>1.36</v>
      </c>
      <c r="M199" s="43"/>
      <c r="N199" s="472" t="s">
        <v>317</v>
      </c>
      <c r="O199" s="472"/>
      <c r="P199" s="472"/>
      <c r="Q199" s="107"/>
      <c r="R199" s="79" t="s">
        <v>133</v>
      </c>
      <c r="S199" s="245">
        <f t="shared" si="16"/>
        <v>0</v>
      </c>
      <c r="T199" s="244">
        <f>$P$11*0.08</f>
        <v>8</v>
      </c>
      <c r="U199" s="36">
        <f>Adatbázis!E199*Q199</f>
        <v>0</v>
      </c>
      <c r="V199" s="28">
        <f>Adatbázis!F199*$Q199/$Q$361</f>
        <v>0</v>
      </c>
      <c r="W199" s="28">
        <f>Adatbázis!G199*$Q199/$Q$361</f>
        <v>0</v>
      </c>
      <c r="X199" s="28">
        <f>Adatbázis!H199*$Q199/$Q$361</f>
        <v>0</v>
      </c>
      <c r="Y199" s="28">
        <f>Adatbázis!I199*$Q199/$Q$361</f>
        <v>0</v>
      </c>
      <c r="Z199" s="28">
        <f>Adatbázis!J199*$Q199/$Q$361</f>
        <v>0</v>
      </c>
      <c r="AA199" s="28">
        <f>Adatbázis!K199*$Q199/$Q$361</f>
        <v>0</v>
      </c>
      <c r="AB199" s="28">
        <f>Adatbázis!L199*$Q199/$Q$361</f>
        <v>0</v>
      </c>
      <c r="AC199" s="41">
        <f>Adatbázis!C199*Q199</f>
        <v>0</v>
      </c>
      <c r="AD199" s="442">
        <f t="shared" si="17"/>
        <v>0</v>
      </c>
      <c r="AE199" s="442"/>
      <c r="AJ199" s="24"/>
    </row>
    <row r="200" spans="1:36" x14ac:dyDescent="0.25">
      <c r="A200" s="523"/>
      <c r="B200" s="528"/>
      <c r="C200" s="267"/>
      <c r="D200" s="27" t="s">
        <v>14</v>
      </c>
      <c r="E200" s="43"/>
      <c r="F200" s="17">
        <v>75</v>
      </c>
      <c r="G200" s="17">
        <v>1.4</v>
      </c>
      <c r="H200" s="17">
        <v>3.9</v>
      </c>
      <c r="I200" s="17">
        <v>0</v>
      </c>
      <c r="J200" s="17">
        <v>0</v>
      </c>
      <c r="K200" s="17">
        <v>7.5</v>
      </c>
      <c r="L200" s="17">
        <v>3</v>
      </c>
      <c r="M200" s="43"/>
      <c r="N200" s="472" t="s">
        <v>359</v>
      </c>
      <c r="O200" s="472"/>
      <c r="P200" s="472"/>
      <c r="Q200" s="145"/>
      <c r="R200" s="79" t="s">
        <v>133</v>
      </c>
      <c r="S200" s="287">
        <f t="shared" si="16"/>
        <v>0</v>
      </c>
      <c r="T200" s="286">
        <f>$P$11*0.06</f>
        <v>6</v>
      </c>
      <c r="U200" s="36">
        <f>Adatbázis!E200*Q200</f>
        <v>0</v>
      </c>
      <c r="V200" s="28">
        <f>Adatbázis!F200*$Q200/$Q$361</f>
        <v>0</v>
      </c>
      <c r="W200" s="28">
        <f>Adatbázis!G200*$Q200/$Q$361</f>
        <v>0</v>
      </c>
      <c r="X200" s="28">
        <f>Adatbázis!H200*$Q200/$Q$361</f>
        <v>0</v>
      </c>
      <c r="Y200" s="28">
        <f>Adatbázis!I200*$Q200/$Q$361</f>
        <v>0</v>
      </c>
      <c r="Z200" s="28">
        <f>Adatbázis!J200*$Q200/$Q$361</f>
        <v>0</v>
      </c>
      <c r="AA200" s="28">
        <f>Adatbázis!K200*$Q200/$Q$361</f>
        <v>0</v>
      </c>
      <c r="AB200" s="28">
        <f>Adatbázis!L200*$Q200/$Q$361</f>
        <v>0</v>
      </c>
      <c r="AC200" s="41">
        <f>Adatbázis!C200*Q200</f>
        <v>0</v>
      </c>
      <c r="AD200" s="442">
        <f t="shared" si="17"/>
        <v>0</v>
      </c>
      <c r="AE200" s="442"/>
      <c r="AJ200" s="24"/>
    </row>
    <row r="201" spans="1:36" ht="15.75" thickBot="1" x14ac:dyDescent="0.3">
      <c r="A201" s="525"/>
      <c r="B201" s="529"/>
      <c r="C201" s="266"/>
      <c r="D201" s="29" t="s">
        <v>14</v>
      </c>
      <c r="E201" s="53">
        <v>13.14</v>
      </c>
      <c r="F201" s="20">
        <v>78</v>
      </c>
      <c r="G201" s="20">
        <v>1.3</v>
      </c>
      <c r="H201" s="20">
        <v>3.8</v>
      </c>
      <c r="I201" s="20">
        <v>0</v>
      </c>
      <c r="J201" s="20">
        <v>0</v>
      </c>
      <c r="K201" s="20">
        <v>7.5</v>
      </c>
      <c r="L201" s="20">
        <v>3</v>
      </c>
      <c r="M201" s="53"/>
      <c r="N201" s="489" t="s">
        <v>262</v>
      </c>
      <c r="O201" s="489"/>
      <c r="P201" s="489"/>
      <c r="Q201" s="145"/>
      <c r="R201" s="83" t="s">
        <v>133</v>
      </c>
      <c r="S201" s="124">
        <f t="shared" si="16"/>
        <v>0</v>
      </c>
      <c r="T201" s="122">
        <f>$P$11*0.08</f>
        <v>8</v>
      </c>
      <c r="U201" s="38">
        <f>Adatbázis!E201*Q201</f>
        <v>0</v>
      </c>
      <c r="V201" s="67">
        <f>Adatbázis!F201*$Q201/$Q$361</f>
        <v>0</v>
      </c>
      <c r="W201" s="67">
        <f>Adatbázis!G201*$Q201/$Q$361</f>
        <v>0</v>
      </c>
      <c r="X201" s="67">
        <f>Adatbázis!H201*$Q201/$Q$361</f>
        <v>0</v>
      </c>
      <c r="Y201" s="67">
        <f>Adatbázis!I201*$Q201/$Q$361</f>
        <v>0</v>
      </c>
      <c r="Z201" s="67">
        <f>Adatbázis!J201*$Q201/$Q$361</f>
        <v>0</v>
      </c>
      <c r="AA201" s="67">
        <f>Adatbázis!K201*$Q201/$Q$361</f>
        <v>0</v>
      </c>
      <c r="AB201" s="67">
        <f>Adatbázis!L201*$Q201/$Q$361</f>
        <v>0</v>
      </c>
      <c r="AC201" s="68">
        <f>Adatbázis!C201*Q201</f>
        <v>0</v>
      </c>
      <c r="AD201" s="442">
        <f>IF(AND(Q201&gt;T201),1,0)</f>
        <v>0</v>
      </c>
      <c r="AE201" s="442"/>
      <c r="AJ201" s="24"/>
    </row>
    <row r="202" spans="1:36" x14ac:dyDescent="0.25">
      <c r="A202" s="602" t="s">
        <v>75</v>
      </c>
      <c r="B202" s="490" t="s">
        <v>64</v>
      </c>
      <c r="C202" s="87"/>
      <c r="D202" s="78" t="s">
        <v>14</v>
      </c>
      <c r="E202" s="32"/>
      <c r="F202" s="77"/>
      <c r="G202" s="77"/>
      <c r="H202" s="77"/>
      <c r="I202" s="77">
        <v>36</v>
      </c>
      <c r="J202" s="77">
        <v>1.7100000000000001E-2</v>
      </c>
      <c r="K202" s="77"/>
      <c r="L202" s="77"/>
      <c r="M202" s="144"/>
      <c r="N202" s="481" t="s">
        <v>138</v>
      </c>
      <c r="O202" s="481"/>
      <c r="P202" s="481"/>
      <c r="Q202" s="107"/>
      <c r="R202" s="64" t="s">
        <v>133</v>
      </c>
      <c r="S202" s="89">
        <f>$P$11*0.00005</f>
        <v>5.0000000000000001E-3</v>
      </c>
      <c r="T202" s="90">
        <f>$P$11*0.1</f>
        <v>10</v>
      </c>
      <c r="U202" s="32">
        <f>Adatbázis!E202*Q202</f>
        <v>0</v>
      </c>
      <c r="V202" s="6">
        <f>Adatbázis!F202*$Q202/$Q$361</f>
        <v>0</v>
      </c>
      <c r="W202" s="6">
        <f>Adatbázis!G202*$Q202/$Q$361</f>
        <v>0</v>
      </c>
      <c r="X202" s="6">
        <f>Adatbázis!H202*$Q202/$Q$361</f>
        <v>0</v>
      </c>
      <c r="Y202" s="6">
        <f>Adatbázis!I202*$Q202/$Q$361</f>
        <v>0</v>
      </c>
      <c r="Z202" s="6">
        <f>Adatbázis!J202*$Q202/$Q$361</f>
        <v>0</v>
      </c>
      <c r="AA202" s="6">
        <f>Adatbázis!K202*$Q202/$Q$361</f>
        <v>0</v>
      </c>
      <c r="AB202" s="6">
        <f>Adatbázis!L202*$Q202/$Q$361</f>
        <v>0</v>
      </c>
      <c r="AC202" s="50">
        <f>Adatbázis!C202*Q202</f>
        <v>0</v>
      </c>
      <c r="AD202" s="434">
        <f>IF(AND(Q202&gt;=S202,Q202&lt;=T202),1,0)</f>
        <v>0</v>
      </c>
      <c r="AE202" s="434"/>
      <c r="AH202" s="34"/>
      <c r="AJ202" s="2"/>
    </row>
    <row r="203" spans="1:36" x14ac:dyDescent="0.25">
      <c r="A203" s="602"/>
      <c r="B203" s="491"/>
      <c r="C203" s="81"/>
      <c r="D203" s="27" t="s">
        <v>14</v>
      </c>
      <c r="E203" s="36"/>
      <c r="F203" s="4"/>
      <c r="G203" s="4"/>
      <c r="H203" s="4"/>
      <c r="I203" s="4">
        <v>17</v>
      </c>
      <c r="J203" s="4">
        <v>22.3</v>
      </c>
      <c r="K203" s="4"/>
      <c r="L203" s="4"/>
      <c r="M203" s="43"/>
      <c r="N203" s="472" t="s">
        <v>189</v>
      </c>
      <c r="O203" s="472"/>
      <c r="P203" s="472"/>
      <c r="Q203" s="107"/>
      <c r="R203" s="79" t="s">
        <v>133</v>
      </c>
      <c r="S203" s="89">
        <f>$P$11*0.005</f>
        <v>0.5</v>
      </c>
      <c r="T203" s="90">
        <f>$P$11*0.01</f>
        <v>1</v>
      </c>
      <c r="U203" s="36">
        <f>Adatbázis!E203*Q203</f>
        <v>0</v>
      </c>
      <c r="V203" s="28">
        <f>Adatbázis!F203*$Q203/$Q$361</f>
        <v>0</v>
      </c>
      <c r="W203" s="28">
        <f>Adatbázis!G203*$Q203/$Q$361</f>
        <v>0</v>
      </c>
      <c r="X203" s="28">
        <f>Adatbázis!H203*$Q203/$Q$361</f>
        <v>0</v>
      </c>
      <c r="Y203" s="28">
        <f>Adatbázis!I203*$Q203/$Q$361</f>
        <v>0</v>
      </c>
      <c r="Z203" s="28">
        <f>Adatbázis!J203*$Q203/$Q$361</f>
        <v>0</v>
      </c>
      <c r="AA203" s="28">
        <f>Adatbázis!K203*$Q203/$Q$361</f>
        <v>0</v>
      </c>
      <c r="AB203" s="28">
        <f>Adatbázis!L203*$Q203/$Q$361</f>
        <v>0</v>
      </c>
      <c r="AC203" s="41">
        <f>Adatbázis!C203*Q203</f>
        <v>0</v>
      </c>
      <c r="AD203" s="434">
        <f>IF(AND(Q203&gt;=S203,Q203&lt;=T203),1,0)</f>
        <v>0</v>
      </c>
      <c r="AE203" s="434"/>
      <c r="AH203" s="34"/>
      <c r="AJ203" s="2"/>
    </row>
    <row r="204" spans="1:36" x14ac:dyDescent="0.25">
      <c r="A204" s="602"/>
      <c r="B204" s="491"/>
      <c r="C204" s="81"/>
      <c r="D204" s="27" t="s">
        <v>14</v>
      </c>
      <c r="E204" s="36"/>
      <c r="F204" s="4">
        <v>7.2</v>
      </c>
      <c r="G204" s="4"/>
      <c r="H204" s="4">
        <v>6.1</v>
      </c>
      <c r="I204" s="4">
        <v>12.1</v>
      </c>
      <c r="J204" s="4">
        <v>6.9</v>
      </c>
      <c r="K204" s="4"/>
      <c r="L204" s="4"/>
      <c r="M204" s="43"/>
      <c r="N204" s="472" t="s">
        <v>351</v>
      </c>
      <c r="O204" s="472"/>
      <c r="P204" s="472"/>
      <c r="Q204" s="145"/>
      <c r="R204" s="79" t="s">
        <v>133</v>
      </c>
      <c r="S204" s="89">
        <f>$P$11*0.0005</f>
        <v>0.05</v>
      </c>
      <c r="T204" s="90">
        <f>$P$11*0.02</f>
        <v>2</v>
      </c>
      <c r="U204" s="36">
        <f>Adatbázis!E204*Q204</f>
        <v>0</v>
      </c>
      <c r="V204" s="28">
        <f>Adatbázis!F204*$Q204/$Q$361</f>
        <v>0</v>
      </c>
      <c r="W204" s="28">
        <f>Adatbázis!G204*$Q204/$Q$361</f>
        <v>0</v>
      </c>
      <c r="X204" s="28">
        <f>Adatbázis!H204*$Q204/$Q$361</f>
        <v>0</v>
      </c>
      <c r="Y204" s="28">
        <f>Adatbázis!I204*$Q204/$Q$361</f>
        <v>0</v>
      </c>
      <c r="Z204" s="28">
        <f>Adatbázis!J204*$Q204/$Q$361</f>
        <v>0</v>
      </c>
      <c r="AA204" s="28">
        <f>Adatbázis!K204*$Q204/$Q$361</f>
        <v>0</v>
      </c>
      <c r="AB204" s="28">
        <f>Adatbázis!L204*$Q204/$Q$361</f>
        <v>0</v>
      </c>
      <c r="AC204" s="41">
        <f>Adatbázis!C204*Q204</f>
        <v>0</v>
      </c>
      <c r="AD204" s="434">
        <f>IF(AND(Q204&gt;=S204,Q204&lt;=T204),1,0)</f>
        <v>0</v>
      </c>
      <c r="AE204" s="434"/>
      <c r="AH204" s="34"/>
      <c r="AJ204" s="2"/>
    </row>
    <row r="205" spans="1:36" x14ac:dyDescent="0.25">
      <c r="A205" s="602"/>
      <c r="B205" s="491"/>
      <c r="C205" s="81"/>
      <c r="D205" s="27" t="s">
        <v>14</v>
      </c>
      <c r="E205" s="5"/>
      <c r="F205" s="4"/>
      <c r="G205" s="4"/>
      <c r="H205" s="4"/>
      <c r="I205" s="4">
        <v>0.51</v>
      </c>
      <c r="J205" s="4">
        <v>0</v>
      </c>
      <c r="K205" s="4"/>
      <c r="L205" s="4"/>
      <c r="M205" s="43"/>
      <c r="N205" s="472" t="s">
        <v>190</v>
      </c>
      <c r="O205" s="472"/>
      <c r="P205" s="472"/>
      <c r="Q205" s="145"/>
      <c r="R205" s="79" t="s">
        <v>133</v>
      </c>
      <c r="S205" s="123">
        <f>$P$11*0.003</f>
        <v>0.3</v>
      </c>
      <c r="T205" s="121">
        <f>$P$11*0.005</f>
        <v>0.5</v>
      </c>
      <c r="U205" s="36">
        <f>Adatbázis!E205*Q205</f>
        <v>0</v>
      </c>
      <c r="V205" s="28">
        <f>Adatbázis!F205*$Q205/$Q$361</f>
        <v>0</v>
      </c>
      <c r="W205" s="28">
        <f>Adatbázis!G205*$Q205/$Q$361</f>
        <v>0</v>
      </c>
      <c r="X205" s="28">
        <f>Adatbázis!H205*$Q205/$Q$361</f>
        <v>0</v>
      </c>
      <c r="Y205" s="28">
        <f>Adatbázis!I205*$Q205/$Q$361</f>
        <v>0</v>
      </c>
      <c r="Z205" s="28">
        <f>Adatbázis!J205*$Q205/$Q$361</f>
        <v>0</v>
      </c>
      <c r="AA205" s="28">
        <f>Adatbázis!K205*$Q205/$Q$361</f>
        <v>0</v>
      </c>
      <c r="AB205" s="28">
        <f>Adatbázis!L205*$Q205/$Q$361</f>
        <v>0</v>
      </c>
      <c r="AC205" s="41">
        <f>Adatbázis!C205*Q205</f>
        <v>0</v>
      </c>
      <c r="AD205" s="434">
        <f>IF(AND(Q205&gt;=S205,Q205&lt;=T205),1,0)</f>
        <v>0</v>
      </c>
      <c r="AE205" s="434"/>
      <c r="AH205" s="34"/>
      <c r="AJ205" s="2"/>
    </row>
    <row r="206" spans="1:36" ht="15.75" thickBot="1" x14ac:dyDescent="0.3">
      <c r="A206" s="602"/>
      <c r="B206" s="492"/>
      <c r="C206" s="94"/>
      <c r="D206" s="95" t="s">
        <v>14</v>
      </c>
      <c r="E206" s="44"/>
      <c r="F206" s="21"/>
      <c r="G206" s="21"/>
      <c r="H206" s="21"/>
      <c r="I206" s="21">
        <v>0.7</v>
      </c>
      <c r="J206" s="21"/>
      <c r="K206" s="21"/>
      <c r="L206" s="21"/>
      <c r="M206" s="118"/>
      <c r="N206" s="476" t="s">
        <v>139</v>
      </c>
      <c r="O206" s="476"/>
      <c r="P206" s="476"/>
      <c r="Q206" s="107"/>
      <c r="R206" s="96" t="s">
        <v>133</v>
      </c>
      <c r="S206" s="427">
        <f>$P$11*0.005</f>
        <v>0.5</v>
      </c>
      <c r="T206" s="425">
        <f>$P$11*0.08</f>
        <v>8</v>
      </c>
      <c r="U206" s="22">
        <f>Adatbázis!E206*Q206</f>
        <v>0</v>
      </c>
      <c r="V206" s="48">
        <f>Adatbázis!F206*$Q206/$Q$361</f>
        <v>0</v>
      </c>
      <c r="W206" s="48">
        <f>Adatbázis!G206*$Q206/$Q$361</f>
        <v>0</v>
      </c>
      <c r="X206" s="48">
        <f>Adatbázis!H206*$Q206/$Q$361</f>
        <v>0</v>
      </c>
      <c r="Y206" s="48">
        <f>Adatbázis!I206*$Q206/$Q$361</f>
        <v>0</v>
      </c>
      <c r="Z206" s="48">
        <f>Adatbázis!J206*$Q206/$Q$361</f>
        <v>0</v>
      </c>
      <c r="AA206" s="48">
        <f>Adatbázis!K206*$Q206/$Q$361</f>
        <v>0</v>
      </c>
      <c r="AB206" s="48">
        <f>Adatbázis!L206*$Q206/$Q$361</f>
        <v>0</v>
      </c>
      <c r="AC206" s="49">
        <f>Adatbázis!C206*Q206</f>
        <v>0</v>
      </c>
      <c r="AD206" s="434">
        <f>IF(AND(Q206&gt;=S206,Q206&lt;=T206),1,0)</f>
        <v>0</v>
      </c>
      <c r="AE206" s="434"/>
      <c r="AH206" s="34"/>
      <c r="AJ206" s="2"/>
    </row>
    <row r="207" spans="1:36" x14ac:dyDescent="0.25">
      <c r="A207" s="602"/>
      <c r="B207" s="526" t="s">
        <v>396</v>
      </c>
      <c r="C207" s="265"/>
      <c r="D207" s="25" t="s">
        <v>14</v>
      </c>
      <c r="E207" s="37"/>
      <c r="F207" s="19">
        <v>30</v>
      </c>
      <c r="G207" s="19">
        <v>6.5</v>
      </c>
      <c r="H207" s="19">
        <v>7.4</v>
      </c>
      <c r="I207" s="19">
        <v>12</v>
      </c>
      <c r="J207" s="19">
        <v>1.3</v>
      </c>
      <c r="K207" s="19">
        <v>2.2999999999999998</v>
      </c>
      <c r="L207" s="19">
        <v>1</v>
      </c>
      <c r="M207" s="42"/>
      <c r="N207" s="477" t="s">
        <v>191</v>
      </c>
      <c r="O207" s="477"/>
      <c r="P207" s="477"/>
      <c r="Q207" s="107"/>
      <c r="R207" s="66" t="s">
        <v>133</v>
      </c>
      <c r="S207" s="453">
        <f>$P$11*0.3</f>
        <v>30</v>
      </c>
      <c r="T207" s="452">
        <f>$P$11*0.3</f>
        <v>30</v>
      </c>
      <c r="U207" s="37">
        <f>Adatbázis!E207*Q207</f>
        <v>0</v>
      </c>
      <c r="V207" s="26">
        <f>Adatbázis!F207*$Q207/$Q$361</f>
        <v>0</v>
      </c>
      <c r="W207" s="26">
        <f>Adatbázis!G207*$Q207/$Q$361</f>
        <v>0</v>
      </c>
      <c r="X207" s="26">
        <f>Adatbázis!H207*$Q207/$Q$361</f>
        <v>0</v>
      </c>
      <c r="Y207" s="26">
        <f>Adatbázis!I207*$Q207/$Q$361</f>
        <v>0</v>
      </c>
      <c r="Z207" s="26">
        <f>Adatbázis!J207*$Q207/$Q$361</f>
        <v>0</v>
      </c>
      <c r="AA207" s="26">
        <f>Adatbázis!K207*$Q207/$Q$361</f>
        <v>0</v>
      </c>
      <c r="AB207" s="26">
        <f>Adatbázis!L207*$Q207/$Q$361</f>
        <v>0</v>
      </c>
      <c r="AC207" s="40">
        <f>Adatbázis!C207*Q207</f>
        <v>0</v>
      </c>
      <c r="AD207" s="378">
        <f t="shared" ref="AD207:AD234" si="18">IF(AND(Q207&gt;=S207,Q207&lt;=T207),1,0)</f>
        <v>0</v>
      </c>
      <c r="AF207" s="158"/>
      <c r="AH207" s="34"/>
      <c r="AJ207" s="2"/>
    </row>
    <row r="208" spans="1:36" ht="15.75" thickBot="1" x14ac:dyDescent="0.3">
      <c r="A208" s="602"/>
      <c r="B208" s="529"/>
      <c r="C208" s="266"/>
      <c r="D208" s="29" t="s">
        <v>14</v>
      </c>
      <c r="E208" s="38"/>
      <c r="F208" s="18">
        <v>27</v>
      </c>
      <c r="G208" s="18">
        <v>5.5</v>
      </c>
      <c r="H208" s="18">
        <v>7.5</v>
      </c>
      <c r="I208" s="18">
        <v>12</v>
      </c>
      <c r="J208" s="18">
        <v>0.9</v>
      </c>
      <c r="K208" s="18">
        <v>2.2000000000000002</v>
      </c>
      <c r="L208" s="18">
        <v>1</v>
      </c>
      <c r="M208" s="53"/>
      <c r="N208" s="489" t="s">
        <v>464</v>
      </c>
      <c r="O208" s="489"/>
      <c r="P208" s="489"/>
      <c r="Q208" s="145"/>
      <c r="R208" s="83" t="s">
        <v>133</v>
      </c>
      <c r="S208" s="376">
        <f>$P$11*0.3</f>
        <v>30</v>
      </c>
      <c r="T208" s="373">
        <f>$P$11*0.3</f>
        <v>30</v>
      </c>
      <c r="U208" s="38">
        <f>Adatbázis!E208*Q208</f>
        <v>0</v>
      </c>
      <c r="V208" s="67">
        <f>Adatbázis!F208*$Q208/$Q$361</f>
        <v>0</v>
      </c>
      <c r="W208" s="67">
        <f>Adatbázis!G208*$Q208/$Q$361</f>
        <v>0</v>
      </c>
      <c r="X208" s="67">
        <f>Adatbázis!H208*$Q208/$Q$361</f>
        <v>0</v>
      </c>
      <c r="Y208" s="67">
        <f>Adatbázis!I208*$Q208/$Q$361</f>
        <v>0</v>
      </c>
      <c r="Z208" s="67">
        <f>Adatbázis!J208*$Q208/$Q$361</f>
        <v>0</v>
      </c>
      <c r="AA208" s="67">
        <f>Adatbázis!K208*$Q208/$Q$361</f>
        <v>0</v>
      </c>
      <c r="AB208" s="67">
        <f>Adatbázis!L208*$Q208/$Q$361</f>
        <v>0</v>
      </c>
      <c r="AC208" s="68">
        <f>Adatbázis!C208*Q208</f>
        <v>0</v>
      </c>
      <c r="AF208" s="158"/>
      <c r="AH208" s="34"/>
      <c r="AJ208" s="2"/>
    </row>
    <row r="209" spans="1:36" x14ac:dyDescent="0.25">
      <c r="A209" s="602"/>
      <c r="B209" s="605" t="s">
        <v>68</v>
      </c>
      <c r="C209" s="87"/>
      <c r="D209" s="78" t="s">
        <v>14</v>
      </c>
      <c r="E209" s="32">
        <v>9.3000000000000007</v>
      </c>
      <c r="F209" s="77">
        <v>42.5</v>
      </c>
      <c r="G209" s="77">
        <v>2.15</v>
      </c>
      <c r="H209" s="77">
        <v>1.8</v>
      </c>
      <c r="I209" s="77">
        <v>5.4</v>
      </c>
      <c r="J209" s="77">
        <v>1.9</v>
      </c>
      <c r="K209" s="77">
        <v>3.8</v>
      </c>
      <c r="L209" s="77">
        <v>1.55</v>
      </c>
      <c r="M209" s="144"/>
      <c r="N209" s="481" t="s">
        <v>314</v>
      </c>
      <c r="O209" s="481"/>
      <c r="P209" s="481"/>
      <c r="Q209" s="145"/>
      <c r="R209" s="64" t="s">
        <v>133</v>
      </c>
      <c r="S209" s="89">
        <f>$P$11*0.2</f>
        <v>20</v>
      </c>
      <c r="T209" s="90">
        <f>$P$11*0.3</f>
        <v>30</v>
      </c>
      <c r="U209" s="32">
        <f>Adatbázis!E209*Q209</f>
        <v>0</v>
      </c>
      <c r="V209" s="6">
        <f>Adatbázis!F209*$Q209/$Q$361</f>
        <v>0</v>
      </c>
      <c r="W209" s="6">
        <f>Adatbázis!G209*$Q209/$Q$361</f>
        <v>0</v>
      </c>
      <c r="X209" s="6">
        <f>Adatbázis!H209*$Q209/$Q$361</f>
        <v>0</v>
      </c>
      <c r="Y209" s="6">
        <f>Adatbázis!I209*$Q209/$Q$361</f>
        <v>0</v>
      </c>
      <c r="Z209" s="6">
        <f>Adatbázis!J209*$Q209/$Q$361</f>
        <v>0</v>
      </c>
      <c r="AA209" s="6">
        <f>Adatbázis!K209*$Q209/$Q$361</f>
        <v>0</v>
      </c>
      <c r="AB209" s="6">
        <f>Adatbázis!L209*$Q209/$Q$361</f>
        <v>0</v>
      </c>
      <c r="AC209" s="50">
        <f>Adatbázis!C209*Q209</f>
        <v>0</v>
      </c>
      <c r="AD209" s="378">
        <f t="shared" si="18"/>
        <v>0</v>
      </c>
      <c r="AH209" s="34"/>
      <c r="AJ209" s="2"/>
    </row>
    <row r="210" spans="1:36" x14ac:dyDescent="0.25">
      <c r="A210" s="602"/>
      <c r="B210" s="606"/>
      <c r="C210" s="81"/>
      <c r="D210" s="27" t="s">
        <v>14</v>
      </c>
      <c r="E210" s="36">
        <v>9.5500000000000007</v>
      </c>
      <c r="F210" s="4">
        <v>42.5</v>
      </c>
      <c r="G210" s="4">
        <v>1.4</v>
      </c>
      <c r="H210" s="4">
        <v>5.6</v>
      </c>
      <c r="I210" s="4">
        <v>2.39</v>
      </c>
      <c r="J210" s="4">
        <v>1.02</v>
      </c>
      <c r="K210" s="4">
        <v>2.6</v>
      </c>
      <c r="L210" s="4">
        <v>0.92</v>
      </c>
      <c r="M210" s="43"/>
      <c r="N210" s="472" t="s">
        <v>67</v>
      </c>
      <c r="O210" s="472"/>
      <c r="P210" s="472"/>
      <c r="Q210" s="107"/>
      <c r="R210" s="79" t="s">
        <v>133</v>
      </c>
      <c r="S210" s="123">
        <f>$P$11*0.35</f>
        <v>35</v>
      </c>
      <c r="T210" s="121">
        <f>$P$11*0.35</f>
        <v>35</v>
      </c>
      <c r="U210" s="36">
        <f>Adatbázis!E210*Q210</f>
        <v>0</v>
      </c>
      <c r="V210" s="28">
        <f>Adatbázis!F210*$Q210/$Q$361</f>
        <v>0</v>
      </c>
      <c r="W210" s="28">
        <f>Adatbázis!G210*$Q210/$Q$361</f>
        <v>0</v>
      </c>
      <c r="X210" s="28">
        <f>Adatbázis!H210*$Q210/$Q$361</f>
        <v>0</v>
      </c>
      <c r="Y210" s="28">
        <f>Adatbázis!I210*$Q210/$Q$361</f>
        <v>0</v>
      </c>
      <c r="Z210" s="28">
        <f>Adatbázis!J210*$Q210/$Q$361</f>
        <v>0</v>
      </c>
      <c r="AA210" s="28">
        <f>Adatbázis!K210*$Q210/$Q$361</f>
        <v>0</v>
      </c>
      <c r="AB210" s="28">
        <f>Adatbázis!L210*$Q210/$Q$361</f>
        <v>0</v>
      </c>
      <c r="AC210" s="41">
        <f>Adatbázis!C210*Q210</f>
        <v>0</v>
      </c>
      <c r="AD210" s="378">
        <f t="shared" si="18"/>
        <v>0</v>
      </c>
      <c r="AH210" s="34"/>
      <c r="AI210" s="35"/>
      <c r="AJ210" s="24"/>
    </row>
    <row r="211" spans="1:36" x14ac:dyDescent="0.25">
      <c r="A211" s="602"/>
      <c r="B211" s="606"/>
      <c r="C211" s="81"/>
      <c r="D211" s="27" t="s">
        <v>14</v>
      </c>
      <c r="E211" s="36">
        <v>8.9499999999999993</v>
      </c>
      <c r="F211" s="4">
        <v>39.700000000000003</v>
      </c>
      <c r="G211" s="4">
        <v>1.5</v>
      </c>
      <c r="H211" s="4">
        <v>6.6</v>
      </c>
      <c r="I211" s="4">
        <v>2.57</v>
      </c>
      <c r="J211" s="4">
        <v>1</v>
      </c>
      <c r="K211" s="4">
        <v>2.54</v>
      </c>
      <c r="L211" s="4">
        <v>0.92</v>
      </c>
      <c r="M211" s="43"/>
      <c r="N211" s="472" t="s">
        <v>66</v>
      </c>
      <c r="O211" s="472"/>
      <c r="P211" s="472"/>
      <c r="Q211" s="107"/>
      <c r="R211" s="79" t="s">
        <v>133</v>
      </c>
      <c r="S211" s="123">
        <f>$P$11*0.3</f>
        <v>30</v>
      </c>
      <c r="T211" s="121">
        <f>$P$11*0.3</f>
        <v>30</v>
      </c>
      <c r="U211" s="36">
        <f>Adatbázis!E211*Q211</f>
        <v>0</v>
      </c>
      <c r="V211" s="28">
        <f>Adatbázis!F211*$Q211/$Q$361</f>
        <v>0</v>
      </c>
      <c r="W211" s="28">
        <f>Adatbázis!G211*$Q211/$Q$361</f>
        <v>0</v>
      </c>
      <c r="X211" s="28">
        <f>Adatbázis!H211*$Q211/$Q$361</f>
        <v>0</v>
      </c>
      <c r="Y211" s="28">
        <f>Adatbázis!I211*$Q211/$Q$361</f>
        <v>0</v>
      </c>
      <c r="Z211" s="28">
        <f>Adatbázis!J211*$Q211/$Q$361</f>
        <v>0</v>
      </c>
      <c r="AA211" s="28">
        <f>Adatbázis!K211*$Q211/$Q$361</f>
        <v>0</v>
      </c>
      <c r="AB211" s="28">
        <f>Adatbázis!L211*$Q211/$Q$361</f>
        <v>0</v>
      </c>
      <c r="AC211" s="41">
        <f>Adatbázis!C211*Q211</f>
        <v>0</v>
      </c>
      <c r="AD211" s="378">
        <f t="shared" si="18"/>
        <v>0</v>
      </c>
      <c r="AH211" s="34"/>
      <c r="AI211" s="35"/>
      <c r="AJ211" s="2"/>
    </row>
    <row r="212" spans="1:36" x14ac:dyDescent="0.25">
      <c r="A212" s="602"/>
      <c r="B212" s="606"/>
      <c r="C212" s="81"/>
      <c r="D212" s="27" t="s">
        <v>14</v>
      </c>
      <c r="E212" s="36">
        <v>8.9499999999999993</v>
      </c>
      <c r="F212" s="4">
        <v>32</v>
      </c>
      <c r="G212" s="4">
        <v>4</v>
      </c>
      <c r="H212" s="4">
        <v>8.5</v>
      </c>
      <c r="I212" s="4">
        <v>2.57</v>
      </c>
      <c r="J212" s="4">
        <v>1</v>
      </c>
      <c r="K212" s="4">
        <v>1.5</v>
      </c>
      <c r="L212" s="4">
        <v>0.8</v>
      </c>
      <c r="M212" s="43"/>
      <c r="N212" s="472" t="s">
        <v>65</v>
      </c>
      <c r="O212" s="472"/>
      <c r="P212" s="472"/>
      <c r="Q212" s="145"/>
      <c r="R212" s="79" t="s">
        <v>133</v>
      </c>
      <c r="S212" s="123">
        <f>$P$11*0.3</f>
        <v>30</v>
      </c>
      <c r="T212" s="121">
        <f>$P$11*0.3</f>
        <v>30</v>
      </c>
      <c r="U212" s="36">
        <f>Adatbázis!E212*Q212</f>
        <v>0</v>
      </c>
      <c r="V212" s="28">
        <f>Adatbázis!F212*$Q212/$Q$361</f>
        <v>0</v>
      </c>
      <c r="W212" s="28">
        <f>Adatbázis!G212*$Q212/$Q$361</f>
        <v>0</v>
      </c>
      <c r="X212" s="28">
        <f>Adatbázis!H212*$Q212/$Q$361</f>
        <v>0</v>
      </c>
      <c r="Y212" s="28">
        <f>Adatbázis!I212*$Q212/$Q$361</f>
        <v>0</v>
      </c>
      <c r="Z212" s="28">
        <f>Adatbázis!J212*$Q212/$Q$361</f>
        <v>0</v>
      </c>
      <c r="AA212" s="28">
        <f>Adatbázis!K212*$Q212/$Q$361</f>
        <v>0</v>
      </c>
      <c r="AB212" s="28">
        <f>Adatbázis!L212*$Q212/$Q$361</f>
        <v>0</v>
      </c>
      <c r="AC212" s="41">
        <f>Adatbázis!C212*Q212</f>
        <v>0</v>
      </c>
      <c r="AD212" s="378">
        <f t="shared" si="18"/>
        <v>0</v>
      </c>
      <c r="AH212" s="34"/>
      <c r="AI212" s="35"/>
      <c r="AJ212" s="2"/>
    </row>
    <row r="213" spans="1:36" x14ac:dyDescent="0.25">
      <c r="A213" s="602"/>
      <c r="B213" s="606"/>
      <c r="C213" s="81"/>
      <c r="D213" s="27" t="s">
        <v>14</v>
      </c>
      <c r="E213" s="36">
        <v>6.5</v>
      </c>
      <c r="F213" s="4">
        <v>27.53</v>
      </c>
      <c r="G213" s="4">
        <v>1.2</v>
      </c>
      <c r="H213" s="4">
        <v>7.6</v>
      </c>
      <c r="I213" s="4">
        <v>11.05</v>
      </c>
      <c r="J213" s="4">
        <v>0.75</v>
      </c>
      <c r="K213" s="4">
        <v>1.6</v>
      </c>
      <c r="L213" s="4">
        <v>0.61</v>
      </c>
      <c r="M213" s="43"/>
      <c r="N213" s="472" t="s">
        <v>423</v>
      </c>
      <c r="O213" s="472"/>
      <c r="P213" s="472"/>
      <c r="Q213" s="145"/>
      <c r="R213" s="79" t="s">
        <v>133</v>
      </c>
      <c r="S213" s="413">
        <f>$P$11*0.35</f>
        <v>35</v>
      </c>
      <c r="T213" s="412">
        <f>$P$11*0.35</f>
        <v>35</v>
      </c>
      <c r="U213" s="36">
        <f>Adatbázis!E213*Q213</f>
        <v>0</v>
      </c>
      <c r="V213" s="28">
        <f>Adatbázis!F213*$Q213/$Q$361</f>
        <v>0</v>
      </c>
      <c r="W213" s="28">
        <f>Adatbázis!G213*$Q213/$Q$361</f>
        <v>0</v>
      </c>
      <c r="X213" s="28">
        <f>Adatbázis!H213*$Q213/$Q$361</f>
        <v>0</v>
      </c>
      <c r="Y213" s="28">
        <f>Adatbázis!I213*$Q213/$Q$361</f>
        <v>0</v>
      </c>
      <c r="Z213" s="28">
        <f>Adatbázis!J213*$Q213/$Q$361</f>
        <v>0</v>
      </c>
      <c r="AA213" s="28">
        <f>Adatbázis!K213*$Q213/$Q$361</f>
        <v>0</v>
      </c>
      <c r="AB213" s="28">
        <f>Adatbázis!L213*$Q213/$Q$361</f>
        <v>0</v>
      </c>
      <c r="AC213" s="41">
        <f>Adatbázis!C213*Q213</f>
        <v>0</v>
      </c>
      <c r="AD213" s="378">
        <f t="shared" si="18"/>
        <v>0</v>
      </c>
      <c r="AH213" s="34"/>
      <c r="AI213" s="35"/>
      <c r="AJ213" s="2"/>
    </row>
    <row r="214" spans="1:36" x14ac:dyDescent="0.25">
      <c r="A214" s="602"/>
      <c r="B214" s="606"/>
      <c r="C214" s="81"/>
      <c r="D214" s="27" t="s">
        <v>14</v>
      </c>
      <c r="E214" s="36">
        <v>9.8000000000000007</v>
      </c>
      <c r="F214" s="4">
        <v>43.8</v>
      </c>
      <c r="G214" s="4">
        <v>1.6</v>
      </c>
      <c r="H214" s="4">
        <v>5.8</v>
      </c>
      <c r="I214" s="4">
        <v>1.47</v>
      </c>
      <c r="J214" s="4">
        <v>1.24</v>
      </c>
      <c r="K214" s="4">
        <v>2.42</v>
      </c>
      <c r="L214" s="4">
        <v>1.07</v>
      </c>
      <c r="M214" s="43"/>
      <c r="N214" s="472" t="s">
        <v>424</v>
      </c>
      <c r="O214" s="472"/>
      <c r="P214" s="472"/>
      <c r="Q214" s="107"/>
      <c r="R214" s="79" t="s">
        <v>133</v>
      </c>
      <c r="S214" s="413">
        <f>$P$11*0.28</f>
        <v>28.000000000000004</v>
      </c>
      <c r="T214" s="412">
        <f>$P$11*0.28</f>
        <v>28.000000000000004</v>
      </c>
      <c r="U214" s="36">
        <f>Adatbázis!E214*Q214</f>
        <v>0</v>
      </c>
      <c r="V214" s="28">
        <f>Adatbázis!F214*$Q214/$Q$361</f>
        <v>0</v>
      </c>
      <c r="W214" s="28">
        <f>Adatbázis!G214*$Q214/$Q$361</f>
        <v>0</v>
      </c>
      <c r="X214" s="28">
        <f>Adatbázis!H214*$Q214/$Q$361</f>
        <v>0</v>
      </c>
      <c r="Y214" s="28">
        <f>Adatbázis!I214*$Q214/$Q$361</f>
        <v>0</v>
      </c>
      <c r="Z214" s="28">
        <f>Adatbázis!J214*$Q214/$Q$361</f>
        <v>0</v>
      </c>
      <c r="AA214" s="28">
        <f>Adatbázis!K214*$Q214/$Q$361</f>
        <v>0</v>
      </c>
      <c r="AB214" s="28">
        <f>Adatbázis!L214*$Q214/$Q$361</f>
        <v>0</v>
      </c>
      <c r="AC214" s="41">
        <f>Adatbázis!C214*Q214</f>
        <v>0</v>
      </c>
      <c r="AD214" s="378">
        <f t="shared" si="18"/>
        <v>0</v>
      </c>
      <c r="AH214" s="34"/>
      <c r="AI214" s="35"/>
      <c r="AJ214" s="2"/>
    </row>
    <row r="215" spans="1:36" x14ac:dyDescent="0.25">
      <c r="A215" s="602"/>
      <c r="B215" s="606"/>
      <c r="C215" s="81"/>
      <c r="D215" s="27" t="s">
        <v>14</v>
      </c>
      <c r="E215" s="36">
        <v>9.8000000000000007</v>
      </c>
      <c r="F215" s="4">
        <v>34</v>
      </c>
      <c r="G215" s="4">
        <v>1.5</v>
      </c>
      <c r="H215" s="4">
        <v>4</v>
      </c>
      <c r="I215" s="4">
        <v>11.3</v>
      </c>
      <c r="J215" s="4">
        <v>0.8</v>
      </c>
      <c r="K215" s="4">
        <v>2</v>
      </c>
      <c r="L215" s="4">
        <v>0.9</v>
      </c>
      <c r="M215" s="43"/>
      <c r="N215" s="472" t="s">
        <v>226</v>
      </c>
      <c r="O215" s="472"/>
      <c r="P215" s="472"/>
      <c r="Q215" s="107"/>
      <c r="R215" s="79" t="s">
        <v>133</v>
      </c>
      <c r="S215" s="426">
        <f>$P$11*0.3</f>
        <v>30</v>
      </c>
      <c r="T215" s="424">
        <f>$P$11*0.3</f>
        <v>30</v>
      </c>
      <c r="U215" s="36">
        <f>Adatbázis!E215*Q215</f>
        <v>0</v>
      </c>
      <c r="V215" s="28">
        <f>Adatbázis!F215*$Q215/$Q$361</f>
        <v>0</v>
      </c>
      <c r="W215" s="28">
        <f>Adatbázis!G215*$Q215/$Q$361</f>
        <v>0</v>
      </c>
      <c r="X215" s="28">
        <f>Adatbázis!H215*$Q215/$Q$361</f>
        <v>0</v>
      </c>
      <c r="Y215" s="28">
        <f>Adatbázis!I215*$Q215/$Q$361</f>
        <v>0</v>
      </c>
      <c r="Z215" s="28">
        <f>Adatbázis!J215*$Q215/$Q$361</f>
        <v>0</v>
      </c>
      <c r="AA215" s="28">
        <f>Adatbázis!K215*$Q215/$Q$361</f>
        <v>0</v>
      </c>
      <c r="AB215" s="28">
        <f>Adatbázis!L215*$Q215/$Q$361</f>
        <v>0</v>
      </c>
      <c r="AC215" s="41">
        <f>Adatbázis!C215*Q215</f>
        <v>0</v>
      </c>
      <c r="AD215" s="378">
        <f t="shared" ref="AD215" si="19">IF(AND(Q215&gt;=S215,Q215&lt;=T215),1,0)</f>
        <v>0</v>
      </c>
      <c r="AH215" s="34"/>
      <c r="AI215" s="35"/>
      <c r="AJ215" s="2"/>
    </row>
    <row r="216" spans="1:36" x14ac:dyDescent="0.25">
      <c r="A216" s="602"/>
      <c r="B216" s="606"/>
      <c r="C216" s="81"/>
      <c r="D216" s="27" t="s">
        <v>14</v>
      </c>
      <c r="E216" s="36"/>
      <c r="F216" s="4"/>
      <c r="G216" s="4"/>
      <c r="H216" s="4"/>
      <c r="I216" s="4">
        <v>24.4</v>
      </c>
      <c r="J216" s="4">
        <v>4.4000000000000004</v>
      </c>
      <c r="K216" s="4"/>
      <c r="L216" s="4">
        <v>3</v>
      </c>
      <c r="M216" s="43"/>
      <c r="N216" s="472" t="s">
        <v>442</v>
      </c>
      <c r="O216" s="472"/>
      <c r="P216" s="472"/>
      <c r="Q216" s="145"/>
      <c r="R216" s="79" t="s">
        <v>133</v>
      </c>
      <c r="S216" s="123">
        <f>$P$11*0.03</f>
        <v>3</v>
      </c>
      <c r="T216" s="121">
        <f>$P$11*0.03</f>
        <v>3</v>
      </c>
      <c r="U216" s="36">
        <f>Adatbázis!E216*Q216</f>
        <v>0</v>
      </c>
      <c r="V216" s="28">
        <f>Adatbázis!F216*$Q216/$Q$361</f>
        <v>0</v>
      </c>
      <c r="W216" s="28">
        <f>Adatbázis!G216*$Q216/$Q$361</f>
        <v>0</v>
      </c>
      <c r="X216" s="28">
        <f>Adatbázis!H216*$Q216/$Q$361</f>
        <v>0</v>
      </c>
      <c r="Y216" s="28">
        <f>Adatbázis!I216*$Q216/$Q$361</f>
        <v>0</v>
      </c>
      <c r="Z216" s="28">
        <f>Adatbázis!J216*$Q216/$Q$361</f>
        <v>0</v>
      </c>
      <c r="AA216" s="28">
        <f>Adatbázis!K216*$Q216/$Q$361</f>
        <v>0</v>
      </c>
      <c r="AB216" s="28">
        <f>Adatbázis!L216*$Q216/$Q$361</f>
        <v>0</v>
      </c>
      <c r="AC216" s="41">
        <f>Adatbázis!C216*Q216</f>
        <v>0</v>
      </c>
      <c r="AD216" s="378">
        <f t="shared" si="18"/>
        <v>0</v>
      </c>
      <c r="AH216" s="34"/>
      <c r="AI216" s="35"/>
      <c r="AJ216" s="24"/>
    </row>
    <row r="217" spans="1:36" x14ac:dyDescent="0.25">
      <c r="A217" s="602"/>
      <c r="B217" s="606"/>
      <c r="C217" s="81"/>
      <c r="D217" s="27" t="s">
        <v>14</v>
      </c>
      <c r="E217" s="36"/>
      <c r="F217" s="4"/>
      <c r="G217" s="4"/>
      <c r="H217" s="4"/>
      <c r="I217" s="4">
        <v>23.3</v>
      </c>
      <c r="J217" s="4">
        <v>3.5</v>
      </c>
      <c r="K217" s="4"/>
      <c r="L217" s="4">
        <v>2.2999999999999998</v>
      </c>
      <c r="M217" s="43"/>
      <c r="N217" s="472" t="s">
        <v>443</v>
      </c>
      <c r="O217" s="472"/>
      <c r="P217" s="472"/>
      <c r="Q217" s="145"/>
      <c r="R217" s="79" t="s">
        <v>133</v>
      </c>
      <c r="S217" s="123">
        <f>$P$11*0.03</f>
        <v>3</v>
      </c>
      <c r="T217" s="121">
        <f>$P$11*0.03</f>
        <v>3</v>
      </c>
      <c r="U217" s="36">
        <f>Adatbázis!E217*Q217</f>
        <v>0</v>
      </c>
      <c r="V217" s="28">
        <f>Adatbázis!F217*$Q217/$Q$361</f>
        <v>0</v>
      </c>
      <c r="W217" s="28">
        <f>Adatbázis!G217*$Q217/$Q$361</f>
        <v>0</v>
      </c>
      <c r="X217" s="28">
        <f>Adatbázis!H217*$Q217/$Q$361</f>
        <v>0</v>
      </c>
      <c r="Y217" s="28">
        <f>Adatbázis!I217*$Q217/$Q$361</f>
        <v>0</v>
      </c>
      <c r="Z217" s="28">
        <f>Adatbázis!J217*$Q217/$Q$361</f>
        <v>0</v>
      </c>
      <c r="AA217" s="28">
        <f>Adatbázis!K217*$Q217/$Q$361</f>
        <v>0</v>
      </c>
      <c r="AB217" s="28">
        <f>Adatbázis!L217*$Q217/$Q$361</f>
        <v>0</v>
      </c>
      <c r="AC217" s="41">
        <f>Adatbázis!C217*Q217</f>
        <v>0</v>
      </c>
      <c r="AD217" s="378">
        <f t="shared" si="18"/>
        <v>0</v>
      </c>
      <c r="AH217" s="34"/>
      <c r="AI217" s="35"/>
      <c r="AJ217" s="2"/>
    </row>
    <row r="218" spans="1:36" x14ac:dyDescent="0.25">
      <c r="A218" s="602"/>
      <c r="B218" s="606"/>
      <c r="C218" s="81"/>
      <c r="D218" s="27" t="s">
        <v>14</v>
      </c>
      <c r="E218" s="36"/>
      <c r="F218" s="4"/>
      <c r="G218" s="4"/>
      <c r="H218" s="4"/>
      <c r="I218" s="4">
        <v>17.12</v>
      </c>
      <c r="J218" s="4">
        <v>5.25</v>
      </c>
      <c r="K218" s="4">
        <v>4</v>
      </c>
      <c r="L218" s="4">
        <v>5</v>
      </c>
      <c r="M218" s="43"/>
      <c r="N218" s="472" t="s">
        <v>444</v>
      </c>
      <c r="O218" s="472"/>
      <c r="P218" s="472"/>
      <c r="Q218" s="107"/>
      <c r="R218" s="79" t="s">
        <v>133</v>
      </c>
      <c r="S218" s="426">
        <f>$P$11*0.04</f>
        <v>4</v>
      </c>
      <c r="T218" s="424">
        <f>$P$11*0.04</f>
        <v>4</v>
      </c>
      <c r="U218" s="36">
        <f>Adatbázis!E218*Q218</f>
        <v>0</v>
      </c>
      <c r="V218" s="28">
        <f>Adatbázis!F218*$Q218/$Q$361</f>
        <v>0</v>
      </c>
      <c r="W218" s="28">
        <f>Adatbázis!G218*$Q218/$Q$361</f>
        <v>0</v>
      </c>
      <c r="X218" s="28">
        <f>Adatbázis!H218*$Q218/$Q$361</f>
        <v>0</v>
      </c>
      <c r="Y218" s="28">
        <f>Adatbázis!I218*$Q218/$Q$361</f>
        <v>0</v>
      </c>
      <c r="Z218" s="28">
        <f>Adatbázis!J218*$Q218/$Q$361</f>
        <v>0</v>
      </c>
      <c r="AA218" s="28">
        <f>Adatbázis!K218*$Q218/$Q$361</f>
        <v>0</v>
      </c>
      <c r="AB218" s="28">
        <f>Adatbázis!L218*$Q218/$Q$361</f>
        <v>0</v>
      </c>
      <c r="AC218" s="41">
        <f>Adatbázis!C218*Q218</f>
        <v>0</v>
      </c>
      <c r="AD218" s="378">
        <f t="shared" si="18"/>
        <v>0</v>
      </c>
      <c r="AH218" s="34"/>
      <c r="AI218" s="35"/>
      <c r="AJ218" s="2"/>
    </row>
    <row r="219" spans="1:36" x14ac:dyDescent="0.25">
      <c r="A219" s="602"/>
      <c r="B219" s="606"/>
      <c r="C219" s="81"/>
      <c r="D219" s="27" t="s">
        <v>14</v>
      </c>
      <c r="E219" s="36"/>
      <c r="F219" s="4"/>
      <c r="G219" s="4"/>
      <c r="H219" s="4"/>
      <c r="I219" s="4">
        <v>18.18</v>
      </c>
      <c r="J219" s="4">
        <v>4.79</v>
      </c>
      <c r="K219" s="4">
        <v>4.5</v>
      </c>
      <c r="L219" s="4">
        <v>4</v>
      </c>
      <c r="M219" s="43"/>
      <c r="N219" s="472" t="s">
        <v>445</v>
      </c>
      <c r="O219" s="472"/>
      <c r="P219" s="472"/>
      <c r="Q219" s="107"/>
      <c r="R219" s="79" t="s">
        <v>133</v>
      </c>
      <c r="S219" s="426">
        <f>$P$11*0.035</f>
        <v>3.5000000000000004</v>
      </c>
      <c r="T219" s="424">
        <f>$P$11*0.035</f>
        <v>3.5000000000000004</v>
      </c>
      <c r="U219" s="36">
        <f>Adatbázis!E219*Q219</f>
        <v>0</v>
      </c>
      <c r="V219" s="28">
        <f>Adatbázis!F219*$Q219/$Q$361</f>
        <v>0</v>
      </c>
      <c r="W219" s="28">
        <f>Adatbázis!G219*$Q219/$Q$361</f>
        <v>0</v>
      </c>
      <c r="X219" s="28">
        <f>Adatbázis!H219*$Q219/$Q$361</f>
        <v>0</v>
      </c>
      <c r="Y219" s="28">
        <f>Adatbázis!I219*$Q219/$Q$361</f>
        <v>0</v>
      </c>
      <c r="Z219" s="28">
        <f>Adatbázis!J219*$Q219/$Q$361</f>
        <v>0</v>
      </c>
      <c r="AA219" s="28">
        <f>Adatbázis!K219*$Q219/$Q$361</f>
        <v>0</v>
      </c>
      <c r="AB219" s="28">
        <f>Adatbázis!L219*$Q219/$Q$361</f>
        <v>0</v>
      </c>
      <c r="AC219" s="41">
        <f>Adatbázis!C219*Q219</f>
        <v>0</v>
      </c>
      <c r="AD219" s="378">
        <f t="shared" si="18"/>
        <v>0</v>
      </c>
      <c r="AH219" s="34"/>
      <c r="AI219" s="35"/>
      <c r="AJ219" s="2"/>
    </row>
    <row r="220" spans="1:36" x14ac:dyDescent="0.25">
      <c r="A220" s="602"/>
      <c r="B220" s="606"/>
      <c r="C220" s="81"/>
      <c r="D220" s="27" t="s">
        <v>14</v>
      </c>
      <c r="E220" s="36"/>
      <c r="F220" s="4"/>
      <c r="G220" s="4"/>
      <c r="H220" s="4"/>
      <c r="I220" s="4">
        <v>19.920000000000002</v>
      </c>
      <c r="J220" s="4">
        <v>4.5999999999999996</v>
      </c>
      <c r="K220" s="4">
        <v>3.5</v>
      </c>
      <c r="L220" s="4">
        <v>4</v>
      </c>
      <c r="M220" s="43"/>
      <c r="N220" s="472" t="s">
        <v>446</v>
      </c>
      <c r="O220" s="472"/>
      <c r="P220" s="472"/>
      <c r="Q220" s="145"/>
      <c r="R220" s="79" t="s">
        <v>133</v>
      </c>
      <c r="S220" s="426">
        <f>$P$11*0.03</f>
        <v>3</v>
      </c>
      <c r="T220" s="424">
        <f>$P$11*0.03</f>
        <v>3</v>
      </c>
      <c r="U220" s="36">
        <f>Adatbázis!E220*Q220</f>
        <v>0</v>
      </c>
      <c r="V220" s="28">
        <f>Adatbázis!F220*$Q220/$Q$361</f>
        <v>0</v>
      </c>
      <c r="W220" s="28">
        <f>Adatbázis!G220*$Q220/$Q$361</f>
        <v>0</v>
      </c>
      <c r="X220" s="28">
        <f>Adatbázis!H220*$Q220/$Q$361</f>
        <v>0</v>
      </c>
      <c r="Y220" s="28">
        <f>Adatbázis!I220*$Q220/$Q$361</f>
        <v>0</v>
      </c>
      <c r="Z220" s="28">
        <f>Adatbázis!J220*$Q220/$Q$361</f>
        <v>0</v>
      </c>
      <c r="AA220" s="28">
        <f>Adatbázis!K220*$Q220/$Q$361</f>
        <v>0</v>
      </c>
      <c r="AB220" s="28">
        <f>Adatbázis!L220*$Q220/$Q$361</f>
        <v>0</v>
      </c>
      <c r="AC220" s="41">
        <f>Adatbázis!C220*Q220</f>
        <v>0</v>
      </c>
      <c r="AD220" s="378">
        <f t="shared" si="18"/>
        <v>0</v>
      </c>
      <c r="AH220" s="34"/>
      <c r="AI220" s="35"/>
      <c r="AJ220" s="2"/>
    </row>
    <row r="221" spans="1:36" x14ac:dyDescent="0.25">
      <c r="A221" s="602"/>
      <c r="B221" s="606"/>
      <c r="C221" s="81"/>
      <c r="D221" s="27" t="s">
        <v>14</v>
      </c>
      <c r="E221" s="36"/>
      <c r="F221" s="4"/>
      <c r="G221" s="4"/>
      <c r="H221" s="4"/>
      <c r="I221" s="4">
        <v>15.3</v>
      </c>
      <c r="J221" s="4">
        <v>4.68</v>
      </c>
      <c r="K221" s="4">
        <v>5.5</v>
      </c>
      <c r="L221" s="4">
        <v>7</v>
      </c>
      <c r="M221" s="43"/>
      <c r="N221" s="472" t="s">
        <v>447</v>
      </c>
      <c r="O221" s="472"/>
      <c r="P221" s="472"/>
      <c r="Q221" s="145"/>
      <c r="R221" s="79" t="s">
        <v>133</v>
      </c>
      <c r="S221" s="426">
        <f>$P$11*0.045</f>
        <v>4.5</v>
      </c>
      <c r="T221" s="424">
        <f>$P$11*0.045</f>
        <v>4.5</v>
      </c>
      <c r="U221" s="36">
        <f>Adatbázis!E221*Q221</f>
        <v>0</v>
      </c>
      <c r="V221" s="28">
        <f>Adatbázis!F221*$Q221/$Q$361</f>
        <v>0</v>
      </c>
      <c r="W221" s="28">
        <f>Adatbázis!G221*$Q221/$Q$361</f>
        <v>0</v>
      </c>
      <c r="X221" s="28">
        <f>Adatbázis!H221*$Q221/$Q$361</f>
        <v>0</v>
      </c>
      <c r="Y221" s="28">
        <f>Adatbázis!I221*$Q221/$Q$361</f>
        <v>0</v>
      </c>
      <c r="Z221" s="28">
        <f>Adatbázis!J221*$Q221/$Q$361</f>
        <v>0</v>
      </c>
      <c r="AA221" s="28">
        <f>Adatbázis!K221*$Q221/$Q$361</f>
        <v>0</v>
      </c>
      <c r="AB221" s="28">
        <f>Adatbázis!L221*$Q221/$Q$361</f>
        <v>0</v>
      </c>
      <c r="AC221" s="41">
        <f>Adatbázis!C221*Q221</f>
        <v>0</v>
      </c>
      <c r="AD221" s="378">
        <f t="shared" si="18"/>
        <v>0</v>
      </c>
      <c r="AH221" s="34"/>
      <c r="AI221" s="35"/>
      <c r="AJ221" s="2"/>
    </row>
    <row r="222" spans="1:36" x14ac:dyDescent="0.25">
      <c r="A222" s="602"/>
      <c r="B222" s="606"/>
      <c r="C222" s="81"/>
      <c r="D222" s="27" t="s">
        <v>14</v>
      </c>
      <c r="E222" s="36"/>
      <c r="F222" s="4"/>
      <c r="G222" s="4"/>
      <c r="H222" s="4"/>
      <c r="I222" s="4">
        <v>16.02</v>
      </c>
      <c r="J222" s="4">
        <v>4</v>
      </c>
      <c r="K222" s="4">
        <v>4.25</v>
      </c>
      <c r="L222" s="4">
        <v>6</v>
      </c>
      <c r="M222" s="43"/>
      <c r="N222" s="472" t="s">
        <v>448</v>
      </c>
      <c r="O222" s="472"/>
      <c r="P222" s="472"/>
      <c r="Q222" s="107"/>
      <c r="R222" s="79" t="s">
        <v>133</v>
      </c>
      <c r="S222" s="426">
        <f>$P$11*0.04</f>
        <v>4</v>
      </c>
      <c r="T222" s="424">
        <f>$P$11*0.04</f>
        <v>4</v>
      </c>
      <c r="U222" s="36">
        <f>Adatbázis!E222*Q222</f>
        <v>0</v>
      </c>
      <c r="V222" s="28">
        <f>Adatbázis!F222*$Q222/$Q$361</f>
        <v>0</v>
      </c>
      <c r="W222" s="28">
        <f>Adatbázis!G222*$Q222/$Q$361</f>
        <v>0</v>
      </c>
      <c r="X222" s="28">
        <f>Adatbázis!H222*$Q222/$Q$361</f>
        <v>0</v>
      </c>
      <c r="Y222" s="28">
        <f>Adatbázis!I222*$Q222/$Q$361</f>
        <v>0</v>
      </c>
      <c r="Z222" s="28">
        <f>Adatbázis!J222*$Q222/$Q$361</f>
        <v>0</v>
      </c>
      <c r="AA222" s="28">
        <f>Adatbázis!K222*$Q222/$Q$361</f>
        <v>0</v>
      </c>
      <c r="AB222" s="28">
        <f>Adatbázis!L222*$Q222/$Q$361</f>
        <v>0</v>
      </c>
      <c r="AC222" s="41">
        <f>Adatbázis!C222*Q222</f>
        <v>0</v>
      </c>
      <c r="AD222" s="378">
        <f t="shared" si="18"/>
        <v>0</v>
      </c>
      <c r="AH222" s="34"/>
      <c r="AI222" s="35"/>
      <c r="AJ222" s="2"/>
    </row>
    <row r="223" spans="1:36" x14ac:dyDescent="0.25">
      <c r="A223" s="602"/>
      <c r="B223" s="606"/>
      <c r="C223" s="81"/>
      <c r="D223" s="27" t="s">
        <v>14</v>
      </c>
      <c r="E223" s="36"/>
      <c r="F223" s="4"/>
      <c r="G223" s="4"/>
      <c r="H223" s="4"/>
      <c r="I223" s="4">
        <v>17.03</v>
      </c>
      <c r="J223" s="4">
        <v>3.64</v>
      </c>
      <c r="K223" s="4">
        <v>5.2</v>
      </c>
      <c r="L223" s="4">
        <v>5.7</v>
      </c>
      <c r="M223" s="43"/>
      <c r="N223" s="472" t="s">
        <v>449</v>
      </c>
      <c r="O223" s="472"/>
      <c r="P223" s="472"/>
      <c r="Q223" s="107"/>
      <c r="R223" s="79" t="s">
        <v>133</v>
      </c>
      <c r="S223" s="426">
        <f t="shared" ref="S223:T225" si="20">$P$11*0.035</f>
        <v>3.5000000000000004</v>
      </c>
      <c r="T223" s="424">
        <f t="shared" si="20"/>
        <v>3.5000000000000004</v>
      </c>
      <c r="U223" s="36">
        <f>Adatbázis!E223*Q223</f>
        <v>0</v>
      </c>
      <c r="V223" s="28">
        <f>Adatbázis!F223*$Q223/$Q$361</f>
        <v>0</v>
      </c>
      <c r="W223" s="28">
        <f>Adatbázis!G223*$Q223/$Q$361</f>
        <v>0</v>
      </c>
      <c r="X223" s="28">
        <f>Adatbázis!H223*$Q223/$Q$361</f>
        <v>0</v>
      </c>
      <c r="Y223" s="28">
        <f>Adatbázis!I223*$Q223/$Q$361</f>
        <v>0</v>
      </c>
      <c r="Z223" s="28">
        <f>Adatbázis!J223*$Q223/$Q$361</f>
        <v>0</v>
      </c>
      <c r="AA223" s="28">
        <f>Adatbázis!K223*$Q223/$Q$361</f>
        <v>0</v>
      </c>
      <c r="AB223" s="28">
        <f>Adatbázis!L223*$Q223/$Q$361</f>
        <v>0</v>
      </c>
      <c r="AC223" s="41">
        <f>Adatbázis!C223*Q223</f>
        <v>0</v>
      </c>
      <c r="AD223" s="378">
        <f t="shared" si="18"/>
        <v>0</v>
      </c>
      <c r="AH223" s="34"/>
      <c r="AI223" s="35"/>
      <c r="AJ223" s="2"/>
    </row>
    <row r="224" spans="1:36" x14ac:dyDescent="0.25">
      <c r="A224" s="602"/>
      <c r="B224" s="606"/>
      <c r="C224" s="81"/>
      <c r="D224" s="27" t="s">
        <v>14</v>
      </c>
      <c r="E224" s="36"/>
      <c r="F224" s="4"/>
      <c r="G224" s="4"/>
      <c r="H224" s="4"/>
      <c r="I224" s="4">
        <v>22.43</v>
      </c>
      <c r="J224" s="4">
        <v>4.34</v>
      </c>
      <c r="K224" s="4">
        <v>1</v>
      </c>
      <c r="L224" s="4">
        <v>4.3</v>
      </c>
      <c r="M224" s="43"/>
      <c r="N224" s="472" t="s">
        <v>438</v>
      </c>
      <c r="O224" s="472"/>
      <c r="P224" s="472"/>
      <c r="Q224" s="145"/>
      <c r="R224" s="79" t="s">
        <v>133</v>
      </c>
      <c r="S224" s="123">
        <f t="shared" si="20"/>
        <v>3.5000000000000004</v>
      </c>
      <c r="T224" s="121">
        <f t="shared" si="20"/>
        <v>3.5000000000000004</v>
      </c>
      <c r="U224" s="36">
        <f>Adatbázis!E224*Q224</f>
        <v>0</v>
      </c>
      <c r="V224" s="28">
        <f>Adatbázis!F224*$Q224/$Q$361</f>
        <v>0</v>
      </c>
      <c r="W224" s="28">
        <f>Adatbázis!G224*$Q224/$Q$361</f>
        <v>0</v>
      </c>
      <c r="X224" s="28">
        <f>Adatbázis!H224*$Q224/$Q$361</f>
        <v>0</v>
      </c>
      <c r="Y224" s="28">
        <f>Adatbázis!I224*$Q224/$Q$361</f>
        <v>0</v>
      </c>
      <c r="Z224" s="28">
        <f>Adatbázis!J224*$Q224/$Q$361</f>
        <v>0</v>
      </c>
      <c r="AA224" s="28">
        <f>Adatbázis!K224*$Q224/$Q$361</f>
        <v>0</v>
      </c>
      <c r="AB224" s="28">
        <f>Adatbázis!L224*$Q224/$Q$361</f>
        <v>0</v>
      </c>
      <c r="AC224" s="41">
        <f>Adatbázis!C224*Q224</f>
        <v>0</v>
      </c>
      <c r="AD224" s="378">
        <f>IF(AND(Q224&gt;=S224,Q224&lt;=T224),1,0)</f>
        <v>0</v>
      </c>
      <c r="AH224" s="34"/>
      <c r="AI224" s="35"/>
      <c r="AJ224" s="2"/>
    </row>
    <row r="225" spans="1:36" x14ac:dyDescent="0.25">
      <c r="A225" s="602"/>
      <c r="B225" s="606"/>
      <c r="C225" s="81"/>
      <c r="D225" s="27" t="s">
        <v>14</v>
      </c>
      <c r="E225" s="36"/>
      <c r="F225" s="4"/>
      <c r="G225" s="4"/>
      <c r="H225" s="4"/>
      <c r="I225" s="4">
        <v>23.43</v>
      </c>
      <c r="J225" s="4">
        <v>4.1399999999999997</v>
      </c>
      <c r="K225" s="4">
        <v>0</v>
      </c>
      <c r="L225" s="4">
        <v>2.5</v>
      </c>
      <c r="M225" s="43"/>
      <c r="N225" s="472" t="s">
        <v>439</v>
      </c>
      <c r="O225" s="472"/>
      <c r="P225" s="472"/>
      <c r="Q225" s="145"/>
      <c r="R225" s="79" t="s">
        <v>133</v>
      </c>
      <c r="S225" s="426">
        <f t="shared" si="20"/>
        <v>3.5000000000000004</v>
      </c>
      <c r="T225" s="424">
        <f t="shared" si="20"/>
        <v>3.5000000000000004</v>
      </c>
      <c r="U225" s="36">
        <f>Adatbázis!E225*Q225</f>
        <v>0</v>
      </c>
      <c r="V225" s="28">
        <f>Adatbázis!F225*$Q225/$Q$361</f>
        <v>0</v>
      </c>
      <c r="W225" s="28">
        <f>Adatbázis!G225*$Q225/$Q$361</f>
        <v>0</v>
      </c>
      <c r="X225" s="28">
        <f>Adatbázis!H225*$Q225/$Q$361</f>
        <v>0</v>
      </c>
      <c r="Y225" s="28">
        <f>Adatbázis!I225*$Q225/$Q$361</f>
        <v>0</v>
      </c>
      <c r="Z225" s="28">
        <f>Adatbázis!J225*$Q225/$Q$361</f>
        <v>0</v>
      </c>
      <c r="AA225" s="28">
        <f>Adatbázis!K225*$Q225/$Q$361</f>
        <v>0</v>
      </c>
      <c r="AB225" s="28">
        <f>Adatbázis!L225*$Q225/$Q$361</f>
        <v>0</v>
      </c>
      <c r="AC225" s="41">
        <f>Adatbázis!C225*Q225</f>
        <v>0</v>
      </c>
      <c r="AD225" s="378">
        <f>IF(AND(Q225&gt;=S225,Q225&lt;=T225),1,0)</f>
        <v>0</v>
      </c>
      <c r="AH225" s="34"/>
      <c r="AI225" s="35"/>
      <c r="AJ225" s="2"/>
    </row>
    <row r="226" spans="1:36" x14ac:dyDescent="0.25">
      <c r="A226" s="602"/>
      <c r="B226" s="606"/>
      <c r="C226" s="81"/>
      <c r="D226" s="27" t="s">
        <v>14</v>
      </c>
      <c r="E226" s="36"/>
      <c r="F226" s="4"/>
      <c r="G226" s="4"/>
      <c r="H226" s="4"/>
      <c r="I226" s="4">
        <v>26</v>
      </c>
      <c r="J226" s="4">
        <v>4.5199999999999996</v>
      </c>
      <c r="K226" s="4"/>
      <c r="L226" s="4">
        <v>2</v>
      </c>
      <c r="M226" s="43"/>
      <c r="N226" s="472" t="s">
        <v>440</v>
      </c>
      <c r="O226" s="472"/>
      <c r="P226" s="472"/>
      <c r="Q226" s="107"/>
      <c r="R226" s="79" t="s">
        <v>133</v>
      </c>
      <c r="S226" s="123">
        <f>$P$11*0.03</f>
        <v>3</v>
      </c>
      <c r="T226" s="121">
        <f>$P$11*0.03</f>
        <v>3</v>
      </c>
      <c r="U226" s="36">
        <f>Adatbázis!E226*Q226</f>
        <v>0</v>
      </c>
      <c r="V226" s="28">
        <f>Adatbázis!F226*$Q226/$Q$361</f>
        <v>0</v>
      </c>
      <c r="W226" s="28">
        <f>Adatbázis!G226*$Q226/$Q$361</f>
        <v>0</v>
      </c>
      <c r="X226" s="28">
        <f>Adatbázis!H226*$Q226/$Q$361</f>
        <v>0</v>
      </c>
      <c r="Y226" s="28">
        <f>Adatbázis!I226*$Q226/$Q$361</f>
        <v>0</v>
      </c>
      <c r="Z226" s="28">
        <f>Adatbázis!J226*$Q226/$Q$361</f>
        <v>0</v>
      </c>
      <c r="AA226" s="28">
        <f>Adatbázis!K226*$Q226/$Q$361</f>
        <v>0</v>
      </c>
      <c r="AB226" s="28">
        <f>Adatbázis!L226*$Q226/$Q$361</f>
        <v>0</v>
      </c>
      <c r="AC226" s="41">
        <f>Adatbázis!C226*Q226</f>
        <v>0</v>
      </c>
      <c r="AD226" s="378">
        <f>IF(AND(Q226&gt;=S226,Q226&lt;=T226),1,0)</f>
        <v>0</v>
      </c>
      <c r="AH226" s="34"/>
      <c r="AI226" s="35"/>
      <c r="AJ226" s="2"/>
    </row>
    <row r="227" spans="1:36" x14ac:dyDescent="0.25">
      <c r="A227" s="602"/>
      <c r="B227" s="606"/>
      <c r="C227" s="81"/>
      <c r="D227" s="27" t="s">
        <v>14</v>
      </c>
      <c r="E227" s="36"/>
      <c r="F227" s="4"/>
      <c r="G227" s="4"/>
      <c r="H227" s="4"/>
      <c r="I227" s="4">
        <v>26</v>
      </c>
      <c r="J227" s="4">
        <v>4.5199999999999996</v>
      </c>
      <c r="K227" s="4">
        <v>1</v>
      </c>
      <c r="L227" s="4">
        <v>4</v>
      </c>
      <c r="M227" s="43"/>
      <c r="N227" s="472" t="s">
        <v>441</v>
      </c>
      <c r="O227" s="472"/>
      <c r="P227" s="472"/>
      <c r="Q227" s="107"/>
      <c r="R227" s="79" t="s">
        <v>133</v>
      </c>
      <c r="S227" s="123">
        <f>$P$11*0.03</f>
        <v>3</v>
      </c>
      <c r="T227" s="121">
        <f>$P$11*0.03</f>
        <v>3</v>
      </c>
      <c r="U227" s="36">
        <f>Adatbázis!E227*Q227</f>
        <v>0</v>
      </c>
      <c r="V227" s="28">
        <f>Adatbázis!F227*$Q227/$Q$361</f>
        <v>0</v>
      </c>
      <c r="W227" s="28">
        <f>Adatbázis!G227*$Q227/$Q$361</f>
        <v>0</v>
      </c>
      <c r="X227" s="28">
        <f>Adatbázis!H227*$Q227/$Q$361</f>
        <v>0</v>
      </c>
      <c r="Y227" s="28">
        <f>Adatbázis!I227*$Q227/$Q$361</f>
        <v>0</v>
      </c>
      <c r="Z227" s="28">
        <f>Adatbázis!J227*$Q227/$Q$361</f>
        <v>0</v>
      </c>
      <c r="AA227" s="28">
        <f>Adatbázis!K227*$Q227/$Q$361</f>
        <v>0</v>
      </c>
      <c r="AB227" s="28">
        <f>Adatbázis!L227*$Q227/$Q$361</f>
        <v>0</v>
      </c>
      <c r="AC227" s="41">
        <f>Adatbázis!C227*Q227</f>
        <v>0</v>
      </c>
      <c r="AD227" s="378">
        <f>IF(AND(Q227&gt;=S227,Q227&lt;=T227),1,0)</f>
        <v>0</v>
      </c>
      <c r="AH227" s="34"/>
      <c r="AI227" s="35"/>
      <c r="AJ227" s="2"/>
    </row>
    <row r="228" spans="1:36" x14ac:dyDescent="0.25">
      <c r="A228" s="602"/>
      <c r="B228" s="606"/>
      <c r="C228" s="81"/>
      <c r="D228" s="27" t="s">
        <v>14</v>
      </c>
      <c r="E228" s="36"/>
      <c r="F228" s="4"/>
      <c r="G228" s="4"/>
      <c r="H228" s="4"/>
      <c r="I228" s="4">
        <v>17</v>
      </c>
      <c r="J228" s="4">
        <v>10.5</v>
      </c>
      <c r="K228" s="4"/>
      <c r="L228" s="4"/>
      <c r="M228" s="43"/>
      <c r="N228" s="473" t="s">
        <v>315</v>
      </c>
      <c r="O228" s="474"/>
      <c r="P228" s="475"/>
      <c r="Q228" s="145"/>
      <c r="R228" s="79" t="s">
        <v>133</v>
      </c>
      <c r="S228" s="123">
        <f>$P$11*0.024</f>
        <v>2.4</v>
      </c>
      <c r="T228" s="121">
        <v>4</v>
      </c>
      <c r="U228" s="36">
        <f>Adatbázis!E228*Q228</f>
        <v>0</v>
      </c>
      <c r="V228" s="28">
        <f>Adatbázis!F228*$Q228/$Q$361</f>
        <v>0</v>
      </c>
      <c r="W228" s="28">
        <f>Adatbázis!G228*$Q228/$Q$361</f>
        <v>0</v>
      </c>
      <c r="X228" s="28">
        <f>Adatbázis!H228*$Q228/$Q$361</f>
        <v>0</v>
      </c>
      <c r="Y228" s="28">
        <f>Adatbázis!I228*$Q228/$Q$361</f>
        <v>0</v>
      </c>
      <c r="Z228" s="28">
        <f>Adatbázis!J228*$Q228/$Q$361</f>
        <v>0</v>
      </c>
      <c r="AA228" s="28">
        <f>Adatbázis!K228*$Q228/$Q$361</f>
        <v>0</v>
      </c>
      <c r="AB228" s="28">
        <f>Adatbázis!L228*$Q228/$Q$361</f>
        <v>0</v>
      </c>
      <c r="AC228" s="41">
        <f>Adatbázis!C228*Q228</f>
        <v>0</v>
      </c>
      <c r="AD228" s="378">
        <f t="shared" si="18"/>
        <v>0</v>
      </c>
      <c r="AH228" s="34"/>
      <c r="AI228" s="35"/>
      <c r="AJ228" s="2"/>
    </row>
    <row r="229" spans="1:36" x14ac:dyDescent="0.25">
      <c r="A229" s="602"/>
      <c r="B229" s="606"/>
      <c r="C229" s="81"/>
      <c r="D229" s="27" t="s">
        <v>14</v>
      </c>
      <c r="E229" s="5"/>
      <c r="F229" s="4"/>
      <c r="G229" s="4"/>
      <c r="H229" s="4"/>
      <c r="I229" s="4">
        <v>22.2</v>
      </c>
      <c r="J229" s="4">
        <v>17.100000000000001</v>
      </c>
      <c r="K229" s="4"/>
      <c r="L229" s="4"/>
      <c r="M229" s="43"/>
      <c r="N229" s="472" t="s">
        <v>350</v>
      </c>
      <c r="O229" s="472"/>
      <c r="P229" s="472"/>
      <c r="Q229" s="145"/>
      <c r="R229" s="79" t="s">
        <v>133</v>
      </c>
      <c r="S229" s="123">
        <f>$P$11*0.0025</f>
        <v>0.25</v>
      </c>
      <c r="T229" s="121">
        <f>$P$11*0.01</f>
        <v>1</v>
      </c>
      <c r="U229" s="36">
        <f>Adatbázis!E229*Q229</f>
        <v>0</v>
      </c>
      <c r="V229" s="28">
        <f>Adatbázis!F229*$Q229/$Q$361</f>
        <v>0</v>
      </c>
      <c r="W229" s="28">
        <f>Adatbázis!G229*$Q229/$Q$361</f>
        <v>0</v>
      </c>
      <c r="X229" s="28">
        <f>Adatbázis!H229*$Q229/$Q$361</f>
        <v>0</v>
      </c>
      <c r="Y229" s="28">
        <f>Adatbázis!I229*$Q229/$Q$361</f>
        <v>0</v>
      </c>
      <c r="Z229" s="28">
        <f>Adatbázis!J229*$Q229/$Q$361</f>
        <v>0</v>
      </c>
      <c r="AA229" s="28">
        <f>Adatbázis!K229*$Q229/$Q$361</f>
        <v>0</v>
      </c>
      <c r="AB229" s="28">
        <f>Adatbázis!L229*$Q229/$Q$361</f>
        <v>0</v>
      </c>
      <c r="AC229" s="41">
        <f>Adatbázis!C229*Q229</f>
        <v>0</v>
      </c>
      <c r="AD229" s="434">
        <f>IF(AND(Q229&gt;=S229,Q229&lt;=T229),1,0)</f>
        <v>0</v>
      </c>
      <c r="AE229" s="434"/>
      <c r="AH229" s="34"/>
      <c r="AI229" s="35"/>
      <c r="AJ229" s="2"/>
    </row>
    <row r="230" spans="1:36" x14ac:dyDescent="0.25">
      <c r="A230" s="602"/>
      <c r="B230" s="606"/>
      <c r="C230" s="81"/>
      <c r="D230" s="27" t="s">
        <v>14</v>
      </c>
      <c r="E230" s="5"/>
      <c r="F230" s="4"/>
      <c r="G230" s="4"/>
      <c r="H230" s="4"/>
      <c r="I230" s="4"/>
      <c r="J230" s="4"/>
      <c r="K230" s="4"/>
      <c r="L230" s="4"/>
      <c r="M230" s="43"/>
      <c r="N230" s="472" t="s">
        <v>253</v>
      </c>
      <c r="O230" s="472"/>
      <c r="P230" s="472"/>
      <c r="Q230" s="107"/>
      <c r="R230" s="79" t="s">
        <v>133</v>
      </c>
      <c r="S230" s="140">
        <f>$P$11*0.005</f>
        <v>0.5</v>
      </c>
      <c r="T230" s="141">
        <f>$P$11*0.01</f>
        <v>1</v>
      </c>
      <c r="U230" s="36">
        <f>Adatbázis!E230*Q230</f>
        <v>0</v>
      </c>
      <c r="V230" s="28">
        <f>Adatbázis!F230*$Q230/$Q$361</f>
        <v>0</v>
      </c>
      <c r="W230" s="28">
        <f>Adatbázis!G230*$Q230/$Q$361</f>
        <v>0</v>
      </c>
      <c r="X230" s="28">
        <f>Adatbázis!H230*$Q230/$Q$361</f>
        <v>0</v>
      </c>
      <c r="Y230" s="28">
        <f>Adatbázis!I230*$Q230/$Q$361</f>
        <v>0</v>
      </c>
      <c r="Z230" s="28">
        <f>Adatbázis!J230*$Q230/$Q$361</f>
        <v>0</v>
      </c>
      <c r="AA230" s="28">
        <f>Adatbázis!K230*$Q230/$Q$361</f>
        <v>0</v>
      </c>
      <c r="AB230" s="28">
        <f>Adatbázis!L230*$Q230/$Q$361</f>
        <v>0</v>
      </c>
      <c r="AC230" s="41">
        <f>Adatbázis!C230*Q230</f>
        <v>0</v>
      </c>
      <c r="AD230" s="434">
        <f>IF(AND(Q230&gt;=S230,Q230&lt;=T230),1,0)</f>
        <v>0</v>
      </c>
      <c r="AE230" s="434"/>
      <c r="AH230" s="34"/>
      <c r="AI230" s="35"/>
      <c r="AJ230" s="2"/>
    </row>
    <row r="231" spans="1:36" x14ac:dyDescent="0.25">
      <c r="A231" s="602"/>
      <c r="B231" s="606"/>
      <c r="C231" s="81"/>
      <c r="D231" s="27" t="s">
        <v>14</v>
      </c>
      <c r="E231" s="5"/>
      <c r="F231" s="4"/>
      <c r="G231" s="4"/>
      <c r="H231" s="4"/>
      <c r="I231" s="4"/>
      <c r="J231" s="4"/>
      <c r="K231" s="4"/>
      <c r="L231" s="4"/>
      <c r="M231" s="43"/>
      <c r="N231" s="472" t="s">
        <v>435</v>
      </c>
      <c r="O231" s="472"/>
      <c r="P231" s="472"/>
      <c r="Q231" s="107"/>
      <c r="R231" s="79" t="s">
        <v>133</v>
      </c>
      <c r="S231" s="426">
        <f>$P$11*0.0006</f>
        <v>0.06</v>
      </c>
      <c r="T231" s="424">
        <f>$P$11*0.0006</f>
        <v>0.06</v>
      </c>
      <c r="U231" s="36">
        <f>Adatbázis!E231*Q231</f>
        <v>0</v>
      </c>
      <c r="V231" s="28">
        <f>Adatbázis!F231*$Q231/$Q$361</f>
        <v>0</v>
      </c>
      <c r="W231" s="28">
        <f>Adatbázis!G231*$Q231/$Q$361</f>
        <v>0</v>
      </c>
      <c r="X231" s="28">
        <f>Adatbázis!H231*$Q231/$Q$361</f>
        <v>0</v>
      </c>
      <c r="Y231" s="28">
        <f>Adatbázis!I231*$Q231/$Q$361</f>
        <v>0</v>
      </c>
      <c r="Z231" s="28">
        <f>Adatbázis!J231*$Q231/$Q$361</f>
        <v>0</v>
      </c>
      <c r="AA231" s="28">
        <f>Adatbázis!K231*$Q231/$Q$361</f>
        <v>0</v>
      </c>
      <c r="AB231" s="28">
        <f>Adatbázis!L231*$Q231/$Q$361</f>
        <v>0</v>
      </c>
      <c r="AC231" s="41">
        <f>Adatbázis!C231*Q231</f>
        <v>0</v>
      </c>
      <c r="AD231" s="434">
        <f>IF(AND(Q231&gt;=S231,Q231&lt;=T231),1,0)</f>
        <v>0</v>
      </c>
      <c r="AE231" s="434"/>
      <c r="AH231" s="34"/>
      <c r="AI231" s="35"/>
      <c r="AJ231" s="2"/>
    </row>
    <row r="232" spans="1:36" x14ac:dyDescent="0.25">
      <c r="A232" s="602"/>
      <c r="B232" s="606"/>
      <c r="C232" s="81"/>
      <c r="D232" s="27" t="s">
        <v>14</v>
      </c>
      <c r="E232" s="36"/>
      <c r="F232" s="4"/>
      <c r="G232" s="4"/>
      <c r="H232" s="4"/>
      <c r="I232" s="4">
        <v>0.18</v>
      </c>
      <c r="J232" s="4">
        <v>1.0500000000000001E-2</v>
      </c>
      <c r="K232" s="4"/>
      <c r="L232" s="4"/>
      <c r="M232" s="43"/>
      <c r="N232" s="472" t="s">
        <v>450</v>
      </c>
      <c r="O232" s="472"/>
      <c r="P232" s="472"/>
      <c r="Q232" s="145"/>
      <c r="R232" s="79" t="s">
        <v>133</v>
      </c>
      <c r="S232" s="123">
        <f>$P$11*0.0125</f>
        <v>1.25</v>
      </c>
      <c r="T232" s="121">
        <f>$P$11*0.0125</f>
        <v>1.25</v>
      </c>
      <c r="U232" s="36">
        <f>Adatbázis!E232*Q232</f>
        <v>0</v>
      </c>
      <c r="V232" s="28">
        <f>Adatbázis!F232*$Q232/$Q$361</f>
        <v>0</v>
      </c>
      <c r="W232" s="28">
        <f>Adatbázis!G232*$Q232/$Q$361</f>
        <v>0</v>
      </c>
      <c r="X232" s="28">
        <f>Adatbázis!H232*$Q232/$Q$361</f>
        <v>0</v>
      </c>
      <c r="Y232" s="28">
        <f>Adatbázis!I232*$Q232/$Q$361</f>
        <v>0</v>
      </c>
      <c r="Z232" s="28">
        <f>Adatbázis!J232*$Q232/$Q$361</f>
        <v>0</v>
      </c>
      <c r="AA232" s="28">
        <f>Adatbázis!K232*$Q232/$Q$361</f>
        <v>0</v>
      </c>
      <c r="AB232" s="28">
        <f>Adatbázis!L232*$Q232/$Q$361</f>
        <v>0</v>
      </c>
      <c r="AC232" s="41">
        <f>Adatbázis!C232*Q232</f>
        <v>0</v>
      </c>
      <c r="AD232" s="378">
        <f t="shared" si="18"/>
        <v>0</v>
      </c>
      <c r="AH232" s="34"/>
      <c r="AI232" s="35"/>
      <c r="AJ232" s="2"/>
    </row>
    <row r="233" spans="1:36" x14ac:dyDescent="0.25">
      <c r="A233" s="602"/>
      <c r="B233" s="607"/>
      <c r="C233" s="81"/>
      <c r="D233" s="27" t="s">
        <v>14</v>
      </c>
      <c r="E233" s="36"/>
      <c r="F233" s="4"/>
      <c r="G233" s="4"/>
      <c r="H233" s="4"/>
      <c r="I233" s="4">
        <v>23.3</v>
      </c>
      <c r="J233" s="4">
        <v>3.3</v>
      </c>
      <c r="K233" s="4">
        <v>10</v>
      </c>
      <c r="L233" s="4">
        <v>1</v>
      </c>
      <c r="M233" s="43"/>
      <c r="N233" s="472" t="s">
        <v>263</v>
      </c>
      <c r="O233" s="472"/>
      <c r="P233" s="472"/>
      <c r="Q233" s="145"/>
      <c r="R233" s="79" t="s">
        <v>133</v>
      </c>
      <c r="S233" s="157">
        <f>$P$11*0.03</f>
        <v>3</v>
      </c>
      <c r="T233" s="156">
        <f>$P$11*0.03</f>
        <v>3</v>
      </c>
      <c r="U233" s="36">
        <f>Adatbázis!E233*Q233</f>
        <v>0</v>
      </c>
      <c r="V233" s="28">
        <f>Adatbázis!F233*$Q233/$Q$361</f>
        <v>0</v>
      </c>
      <c r="W233" s="28">
        <f>Adatbázis!G233*$Q233/$Q$361</f>
        <v>0</v>
      </c>
      <c r="X233" s="28">
        <f>Adatbázis!H233*$Q233/$Q$361</f>
        <v>0</v>
      </c>
      <c r="Y233" s="28">
        <f>Adatbázis!I233*$Q233/$Q$361</f>
        <v>0</v>
      </c>
      <c r="Z233" s="28">
        <f>Adatbázis!J233*$Q233/$Q$361</f>
        <v>0</v>
      </c>
      <c r="AA233" s="28">
        <f>Adatbázis!K233*$Q233/$Q$361</f>
        <v>0</v>
      </c>
      <c r="AB233" s="28">
        <f>Adatbázis!L233*$Q233/$Q$361</f>
        <v>0</v>
      </c>
      <c r="AC233" s="41">
        <f>Adatbázis!C233*Q233</f>
        <v>0</v>
      </c>
      <c r="AD233" s="378">
        <f t="shared" si="18"/>
        <v>0</v>
      </c>
      <c r="AH233" s="34"/>
      <c r="AI233" s="35"/>
      <c r="AJ233" s="2"/>
    </row>
    <row r="234" spans="1:36" x14ac:dyDescent="0.25">
      <c r="A234" s="602"/>
      <c r="B234" s="607"/>
      <c r="C234" s="81"/>
      <c r="D234" s="27" t="s">
        <v>14</v>
      </c>
      <c r="E234" s="36"/>
      <c r="F234" s="4">
        <v>39</v>
      </c>
      <c r="G234" s="4">
        <v>1.9</v>
      </c>
      <c r="H234" s="4">
        <v>4.55</v>
      </c>
      <c r="I234" s="4">
        <v>4.3</v>
      </c>
      <c r="J234" s="4">
        <v>1.5</v>
      </c>
      <c r="K234" s="4">
        <v>4</v>
      </c>
      <c r="L234" s="4">
        <v>1</v>
      </c>
      <c r="M234" s="43"/>
      <c r="N234" s="472" t="s">
        <v>410</v>
      </c>
      <c r="O234" s="472"/>
      <c r="P234" s="472"/>
      <c r="Q234" s="107"/>
      <c r="R234" s="79" t="s">
        <v>133</v>
      </c>
      <c r="S234" s="365">
        <f>$P$11*0.15</f>
        <v>15</v>
      </c>
      <c r="T234" s="364">
        <f>$P$11*0.2</f>
        <v>20</v>
      </c>
      <c r="U234" s="36">
        <f>Adatbázis!E234*Q234</f>
        <v>0</v>
      </c>
      <c r="V234" s="28">
        <f>Adatbázis!F234*$Q234/$Q$361</f>
        <v>0</v>
      </c>
      <c r="W234" s="28">
        <f>Adatbázis!G234*$Q234/$Q$361</f>
        <v>0</v>
      </c>
      <c r="X234" s="28">
        <f>Adatbázis!H234*$Q234/$Q$361</f>
        <v>0</v>
      </c>
      <c r="Y234" s="28">
        <f>Adatbázis!I234*$Q234/$Q$361</f>
        <v>0</v>
      </c>
      <c r="Z234" s="28">
        <f>Adatbázis!J234*$Q234/$Q$361</f>
        <v>0</v>
      </c>
      <c r="AA234" s="28">
        <f>Adatbázis!K234*$Q234/$Q$361</f>
        <v>0</v>
      </c>
      <c r="AB234" s="28">
        <f>Adatbázis!L234*$Q234/$Q$361</f>
        <v>0</v>
      </c>
      <c r="AC234" s="41">
        <f>Adatbázis!C234*Q234</f>
        <v>0</v>
      </c>
      <c r="AD234" s="378">
        <f t="shared" si="18"/>
        <v>0</v>
      </c>
      <c r="AH234" s="34"/>
      <c r="AI234" s="35"/>
      <c r="AJ234" s="2"/>
    </row>
    <row r="235" spans="1:36" ht="15.75" thickBot="1" x14ac:dyDescent="0.3">
      <c r="A235" s="602"/>
      <c r="B235" s="607"/>
      <c r="C235" s="94"/>
      <c r="D235" s="95" t="s">
        <v>14</v>
      </c>
      <c r="E235" s="22">
        <v>13</v>
      </c>
      <c r="F235" s="21">
        <v>13</v>
      </c>
      <c r="G235" s="21">
        <v>3.3</v>
      </c>
      <c r="H235" s="21">
        <v>6.45</v>
      </c>
      <c r="I235" s="21">
        <v>0.8</v>
      </c>
      <c r="J235" s="21">
        <v>0.5</v>
      </c>
      <c r="K235" s="21">
        <v>0.5</v>
      </c>
      <c r="L235" s="21">
        <v>0.2</v>
      </c>
      <c r="M235" s="118"/>
      <c r="N235" s="476" t="s">
        <v>414</v>
      </c>
      <c r="O235" s="476"/>
      <c r="P235" s="476"/>
      <c r="Q235" s="107"/>
      <c r="R235" s="96" t="s">
        <v>133</v>
      </c>
      <c r="S235" s="399">
        <f>$P$11*0</f>
        <v>0</v>
      </c>
      <c r="T235" s="396">
        <f>$P$11*0.1</f>
        <v>10</v>
      </c>
      <c r="U235" s="22">
        <f>Adatbázis!E235*Q235</f>
        <v>0</v>
      </c>
      <c r="V235" s="48">
        <f>Adatbázis!F235*$Q235/$Q$361</f>
        <v>0</v>
      </c>
      <c r="W235" s="48">
        <f>Adatbázis!G235*$Q235/$Q$361</f>
        <v>0</v>
      </c>
      <c r="X235" s="48">
        <f>Adatbázis!H235*$Q235/$Q$361</f>
        <v>0</v>
      </c>
      <c r="Y235" s="48">
        <f>Adatbázis!I235*$Q235/$Q$361</f>
        <v>0</v>
      </c>
      <c r="Z235" s="48">
        <f>Adatbázis!J235*$Q235/$Q$361</f>
        <v>0</v>
      </c>
      <c r="AA235" s="48">
        <f>Adatbázis!K235*$Q235/$Q$361</f>
        <v>0</v>
      </c>
      <c r="AB235" s="48">
        <f>Adatbázis!L235*$Q235/$Q$361</f>
        <v>0</v>
      </c>
      <c r="AC235" s="49">
        <f>Adatbázis!C235*Q235</f>
        <v>0</v>
      </c>
      <c r="AH235" s="34"/>
      <c r="AI235" s="35"/>
      <c r="AJ235" s="2"/>
    </row>
    <row r="236" spans="1:36" x14ac:dyDescent="0.25">
      <c r="A236" s="602"/>
      <c r="B236" s="526" t="s">
        <v>74</v>
      </c>
      <c r="C236" s="265"/>
      <c r="D236" s="25" t="s">
        <v>14</v>
      </c>
      <c r="E236" s="37"/>
      <c r="F236" s="19"/>
      <c r="G236" s="19"/>
      <c r="H236" s="19"/>
      <c r="I236" s="19">
        <v>16</v>
      </c>
      <c r="J236" s="19">
        <v>5.45</v>
      </c>
      <c r="K236" s="19">
        <v>5</v>
      </c>
      <c r="L236" s="19">
        <v>5.0999999999999996</v>
      </c>
      <c r="M236" s="42"/>
      <c r="N236" s="477" t="s">
        <v>103</v>
      </c>
      <c r="O236" s="477"/>
      <c r="P236" s="477"/>
      <c r="Q236" s="145"/>
      <c r="R236" s="66" t="s">
        <v>133</v>
      </c>
      <c r="S236" s="397">
        <f>$P$11*0.04</f>
        <v>4</v>
      </c>
      <c r="T236" s="394">
        <f>$P$11*0.04</f>
        <v>4</v>
      </c>
      <c r="U236" s="37">
        <f>Adatbázis!E236*Q236</f>
        <v>0</v>
      </c>
      <c r="V236" s="26">
        <f>Adatbázis!F236*$Q236/$Q$361</f>
        <v>0</v>
      </c>
      <c r="W236" s="26">
        <f>Adatbázis!G236*$Q236/$Q$361</f>
        <v>0</v>
      </c>
      <c r="X236" s="26">
        <f>Adatbázis!H236*$Q236/$Q$361</f>
        <v>0</v>
      </c>
      <c r="Y236" s="26">
        <f>Adatbázis!I236*$Q236/$Q$361</f>
        <v>0</v>
      </c>
      <c r="Z236" s="26">
        <f>Adatbázis!J236*$Q236/$Q$361</f>
        <v>0</v>
      </c>
      <c r="AA236" s="26">
        <f>Adatbázis!K236*$Q236/$Q$361</f>
        <v>0</v>
      </c>
      <c r="AB236" s="26">
        <f>Adatbázis!L236*$Q236/$Q$361</f>
        <v>0</v>
      </c>
      <c r="AC236" s="40">
        <f>Adatbázis!C236*Q236</f>
        <v>0</v>
      </c>
      <c r="AD236" s="378">
        <f t="shared" ref="AD236:AD271" si="21">IF(AND(Q236&gt;=S236,Q236&lt;=T236),1,0)</f>
        <v>0</v>
      </c>
      <c r="AH236" s="34"/>
      <c r="AI236" s="35"/>
    </row>
    <row r="237" spans="1:36" x14ac:dyDescent="0.25">
      <c r="A237" s="602"/>
      <c r="B237" s="527"/>
      <c r="C237" s="267"/>
      <c r="D237" s="27" t="s">
        <v>14</v>
      </c>
      <c r="E237" s="36"/>
      <c r="F237" s="4"/>
      <c r="G237" s="4"/>
      <c r="H237" s="4"/>
      <c r="I237" s="4">
        <v>12.74</v>
      </c>
      <c r="J237" s="4">
        <v>3.27</v>
      </c>
      <c r="K237" s="4">
        <v>5.4</v>
      </c>
      <c r="L237" s="4">
        <v>4.2</v>
      </c>
      <c r="M237" s="43"/>
      <c r="N237" s="472" t="s">
        <v>104</v>
      </c>
      <c r="O237" s="472"/>
      <c r="P237" s="472"/>
      <c r="Q237" s="145"/>
      <c r="R237" s="79" t="s">
        <v>133</v>
      </c>
      <c r="S237" s="398">
        <f>$P$11*0.035</f>
        <v>3.5000000000000004</v>
      </c>
      <c r="T237" s="395">
        <f>$P$11*0.035</f>
        <v>3.5000000000000004</v>
      </c>
      <c r="U237" s="36">
        <f>Adatbázis!E237*Q237</f>
        <v>0</v>
      </c>
      <c r="V237" s="28">
        <f>Adatbázis!F237*$Q237/$Q$361</f>
        <v>0</v>
      </c>
      <c r="W237" s="28">
        <f>Adatbázis!G237*$Q237/$Q$361</f>
        <v>0</v>
      </c>
      <c r="X237" s="28">
        <f>Adatbázis!H237*$Q237/$Q$361</f>
        <v>0</v>
      </c>
      <c r="Y237" s="28">
        <f>Adatbázis!I237*$Q237/$Q$361</f>
        <v>0</v>
      </c>
      <c r="Z237" s="28">
        <f>Adatbázis!J237*$Q237/$Q$361</f>
        <v>0</v>
      </c>
      <c r="AA237" s="28">
        <f>Adatbázis!K237*$Q237/$Q$361</f>
        <v>0</v>
      </c>
      <c r="AB237" s="28">
        <f>Adatbázis!L237*$Q237/$Q$361</f>
        <v>0</v>
      </c>
      <c r="AC237" s="41">
        <f>Adatbázis!C237*Q237</f>
        <v>0</v>
      </c>
      <c r="AD237" s="378">
        <f t="shared" si="21"/>
        <v>0</v>
      </c>
      <c r="AH237" s="34"/>
      <c r="AI237" s="35"/>
    </row>
    <row r="238" spans="1:36" x14ac:dyDescent="0.25">
      <c r="A238" s="602"/>
      <c r="B238" s="527"/>
      <c r="C238" s="267"/>
      <c r="D238" s="27" t="s">
        <v>14</v>
      </c>
      <c r="E238" s="36"/>
      <c r="F238" s="4"/>
      <c r="G238" s="4"/>
      <c r="H238" s="4"/>
      <c r="I238" s="4">
        <v>10</v>
      </c>
      <c r="J238" s="4">
        <v>1.86</v>
      </c>
      <c r="K238" s="4">
        <v>6</v>
      </c>
      <c r="L238" s="4">
        <v>0.12</v>
      </c>
      <c r="M238" s="43"/>
      <c r="N238" s="472" t="s">
        <v>105</v>
      </c>
      <c r="O238" s="472"/>
      <c r="P238" s="472"/>
      <c r="Q238" s="107"/>
      <c r="R238" s="79" t="s">
        <v>133</v>
      </c>
      <c r="S238" s="398">
        <f>$P$11*0.03</f>
        <v>3</v>
      </c>
      <c r="T238" s="395">
        <f>$P$11*0.03</f>
        <v>3</v>
      </c>
      <c r="U238" s="36">
        <f>Adatbázis!E238*Q238</f>
        <v>0</v>
      </c>
      <c r="V238" s="28">
        <f>Adatbázis!F238*$Q238/$Q$361</f>
        <v>0</v>
      </c>
      <c r="W238" s="28">
        <f>Adatbázis!G238*$Q238/$Q$361</f>
        <v>0</v>
      </c>
      <c r="X238" s="28">
        <f>Adatbázis!H238*$Q238/$Q$361</f>
        <v>0</v>
      </c>
      <c r="Y238" s="28">
        <f>Adatbázis!I238*$Q238/$Q$361</f>
        <v>0</v>
      </c>
      <c r="Z238" s="28">
        <f>Adatbázis!J238*$Q238/$Q$361</f>
        <v>0</v>
      </c>
      <c r="AA238" s="28">
        <f>Adatbázis!K238*$Q238/$Q$361</f>
        <v>0</v>
      </c>
      <c r="AB238" s="28">
        <f>Adatbázis!L238*$Q238/$Q$361</f>
        <v>0</v>
      </c>
      <c r="AC238" s="41">
        <f>Adatbázis!C238*Q238</f>
        <v>0</v>
      </c>
      <c r="AD238" s="378">
        <f t="shared" si="21"/>
        <v>0</v>
      </c>
      <c r="AH238" s="34"/>
      <c r="AI238" s="35"/>
    </row>
    <row r="239" spans="1:36" x14ac:dyDescent="0.25">
      <c r="A239" s="602"/>
      <c r="B239" s="527"/>
      <c r="C239" s="267"/>
      <c r="D239" s="27" t="s">
        <v>14</v>
      </c>
      <c r="E239" s="5"/>
      <c r="F239" s="4">
        <v>42.5</v>
      </c>
      <c r="G239" s="4">
        <v>2</v>
      </c>
      <c r="H239" s="4">
        <v>10</v>
      </c>
      <c r="I239" s="4">
        <v>2</v>
      </c>
      <c r="J239" s="4">
        <v>1.1000000000000001</v>
      </c>
      <c r="K239" s="4">
        <v>3.1</v>
      </c>
      <c r="L239" s="4">
        <v>0.65</v>
      </c>
      <c r="M239" s="43"/>
      <c r="N239" s="472" t="s">
        <v>69</v>
      </c>
      <c r="O239" s="472"/>
      <c r="P239" s="472"/>
      <c r="Q239" s="107"/>
      <c r="R239" s="79" t="s">
        <v>133</v>
      </c>
      <c r="S239" s="398">
        <f>$P$11*0.35</f>
        <v>35</v>
      </c>
      <c r="T239" s="395">
        <f>$P$11*0.35</f>
        <v>35</v>
      </c>
      <c r="U239" s="36">
        <f>Adatbázis!E239*Q239</f>
        <v>0</v>
      </c>
      <c r="V239" s="28">
        <f>Adatbázis!F239*$Q239/$Q$361</f>
        <v>0</v>
      </c>
      <c r="W239" s="28">
        <f>Adatbázis!G239*$Q239/$Q$361</f>
        <v>0</v>
      </c>
      <c r="X239" s="28">
        <f>Adatbázis!H239*$Q239/$Q$361</f>
        <v>0</v>
      </c>
      <c r="Y239" s="28">
        <f>Adatbázis!I239*$Q239/$Q$361</f>
        <v>0</v>
      </c>
      <c r="Z239" s="28">
        <f>Adatbázis!J239*$Q239/$Q$361</f>
        <v>0</v>
      </c>
      <c r="AA239" s="28">
        <f>Adatbázis!K239*$Q239/$Q$361</f>
        <v>0</v>
      </c>
      <c r="AB239" s="28">
        <f>Adatbázis!L239*$Q239/$Q$361</f>
        <v>0</v>
      </c>
      <c r="AC239" s="41">
        <f>Adatbázis!C239*Q239</f>
        <v>0</v>
      </c>
      <c r="AD239" s="378">
        <f t="shared" si="21"/>
        <v>0</v>
      </c>
      <c r="AH239" s="34"/>
      <c r="AI239" s="35"/>
    </row>
    <row r="240" spans="1:36" x14ac:dyDescent="0.25">
      <c r="A240" s="602"/>
      <c r="B240" s="527"/>
      <c r="C240" s="267"/>
      <c r="D240" s="27" t="s">
        <v>14</v>
      </c>
      <c r="E240" s="5"/>
      <c r="F240" s="4">
        <v>42</v>
      </c>
      <c r="G240" s="4">
        <v>1.5</v>
      </c>
      <c r="H240" s="4">
        <v>10</v>
      </c>
      <c r="I240" s="4">
        <v>1.65</v>
      </c>
      <c r="J240" s="4">
        <v>0.95</v>
      </c>
      <c r="K240" s="4">
        <v>3.03</v>
      </c>
      <c r="L240" s="4">
        <v>0.64</v>
      </c>
      <c r="M240" s="43"/>
      <c r="N240" s="472" t="s">
        <v>70</v>
      </c>
      <c r="O240" s="472"/>
      <c r="P240" s="472"/>
      <c r="Q240" s="145"/>
      <c r="R240" s="79" t="s">
        <v>133</v>
      </c>
      <c r="S240" s="398">
        <f>$P$11*0.3</f>
        <v>30</v>
      </c>
      <c r="T240" s="395">
        <f>$P$11*0.3</f>
        <v>30</v>
      </c>
      <c r="U240" s="36">
        <f>Adatbázis!E240*Q240</f>
        <v>0</v>
      </c>
      <c r="V240" s="28">
        <f>Adatbázis!F240*$Q240/$Q$361</f>
        <v>0</v>
      </c>
      <c r="W240" s="28">
        <f>Adatbázis!G240*$Q240/$Q$361</f>
        <v>0</v>
      </c>
      <c r="X240" s="28">
        <f>Adatbázis!H240*$Q240/$Q$361</f>
        <v>0</v>
      </c>
      <c r="Y240" s="28">
        <f>Adatbázis!I240*$Q240/$Q$361</f>
        <v>0</v>
      </c>
      <c r="Z240" s="28">
        <f>Adatbázis!J240*$Q240/$Q$361</f>
        <v>0</v>
      </c>
      <c r="AA240" s="28">
        <f>Adatbázis!K240*$Q240/$Q$361</f>
        <v>0</v>
      </c>
      <c r="AB240" s="28">
        <f>Adatbázis!L240*$Q240/$Q$361</f>
        <v>0</v>
      </c>
      <c r="AC240" s="41">
        <f>Adatbázis!C240*Q240</f>
        <v>0</v>
      </c>
      <c r="AD240" s="378">
        <f t="shared" si="21"/>
        <v>0</v>
      </c>
      <c r="AH240" s="34"/>
      <c r="AI240" s="35"/>
    </row>
    <row r="241" spans="1:36" x14ac:dyDescent="0.25">
      <c r="A241" s="602"/>
      <c r="B241" s="527"/>
      <c r="C241" s="267"/>
      <c r="D241" s="27" t="s">
        <v>14</v>
      </c>
      <c r="E241" s="5"/>
      <c r="F241" s="4">
        <v>43</v>
      </c>
      <c r="G241" s="4">
        <v>1.5</v>
      </c>
      <c r="H241" s="4">
        <v>12</v>
      </c>
      <c r="I241" s="4">
        <v>1.47</v>
      </c>
      <c r="J241" s="4">
        <v>0.77</v>
      </c>
      <c r="K241" s="4">
        <v>3.1</v>
      </c>
      <c r="L241" s="4">
        <v>0.66</v>
      </c>
      <c r="M241" s="43"/>
      <c r="N241" s="472" t="s">
        <v>71</v>
      </c>
      <c r="O241" s="472"/>
      <c r="P241" s="472"/>
      <c r="Q241" s="145"/>
      <c r="R241" s="79" t="s">
        <v>133</v>
      </c>
      <c r="S241" s="398">
        <f>$P$11*0.25</f>
        <v>25</v>
      </c>
      <c r="T241" s="395">
        <f>$P$11*0.25</f>
        <v>25</v>
      </c>
      <c r="U241" s="36">
        <f>Adatbázis!E241*Q241</f>
        <v>0</v>
      </c>
      <c r="V241" s="28">
        <f>Adatbázis!F241*$Q241/$Q$361</f>
        <v>0</v>
      </c>
      <c r="W241" s="28">
        <f>Adatbázis!G241*$Q241/$Q$361</f>
        <v>0</v>
      </c>
      <c r="X241" s="28">
        <f>Adatbázis!H241*$Q241/$Q$361</f>
        <v>0</v>
      </c>
      <c r="Y241" s="28">
        <f>Adatbázis!I241*$Q241/$Q$361</f>
        <v>0</v>
      </c>
      <c r="Z241" s="28">
        <f>Adatbázis!J241*$Q241/$Q$361</f>
        <v>0</v>
      </c>
      <c r="AA241" s="28">
        <f>Adatbázis!K241*$Q241/$Q$361</f>
        <v>0</v>
      </c>
      <c r="AB241" s="28">
        <f>Adatbázis!L241*$Q241/$Q$361</f>
        <v>0</v>
      </c>
      <c r="AC241" s="41">
        <f>Adatbázis!C241*Q241</f>
        <v>0</v>
      </c>
      <c r="AD241" s="378">
        <f t="shared" si="21"/>
        <v>0</v>
      </c>
      <c r="AH241" s="34"/>
      <c r="AI241" s="35"/>
    </row>
    <row r="242" spans="1:36" x14ac:dyDescent="0.25">
      <c r="A242" s="602"/>
      <c r="B242" s="527"/>
      <c r="C242" s="267"/>
      <c r="D242" s="27" t="s">
        <v>14</v>
      </c>
      <c r="E242" s="5">
        <v>8.85</v>
      </c>
      <c r="F242" s="4">
        <v>39.5</v>
      </c>
      <c r="G242" s="4">
        <v>0.8</v>
      </c>
      <c r="H242" s="4">
        <v>10</v>
      </c>
      <c r="I242" s="4">
        <v>2.2000000000000002</v>
      </c>
      <c r="J242" s="4">
        <v>0.65</v>
      </c>
      <c r="K242" s="4">
        <v>2</v>
      </c>
      <c r="L242" s="4">
        <v>0.95</v>
      </c>
      <c r="M242" s="273"/>
      <c r="N242" s="478" t="s">
        <v>184</v>
      </c>
      <c r="O242" s="478"/>
      <c r="P242" s="478"/>
      <c r="Q242" s="107"/>
      <c r="R242" s="103" t="s">
        <v>133</v>
      </c>
      <c r="S242" s="398">
        <f>$P$11*0.1</f>
        <v>10</v>
      </c>
      <c r="T242" s="395">
        <f>$P$11*0.1</f>
        <v>10</v>
      </c>
      <c r="U242" s="36">
        <f>Adatbázis!E242*Q242</f>
        <v>0</v>
      </c>
      <c r="V242" s="28">
        <f>Adatbázis!F242*$Q242/$Q$361</f>
        <v>0</v>
      </c>
      <c r="W242" s="28">
        <f>Adatbázis!G242*$Q242/$Q$361</f>
        <v>0</v>
      </c>
      <c r="X242" s="28">
        <f>Adatbázis!H242*$Q242/$Q$361</f>
        <v>0</v>
      </c>
      <c r="Y242" s="28">
        <f>Adatbázis!I242*$Q242/$Q$361</f>
        <v>0</v>
      </c>
      <c r="Z242" s="28">
        <f>Adatbázis!J242*$Q242/$Q$361</f>
        <v>0</v>
      </c>
      <c r="AA242" s="28">
        <f>Adatbázis!K242*$Q242/$Q$361</f>
        <v>0</v>
      </c>
      <c r="AB242" s="28">
        <f>Adatbázis!L242*$Q242/$Q$361</f>
        <v>0</v>
      </c>
      <c r="AC242" s="41">
        <f>Adatbázis!C242*Q242</f>
        <v>0</v>
      </c>
      <c r="AD242" s="378">
        <f t="shared" si="21"/>
        <v>0</v>
      </c>
      <c r="AF242" s="393" t="s">
        <v>415</v>
      </c>
      <c r="AG242" s="393"/>
      <c r="AH242" s="400"/>
      <c r="AI242" s="104"/>
      <c r="AJ242" s="46"/>
    </row>
    <row r="243" spans="1:36" x14ac:dyDescent="0.25">
      <c r="A243" s="602"/>
      <c r="B243" s="527"/>
      <c r="C243" s="267"/>
      <c r="D243" s="27" t="s">
        <v>14</v>
      </c>
      <c r="E243" s="5"/>
      <c r="F243" s="4">
        <v>40</v>
      </c>
      <c r="G243" s="4">
        <v>1</v>
      </c>
      <c r="H243" s="4">
        <v>9</v>
      </c>
      <c r="I243" s="4">
        <v>0.55000000000000004</v>
      </c>
      <c r="J243" s="4">
        <v>1.04</v>
      </c>
      <c r="K243" s="4">
        <v>2.4300000000000002</v>
      </c>
      <c r="L243" s="4">
        <v>1.06</v>
      </c>
      <c r="M243" s="43"/>
      <c r="N243" s="472" t="s">
        <v>258</v>
      </c>
      <c r="O243" s="472"/>
      <c r="P243" s="472"/>
      <c r="Q243" s="107"/>
      <c r="R243" s="79" t="s">
        <v>133</v>
      </c>
      <c r="S243" s="398">
        <f>$P$11*0.26</f>
        <v>26</v>
      </c>
      <c r="T243" s="395">
        <f>$P$11*0.26</f>
        <v>26</v>
      </c>
      <c r="U243" s="36">
        <f>Adatbázis!E243*Q243</f>
        <v>0</v>
      </c>
      <c r="V243" s="28">
        <f>Adatbázis!F243*$Q243/$Q$361</f>
        <v>0</v>
      </c>
      <c r="W243" s="28">
        <f>Adatbázis!G243*$Q243/$Q$361</f>
        <v>0</v>
      </c>
      <c r="X243" s="28">
        <f>Adatbázis!H243*$Q243/$Q$361</f>
        <v>0</v>
      </c>
      <c r="Y243" s="28">
        <f>Adatbázis!I243*$Q243/$Q$361</f>
        <v>0</v>
      </c>
      <c r="Z243" s="28">
        <f>Adatbázis!J243*$Q243/$Q$361</f>
        <v>0</v>
      </c>
      <c r="AA243" s="28">
        <f>Adatbázis!K243*$Q243/$Q$361</f>
        <v>0</v>
      </c>
      <c r="AB243" s="28">
        <f>Adatbázis!L243*$Q243/$Q$361</f>
        <v>0</v>
      </c>
      <c r="AC243" s="41">
        <f>Adatbázis!C243*Q243</f>
        <v>0</v>
      </c>
      <c r="AD243" s="378">
        <f t="shared" si="21"/>
        <v>0</v>
      </c>
      <c r="AF243" s="584"/>
      <c r="AG243" s="584"/>
      <c r="AH243" s="148"/>
      <c r="AI243" s="35"/>
    </row>
    <row r="244" spans="1:36" x14ac:dyDescent="0.25">
      <c r="A244" s="602"/>
      <c r="B244" s="527"/>
      <c r="C244" s="267"/>
      <c r="D244" s="27" t="s">
        <v>14</v>
      </c>
      <c r="E244" s="5"/>
      <c r="F244" s="4">
        <v>39.5</v>
      </c>
      <c r="G244" s="4">
        <v>0.7</v>
      </c>
      <c r="H244" s="4">
        <v>9</v>
      </c>
      <c r="I244" s="4">
        <v>3.2</v>
      </c>
      <c r="J244" s="4">
        <v>1.2</v>
      </c>
      <c r="K244" s="4">
        <v>2.2000000000000002</v>
      </c>
      <c r="L244" s="4">
        <v>0.75</v>
      </c>
      <c r="M244" s="43"/>
      <c r="N244" s="472" t="s">
        <v>355</v>
      </c>
      <c r="O244" s="472"/>
      <c r="P244" s="472"/>
      <c r="Q244" s="145"/>
      <c r="R244" s="79" t="s">
        <v>133</v>
      </c>
      <c r="S244" s="398">
        <f>$P$11*0.26</f>
        <v>26</v>
      </c>
      <c r="T244" s="395">
        <f>$P$11*0.26</f>
        <v>26</v>
      </c>
      <c r="U244" s="36">
        <f>Adatbázis!E244*Q244</f>
        <v>0</v>
      </c>
      <c r="V244" s="28">
        <f>Adatbázis!F244*$Q244/$Q$361</f>
        <v>0</v>
      </c>
      <c r="W244" s="28">
        <f>Adatbázis!G244*$Q244/$Q$361</f>
        <v>0</v>
      </c>
      <c r="X244" s="28">
        <f>Adatbázis!H244*$Q244/$Q$361</f>
        <v>0</v>
      </c>
      <c r="Y244" s="28">
        <f>Adatbázis!I244*$Q244/$Q$361</f>
        <v>0</v>
      </c>
      <c r="Z244" s="28">
        <f>Adatbázis!J244*$Q244/$Q$361</f>
        <v>0</v>
      </c>
      <c r="AA244" s="28">
        <f>Adatbázis!K244*$Q244/$Q$361</f>
        <v>0</v>
      </c>
      <c r="AB244" s="28">
        <f>Adatbázis!L244*$Q244/$Q$361</f>
        <v>0</v>
      </c>
      <c r="AC244" s="41">
        <f>Adatbázis!C244*Q244</f>
        <v>0</v>
      </c>
      <c r="AD244" s="378">
        <f t="shared" si="21"/>
        <v>0</v>
      </c>
      <c r="AF244" s="282"/>
      <c r="AG244" s="282"/>
      <c r="AH244" s="148"/>
      <c r="AI244" s="35"/>
    </row>
    <row r="245" spans="1:36" x14ac:dyDescent="0.25">
      <c r="A245" s="602"/>
      <c r="B245" s="527"/>
      <c r="C245" s="267"/>
      <c r="D245" s="27" t="s">
        <v>14</v>
      </c>
      <c r="E245" s="36"/>
      <c r="F245" s="4"/>
      <c r="G245" s="4"/>
      <c r="H245" s="4"/>
      <c r="I245" s="4">
        <v>18</v>
      </c>
      <c r="J245" s="4">
        <v>10.5</v>
      </c>
      <c r="K245" s="4">
        <v>2.5</v>
      </c>
      <c r="L245" s="4">
        <v>1</v>
      </c>
      <c r="M245" s="43"/>
      <c r="N245" s="472" t="s">
        <v>281</v>
      </c>
      <c r="O245" s="472"/>
      <c r="P245" s="472"/>
      <c r="Q245" s="145"/>
      <c r="R245" s="79" t="s">
        <v>133</v>
      </c>
      <c r="S245" s="398">
        <f t="shared" ref="S245:T247" si="22">$P$11*0.025</f>
        <v>2.5</v>
      </c>
      <c r="T245" s="395">
        <f t="shared" si="22"/>
        <v>2.5</v>
      </c>
      <c r="U245" s="36">
        <f>Adatbázis!E245*Q245</f>
        <v>0</v>
      </c>
      <c r="V245" s="28">
        <f>Adatbázis!F245*$Q245/$Q$361</f>
        <v>0</v>
      </c>
      <c r="W245" s="28">
        <f>Adatbázis!G245*$Q245/$Q$361</f>
        <v>0</v>
      </c>
      <c r="X245" s="28">
        <f>Adatbázis!H245*$Q245/$Q$361</f>
        <v>0</v>
      </c>
      <c r="Y245" s="28">
        <f>Adatbázis!I245*$Q245/$Q$361</f>
        <v>0</v>
      </c>
      <c r="Z245" s="28">
        <f>Adatbázis!J245*$Q245/$Q$361</f>
        <v>0</v>
      </c>
      <c r="AA245" s="28">
        <f>Adatbázis!K245*$Q245/$Q$361</f>
        <v>0</v>
      </c>
      <c r="AB245" s="28">
        <f>Adatbázis!L245*$Q245/$Q$361</f>
        <v>0</v>
      </c>
      <c r="AC245" s="41">
        <f>Adatbázis!C245*Q245</f>
        <v>0</v>
      </c>
      <c r="AD245" s="378">
        <f t="shared" si="21"/>
        <v>0</v>
      </c>
      <c r="AH245" s="34"/>
      <c r="AI245" s="35"/>
    </row>
    <row r="246" spans="1:36" x14ac:dyDescent="0.25">
      <c r="A246" s="602"/>
      <c r="B246" s="527"/>
      <c r="C246" s="267"/>
      <c r="D246" s="27" t="s">
        <v>14</v>
      </c>
      <c r="E246" s="36"/>
      <c r="F246" s="4"/>
      <c r="G246" s="4"/>
      <c r="H246" s="4"/>
      <c r="I246" s="4">
        <v>18</v>
      </c>
      <c r="J246" s="4">
        <v>10.5</v>
      </c>
      <c r="K246" s="4">
        <v>2.5</v>
      </c>
      <c r="L246" s="4">
        <v>1</v>
      </c>
      <c r="M246" s="43"/>
      <c r="N246" s="472" t="s">
        <v>436</v>
      </c>
      <c r="O246" s="472"/>
      <c r="P246" s="472"/>
      <c r="Q246" s="107"/>
      <c r="R246" s="79" t="s">
        <v>133</v>
      </c>
      <c r="S246" s="426">
        <f t="shared" si="22"/>
        <v>2.5</v>
      </c>
      <c r="T246" s="424">
        <f t="shared" si="22"/>
        <v>2.5</v>
      </c>
      <c r="U246" s="36">
        <f>Adatbázis!E246*Q246</f>
        <v>0</v>
      </c>
      <c r="V246" s="28">
        <f>Adatbázis!F246*$Q246/$Q$361</f>
        <v>0</v>
      </c>
      <c r="W246" s="28">
        <f>Adatbázis!G246*$Q246/$Q$361</f>
        <v>0</v>
      </c>
      <c r="X246" s="28">
        <f>Adatbázis!H246*$Q246/$Q$361</f>
        <v>0</v>
      </c>
      <c r="Y246" s="28">
        <f>Adatbázis!I246*$Q246/$Q$361</f>
        <v>0</v>
      </c>
      <c r="Z246" s="28">
        <f>Adatbázis!J246*$Q246/$Q$361</f>
        <v>0</v>
      </c>
      <c r="AA246" s="28">
        <f>Adatbázis!K246*$Q246/$Q$361</f>
        <v>0</v>
      </c>
      <c r="AB246" s="28">
        <f>Adatbázis!L246*$Q246/$Q$361</f>
        <v>0</v>
      </c>
      <c r="AC246" s="41">
        <f>Adatbázis!C246*Q246</f>
        <v>0</v>
      </c>
      <c r="AD246" s="378">
        <f t="shared" ref="AD246" si="23">IF(AND(Q246&gt;=S246,Q246&lt;=T246),1,0)</f>
        <v>0</v>
      </c>
      <c r="AH246" s="34"/>
      <c r="AI246" s="35"/>
    </row>
    <row r="247" spans="1:36" x14ac:dyDescent="0.25">
      <c r="A247" s="602"/>
      <c r="B247" s="527"/>
      <c r="C247" s="267"/>
      <c r="D247" s="27" t="s">
        <v>14</v>
      </c>
      <c r="E247" s="36"/>
      <c r="F247" s="4"/>
      <c r="G247" s="4"/>
      <c r="H247" s="4"/>
      <c r="I247" s="4">
        <v>17.600000000000001</v>
      </c>
      <c r="J247" s="4">
        <v>10</v>
      </c>
      <c r="K247" s="4">
        <v>2.5</v>
      </c>
      <c r="L247" s="4">
        <v>0.9</v>
      </c>
      <c r="M247" s="43"/>
      <c r="N247" s="472" t="s">
        <v>437</v>
      </c>
      <c r="O247" s="472"/>
      <c r="P247" s="472"/>
      <c r="Q247" s="107"/>
      <c r="R247" s="79" t="s">
        <v>133</v>
      </c>
      <c r="S247" s="426">
        <f t="shared" si="22"/>
        <v>2.5</v>
      </c>
      <c r="T247" s="424">
        <f t="shared" si="22"/>
        <v>2.5</v>
      </c>
      <c r="U247" s="36">
        <f>Adatbázis!E247*Q247</f>
        <v>0</v>
      </c>
      <c r="V247" s="28">
        <f>Adatbázis!F247*$Q247/$Q$361</f>
        <v>0</v>
      </c>
      <c r="W247" s="28">
        <f>Adatbázis!G247*$Q247/$Q$361</f>
        <v>0</v>
      </c>
      <c r="X247" s="28">
        <f>Adatbázis!H247*$Q247/$Q$361</f>
        <v>0</v>
      </c>
      <c r="Y247" s="28">
        <f>Adatbázis!I247*$Q247/$Q$361</f>
        <v>0</v>
      </c>
      <c r="Z247" s="28">
        <f>Adatbázis!J247*$Q247/$Q$361</f>
        <v>0</v>
      </c>
      <c r="AA247" s="28">
        <f>Adatbázis!K247*$Q247/$Q$361</f>
        <v>0</v>
      </c>
      <c r="AB247" s="28">
        <f>Adatbázis!L247*$Q247/$Q$361</f>
        <v>0</v>
      </c>
      <c r="AC247" s="41">
        <f>Adatbázis!C247*Q247</f>
        <v>0</v>
      </c>
      <c r="AD247" s="378">
        <f t="shared" ref="AD247" si="24">IF(AND(Q247&gt;=S247,Q247&lt;=T247),1,0)</f>
        <v>0</v>
      </c>
      <c r="AH247" s="34"/>
      <c r="AI247" s="35"/>
    </row>
    <row r="248" spans="1:36" x14ac:dyDescent="0.25">
      <c r="A248" s="602"/>
      <c r="B248" s="527"/>
      <c r="C248" s="267"/>
      <c r="D248" s="27" t="s">
        <v>14</v>
      </c>
      <c r="E248" s="5"/>
      <c r="F248" s="4"/>
      <c r="G248" s="4"/>
      <c r="H248" s="4"/>
      <c r="I248" s="4">
        <v>27.6</v>
      </c>
      <c r="J248" s="4">
        <v>5.3</v>
      </c>
      <c r="K248" s="4">
        <v>1.1299999999999999</v>
      </c>
      <c r="L248" s="4">
        <v>0.8</v>
      </c>
      <c r="M248" s="43"/>
      <c r="N248" s="472" t="s">
        <v>72</v>
      </c>
      <c r="O248" s="472"/>
      <c r="P248" s="472"/>
      <c r="Q248" s="145"/>
      <c r="R248" s="79" t="s">
        <v>133</v>
      </c>
      <c r="S248" s="398">
        <f>$P$11*0.05</f>
        <v>5</v>
      </c>
      <c r="T248" s="395">
        <f>$P$11*0.05</f>
        <v>5</v>
      </c>
      <c r="U248" s="36">
        <f>Adatbázis!E248*Q248</f>
        <v>0</v>
      </c>
      <c r="V248" s="28">
        <f>Adatbázis!F248*$Q248/$Q$361</f>
        <v>0</v>
      </c>
      <c r="W248" s="28">
        <f>Adatbázis!G248*$Q248/$Q$361</f>
        <v>0</v>
      </c>
      <c r="X248" s="28">
        <f>Adatbázis!H248*$Q248/$Q$361</f>
        <v>0</v>
      </c>
      <c r="Y248" s="28">
        <f>Adatbázis!I248*$Q248/$Q$361</f>
        <v>0</v>
      </c>
      <c r="Z248" s="28">
        <f>Adatbázis!J248*$Q248/$Q$361</f>
        <v>0</v>
      </c>
      <c r="AA248" s="28">
        <f>Adatbázis!K248*$Q248/$Q$361</f>
        <v>0</v>
      </c>
      <c r="AB248" s="28">
        <f>Adatbázis!L248*$Q248/$Q$361</f>
        <v>0</v>
      </c>
      <c r="AC248" s="41">
        <f>Adatbázis!C248*Q248</f>
        <v>0</v>
      </c>
      <c r="AD248" s="378">
        <f t="shared" si="21"/>
        <v>0</v>
      </c>
      <c r="AH248" s="34"/>
      <c r="AI248" s="35"/>
    </row>
    <row r="249" spans="1:36" x14ac:dyDescent="0.25">
      <c r="A249" s="602"/>
      <c r="B249" s="527"/>
      <c r="C249" s="267"/>
      <c r="D249" s="27" t="s">
        <v>14</v>
      </c>
      <c r="E249" s="5"/>
      <c r="F249" s="4">
        <v>5.16</v>
      </c>
      <c r="G249" s="4">
        <v>0.56999999999999995</v>
      </c>
      <c r="H249" s="4">
        <v>1.1499999999999999</v>
      </c>
      <c r="I249" s="4">
        <v>21.97</v>
      </c>
      <c r="J249" s="4">
        <v>4.1399999999999997</v>
      </c>
      <c r="K249" s="4">
        <v>0.66</v>
      </c>
      <c r="L249" s="4">
        <v>3.29</v>
      </c>
      <c r="M249" s="43"/>
      <c r="N249" s="472" t="s">
        <v>361</v>
      </c>
      <c r="O249" s="472"/>
      <c r="P249" s="472"/>
      <c r="Q249" s="145"/>
      <c r="R249" s="79" t="s">
        <v>133</v>
      </c>
      <c r="S249" s="398">
        <f>$P$11*0.04</f>
        <v>4</v>
      </c>
      <c r="T249" s="395">
        <f>$P$11*0.04</f>
        <v>4</v>
      </c>
      <c r="U249" s="36">
        <f>Adatbázis!E249*Q249</f>
        <v>0</v>
      </c>
      <c r="V249" s="28">
        <f>Adatbázis!F249*$Q249/$Q$361</f>
        <v>0</v>
      </c>
      <c r="W249" s="28">
        <f>Adatbázis!G249*$Q249/$Q$361</f>
        <v>0</v>
      </c>
      <c r="X249" s="28">
        <f>Adatbázis!H249*$Q249/$Q$361</f>
        <v>0</v>
      </c>
      <c r="Y249" s="28">
        <f>Adatbázis!I249*$Q249/$Q$361</f>
        <v>0</v>
      </c>
      <c r="Z249" s="28">
        <f>Adatbázis!J249*$Q249/$Q$361</f>
        <v>0</v>
      </c>
      <c r="AA249" s="28">
        <f>Adatbázis!K249*$Q249/$Q$361</f>
        <v>0</v>
      </c>
      <c r="AB249" s="28">
        <f>Adatbázis!L249*$Q249/$Q$361</f>
        <v>0</v>
      </c>
      <c r="AC249" s="41">
        <f>Adatbázis!C249*Q249</f>
        <v>0</v>
      </c>
      <c r="AD249" s="378">
        <f t="shared" si="21"/>
        <v>0</v>
      </c>
      <c r="AH249" s="34"/>
      <c r="AI249" s="35"/>
    </row>
    <row r="250" spans="1:36" x14ac:dyDescent="0.25">
      <c r="A250" s="602"/>
      <c r="B250" s="527"/>
      <c r="C250" s="267"/>
      <c r="D250" s="27" t="s">
        <v>14</v>
      </c>
      <c r="E250" s="5"/>
      <c r="F250" s="4"/>
      <c r="G250" s="4"/>
      <c r="H250" s="4"/>
      <c r="I250" s="4">
        <v>18</v>
      </c>
      <c r="J250" s="4">
        <v>10.5</v>
      </c>
      <c r="K250" s="4"/>
      <c r="L250" s="4">
        <v>6.5</v>
      </c>
      <c r="M250" s="43"/>
      <c r="N250" s="472" t="s">
        <v>73</v>
      </c>
      <c r="O250" s="472"/>
      <c r="P250" s="472"/>
      <c r="Q250" s="107"/>
      <c r="R250" s="79" t="s">
        <v>133</v>
      </c>
      <c r="S250" s="398">
        <f>$P$11*0.0125</f>
        <v>1.25</v>
      </c>
      <c r="T250" s="395">
        <f>$P$11*0.0125</f>
        <v>1.25</v>
      </c>
      <c r="U250" s="36">
        <f>Adatbázis!E250*Q250</f>
        <v>0</v>
      </c>
      <c r="V250" s="28">
        <f>Adatbázis!F250*$Q250/$Q$361</f>
        <v>0</v>
      </c>
      <c r="W250" s="28">
        <f>Adatbázis!G250*$Q250/$Q$361</f>
        <v>0</v>
      </c>
      <c r="X250" s="28">
        <f>Adatbázis!H250*$Q250/$Q$361</f>
        <v>0</v>
      </c>
      <c r="Y250" s="28">
        <f>Adatbázis!I250*$Q250/$Q$361</f>
        <v>0</v>
      </c>
      <c r="Z250" s="28">
        <f>Adatbázis!J250*$Q250/$Q$361</f>
        <v>0</v>
      </c>
      <c r="AA250" s="28">
        <f>Adatbázis!K250*$Q250/$Q$361</f>
        <v>0</v>
      </c>
      <c r="AB250" s="28">
        <f>Adatbázis!L250*$Q250/$Q$361</f>
        <v>0</v>
      </c>
      <c r="AC250" s="41">
        <f>Adatbázis!C250*Q250</f>
        <v>0</v>
      </c>
      <c r="AD250" s="378">
        <f t="shared" si="21"/>
        <v>0</v>
      </c>
      <c r="AH250" s="34"/>
      <c r="AI250" s="35"/>
    </row>
    <row r="251" spans="1:36" ht="15.75" thickBot="1" x14ac:dyDescent="0.3">
      <c r="A251" s="602"/>
      <c r="B251" s="529"/>
      <c r="C251" s="266"/>
      <c r="D251" s="29" t="s">
        <v>14</v>
      </c>
      <c r="E251" s="51"/>
      <c r="F251" s="18"/>
      <c r="G251" s="18"/>
      <c r="H251" s="18"/>
      <c r="I251" s="18">
        <v>14.38</v>
      </c>
      <c r="J251" s="18">
        <v>1.667</v>
      </c>
      <c r="K251" s="18">
        <v>10.38</v>
      </c>
      <c r="L251" s="18">
        <v>1.4139999999999999</v>
      </c>
      <c r="M251" s="53"/>
      <c r="N251" s="489" t="s">
        <v>264</v>
      </c>
      <c r="O251" s="489"/>
      <c r="P251" s="489"/>
      <c r="Q251" s="107"/>
      <c r="R251" s="83" t="s">
        <v>133</v>
      </c>
      <c r="S251" s="376">
        <f>$P$11*0.03</f>
        <v>3</v>
      </c>
      <c r="T251" s="373">
        <f>$P$11*0.03</f>
        <v>3</v>
      </c>
      <c r="U251" s="38">
        <f>Adatbázis!E251*Q251</f>
        <v>0</v>
      </c>
      <c r="V251" s="67">
        <f>Adatbázis!F251*$Q251/$Q$361</f>
        <v>0</v>
      </c>
      <c r="W251" s="67">
        <f>Adatbázis!G251*$Q251/$Q$361</f>
        <v>0</v>
      </c>
      <c r="X251" s="67">
        <f>Adatbázis!H251*$Q251/$Q$361</f>
        <v>0</v>
      </c>
      <c r="Y251" s="67">
        <f>Adatbázis!I251*$Q251/$Q$361</f>
        <v>0</v>
      </c>
      <c r="Z251" s="67">
        <f>Adatbázis!J251*$Q251/$Q$361</f>
        <v>0</v>
      </c>
      <c r="AA251" s="67">
        <f>Adatbázis!K251*$Q251/$Q$361</f>
        <v>0</v>
      </c>
      <c r="AB251" s="67">
        <f>Adatbázis!L251*$Q251/$Q$361</f>
        <v>0</v>
      </c>
      <c r="AC251" s="68">
        <f>Adatbázis!C251*Q251</f>
        <v>0</v>
      </c>
      <c r="AD251" s="378">
        <f t="shared" si="21"/>
        <v>0</v>
      </c>
      <c r="AH251" s="34"/>
      <c r="AI251" s="35"/>
    </row>
    <row r="252" spans="1:36" ht="15" customHeight="1" x14ac:dyDescent="0.25">
      <c r="A252" s="602"/>
      <c r="B252" s="511" t="s">
        <v>141</v>
      </c>
      <c r="C252" s="87"/>
      <c r="D252" s="78" t="s">
        <v>14</v>
      </c>
      <c r="E252" s="106"/>
      <c r="F252" s="77"/>
      <c r="G252" s="77"/>
      <c r="H252" s="77"/>
      <c r="I252" s="77">
        <v>8</v>
      </c>
      <c r="J252" s="77">
        <v>10.5</v>
      </c>
      <c r="K252" s="77"/>
      <c r="L252" s="77">
        <v>6.5</v>
      </c>
      <c r="M252" s="144"/>
      <c r="N252" s="481" t="s">
        <v>143</v>
      </c>
      <c r="O252" s="481"/>
      <c r="P252" s="481"/>
      <c r="Q252" s="145"/>
      <c r="R252" s="120" t="s">
        <v>133</v>
      </c>
      <c r="S252" s="89">
        <f>$P$11*0.0125</f>
        <v>1.25</v>
      </c>
      <c r="T252" s="90">
        <f>$P$11*0.0125</f>
        <v>1.25</v>
      </c>
      <c r="U252" s="32">
        <f>Adatbázis!E252*Q252</f>
        <v>0</v>
      </c>
      <c r="V252" s="6">
        <f>Adatbázis!F252*$Q252/$Q$361</f>
        <v>0</v>
      </c>
      <c r="W252" s="6">
        <f>Adatbázis!G252*$Q252/$Q$361</f>
        <v>0</v>
      </c>
      <c r="X252" s="6">
        <f>Adatbázis!H252*$Q252/$Q$361</f>
        <v>0</v>
      </c>
      <c r="Y252" s="6">
        <f>Adatbázis!I252*$Q252/$Q$361</f>
        <v>0</v>
      </c>
      <c r="Z252" s="6">
        <f>Adatbázis!J252*$Q252/$Q$361</f>
        <v>0</v>
      </c>
      <c r="AA252" s="6">
        <f>Adatbázis!K252*$Q252/$Q$361</f>
        <v>0</v>
      </c>
      <c r="AB252" s="6">
        <f>Adatbázis!L252*$Q252/$Q$361</f>
        <v>0</v>
      </c>
      <c r="AC252" s="50">
        <f>Adatbázis!C252*Q252</f>
        <v>0</v>
      </c>
      <c r="AD252" s="378">
        <f t="shared" si="21"/>
        <v>0</v>
      </c>
      <c r="AF252" s="479" t="s">
        <v>140</v>
      </c>
      <c r="AG252" s="480"/>
      <c r="AH252" s="1"/>
      <c r="AI252" s="35"/>
    </row>
    <row r="253" spans="1:36" x14ac:dyDescent="0.25">
      <c r="A253" s="602"/>
      <c r="B253" s="511"/>
      <c r="C253" s="81"/>
      <c r="D253" s="27" t="s">
        <v>14</v>
      </c>
      <c r="E253" s="5"/>
      <c r="F253" s="4">
        <v>31</v>
      </c>
      <c r="G253" s="4">
        <v>1</v>
      </c>
      <c r="H253" s="4">
        <v>4.7</v>
      </c>
      <c r="I253" s="4">
        <v>11.5</v>
      </c>
      <c r="J253" s="4">
        <v>0.85</v>
      </c>
      <c r="K253" s="4">
        <v>2</v>
      </c>
      <c r="L253" s="4">
        <v>0.7</v>
      </c>
      <c r="M253" s="43"/>
      <c r="N253" s="472" t="s">
        <v>142</v>
      </c>
      <c r="O253" s="472"/>
      <c r="P253" s="472"/>
      <c r="Q253" s="145"/>
      <c r="R253" s="80" t="s">
        <v>133</v>
      </c>
      <c r="S253" s="123">
        <f>$P$11*0.3</f>
        <v>30</v>
      </c>
      <c r="T253" s="121">
        <f>$P$11*0.35</f>
        <v>35</v>
      </c>
      <c r="U253" s="36">
        <f>Adatbázis!E253*Q253</f>
        <v>0</v>
      </c>
      <c r="V253" s="28">
        <f>Adatbázis!F253*$Q253/$Q$361</f>
        <v>0</v>
      </c>
      <c r="W253" s="28">
        <f>Adatbázis!G253*$Q253/$Q$361</f>
        <v>0</v>
      </c>
      <c r="X253" s="28">
        <f>Adatbázis!H253*$Q253/$Q$361</f>
        <v>0</v>
      </c>
      <c r="Y253" s="28">
        <f>Adatbázis!I253*$Q253/$Q$361</f>
        <v>0</v>
      </c>
      <c r="Z253" s="28">
        <f>Adatbázis!J253*$Q253/$Q$361</f>
        <v>0</v>
      </c>
      <c r="AA253" s="28">
        <f>Adatbázis!K253*$Q253/$Q$361</f>
        <v>0</v>
      </c>
      <c r="AB253" s="28">
        <f>Adatbázis!L253*$Q253/$Q$361</f>
        <v>0</v>
      </c>
      <c r="AC253" s="41">
        <f>Adatbázis!C253*Q253</f>
        <v>0</v>
      </c>
      <c r="AD253" s="378">
        <f t="shared" si="21"/>
        <v>0</v>
      </c>
      <c r="AF253" s="479" t="s">
        <v>140</v>
      </c>
      <c r="AG253" s="480"/>
      <c r="AH253" s="1"/>
      <c r="AI253" s="35"/>
    </row>
    <row r="254" spans="1:36" x14ac:dyDescent="0.25">
      <c r="A254" s="602"/>
      <c r="B254" s="511"/>
      <c r="C254" s="81"/>
      <c r="D254" s="27" t="s">
        <v>14</v>
      </c>
      <c r="E254" s="5"/>
      <c r="F254" s="4"/>
      <c r="G254" s="4"/>
      <c r="H254" s="4"/>
      <c r="I254" s="4">
        <v>8</v>
      </c>
      <c r="J254" s="4">
        <v>11</v>
      </c>
      <c r="K254" s="4">
        <v>2</v>
      </c>
      <c r="L254" s="4">
        <v>10</v>
      </c>
      <c r="M254" s="43"/>
      <c r="N254" s="472" t="s">
        <v>144</v>
      </c>
      <c r="O254" s="472"/>
      <c r="P254" s="472"/>
      <c r="Q254" s="107"/>
      <c r="R254" s="80" t="s">
        <v>133</v>
      </c>
      <c r="S254" s="123">
        <f>$P$11*0.015</f>
        <v>1.5</v>
      </c>
      <c r="T254" s="121">
        <f>$P$11*0.015</f>
        <v>1.5</v>
      </c>
      <c r="U254" s="36">
        <f>Adatbázis!E254*Q254</f>
        <v>0</v>
      </c>
      <c r="V254" s="28">
        <f>Adatbázis!F254*$Q254/$Q$361</f>
        <v>0</v>
      </c>
      <c r="W254" s="28">
        <f>Adatbázis!G254*$Q254/$Q$361</f>
        <v>0</v>
      </c>
      <c r="X254" s="28">
        <f>Adatbázis!H254*$Q254/$Q$361</f>
        <v>0</v>
      </c>
      <c r="Y254" s="28">
        <f>Adatbázis!I254*$Q254/$Q$361</f>
        <v>0</v>
      </c>
      <c r="Z254" s="28">
        <f>Adatbázis!J254*$Q254/$Q$361</f>
        <v>0</v>
      </c>
      <c r="AA254" s="28">
        <f>Adatbázis!K254*$Q254/$Q$361</f>
        <v>0</v>
      </c>
      <c r="AB254" s="28">
        <f>Adatbázis!L254*$Q254/$Q$361</f>
        <v>0</v>
      </c>
      <c r="AC254" s="41">
        <f>Adatbázis!C254*Q254</f>
        <v>0</v>
      </c>
      <c r="AD254" s="378">
        <f t="shared" si="21"/>
        <v>0</v>
      </c>
      <c r="AF254" s="479" t="s">
        <v>140</v>
      </c>
      <c r="AG254" s="480"/>
      <c r="AH254" s="1"/>
      <c r="AI254" s="35"/>
    </row>
    <row r="255" spans="1:36" x14ac:dyDescent="0.25">
      <c r="A255" s="602"/>
      <c r="B255" s="511"/>
      <c r="C255" s="81"/>
      <c r="D255" s="27" t="s">
        <v>14</v>
      </c>
      <c r="E255" s="5"/>
      <c r="F255" s="4"/>
      <c r="G255" s="4"/>
      <c r="H255" s="4"/>
      <c r="I255" s="4">
        <v>8</v>
      </c>
      <c r="J255" s="4">
        <v>11</v>
      </c>
      <c r="K255" s="4">
        <v>2</v>
      </c>
      <c r="L255" s="4">
        <v>10</v>
      </c>
      <c r="M255" s="43"/>
      <c r="N255" s="472" t="s">
        <v>362</v>
      </c>
      <c r="O255" s="472"/>
      <c r="P255" s="472"/>
      <c r="Q255" s="107"/>
      <c r="R255" s="80" t="s">
        <v>133</v>
      </c>
      <c r="S255" s="123">
        <f>$P$11*0.015</f>
        <v>1.5</v>
      </c>
      <c r="T255" s="121">
        <f>$P$11*0.015</f>
        <v>1.5</v>
      </c>
      <c r="U255" s="36">
        <f>Adatbázis!E255*Q255</f>
        <v>0</v>
      </c>
      <c r="V255" s="28">
        <f>Adatbázis!F255*$Q255/$Q$361</f>
        <v>0</v>
      </c>
      <c r="W255" s="28">
        <f>Adatbázis!G255*$Q255/$Q$361</f>
        <v>0</v>
      </c>
      <c r="X255" s="28">
        <f>Adatbázis!H255*$Q255/$Q$361</f>
        <v>0</v>
      </c>
      <c r="Y255" s="28">
        <f>Adatbázis!I255*$Q255/$Q$361</f>
        <v>0</v>
      </c>
      <c r="Z255" s="28">
        <f>Adatbázis!J255*$Q255/$Q$361</f>
        <v>0</v>
      </c>
      <c r="AA255" s="28">
        <f>Adatbázis!K255*$Q255/$Q$361</f>
        <v>0</v>
      </c>
      <c r="AB255" s="28">
        <f>Adatbázis!L255*$Q255/$Q$361</f>
        <v>0</v>
      </c>
      <c r="AC255" s="41">
        <f>Adatbázis!C255*Q255</f>
        <v>0</v>
      </c>
      <c r="AD255" s="378">
        <f t="shared" si="21"/>
        <v>0</v>
      </c>
      <c r="AF255" s="479" t="s">
        <v>140</v>
      </c>
      <c r="AG255" s="480"/>
      <c r="AH255" s="1"/>
      <c r="AI255" s="35"/>
    </row>
    <row r="256" spans="1:36" x14ac:dyDescent="0.25">
      <c r="A256" s="602"/>
      <c r="B256" s="511"/>
      <c r="C256" s="81"/>
      <c r="D256" s="27" t="s">
        <v>14</v>
      </c>
      <c r="E256" s="5"/>
      <c r="F256" s="4"/>
      <c r="G256" s="4"/>
      <c r="H256" s="4"/>
      <c r="I256" s="4">
        <v>20</v>
      </c>
      <c r="J256" s="4">
        <v>5.5</v>
      </c>
      <c r="K256" s="4">
        <v>10</v>
      </c>
      <c r="L256" s="4">
        <v>7</v>
      </c>
      <c r="M256" s="43"/>
      <c r="N256" s="472" t="s">
        <v>145</v>
      </c>
      <c r="O256" s="472"/>
      <c r="P256" s="472"/>
      <c r="Q256" s="145"/>
      <c r="R256" s="80" t="s">
        <v>133</v>
      </c>
      <c r="S256" s="123">
        <f>$P$11*0.035</f>
        <v>3.5000000000000004</v>
      </c>
      <c r="T256" s="121">
        <f>$P$11*0.035</f>
        <v>3.5000000000000004</v>
      </c>
      <c r="U256" s="36">
        <f>Adatbázis!E256*Q256</f>
        <v>0</v>
      </c>
      <c r="V256" s="28">
        <f>Adatbázis!F256*$Q256/$Q$361</f>
        <v>0</v>
      </c>
      <c r="W256" s="28">
        <f>Adatbázis!G256*$Q256/$Q$361</f>
        <v>0</v>
      </c>
      <c r="X256" s="28">
        <f>Adatbázis!H256*$Q256/$Q$361</f>
        <v>0</v>
      </c>
      <c r="Y256" s="28">
        <f>Adatbázis!I256*$Q256/$Q$361</f>
        <v>0</v>
      </c>
      <c r="Z256" s="28">
        <f>Adatbázis!J256*$Q256/$Q$361</f>
        <v>0</v>
      </c>
      <c r="AA256" s="28">
        <f>Adatbázis!K256*$Q256/$Q$361</f>
        <v>0</v>
      </c>
      <c r="AB256" s="28">
        <f>Adatbázis!L256*$Q256/$Q$361</f>
        <v>0</v>
      </c>
      <c r="AC256" s="41">
        <f>Adatbázis!C256*Q256</f>
        <v>0</v>
      </c>
      <c r="AD256" s="378">
        <f t="shared" si="21"/>
        <v>0</v>
      </c>
      <c r="AF256" s="479" t="s">
        <v>140</v>
      </c>
      <c r="AG256" s="480"/>
      <c r="AH256" s="1"/>
      <c r="AI256" s="35"/>
    </row>
    <row r="257" spans="1:35" x14ac:dyDescent="0.25">
      <c r="A257" s="602"/>
      <c r="B257" s="511"/>
      <c r="C257" s="81"/>
      <c r="D257" s="27" t="s">
        <v>14</v>
      </c>
      <c r="E257" s="5"/>
      <c r="F257" s="4"/>
      <c r="G257" s="4"/>
      <c r="H257" s="4"/>
      <c r="I257" s="4">
        <v>11</v>
      </c>
      <c r="J257" s="4">
        <v>11.7</v>
      </c>
      <c r="K257" s="4"/>
      <c r="L257" s="4">
        <v>8</v>
      </c>
      <c r="M257" s="43"/>
      <c r="N257" s="472" t="s">
        <v>146</v>
      </c>
      <c r="O257" s="472"/>
      <c r="P257" s="472"/>
      <c r="Q257" s="145"/>
      <c r="R257" s="80" t="s">
        <v>133</v>
      </c>
      <c r="S257" s="123">
        <f>$P$11*0.015</f>
        <v>1.5</v>
      </c>
      <c r="T257" s="121">
        <f>$P$11*0.015</f>
        <v>1.5</v>
      </c>
      <c r="U257" s="36">
        <f>Adatbázis!E257*Q257</f>
        <v>0</v>
      </c>
      <c r="V257" s="28">
        <f>Adatbázis!F257*$Q257/$Q$361</f>
        <v>0</v>
      </c>
      <c r="W257" s="28">
        <f>Adatbázis!G257*$Q257/$Q$361</f>
        <v>0</v>
      </c>
      <c r="X257" s="28">
        <f>Adatbázis!H257*$Q257/$Q$361</f>
        <v>0</v>
      </c>
      <c r="Y257" s="28">
        <f>Adatbázis!I257*$Q257/$Q$361</f>
        <v>0</v>
      </c>
      <c r="Z257" s="28">
        <f>Adatbázis!J257*$Q257/$Q$361</f>
        <v>0</v>
      </c>
      <c r="AA257" s="28">
        <f>Adatbázis!K257*$Q257/$Q$361</f>
        <v>0</v>
      </c>
      <c r="AB257" s="28">
        <f>Adatbázis!L257*$Q257/$Q$361</f>
        <v>0</v>
      </c>
      <c r="AC257" s="41">
        <f>Adatbázis!C257*Q257</f>
        <v>0</v>
      </c>
      <c r="AD257" s="378">
        <f t="shared" si="21"/>
        <v>0</v>
      </c>
      <c r="AF257" s="479" t="s">
        <v>140</v>
      </c>
      <c r="AG257" s="480"/>
      <c r="AH257" s="1"/>
      <c r="AI257" s="35"/>
    </row>
    <row r="258" spans="1:35" x14ac:dyDescent="0.25">
      <c r="A258" s="602"/>
      <c r="B258" s="511"/>
      <c r="C258" s="81"/>
      <c r="D258" s="27" t="s">
        <v>14</v>
      </c>
      <c r="E258" s="5"/>
      <c r="F258" s="4"/>
      <c r="G258" s="4"/>
      <c r="H258" s="4"/>
      <c r="I258" s="4">
        <v>23</v>
      </c>
      <c r="J258" s="4">
        <v>5.5</v>
      </c>
      <c r="K258" s="4">
        <v>5</v>
      </c>
      <c r="L258" s="4">
        <v>7.5</v>
      </c>
      <c r="M258" s="43"/>
      <c r="N258" s="472" t="s">
        <v>147</v>
      </c>
      <c r="O258" s="472"/>
      <c r="P258" s="472"/>
      <c r="Q258" s="107"/>
      <c r="R258" s="80" t="s">
        <v>133</v>
      </c>
      <c r="S258" s="123">
        <f>$P$11*0.03</f>
        <v>3</v>
      </c>
      <c r="T258" s="121">
        <f>$P$11*0.03</f>
        <v>3</v>
      </c>
      <c r="U258" s="36">
        <f>Adatbázis!E258*Q258</f>
        <v>0</v>
      </c>
      <c r="V258" s="28">
        <f>Adatbázis!F258*$Q258/$Q$361</f>
        <v>0</v>
      </c>
      <c r="W258" s="28">
        <f>Adatbázis!G258*$Q258/$Q$361</f>
        <v>0</v>
      </c>
      <c r="X258" s="28">
        <f>Adatbázis!H258*$Q258/$Q$361</f>
        <v>0</v>
      </c>
      <c r="Y258" s="28">
        <f>Adatbázis!I258*$Q258/$Q$361</f>
        <v>0</v>
      </c>
      <c r="Z258" s="28">
        <f>Adatbázis!J258*$Q258/$Q$361</f>
        <v>0</v>
      </c>
      <c r="AA258" s="28">
        <f>Adatbázis!K258*$Q258/$Q$361</f>
        <v>0</v>
      </c>
      <c r="AB258" s="28">
        <f>Adatbázis!L258*$Q258/$Q$361</f>
        <v>0</v>
      </c>
      <c r="AC258" s="41">
        <f>Adatbázis!C258*Q258</f>
        <v>0</v>
      </c>
      <c r="AD258" s="378">
        <f t="shared" si="21"/>
        <v>0</v>
      </c>
      <c r="AF258" s="479" t="s">
        <v>140</v>
      </c>
      <c r="AG258" s="480"/>
      <c r="AH258" s="1"/>
      <c r="AI258" s="35"/>
    </row>
    <row r="259" spans="1:35" x14ac:dyDescent="0.25">
      <c r="A259" s="602"/>
      <c r="B259" s="511"/>
      <c r="C259" s="81"/>
      <c r="D259" s="27" t="s">
        <v>14</v>
      </c>
      <c r="E259" s="43"/>
      <c r="F259" s="17">
        <v>41</v>
      </c>
      <c r="G259" s="17">
        <v>1.8</v>
      </c>
      <c r="H259" s="17">
        <v>5.5</v>
      </c>
      <c r="I259" s="17">
        <v>2.8</v>
      </c>
      <c r="J259" s="17">
        <v>1.3</v>
      </c>
      <c r="K259" s="17">
        <v>2.9</v>
      </c>
      <c r="L259" s="17">
        <v>1.1000000000000001</v>
      </c>
      <c r="M259" s="43"/>
      <c r="N259" s="472" t="s">
        <v>426</v>
      </c>
      <c r="O259" s="472"/>
      <c r="P259" s="472"/>
      <c r="Q259" s="107"/>
      <c r="R259" s="80" t="s">
        <v>133</v>
      </c>
      <c r="S259" s="123">
        <f>$P$11*0.25</f>
        <v>25</v>
      </c>
      <c r="T259" s="121">
        <f>$P$11*0.37</f>
        <v>37</v>
      </c>
      <c r="U259" s="36">
        <f>Adatbázis!E259*Q259</f>
        <v>0</v>
      </c>
      <c r="V259" s="28">
        <f>Adatbázis!F259*$Q259/$Q$361</f>
        <v>0</v>
      </c>
      <c r="W259" s="28">
        <f>Adatbázis!G259*$Q259/$Q$361</f>
        <v>0</v>
      </c>
      <c r="X259" s="28">
        <f>Adatbázis!H259*$Q259/$Q$361</f>
        <v>0</v>
      </c>
      <c r="Y259" s="28">
        <f>Adatbázis!I259*$Q259/$Q$361</f>
        <v>0</v>
      </c>
      <c r="Z259" s="28">
        <f>Adatbázis!J259*$Q259/$Q$361</f>
        <v>0</v>
      </c>
      <c r="AA259" s="28">
        <f>Adatbázis!K259*$Q259/$Q$361</f>
        <v>0</v>
      </c>
      <c r="AB259" s="28">
        <f>Adatbázis!L259*$Q259/$Q$361</f>
        <v>0</v>
      </c>
      <c r="AC259" s="41">
        <f>Adatbázis!C259*Q259</f>
        <v>0</v>
      </c>
      <c r="AD259" s="378">
        <f t="shared" si="21"/>
        <v>0</v>
      </c>
      <c r="AF259" s="479" t="s">
        <v>140</v>
      </c>
      <c r="AG259" s="480"/>
      <c r="AH259" s="1"/>
      <c r="AI259" s="35"/>
    </row>
    <row r="260" spans="1:35" ht="15.75" thickBot="1" x14ac:dyDescent="0.3">
      <c r="A260" s="602"/>
      <c r="B260" s="511"/>
      <c r="C260" s="94"/>
      <c r="D260" s="95" t="s">
        <v>14</v>
      </c>
      <c r="E260" s="118"/>
      <c r="F260" s="119">
        <v>41</v>
      </c>
      <c r="G260" s="119">
        <v>1</v>
      </c>
      <c r="H260" s="119">
        <v>6.3</v>
      </c>
      <c r="I260" s="119">
        <v>2.8</v>
      </c>
      <c r="J260" s="119">
        <v>1.3</v>
      </c>
      <c r="K260" s="119">
        <v>3</v>
      </c>
      <c r="L260" s="119">
        <v>1.1000000000000001</v>
      </c>
      <c r="M260" s="118"/>
      <c r="N260" s="476" t="s">
        <v>425</v>
      </c>
      <c r="O260" s="476"/>
      <c r="P260" s="476"/>
      <c r="Q260" s="145"/>
      <c r="R260" s="151" t="s">
        <v>133</v>
      </c>
      <c r="S260" s="433">
        <f>$P$11*0.23</f>
        <v>23</v>
      </c>
      <c r="T260" s="430">
        <f>$P$11*0.35</f>
        <v>35</v>
      </c>
      <c r="U260" s="22">
        <f>Adatbázis!E260*Q260</f>
        <v>0</v>
      </c>
      <c r="V260" s="48">
        <f>Adatbázis!F260*$Q260/$Q$361</f>
        <v>0</v>
      </c>
      <c r="W260" s="48">
        <f>Adatbázis!G260*$Q260/$Q$361</f>
        <v>0</v>
      </c>
      <c r="X260" s="48">
        <f>Adatbázis!H260*$Q260/$Q$361</f>
        <v>0</v>
      </c>
      <c r="Y260" s="48">
        <f>Adatbázis!I260*$Q260/$Q$361</f>
        <v>0</v>
      </c>
      <c r="Z260" s="48">
        <f>Adatbázis!J260*$Q260/$Q$361</f>
        <v>0</v>
      </c>
      <c r="AA260" s="48">
        <f>Adatbázis!K260*$Q260/$Q$361</f>
        <v>0</v>
      </c>
      <c r="AB260" s="48">
        <f>Adatbázis!L260*$Q260/$Q$361</f>
        <v>0</v>
      </c>
      <c r="AC260" s="49">
        <f>Adatbázis!C260*Q260</f>
        <v>0</v>
      </c>
      <c r="AD260" s="378">
        <f t="shared" si="21"/>
        <v>0</v>
      </c>
      <c r="AF260" s="479" t="s">
        <v>140</v>
      </c>
      <c r="AG260" s="480"/>
      <c r="AH260" s="1"/>
      <c r="AI260" s="35"/>
    </row>
    <row r="261" spans="1:35" x14ac:dyDescent="0.25">
      <c r="A261" s="602"/>
      <c r="B261" s="654" t="s">
        <v>106</v>
      </c>
      <c r="C261" s="440"/>
      <c r="D261" s="25" t="s">
        <v>14</v>
      </c>
      <c r="E261" s="92">
        <v>3.16</v>
      </c>
      <c r="F261" s="19">
        <v>16.088999999999999</v>
      </c>
      <c r="G261" s="19"/>
      <c r="H261" s="19"/>
      <c r="I261" s="19">
        <v>16.126000000000001</v>
      </c>
      <c r="J261" s="19">
        <v>4.5410000000000004</v>
      </c>
      <c r="K261" s="19">
        <v>7.0209999999999999</v>
      </c>
      <c r="L261" s="19">
        <v>6.6040000000000001</v>
      </c>
      <c r="M261" s="42"/>
      <c r="N261" s="477" t="s">
        <v>451</v>
      </c>
      <c r="O261" s="477"/>
      <c r="P261" s="477"/>
      <c r="Q261" s="145"/>
      <c r="R261" s="66" t="s">
        <v>133</v>
      </c>
      <c r="S261" s="431">
        <f t="shared" ref="S261:T265" si="25">$P$11*0.03</f>
        <v>3</v>
      </c>
      <c r="T261" s="428">
        <f t="shared" si="25"/>
        <v>3</v>
      </c>
      <c r="U261" s="37">
        <f>Adatbázis!E261*Q261</f>
        <v>0</v>
      </c>
      <c r="V261" s="26">
        <f>Adatbázis!F261*$Q261/$Q$361</f>
        <v>0</v>
      </c>
      <c r="W261" s="26">
        <f>Adatbázis!G261*$Q261/$Q$361</f>
        <v>0</v>
      </c>
      <c r="X261" s="26">
        <f>Adatbázis!H261*$Q261/$Q$361</f>
        <v>0</v>
      </c>
      <c r="Y261" s="26">
        <f>Adatbázis!I261*$Q261/$Q$361</f>
        <v>0</v>
      </c>
      <c r="Z261" s="26">
        <f>Adatbázis!J261*$Q261/$Q$361</f>
        <v>0</v>
      </c>
      <c r="AA261" s="26">
        <f>Adatbázis!K261*$Q261/$Q$361</f>
        <v>0</v>
      </c>
      <c r="AB261" s="26">
        <f>Adatbázis!L261*$Q261/$Q$361</f>
        <v>0</v>
      </c>
      <c r="AC261" s="40">
        <f>Adatbázis!C261*Q261</f>
        <v>0</v>
      </c>
      <c r="AD261" s="378">
        <f t="shared" si="21"/>
        <v>0</v>
      </c>
      <c r="AH261" s="34"/>
      <c r="AI261" s="35"/>
    </row>
    <row r="262" spans="1:35" x14ac:dyDescent="0.25">
      <c r="A262" s="602"/>
      <c r="B262" s="655"/>
      <c r="C262" s="401"/>
      <c r="D262" s="27" t="s">
        <v>14</v>
      </c>
      <c r="E262" s="5">
        <v>3.16</v>
      </c>
      <c r="F262" s="4">
        <v>19.088999999999999</v>
      </c>
      <c r="G262" s="4"/>
      <c r="H262" s="4"/>
      <c r="I262" s="4">
        <v>16.501000000000001</v>
      </c>
      <c r="J262" s="4">
        <v>4.5410000000000004</v>
      </c>
      <c r="K262" s="4">
        <v>7.0209999999999999</v>
      </c>
      <c r="L262" s="4">
        <v>6.6040000000000001</v>
      </c>
      <c r="M262" s="43"/>
      <c r="N262" s="472" t="s">
        <v>452</v>
      </c>
      <c r="O262" s="472"/>
      <c r="P262" s="472"/>
      <c r="Q262" s="107"/>
      <c r="R262" s="79" t="s">
        <v>133</v>
      </c>
      <c r="S262" s="432">
        <f t="shared" si="25"/>
        <v>3</v>
      </c>
      <c r="T262" s="429">
        <f t="shared" si="25"/>
        <v>3</v>
      </c>
      <c r="U262" s="36">
        <f>Adatbázis!E262*Q262</f>
        <v>0</v>
      </c>
      <c r="V262" s="28">
        <f>Adatbázis!F262*$Q262/$Q$361</f>
        <v>0</v>
      </c>
      <c r="W262" s="28">
        <f>Adatbázis!G262*$Q262/$Q$361</f>
        <v>0</v>
      </c>
      <c r="X262" s="28">
        <f>Adatbázis!H262*$Q262/$Q$361</f>
        <v>0</v>
      </c>
      <c r="Y262" s="28">
        <f>Adatbázis!I262*$Q262/$Q$361</f>
        <v>0</v>
      </c>
      <c r="Z262" s="28">
        <f>Adatbázis!J262*$Q262/$Q$361</f>
        <v>0</v>
      </c>
      <c r="AA262" s="28">
        <f>Adatbázis!K262*$Q262/$Q$361</f>
        <v>0</v>
      </c>
      <c r="AB262" s="28">
        <f>Adatbázis!L262*$Q262/$Q$361</f>
        <v>0</v>
      </c>
      <c r="AC262" s="41">
        <f>Adatbázis!C262*Q262</f>
        <v>0</v>
      </c>
      <c r="AD262" s="378">
        <f t="shared" ref="AD262" si="26">IF(AND(Q262&gt;=S262,Q262&lt;=T262),1,0)</f>
        <v>0</v>
      </c>
      <c r="AH262" s="34"/>
      <c r="AI262" s="35"/>
    </row>
    <row r="263" spans="1:35" x14ac:dyDescent="0.25">
      <c r="A263" s="602"/>
      <c r="B263" s="655"/>
      <c r="C263" s="401"/>
      <c r="D263" s="27" t="s">
        <v>14</v>
      </c>
      <c r="E263" s="5">
        <v>2.9</v>
      </c>
      <c r="F263" s="4">
        <v>14.307</v>
      </c>
      <c r="G263" s="4"/>
      <c r="H263" s="4"/>
      <c r="I263" s="4">
        <v>18.456</v>
      </c>
      <c r="J263" s="4">
        <v>3.0289999999999999</v>
      </c>
      <c r="K263" s="4">
        <v>6.5060000000000002</v>
      </c>
      <c r="L263" s="4">
        <v>6.6040000000000001</v>
      </c>
      <c r="M263" s="43"/>
      <c r="N263" s="472" t="s">
        <v>453</v>
      </c>
      <c r="O263" s="472"/>
      <c r="P263" s="472"/>
      <c r="Q263" s="107"/>
      <c r="R263" s="79" t="s">
        <v>133</v>
      </c>
      <c r="S263" s="432">
        <f t="shared" si="25"/>
        <v>3</v>
      </c>
      <c r="T263" s="429">
        <f t="shared" si="25"/>
        <v>3</v>
      </c>
      <c r="U263" s="36">
        <f>Adatbázis!E263*Q263</f>
        <v>0</v>
      </c>
      <c r="V263" s="28">
        <f>Adatbázis!F263*$Q263/$Q$361</f>
        <v>0</v>
      </c>
      <c r="W263" s="28">
        <f>Adatbázis!G263*$Q263/$Q$361</f>
        <v>0</v>
      </c>
      <c r="X263" s="28">
        <f>Adatbázis!H263*$Q263/$Q$361</f>
        <v>0</v>
      </c>
      <c r="Y263" s="28">
        <f>Adatbázis!I263*$Q263/$Q$361</f>
        <v>0</v>
      </c>
      <c r="Z263" s="28">
        <f>Adatbázis!J263*$Q263/$Q$361</f>
        <v>0</v>
      </c>
      <c r="AA263" s="28">
        <f>Adatbázis!K263*$Q263/$Q$361</f>
        <v>0</v>
      </c>
      <c r="AB263" s="28">
        <f>Adatbázis!L263*$Q263/$Q$361</f>
        <v>0</v>
      </c>
      <c r="AC263" s="41">
        <f>Adatbázis!C263*Q263</f>
        <v>0</v>
      </c>
      <c r="AD263" s="378">
        <f t="shared" si="21"/>
        <v>0</v>
      </c>
      <c r="AH263" s="34"/>
      <c r="AI263" s="35"/>
    </row>
    <row r="264" spans="1:35" x14ac:dyDescent="0.25">
      <c r="A264" s="602"/>
      <c r="B264" s="655"/>
      <c r="C264" s="401"/>
      <c r="D264" s="27" t="s">
        <v>14</v>
      </c>
      <c r="E264" s="5">
        <v>2.9</v>
      </c>
      <c r="F264" s="4">
        <v>14.307</v>
      </c>
      <c r="G264" s="4"/>
      <c r="H264" s="4"/>
      <c r="I264" s="4">
        <v>18.831</v>
      </c>
      <c r="J264" s="4">
        <v>3.0289999999999999</v>
      </c>
      <c r="K264" s="4">
        <v>6.5060000000000002</v>
      </c>
      <c r="L264" s="4">
        <v>6.6040000000000001</v>
      </c>
      <c r="M264" s="43"/>
      <c r="N264" s="472" t="s">
        <v>454</v>
      </c>
      <c r="O264" s="472"/>
      <c r="P264" s="472"/>
      <c r="Q264" s="145"/>
      <c r="R264" s="79" t="s">
        <v>133</v>
      </c>
      <c r="S264" s="432">
        <f t="shared" si="25"/>
        <v>3</v>
      </c>
      <c r="T264" s="429">
        <f t="shared" si="25"/>
        <v>3</v>
      </c>
      <c r="U264" s="36">
        <f>Adatbázis!E264*Q264</f>
        <v>0</v>
      </c>
      <c r="V264" s="28">
        <f>Adatbázis!F264*$Q264/$Q$361</f>
        <v>0</v>
      </c>
      <c r="W264" s="28">
        <f>Adatbázis!G264*$Q264/$Q$361</f>
        <v>0</v>
      </c>
      <c r="X264" s="28">
        <f>Adatbázis!H264*$Q264/$Q$361</f>
        <v>0</v>
      </c>
      <c r="Y264" s="28">
        <f>Adatbázis!I264*$Q264/$Q$361</f>
        <v>0</v>
      </c>
      <c r="Z264" s="28">
        <f>Adatbázis!J264*$Q264/$Q$361</f>
        <v>0</v>
      </c>
      <c r="AA264" s="28">
        <f>Adatbázis!K264*$Q264/$Q$361</f>
        <v>0</v>
      </c>
      <c r="AB264" s="28">
        <f>Adatbázis!L264*$Q264/$Q$361</f>
        <v>0</v>
      </c>
      <c r="AC264" s="41">
        <f>Adatbázis!C264*Q264</f>
        <v>0</v>
      </c>
      <c r="AD264" s="378">
        <f t="shared" ref="AD264" si="27">IF(AND(Q264&gt;=S264,Q264&lt;=T264),1,0)</f>
        <v>0</v>
      </c>
      <c r="AH264" s="34"/>
      <c r="AI264" s="35"/>
    </row>
    <row r="265" spans="1:35" x14ac:dyDescent="0.25">
      <c r="A265" s="602"/>
      <c r="B265" s="655"/>
      <c r="C265" s="401"/>
      <c r="D265" s="27" t="s">
        <v>14</v>
      </c>
      <c r="E265" s="5">
        <v>2.38</v>
      </c>
      <c r="F265" s="4">
        <v>11.340999999999999</v>
      </c>
      <c r="G265" s="4"/>
      <c r="H265" s="4"/>
      <c r="I265" s="4">
        <v>18.138000000000002</v>
      </c>
      <c r="J265" s="4">
        <v>1.476</v>
      </c>
      <c r="K265" s="4">
        <v>5.0709999999999997</v>
      </c>
      <c r="L265" s="4">
        <v>5.94</v>
      </c>
      <c r="M265" s="43"/>
      <c r="N265" s="472" t="s">
        <v>455</v>
      </c>
      <c r="O265" s="472"/>
      <c r="P265" s="472"/>
      <c r="Q265" s="145"/>
      <c r="R265" s="79" t="s">
        <v>133</v>
      </c>
      <c r="S265" s="432">
        <f t="shared" si="25"/>
        <v>3</v>
      </c>
      <c r="T265" s="429">
        <f t="shared" si="25"/>
        <v>3</v>
      </c>
      <c r="U265" s="36">
        <f>Adatbázis!E265*Q265</f>
        <v>0</v>
      </c>
      <c r="V265" s="28">
        <f>Adatbázis!F265*$Q265/$Q$361</f>
        <v>0</v>
      </c>
      <c r="W265" s="28">
        <f>Adatbázis!G265*$Q265/$Q$361</f>
        <v>0</v>
      </c>
      <c r="X265" s="28">
        <f>Adatbázis!H265*$Q265/$Q$361</f>
        <v>0</v>
      </c>
      <c r="Y265" s="28">
        <f>Adatbázis!I265*$Q265/$Q$361</f>
        <v>0</v>
      </c>
      <c r="Z265" s="28">
        <f>Adatbázis!J265*$Q265/$Q$361</f>
        <v>0</v>
      </c>
      <c r="AA265" s="28">
        <f>Adatbázis!K265*$Q265/$Q$361</f>
        <v>0</v>
      </c>
      <c r="AB265" s="28">
        <f>Adatbázis!L265*$Q265/$Q$361</f>
        <v>0</v>
      </c>
      <c r="AC265" s="41">
        <f>Adatbázis!C265*Q265</f>
        <v>0</v>
      </c>
      <c r="AD265" s="378">
        <f t="shared" si="21"/>
        <v>0</v>
      </c>
      <c r="AH265" s="34"/>
      <c r="AI265" s="35"/>
    </row>
    <row r="266" spans="1:35" x14ac:dyDescent="0.25">
      <c r="A266" s="602"/>
      <c r="B266" s="655"/>
      <c r="C266" s="401"/>
      <c r="D266" s="27" t="s">
        <v>14</v>
      </c>
      <c r="E266" s="5">
        <v>8.7100000000000009</v>
      </c>
      <c r="F266" s="4">
        <v>36.4</v>
      </c>
      <c r="G266" s="4">
        <v>4.2</v>
      </c>
      <c r="H266" s="4">
        <v>10.5</v>
      </c>
      <c r="I266" s="4">
        <v>2.73</v>
      </c>
      <c r="J266" s="4">
        <v>1.54</v>
      </c>
      <c r="K266" s="4">
        <v>1.5</v>
      </c>
      <c r="L266" s="4">
        <v>0.9</v>
      </c>
      <c r="M266" s="43"/>
      <c r="N266" s="472" t="s">
        <v>191</v>
      </c>
      <c r="O266" s="472"/>
      <c r="P266" s="472"/>
      <c r="Q266" s="107"/>
      <c r="R266" s="79" t="s">
        <v>133</v>
      </c>
      <c r="S266" s="432">
        <f>$P$11*0.3</f>
        <v>30</v>
      </c>
      <c r="T266" s="429">
        <f>$P$11*0.3</f>
        <v>30</v>
      </c>
      <c r="U266" s="36">
        <f>Adatbázis!E266*Q266</f>
        <v>0</v>
      </c>
      <c r="V266" s="28">
        <f>Adatbázis!F266*$Q266/$Q$361</f>
        <v>0</v>
      </c>
      <c r="W266" s="28">
        <f>Adatbázis!G266*$Q266/$Q$361</f>
        <v>0</v>
      </c>
      <c r="X266" s="28">
        <f>Adatbázis!H266*$Q266/$Q$361</f>
        <v>0</v>
      </c>
      <c r="Y266" s="28">
        <f>Adatbázis!I266*$Q266/$Q$361</f>
        <v>0</v>
      </c>
      <c r="Z266" s="28">
        <f>Adatbázis!J266*$Q266/$Q$361</f>
        <v>0</v>
      </c>
      <c r="AA266" s="28">
        <f>Adatbázis!K266*$Q266/$Q$361</f>
        <v>0</v>
      </c>
      <c r="AB266" s="28">
        <f>Adatbázis!L266*$Q266/$Q$361</f>
        <v>0</v>
      </c>
      <c r="AC266" s="41">
        <f>Adatbázis!C266*Q266</f>
        <v>0</v>
      </c>
      <c r="AD266" s="378">
        <f t="shared" si="21"/>
        <v>0</v>
      </c>
      <c r="AH266" s="34"/>
      <c r="AI266" s="35"/>
    </row>
    <row r="267" spans="1:35" x14ac:dyDescent="0.25">
      <c r="A267" s="602"/>
      <c r="B267" s="655"/>
      <c r="C267" s="401"/>
      <c r="D267" s="27" t="s">
        <v>14</v>
      </c>
      <c r="E267" s="5"/>
      <c r="F267" s="4"/>
      <c r="G267" s="4"/>
      <c r="H267" s="4"/>
      <c r="I267" s="4">
        <v>19.559999999999999</v>
      </c>
      <c r="J267" s="4">
        <v>2.44</v>
      </c>
      <c r="K267" s="4">
        <v>3.55</v>
      </c>
      <c r="L267" s="4">
        <v>4.07</v>
      </c>
      <c r="M267" s="43"/>
      <c r="N267" s="472" t="s">
        <v>380</v>
      </c>
      <c r="O267" s="472"/>
      <c r="P267" s="472"/>
      <c r="Q267" s="107"/>
      <c r="R267" s="79" t="s">
        <v>133</v>
      </c>
      <c r="S267" s="432">
        <f>$P$11*0.025</f>
        <v>2.5</v>
      </c>
      <c r="T267" s="429">
        <f>$P$11*0.025</f>
        <v>2.5</v>
      </c>
      <c r="U267" s="36">
        <f>Adatbázis!E267*Q267</f>
        <v>0</v>
      </c>
      <c r="V267" s="28">
        <f>Adatbázis!F267*$Q267/$Q$361</f>
        <v>0</v>
      </c>
      <c r="W267" s="28">
        <f>Adatbázis!G267*$Q267/$Q$361</f>
        <v>0</v>
      </c>
      <c r="X267" s="28">
        <f>Adatbázis!H267*$Q267/$Q$361</f>
        <v>0</v>
      </c>
      <c r="Y267" s="28">
        <f>Adatbázis!I267*$Q267/$Q$361</f>
        <v>0</v>
      </c>
      <c r="Z267" s="28">
        <f>Adatbázis!J267*$Q267/$Q$361</f>
        <v>0</v>
      </c>
      <c r="AA267" s="28">
        <f>Adatbázis!K267*$Q267/$Q$361</f>
        <v>0</v>
      </c>
      <c r="AB267" s="28">
        <f>Adatbázis!L267*$Q267/$Q$361</f>
        <v>0</v>
      </c>
      <c r="AC267" s="41">
        <f>Adatbázis!C267*Q267</f>
        <v>0</v>
      </c>
      <c r="AD267" s="378">
        <f t="shared" si="21"/>
        <v>0</v>
      </c>
      <c r="AH267" s="34"/>
      <c r="AI267" s="35"/>
    </row>
    <row r="268" spans="1:35" ht="15.75" thickBot="1" x14ac:dyDescent="0.3">
      <c r="A268" s="602"/>
      <c r="B268" s="656"/>
      <c r="C268" s="441"/>
      <c r="D268" s="29" t="s">
        <v>14</v>
      </c>
      <c r="E268" s="51"/>
      <c r="F268" s="18"/>
      <c r="G268" s="18"/>
      <c r="H268" s="18"/>
      <c r="I268" s="18">
        <v>19.559999999999999</v>
      </c>
      <c r="J268" s="18">
        <v>2.4300000000000002</v>
      </c>
      <c r="K268" s="18">
        <v>2.1</v>
      </c>
      <c r="L268" s="18">
        <v>4.0999999999999996</v>
      </c>
      <c r="M268" s="53"/>
      <c r="N268" s="489" t="s">
        <v>381</v>
      </c>
      <c r="O268" s="489"/>
      <c r="P268" s="489"/>
      <c r="Q268" s="145"/>
      <c r="R268" s="83" t="s">
        <v>133</v>
      </c>
      <c r="S268" s="376">
        <f>$P$11*0.025</f>
        <v>2.5</v>
      </c>
      <c r="T268" s="373">
        <f>$P$11*0.025</f>
        <v>2.5</v>
      </c>
      <c r="U268" s="38">
        <f>Adatbázis!E268*Q268</f>
        <v>0</v>
      </c>
      <c r="V268" s="67">
        <f>Adatbázis!F268*$Q268/$Q$361</f>
        <v>0</v>
      </c>
      <c r="W268" s="67">
        <f>Adatbázis!G268*$Q268/$Q$361</f>
        <v>0</v>
      </c>
      <c r="X268" s="67">
        <f>Adatbázis!H268*$Q268/$Q$361</f>
        <v>0</v>
      </c>
      <c r="Y268" s="67">
        <f>Adatbázis!I268*$Q268/$Q$361</f>
        <v>0</v>
      </c>
      <c r="Z268" s="67">
        <f>Adatbázis!J268*$Q268/$Q$361</f>
        <v>0</v>
      </c>
      <c r="AA268" s="67">
        <f>Adatbázis!K268*$Q268/$Q$361</f>
        <v>0</v>
      </c>
      <c r="AB268" s="67">
        <f>Adatbázis!L268*$Q268/$Q$361</f>
        <v>0</v>
      </c>
      <c r="AC268" s="68">
        <f>Adatbázis!C268*Q268</f>
        <v>0</v>
      </c>
      <c r="AD268" s="378">
        <f t="shared" si="21"/>
        <v>0</v>
      </c>
      <c r="AH268" s="34"/>
      <c r="AI268" s="35"/>
    </row>
    <row r="269" spans="1:35" x14ac:dyDescent="0.25">
      <c r="A269" s="602"/>
      <c r="B269" s="598" t="s">
        <v>224</v>
      </c>
      <c r="C269" s="436"/>
      <c r="D269" s="165" t="s">
        <v>14</v>
      </c>
      <c r="E269" s="437"/>
      <c r="F269" s="438">
        <v>3.4350000000000001</v>
      </c>
      <c r="G269" s="438"/>
      <c r="H269" s="438"/>
      <c r="I269" s="438">
        <v>18.8</v>
      </c>
      <c r="J269" s="438">
        <v>9.1219999999999999</v>
      </c>
      <c r="K269" s="438">
        <v>0.78</v>
      </c>
      <c r="L269" s="438">
        <v>4.2569999999999997</v>
      </c>
      <c r="M269" s="144"/>
      <c r="N269" s="590" t="s">
        <v>225</v>
      </c>
      <c r="O269" s="590"/>
      <c r="P269" s="590"/>
      <c r="Q269" s="145"/>
      <c r="R269" s="439" t="s">
        <v>133</v>
      </c>
      <c r="S269" s="217">
        <f>$P$11*0.03</f>
        <v>3</v>
      </c>
      <c r="T269" s="218">
        <f>$P$11*0.03</f>
        <v>3</v>
      </c>
      <c r="U269" s="216">
        <f>Adatbázis!E269*Q269</f>
        <v>0</v>
      </c>
      <c r="V269" s="219">
        <f>Adatbázis!F269*$Q269/$Q$361</f>
        <v>0</v>
      </c>
      <c r="W269" s="219">
        <f>Adatbázis!G269*$Q269/$Q$361</f>
        <v>0</v>
      </c>
      <c r="X269" s="219">
        <f>Adatbázis!H269*$Q269/$Q$361</f>
        <v>0</v>
      </c>
      <c r="Y269" s="219">
        <f>Adatbázis!I269*$Q269/$Q$361</f>
        <v>0</v>
      </c>
      <c r="Z269" s="219">
        <f>Adatbázis!J269*$Q269/$Q$361</f>
        <v>0</v>
      </c>
      <c r="AA269" s="219">
        <f>Adatbázis!K269*$Q269/$Q$361</f>
        <v>0</v>
      </c>
      <c r="AB269" s="219">
        <f>Adatbázis!L269*$Q269/$Q$361</f>
        <v>0</v>
      </c>
      <c r="AC269" s="220">
        <f>Adatbázis!C269*Q269</f>
        <v>0</v>
      </c>
      <c r="AD269" s="378">
        <f t="shared" si="21"/>
        <v>0</v>
      </c>
      <c r="AH269" s="34"/>
      <c r="AI269" s="35"/>
    </row>
    <row r="270" spans="1:35" x14ac:dyDescent="0.25">
      <c r="A270" s="602"/>
      <c r="B270" s="598"/>
      <c r="C270" s="94"/>
      <c r="D270" s="95" t="s">
        <v>14</v>
      </c>
      <c r="E270" s="44">
        <v>6.1849999999999996</v>
      </c>
      <c r="F270" s="21">
        <v>30.404</v>
      </c>
      <c r="G270" s="21">
        <v>1.04</v>
      </c>
      <c r="H270" s="21">
        <v>2.2949999999999999</v>
      </c>
      <c r="I270" s="21">
        <v>12.73</v>
      </c>
      <c r="J270" s="21">
        <v>1.3109999999999999</v>
      </c>
      <c r="K270" s="21">
        <v>2.4670000000000001</v>
      </c>
      <c r="L270" s="21">
        <v>0.84399999999999997</v>
      </c>
      <c r="M270" s="43"/>
      <c r="N270" s="472" t="s">
        <v>226</v>
      </c>
      <c r="O270" s="472"/>
      <c r="P270" s="472"/>
      <c r="Q270" s="107"/>
      <c r="R270" s="96" t="s">
        <v>133</v>
      </c>
      <c r="S270" s="147">
        <f>$P$11*0.3</f>
        <v>30</v>
      </c>
      <c r="T270" s="146">
        <f>$P$11*0.3</f>
        <v>30</v>
      </c>
      <c r="U270" s="22">
        <f>Adatbázis!E270*Q270</f>
        <v>0</v>
      </c>
      <c r="V270" s="48">
        <f>Adatbázis!F270*$Q270/$Q$361</f>
        <v>0</v>
      </c>
      <c r="W270" s="48">
        <f>Adatbázis!G270*$Q270/$Q$361</f>
        <v>0</v>
      </c>
      <c r="X270" s="48">
        <f>Adatbázis!H270*$Q270/$Q$361</f>
        <v>0</v>
      </c>
      <c r="Y270" s="48">
        <f>Adatbázis!I270*$Q270/$Q$361</f>
        <v>0</v>
      </c>
      <c r="Z270" s="48">
        <f>Adatbázis!J270*$Q270/$Q$361</f>
        <v>0</v>
      </c>
      <c r="AA270" s="48">
        <f>Adatbázis!K270*$Q270/$Q$361</f>
        <v>0</v>
      </c>
      <c r="AB270" s="48">
        <f>Adatbázis!L270*$Q270/$Q$361</f>
        <v>0</v>
      </c>
      <c r="AC270" s="49">
        <f>Adatbázis!C270*Q270</f>
        <v>0</v>
      </c>
      <c r="AD270" s="378">
        <f t="shared" si="21"/>
        <v>0</v>
      </c>
      <c r="AH270" s="34"/>
      <c r="AI270" s="35"/>
    </row>
    <row r="271" spans="1:35" x14ac:dyDescent="0.25">
      <c r="A271" s="602"/>
      <c r="B271" s="598"/>
      <c r="C271" s="94"/>
      <c r="D271" s="95" t="s">
        <v>14</v>
      </c>
      <c r="E271" s="44">
        <v>8.7010000000000005</v>
      </c>
      <c r="F271" s="21">
        <v>42.652000000000001</v>
      </c>
      <c r="G271" s="21">
        <v>1.48</v>
      </c>
      <c r="H271" s="21">
        <v>3.12</v>
      </c>
      <c r="I271" s="21">
        <v>2.5609999999999999</v>
      </c>
      <c r="J271" s="21">
        <v>1.6539999999999999</v>
      </c>
      <c r="K271" s="21">
        <v>3.323</v>
      </c>
      <c r="L271" s="21">
        <v>1.1040000000000001</v>
      </c>
      <c r="M271" s="43"/>
      <c r="N271" s="472" t="s">
        <v>326</v>
      </c>
      <c r="O271" s="472"/>
      <c r="P271" s="472"/>
      <c r="Q271" s="107"/>
      <c r="R271" s="96" t="s">
        <v>133</v>
      </c>
      <c r="S271" s="264">
        <f>$P$11*0.25</f>
        <v>25</v>
      </c>
      <c r="T271" s="261">
        <f>$P$11*0.3</f>
        <v>30</v>
      </c>
      <c r="U271" s="22">
        <f>Adatbázis!E271*Q271</f>
        <v>0</v>
      </c>
      <c r="V271" s="48">
        <f>Adatbázis!F271*$Q271/$Q$361</f>
        <v>0</v>
      </c>
      <c r="W271" s="48">
        <f>Adatbázis!G271*$Q271/$Q$361</f>
        <v>0</v>
      </c>
      <c r="X271" s="48">
        <f>Adatbázis!H271*$Q271/$Q$361</f>
        <v>0</v>
      </c>
      <c r="Y271" s="48">
        <f>Adatbázis!I271*$Q271/$Q$361</f>
        <v>0</v>
      </c>
      <c r="Z271" s="48">
        <f>Adatbázis!J271*$Q271/$Q$361</f>
        <v>0</v>
      </c>
      <c r="AA271" s="48">
        <f>Adatbázis!K271*$Q271/$Q$361</f>
        <v>0</v>
      </c>
      <c r="AB271" s="48">
        <f>Adatbázis!L271*$Q271/$Q$361</f>
        <v>0</v>
      </c>
      <c r="AC271" s="49">
        <f>Adatbázis!C271*Q271</f>
        <v>0</v>
      </c>
      <c r="AD271" s="378">
        <f t="shared" si="21"/>
        <v>0</v>
      </c>
      <c r="AH271" s="34"/>
      <c r="AI271" s="35"/>
    </row>
    <row r="272" spans="1:35" x14ac:dyDescent="0.25">
      <c r="A272" s="602"/>
      <c r="B272" s="598"/>
      <c r="C272" s="94"/>
      <c r="D272" s="95" t="s">
        <v>14</v>
      </c>
      <c r="E272" s="44"/>
      <c r="F272" s="21">
        <v>5.5129999999999999</v>
      </c>
      <c r="G272" s="21"/>
      <c r="H272" s="21"/>
      <c r="I272" s="21">
        <v>24.221</v>
      </c>
      <c r="J272" s="21">
        <v>6.6130000000000004</v>
      </c>
      <c r="K272" s="21">
        <v>2.73</v>
      </c>
      <c r="L272" s="21">
        <v>3.78</v>
      </c>
      <c r="M272" s="43"/>
      <c r="N272" s="476" t="s">
        <v>227</v>
      </c>
      <c r="O272" s="476"/>
      <c r="P272" s="476"/>
      <c r="Q272" s="145"/>
      <c r="R272" s="96" t="s">
        <v>133</v>
      </c>
      <c r="S272" s="147">
        <f>$P$11*0.05</f>
        <v>5</v>
      </c>
      <c r="T272" s="146">
        <f>$P$11*0.05</f>
        <v>5</v>
      </c>
      <c r="U272" s="22">
        <f>Adatbázis!E272*Q272</f>
        <v>0</v>
      </c>
      <c r="V272" s="48">
        <f>Adatbázis!F272*$Q272/$Q$361</f>
        <v>0</v>
      </c>
      <c r="W272" s="48">
        <f>Adatbázis!G272*$Q272/$Q$361</f>
        <v>0</v>
      </c>
      <c r="X272" s="48">
        <f>Adatbázis!H272*$Q272/$Q$361</f>
        <v>0</v>
      </c>
      <c r="Y272" s="48">
        <f>Adatbázis!I272*$Q272/$Q$361</f>
        <v>0</v>
      </c>
      <c r="Z272" s="48">
        <f>Adatbázis!J272*$Q272/$Q$361</f>
        <v>0</v>
      </c>
      <c r="AA272" s="48">
        <f>Adatbázis!K272*$Q272/$Q$361</f>
        <v>0</v>
      </c>
      <c r="AB272" s="48">
        <f>Adatbázis!L272*$Q272/$Q$361</f>
        <v>0</v>
      </c>
      <c r="AC272" s="49">
        <f>Adatbázis!C272*Q272</f>
        <v>0</v>
      </c>
      <c r="AD272" s="378">
        <f t="shared" ref="AD272:AD299" si="28">IF(AND(Q272&gt;=S272,Q272&lt;=T272),1,0)</f>
        <v>0</v>
      </c>
      <c r="AH272" s="34"/>
      <c r="AI272" s="35"/>
    </row>
    <row r="273" spans="1:35" x14ac:dyDescent="0.25">
      <c r="A273" s="602"/>
      <c r="B273" s="598"/>
      <c r="C273" s="94"/>
      <c r="D273" s="95" t="s">
        <v>14</v>
      </c>
      <c r="E273" s="44"/>
      <c r="F273" s="21">
        <v>5.2859999999999996</v>
      </c>
      <c r="G273" s="21"/>
      <c r="H273" s="21"/>
      <c r="I273" s="21">
        <v>20.893999999999998</v>
      </c>
      <c r="J273" s="21">
        <v>8.4459999999999997</v>
      </c>
      <c r="K273" s="21">
        <v>2.34</v>
      </c>
      <c r="L273" s="21">
        <v>4.2080000000000002</v>
      </c>
      <c r="M273" s="43"/>
      <c r="N273" s="476" t="s">
        <v>228</v>
      </c>
      <c r="O273" s="476"/>
      <c r="P273" s="476"/>
      <c r="Q273" s="145"/>
      <c r="R273" s="96" t="s">
        <v>133</v>
      </c>
      <c r="S273" s="147">
        <f>$P$11*0.04</f>
        <v>4</v>
      </c>
      <c r="T273" s="146">
        <f>$P$11*0.04</f>
        <v>4</v>
      </c>
      <c r="U273" s="22">
        <f>Adatbázis!E273*Q273</f>
        <v>0</v>
      </c>
      <c r="V273" s="48">
        <f>Adatbázis!F273*$Q273/$Q$361</f>
        <v>0</v>
      </c>
      <c r="W273" s="48">
        <f>Adatbázis!G273*$Q273/$Q$361</f>
        <v>0</v>
      </c>
      <c r="X273" s="48">
        <f>Adatbázis!H273*$Q273/$Q$361</f>
        <v>0</v>
      </c>
      <c r="Y273" s="48">
        <f>Adatbázis!I273*$Q273/$Q$361</f>
        <v>0</v>
      </c>
      <c r="Z273" s="48">
        <f>Adatbázis!J273*$Q273/$Q$361</f>
        <v>0</v>
      </c>
      <c r="AA273" s="48">
        <f>Adatbázis!K273*$Q273/$Q$361</f>
        <v>0</v>
      </c>
      <c r="AB273" s="48">
        <f>Adatbázis!L273*$Q273/$Q$361</f>
        <v>0</v>
      </c>
      <c r="AC273" s="49">
        <f>Adatbázis!C273*Q273</f>
        <v>0</v>
      </c>
      <c r="AD273" s="378">
        <f t="shared" si="28"/>
        <v>0</v>
      </c>
      <c r="AH273" s="34"/>
      <c r="AI273" s="35"/>
    </row>
    <row r="274" spans="1:35" x14ac:dyDescent="0.25">
      <c r="A274" s="602"/>
      <c r="B274" s="598"/>
      <c r="C274" s="94"/>
      <c r="D274" s="95" t="s">
        <v>14</v>
      </c>
      <c r="E274" s="44"/>
      <c r="F274" s="21"/>
      <c r="G274" s="21"/>
      <c r="H274" s="21"/>
      <c r="I274" s="21">
        <v>11.599</v>
      </c>
      <c r="J274" s="21">
        <v>15.875999999999999</v>
      </c>
      <c r="K274" s="21">
        <v>3.12</v>
      </c>
      <c r="L274" s="21">
        <v>2.7229999999999999</v>
      </c>
      <c r="M274" s="43"/>
      <c r="N274" s="476" t="s">
        <v>229</v>
      </c>
      <c r="O274" s="476"/>
      <c r="P274" s="476"/>
      <c r="Q274" s="107"/>
      <c r="R274" s="96" t="s">
        <v>133</v>
      </c>
      <c r="S274" s="147">
        <f>$P$11*0.025</f>
        <v>2.5</v>
      </c>
      <c r="T274" s="146">
        <f>$P$11*0.025</f>
        <v>2.5</v>
      </c>
      <c r="U274" s="22">
        <f>Adatbázis!E274*Q274</f>
        <v>0</v>
      </c>
      <c r="V274" s="48">
        <f>Adatbázis!F274*$Q274/$Q$361</f>
        <v>0</v>
      </c>
      <c r="W274" s="48">
        <f>Adatbázis!G274*$Q274/$Q$361</f>
        <v>0</v>
      </c>
      <c r="X274" s="48">
        <f>Adatbázis!H274*$Q274/$Q$361</f>
        <v>0</v>
      </c>
      <c r="Y274" s="48">
        <f>Adatbázis!I274*$Q274/$Q$361</f>
        <v>0</v>
      </c>
      <c r="Z274" s="48">
        <f>Adatbázis!J274*$Q274/$Q$361</f>
        <v>0</v>
      </c>
      <c r="AA274" s="48">
        <f>Adatbázis!K274*$Q274/$Q$361</f>
        <v>0</v>
      </c>
      <c r="AB274" s="48">
        <f>Adatbázis!L274*$Q274/$Q$361</f>
        <v>0</v>
      </c>
      <c r="AC274" s="49">
        <f>Adatbázis!C274*Q274</f>
        <v>0</v>
      </c>
      <c r="AD274" s="378">
        <f t="shared" si="28"/>
        <v>0</v>
      </c>
      <c r="AH274" s="34"/>
      <c r="AI274" s="35"/>
    </row>
    <row r="275" spans="1:35" x14ac:dyDescent="0.25">
      <c r="A275" s="602"/>
      <c r="B275" s="598"/>
      <c r="C275" s="94"/>
      <c r="D275" s="95" t="s">
        <v>14</v>
      </c>
      <c r="E275" s="44"/>
      <c r="F275" s="21"/>
      <c r="G275" s="21"/>
      <c r="H275" s="21"/>
      <c r="I275" s="21">
        <v>11.013999999999999</v>
      </c>
      <c r="J275" s="21">
        <v>11.58</v>
      </c>
      <c r="K275" s="21"/>
      <c r="L275" s="21">
        <v>4.9009999999999998</v>
      </c>
      <c r="M275" s="43"/>
      <c r="N275" s="476" t="s">
        <v>230</v>
      </c>
      <c r="O275" s="476"/>
      <c r="P275" s="476"/>
      <c r="Q275" s="107"/>
      <c r="R275" s="96" t="s">
        <v>133</v>
      </c>
      <c r="S275" s="147">
        <f>$P$11*0.02</f>
        <v>2</v>
      </c>
      <c r="T275" s="146">
        <f>$P$11*0.02</f>
        <v>2</v>
      </c>
      <c r="U275" s="22">
        <f>Adatbázis!E275*Q275</f>
        <v>0</v>
      </c>
      <c r="V275" s="48">
        <f>Adatbázis!F275*$Q275/$Q$361</f>
        <v>0</v>
      </c>
      <c r="W275" s="48">
        <f>Adatbázis!G275*$Q275/$Q$361</f>
        <v>0</v>
      </c>
      <c r="X275" s="48">
        <f>Adatbázis!H275*$Q275/$Q$361</f>
        <v>0</v>
      </c>
      <c r="Y275" s="48">
        <f>Adatbázis!I275*$Q275/$Q$361</f>
        <v>0</v>
      </c>
      <c r="Z275" s="48">
        <f>Adatbázis!J275*$Q275/$Q$361</f>
        <v>0</v>
      </c>
      <c r="AA275" s="48">
        <f>Adatbázis!K275*$Q275/$Q$361</f>
        <v>0</v>
      </c>
      <c r="AB275" s="48">
        <f>Adatbázis!L275*$Q275/$Q$361</f>
        <v>0</v>
      </c>
      <c r="AC275" s="49">
        <f>Adatbázis!C275*Q275</f>
        <v>0</v>
      </c>
      <c r="AD275" s="378">
        <f t="shared" si="28"/>
        <v>0</v>
      </c>
      <c r="AH275" s="34"/>
      <c r="AI275" s="35"/>
    </row>
    <row r="276" spans="1:35" x14ac:dyDescent="0.25">
      <c r="A276" s="602"/>
      <c r="B276" s="598"/>
      <c r="C276" s="94"/>
      <c r="D276" s="95" t="s">
        <v>14</v>
      </c>
      <c r="E276" s="44"/>
      <c r="F276" s="21">
        <v>3.4350000000000001</v>
      </c>
      <c r="G276" s="21"/>
      <c r="H276" s="21"/>
      <c r="I276" s="21">
        <v>19.335000000000001</v>
      </c>
      <c r="J276" s="21">
        <v>11.401</v>
      </c>
      <c r="K276" s="21">
        <v>0.78</v>
      </c>
      <c r="L276" s="21">
        <v>4.2569999999999997</v>
      </c>
      <c r="M276" s="43"/>
      <c r="N276" s="476" t="s">
        <v>231</v>
      </c>
      <c r="O276" s="476"/>
      <c r="P276" s="476"/>
      <c r="Q276" s="145"/>
      <c r="R276" s="96" t="s">
        <v>133</v>
      </c>
      <c r="S276" s="147">
        <f>$P$11*0.04</f>
        <v>4</v>
      </c>
      <c r="T276" s="146">
        <f>$P$11*0.04</f>
        <v>4</v>
      </c>
      <c r="U276" s="22">
        <f>Adatbázis!E276*Q276</f>
        <v>0</v>
      </c>
      <c r="V276" s="48">
        <f>Adatbázis!F276*$Q276/$Q$361</f>
        <v>0</v>
      </c>
      <c r="W276" s="48">
        <f>Adatbázis!G276*$Q276/$Q$361</f>
        <v>0</v>
      </c>
      <c r="X276" s="48">
        <f>Adatbázis!H276*$Q276/$Q$361</f>
        <v>0</v>
      </c>
      <c r="Y276" s="48">
        <f>Adatbázis!I276*$Q276/$Q$361</f>
        <v>0</v>
      </c>
      <c r="Z276" s="48">
        <f>Adatbázis!J276*$Q276/$Q$361</f>
        <v>0</v>
      </c>
      <c r="AA276" s="48">
        <f>Adatbázis!K276*$Q276/$Q$361</f>
        <v>0</v>
      </c>
      <c r="AB276" s="48">
        <f>Adatbázis!L276*$Q276/$Q$361</f>
        <v>0</v>
      </c>
      <c r="AC276" s="49">
        <f>Adatbázis!C276*Q276</f>
        <v>0</v>
      </c>
      <c r="AD276" s="378">
        <f t="shared" si="28"/>
        <v>0</v>
      </c>
      <c r="AH276" s="34"/>
      <c r="AI276" s="35"/>
    </row>
    <row r="277" spans="1:35" x14ac:dyDescent="0.25">
      <c r="A277" s="602"/>
      <c r="B277" s="598"/>
      <c r="C277" s="94"/>
      <c r="D277" s="95" t="s">
        <v>14</v>
      </c>
      <c r="E277" s="44">
        <v>9.3249999999999993</v>
      </c>
      <c r="F277" s="21">
        <v>25.966999999999999</v>
      </c>
      <c r="G277" s="21">
        <v>12.38</v>
      </c>
      <c r="H277" s="21">
        <v>1.05</v>
      </c>
      <c r="I277" s="21">
        <v>5.86</v>
      </c>
      <c r="J277" s="21">
        <v>2.0880000000000001</v>
      </c>
      <c r="K277" s="21">
        <v>4.2450000000000001</v>
      </c>
      <c r="L277" s="21">
        <v>2.25</v>
      </c>
      <c r="M277" s="43"/>
      <c r="N277" s="476" t="s">
        <v>232</v>
      </c>
      <c r="O277" s="476"/>
      <c r="P277" s="476"/>
      <c r="Q277" s="145"/>
      <c r="R277" s="96" t="s">
        <v>133</v>
      </c>
      <c r="S277" s="147">
        <f>$P$11*0.1</f>
        <v>10</v>
      </c>
      <c r="T277" s="146">
        <f>$P$11*0.1</f>
        <v>10</v>
      </c>
      <c r="U277" s="22">
        <f>Adatbázis!E277*Q277</f>
        <v>0</v>
      </c>
      <c r="V277" s="48">
        <f>Adatbázis!F277*$Q277/$Q$361</f>
        <v>0</v>
      </c>
      <c r="W277" s="48">
        <f>Adatbázis!G277*$Q277/$Q$361</f>
        <v>0</v>
      </c>
      <c r="X277" s="48">
        <f>Adatbázis!H277*$Q277/$Q$361</f>
        <v>0</v>
      </c>
      <c r="Y277" s="48">
        <f>Adatbázis!I277*$Q277/$Q$361</f>
        <v>0</v>
      </c>
      <c r="Z277" s="48">
        <f>Adatbázis!J277*$Q277/$Q$361</f>
        <v>0</v>
      </c>
      <c r="AA277" s="48">
        <f>Adatbázis!K277*$Q277/$Q$361</f>
        <v>0</v>
      </c>
      <c r="AB277" s="48">
        <f>Adatbázis!L277*$Q277/$Q$361</f>
        <v>0</v>
      </c>
      <c r="AC277" s="49">
        <f>Adatbázis!C277*Q277</f>
        <v>0</v>
      </c>
      <c r="AD277" s="378">
        <f t="shared" si="28"/>
        <v>0</v>
      </c>
      <c r="AH277" s="34"/>
      <c r="AI277" s="35"/>
    </row>
    <row r="278" spans="1:35" x14ac:dyDescent="0.25">
      <c r="A278" s="602"/>
      <c r="B278" s="598"/>
      <c r="C278" s="94"/>
      <c r="D278" s="95" t="s">
        <v>14</v>
      </c>
      <c r="E278" s="44">
        <v>0.53500000000000003</v>
      </c>
      <c r="F278" s="21">
        <v>15.259</v>
      </c>
      <c r="G278" s="21"/>
      <c r="H278" s="21"/>
      <c r="I278" s="21">
        <v>18.628</v>
      </c>
      <c r="J278" s="21">
        <v>3.9279999999999999</v>
      </c>
      <c r="K278" s="21">
        <v>9.1649999999999991</v>
      </c>
      <c r="L278" s="21">
        <v>2.94</v>
      </c>
      <c r="M278" s="43"/>
      <c r="N278" s="476" t="s">
        <v>233</v>
      </c>
      <c r="O278" s="476"/>
      <c r="P278" s="476"/>
      <c r="Q278" s="107"/>
      <c r="R278" s="96" t="s">
        <v>133</v>
      </c>
      <c r="S278" s="147">
        <f>$P$11*0.035</f>
        <v>3.5000000000000004</v>
      </c>
      <c r="T278" s="146">
        <f>$P$11*0.035</f>
        <v>3.5000000000000004</v>
      </c>
      <c r="U278" s="22">
        <f>Adatbázis!E278*Q278</f>
        <v>0</v>
      </c>
      <c r="V278" s="48">
        <f>Adatbázis!F278*$Q278/$Q$361</f>
        <v>0</v>
      </c>
      <c r="W278" s="48">
        <f>Adatbázis!G278*$Q278/$Q$361</f>
        <v>0</v>
      </c>
      <c r="X278" s="48">
        <f>Adatbázis!H278*$Q278/$Q$361</f>
        <v>0</v>
      </c>
      <c r="Y278" s="48">
        <f>Adatbázis!I278*$Q278/$Q$361</f>
        <v>0</v>
      </c>
      <c r="Z278" s="48">
        <f>Adatbázis!J278*$Q278/$Q$361</f>
        <v>0</v>
      </c>
      <c r="AA278" s="48">
        <f>Adatbázis!K278*$Q278/$Q$361</f>
        <v>0</v>
      </c>
      <c r="AB278" s="48">
        <f>Adatbázis!L278*$Q278/$Q$361</f>
        <v>0</v>
      </c>
      <c r="AC278" s="49">
        <f>Adatbázis!C278*Q278</f>
        <v>0</v>
      </c>
      <c r="AD278" s="378">
        <f t="shared" si="28"/>
        <v>0</v>
      </c>
      <c r="AH278" s="34"/>
      <c r="AI278" s="35"/>
    </row>
    <row r="279" spans="1:35" x14ac:dyDescent="0.25">
      <c r="A279" s="602"/>
      <c r="B279" s="598"/>
      <c r="C279" s="94"/>
      <c r="D279" s="95" t="s">
        <v>14</v>
      </c>
      <c r="E279" s="44">
        <v>0.156</v>
      </c>
      <c r="F279" s="21">
        <v>7.4240000000000004</v>
      </c>
      <c r="G279" s="21"/>
      <c r="H279" s="21"/>
      <c r="I279" s="21">
        <v>22.896999999999998</v>
      </c>
      <c r="J279" s="21">
        <v>3.6949999999999998</v>
      </c>
      <c r="K279" s="21">
        <v>5.07</v>
      </c>
      <c r="L279" s="21">
        <v>1.008</v>
      </c>
      <c r="M279" s="43"/>
      <c r="N279" s="476" t="s">
        <v>234</v>
      </c>
      <c r="O279" s="476"/>
      <c r="P279" s="476"/>
      <c r="Q279" s="107"/>
      <c r="R279" s="96" t="s">
        <v>133</v>
      </c>
      <c r="S279" s="147">
        <f t="shared" ref="S279:T282" si="29">$P$11*0.03</f>
        <v>3</v>
      </c>
      <c r="T279" s="146">
        <f t="shared" si="29"/>
        <v>3</v>
      </c>
      <c r="U279" s="22">
        <f>Adatbázis!E279*Q279</f>
        <v>0</v>
      </c>
      <c r="V279" s="48">
        <f>Adatbázis!F279*$Q279/$Q$361</f>
        <v>0</v>
      </c>
      <c r="W279" s="48">
        <f>Adatbázis!G279*$Q279/$Q$361</f>
        <v>0</v>
      </c>
      <c r="X279" s="48">
        <f>Adatbázis!H279*$Q279/$Q$361</f>
        <v>0</v>
      </c>
      <c r="Y279" s="48">
        <f>Adatbázis!I279*$Q279/$Q$361</f>
        <v>0</v>
      </c>
      <c r="Z279" s="48">
        <f>Adatbázis!J279*$Q279/$Q$361</f>
        <v>0</v>
      </c>
      <c r="AA279" s="48">
        <f>Adatbázis!K279*$Q279/$Q$361</f>
        <v>0</v>
      </c>
      <c r="AB279" s="48">
        <f>Adatbázis!L279*$Q279/$Q$361</f>
        <v>0</v>
      </c>
      <c r="AC279" s="49">
        <f>Adatbázis!C279*Q279</f>
        <v>0</v>
      </c>
      <c r="AD279" s="378">
        <f t="shared" si="28"/>
        <v>0</v>
      </c>
      <c r="AH279" s="34"/>
      <c r="AI279" s="35"/>
    </row>
    <row r="280" spans="1:35" x14ac:dyDescent="0.25">
      <c r="A280" s="602"/>
      <c r="B280" s="598"/>
      <c r="C280" s="94"/>
      <c r="D280" s="95" t="s">
        <v>14</v>
      </c>
      <c r="E280" s="44"/>
      <c r="F280" s="21">
        <v>0</v>
      </c>
      <c r="G280" s="21"/>
      <c r="H280" s="21"/>
      <c r="I280" s="21">
        <v>20.504000000000001</v>
      </c>
      <c r="J280" s="21">
        <v>3.6949999999999998</v>
      </c>
      <c r="K280" s="21">
        <v>8.0340000000000007</v>
      </c>
      <c r="L280" s="21">
        <v>1.68</v>
      </c>
      <c r="M280" s="43"/>
      <c r="N280" s="476" t="s">
        <v>235</v>
      </c>
      <c r="O280" s="476"/>
      <c r="P280" s="476"/>
      <c r="Q280" s="145"/>
      <c r="R280" s="96" t="s">
        <v>133</v>
      </c>
      <c r="S280" s="147">
        <f t="shared" si="29"/>
        <v>3</v>
      </c>
      <c r="T280" s="146">
        <f t="shared" si="29"/>
        <v>3</v>
      </c>
      <c r="U280" s="22">
        <f>Adatbázis!E280*Q280</f>
        <v>0</v>
      </c>
      <c r="V280" s="48">
        <f>Adatbázis!F280*$Q280/$Q$361</f>
        <v>0</v>
      </c>
      <c r="W280" s="48">
        <f>Adatbázis!G280*$Q280/$Q$361</f>
        <v>0</v>
      </c>
      <c r="X280" s="48">
        <f>Adatbázis!H280*$Q280/$Q$361</f>
        <v>0</v>
      </c>
      <c r="Y280" s="48">
        <f>Adatbázis!I280*$Q280/$Q$361</f>
        <v>0</v>
      </c>
      <c r="Z280" s="48">
        <f>Adatbázis!J280*$Q280/$Q$361</f>
        <v>0</v>
      </c>
      <c r="AA280" s="48">
        <f>Adatbázis!K280*$Q280/$Q$361</f>
        <v>0</v>
      </c>
      <c r="AB280" s="48">
        <f>Adatbázis!L280*$Q280/$Q$361</f>
        <v>0</v>
      </c>
      <c r="AC280" s="49">
        <f>Adatbázis!C280*Q280</f>
        <v>0</v>
      </c>
      <c r="AD280" s="378">
        <f t="shared" si="28"/>
        <v>0</v>
      </c>
      <c r="AH280" s="34"/>
      <c r="AI280" s="35"/>
    </row>
    <row r="281" spans="1:35" x14ac:dyDescent="0.25">
      <c r="A281" s="602"/>
      <c r="B281" s="598"/>
      <c r="C281" s="94"/>
      <c r="D281" s="95" t="s">
        <v>14</v>
      </c>
      <c r="E281" s="44">
        <v>0.249</v>
      </c>
      <c r="F281" s="21">
        <v>12.643000000000001</v>
      </c>
      <c r="G281" s="21"/>
      <c r="H281" s="21"/>
      <c r="I281" s="21">
        <v>19.420999999999999</v>
      </c>
      <c r="J281" s="21">
        <v>3.6949999999999998</v>
      </c>
      <c r="K281" s="21">
        <v>8.0340000000000007</v>
      </c>
      <c r="L281" s="21">
        <v>1.68</v>
      </c>
      <c r="M281" s="43"/>
      <c r="N281" s="476" t="s">
        <v>236</v>
      </c>
      <c r="O281" s="476"/>
      <c r="P281" s="476"/>
      <c r="Q281" s="145"/>
      <c r="R281" s="96" t="s">
        <v>133</v>
      </c>
      <c r="S281" s="147">
        <f t="shared" si="29"/>
        <v>3</v>
      </c>
      <c r="T281" s="146">
        <f t="shared" si="29"/>
        <v>3</v>
      </c>
      <c r="U281" s="22">
        <f>Adatbázis!E281*Q281</f>
        <v>0</v>
      </c>
      <c r="V281" s="48">
        <f>Adatbázis!F281*$Q281/$Q$361</f>
        <v>0</v>
      </c>
      <c r="W281" s="48">
        <f>Adatbázis!G281*$Q281/$Q$361</f>
        <v>0</v>
      </c>
      <c r="X281" s="48">
        <f>Adatbázis!H281*$Q281/$Q$361</f>
        <v>0</v>
      </c>
      <c r="Y281" s="48">
        <f>Adatbázis!I281*$Q281/$Q$361</f>
        <v>0</v>
      </c>
      <c r="Z281" s="48">
        <f>Adatbázis!J281*$Q281/$Q$361</f>
        <v>0</v>
      </c>
      <c r="AA281" s="48">
        <f>Adatbázis!K281*$Q281/$Q$361</f>
        <v>0</v>
      </c>
      <c r="AB281" s="48">
        <f>Adatbázis!L281*$Q281/$Q$361</f>
        <v>0</v>
      </c>
      <c r="AC281" s="49">
        <f>Adatbázis!C281*Q281</f>
        <v>0</v>
      </c>
      <c r="AD281" s="378">
        <f t="shared" si="28"/>
        <v>0</v>
      </c>
      <c r="AH281" s="34"/>
      <c r="AI281" s="35"/>
    </row>
    <row r="282" spans="1:35" x14ac:dyDescent="0.25">
      <c r="A282" s="602"/>
      <c r="B282" s="598"/>
      <c r="C282" s="94"/>
      <c r="D282" s="95" t="s">
        <v>14</v>
      </c>
      <c r="E282" s="44"/>
      <c r="F282" s="21">
        <v>0</v>
      </c>
      <c r="G282" s="21"/>
      <c r="H282" s="21"/>
      <c r="I282" s="21">
        <v>18.901</v>
      </c>
      <c r="J282" s="21">
        <v>3.6949999999999998</v>
      </c>
      <c r="K282" s="21">
        <v>8.0340000000000007</v>
      </c>
      <c r="L282" s="21">
        <v>1.6830000000000001</v>
      </c>
      <c r="M282" s="43"/>
      <c r="N282" s="476" t="s">
        <v>237</v>
      </c>
      <c r="O282" s="476"/>
      <c r="P282" s="476"/>
      <c r="Q282" s="107"/>
      <c r="R282" s="96" t="s">
        <v>133</v>
      </c>
      <c r="S282" s="147">
        <f t="shared" si="29"/>
        <v>3</v>
      </c>
      <c r="T282" s="146">
        <f t="shared" si="29"/>
        <v>3</v>
      </c>
      <c r="U282" s="22">
        <f>Adatbázis!E282*Q282</f>
        <v>0</v>
      </c>
      <c r="V282" s="48">
        <f>Adatbázis!F282*$Q282/$Q$361</f>
        <v>0</v>
      </c>
      <c r="W282" s="48">
        <f>Adatbázis!G282*$Q282/$Q$361</f>
        <v>0</v>
      </c>
      <c r="X282" s="48">
        <f>Adatbázis!H282*$Q282/$Q$361</f>
        <v>0</v>
      </c>
      <c r="Y282" s="48">
        <f>Adatbázis!I282*$Q282/$Q$361</f>
        <v>0</v>
      </c>
      <c r="Z282" s="48">
        <f>Adatbázis!J282*$Q282/$Q$361</f>
        <v>0</v>
      </c>
      <c r="AA282" s="48">
        <f>Adatbázis!K282*$Q282/$Q$361</f>
        <v>0</v>
      </c>
      <c r="AB282" s="48">
        <f>Adatbázis!L282*$Q282/$Q$361</f>
        <v>0</v>
      </c>
      <c r="AC282" s="49">
        <f>Adatbázis!C282*Q282</f>
        <v>0</v>
      </c>
      <c r="AD282" s="378">
        <f t="shared" si="28"/>
        <v>0</v>
      </c>
      <c r="AH282" s="34"/>
      <c r="AI282" s="35"/>
    </row>
    <row r="283" spans="1:35" x14ac:dyDescent="0.25">
      <c r="A283" s="602"/>
      <c r="B283" s="598"/>
      <c r="C283" s="94"/>
      <c r="D283" s="95" t="s">
        <v>14</v>
      </c>
      <c r="E283" s="44">
        <v>0.21</v>
      </c>
      <c r="F283" s="21">
        <v>7.9279999999999999</v>
      </c>
      <c r="G283" s="21"/>
      <c r="H283" s="21"/>
      <c r="I283" s="21">
        <v>23.475999999999999</v>
      </c>
      <c r="J283" s="21">
        <v>4.516</v>
      </c>
      <c r="K283" s="21">
        <v>4.992</v>
      </c>
      <c r="L283" s="21">
        <v>1.5960000000000001</v>
      </c>
      <c r="M283" s="43"/>
      <c r="N283" s="476" t="s">
        <v>238</v>
      </c>
      <c r="O283" s="476"/>
      <c r="P283" s="476"/>
      <c r="Q283" s="107"/>
      <c r="R283" s="96" t="s">
        <v>133</v>
      </c>
      <c r="S283" s="147">
        <f>$P$11*0.035</f>
        <v>3.5000000000000004</v>
      </c>
      <c r="T283" s="146">
        <f>$P$11*0.035</f>
        <v>3.5000000000000004</v>
      </c>
      <c r="U283" s="22">
        <f>Adatbázis!E283*Q283</f>
        <v>0</v>
      </c>
      <c r="V283" s="48">
        <f>Adatbázis!F283*$Q283/$Q$361</f>
        <v>0</v>
      </c>
      <c r="W283" s="48">
        <f>Adatbázis!G283*$Q283/$Q$361</f>
        <v>0</v>
      </c>
      <c r="X283" s="48">
        <f>Adatbázis!H283*$Q283/$Q$361</f>
        <v>0</v>
      </c>
      <c r="Y283" s="48">
        <f>Adatbázis!I283*$Q283/$Q$361</f>
        <v>0</v>
      </c>
      <c r="Z283" s="48">
        <f>Adatbázis!J283*$Q283/$Q$361</f>
        <v>0</v>
      </c>
      <c r="AA283" s="48">
        <f>Adatbázis!K283*$Q283/$Q$361</f>
        <v>0</v>
      </c>
      <c r="AB283" s="48">
        <f>Adatbázis!L283*$Q283/$Q$361</f>
        <v>0</v>
      </c>
      <c r="AC283" s="49">
        <f>Adatbázis!C283*Q283</f>
        <v>0</v>
      </c>
      <c r="AD283" s="378">
        <f t="shared" si="28"/>
        <v>0</v>
      </c>
      <c r="AH283" s="34"/>
      <c r="AI283" s="35"/>
    </row>
    <row r="284" spans="1:35" x14ac:dyDescent="0.25">
      <c r="A284" s="602"/>
      <c r="B284" s="598"/>
      <c r="C284" s="94"/>
      <c r="D284" s="95" t="s">
        <v>14</v>
      </c>
      <c r="E284" s="44">
        <v>0.187</v>
      </c>
      <c r="F284" s="21">
        <v>4.8550000000000004</v>
      </c>
      <c r="G284" s="21"/>
      <c r="H284" s="21"/>
      <c r="I284" s="21">
        <v>23.725999999999999</v>
      </c>
      <c r="J284" s="21">
        <v>4.6070000000000002</v>
      </c>
      <c r="K284" s="21">
        <v>3.0030000000000001</v>
      </c>
      <c r="L284" s="21">
        <v>0.63</v>
      </c>
      <c r="M284" s="43"/>
      <c r="N284" s="476" t="s">
        <v>239</v>
      </c>
      <c r="O284" s="476"/>
      <c r="P284" s="476"/>
      <c r="Q284" s="145"/>
      <c r="R284" s="96" t="s">
        <v>133</v>
      </c>
      <c r="S284" s="147">
        <f>$P$11*0.035</f>
        <v>3.5000000000000004</v>
      </c>
      <c r="T284" s="146">
        <f>$P$11*0.035</f>
        <v>3.5000000000000004</v>
      </c>
      <c r="U284" s="22">
        <f>Adatbázis!E284*Q284</f>
        <v>0</v>
      </c>
      <c r="V284" s="48">
        <f>Adatbázis!F284*$Q284/$Q$361</f>
        <v>0</v>
      </c>
      <c r="W284" s="48">
        <f>Adatbázis!G284*$Q284/$Q$361</f>
        <v>0</v>
      </c>
      <c r="X284" s="48">
        <f>Adatbázis!H284*$Q284/$Q$361</f>
        <v>0</v>
      </c>
      <c r="Y284" s="48">
        <f>Adatbázis!I284*$Q284/$Q$361</f>
        <v>0</v>
      </c>
      <c r="Z284" s="48">
        <f>Adatbázis!J284*$Q284/$Q$361</f>
        <v>0</v>
      </c>
      <c r="AA284" s="48">
        <f>Adatbázis!K284*$Q284/$Q$361</f>
        <v>0</v>
      </c>
      <c r="AB284" s="48">
        <f>Adatbázis!L284*$Q284/$Q$361</f>
        <v>0</v>
      </c>
      <c r="AC284" s="49">
        <f>Adatbázis!C284*Q284</f>
        <v>0</v>
      </c>
      <c r="AD284" s="378">
        <f t="shared" si="28"/>
        <v>0</v>
      </c>
      <c r="AH284" s="34"/>
      <c r="AI284" s="35"/>
    </row>
    <row r="285" spans="1:35" x14ac:dyDescent="0.25">
      <c r="A285" s="602"/>
      <c r="B285" s="598"/>
      <c r="C285" s="94"/>
      <c r="D285" s="95" t="s">
        <v>14</v>
      </c>
      <c r="E285" s="44"/>
      <c r="F285" s="21"/>
      <c r="G285" s="21"/>
      <c r="H285" s="21"/>
      <c r="I285" s="21">
        <v>20.292999999999999</v>
      </c>
      <c r="J285" s="21">
        <v>4.1740000000000004</v>
      </c>
      <c r="K285" s="21"/>
      <c r="L285" s="21"/>
      <c r="M285" s="43"/>
      <c r="N285" s="476" t="s">
        <v>240</v>
      </c>
      <c r="O285" s="476"/>
      <c r="P285" s="476"/>
      <c r="Q285" s="145"/>
      <c r="R285" s="96" t="s">
        <v>133</v>
      </c>
      <c r="S285" s="147">
        <f>$P$11*0.04</f>
        <v>4</v>
      </c>
      <c r="T285" s="146">
        <f>$P$11*0.04</f>
        <v>4</v>
      </c>
      <c r="U285" s="22">
        <f>Adatbázis!E285*Q285</f>
        <v>0</v>
      </c>
      <c r="V285" s="48">
        <f>Adatbázis!F285*$Q285/$Q$361</f>
        <v>0</v>
      </c>
      <c r="W285" s="48">
        <f>Adatbázis!G285*$Q285/$Q$361</f>
        <v>0</v>
      </c>
      <c r="X285" s="48">
        <f>Adatbázis!H285*$Q285/$Q$361</f>
        <v>0</v>
      </c>
      <c r="Y285" s="48">
        <f>Adatbázis!I285*$Q285/$Q$361</f>
        <v>0</v>
      </c>
      <c r="Z285" s="48">
        <f>Adatbázis!J285*$Q285/$Q$361</f>
        <v>0</v>
      </c>
      <c r="AA285" s="48">
        <f>Adatbázis!K285*$Q285/$Q$361</f>
        <v>0</v>
      </c>
      <c r="AB285" s="48">
        <f>Adatbázis!L285*$Q285/$Q$361</f>
        <v>0</v>
      </c>
      <c r="AC285" s="49">
        <f>Adatbázis!C285*Q285</f>
        <v>0</v>
      </c>
      <c r="AD285" s="378">
        <f t="shared" si="28"/>
        <v>0</v>
      </c>
      <c r="AH285" s="34"/>
      <c r="AI285" s="35"/>
    </row>
    <row r="286" spans="1:35" x14ac:dyDescent="0.25">
      <c r="A286" s="602"/>
      <c r="B286" s="598"/>
      <c r="C286" s="94"/>
      <c r="D286" s="95" t="s">
        <v>14</v>
      </c>
      <c r="E286" s="44"/>
      <c r="F286" s="21"/>
      <c r="G286" s="21"/>
      <c r="H286" s="21"/>
      <c r="I286" s="21">
        <v>17.568999999999999</v>
      </c>
      <c r="J286" s="21">
        <v>7.9809999999999999</v>
      </c>
      <c r="K286" s="21"/>
      <c r="L286" s="21"/>
      <c r="M286" s="43"/>
      <c r="N286" s="476" t="s">
        <v>241</v>
      </c>
      <c r="O286" s="476"/>
      <c r="P286" s="476"/>
      <c r="Q286" s="107"/>
      <c r="R286" s="96" t="s">
        <v>133</v>
      </c>
      <c r="S286" s="147">
        <f>$P$11*0.04</f>
        <v>4</v>
      </c>
      <c r="T286" s="146">
        <f>$P$11*0.04</f>
        <v>4</v>
      </c>
      <c r="U286" s="22">
        <f>Adatbázis!E286*Q286</f>
        <v>0</v>
      </c>
      <c r="V286" s="48">
        <f>Adatbázis!F286*$Q286/$Q$361</f>
        <v>0</v>
      </c>
      <c r="W286" s="48">
        <f>Adatbázis!G286*$Q286/$Q$361</f>
        <v>0</v>
      </c>
      <c r="X286" s="48">
        <f>Adatbázis!H286*$Q286/$Q$361</f>
        <v>0</v>
      </c>
      <c r="Y286" s="48">
        <f>Adatbázis!I286*$Q286/$Q$361</f>
        <v>0</v>
      </c>
      <c r="Z286" s="48">
        <f>Adatbázis!J286*$Q286/$Q$361</f>
        <v>0</v>
      </c>
      <c r="AA286" s="48">
        <f>Adatbázis!K286*$Q286/$Q$361</f>
        <v>0</v>
      </c>
      <c r="AB286" s="48">
        <f>Adatbázis!L286*$Q286/$Q$361</f>
        <v>0</v>
      </c>
      <c r="AC286" s="49">
        <f>Adatbázis!C286*Q286</f>
        <v>0</v>
      </c>
      <c r="AD286" s="378">
        <f t="shared" si="28"/>
        <v>0</v>
      </c>
      <c r="AH286" s="34"/>
      <c r="AI286" s="35"/>
    </row>
    <row r="287" spans="1:35" x14ac:dyDescent="0.25">
      <c r="A287" s="602"/>
      <c r="B287" s="598"/>
      <c r="C287" s="94"/>
      <c r="D287" s="95" t="s">
        <v>14</v>
      </c>
      <c r="E287" s="44"/>
      <c r="F287" s="21"/>
      <c r="G287" s="21"/>
      <c r="H287" s="21"/>
      <c r="I287" s="21">
        <v>4.3920000000000003</v>
      </c>
      <c r="J287" s="21">
        <v>3.5350000000000001</v>
      </c>
      <c r="K287" s="21"/>
      <c r="L287" s="21"/>
      <c r="M287" s="43"/>
      <c r="N287" s="476" t="s">
        <v>242</v>
      </c>
      <c r="O287" s="476"/>
      <c r="P287" s="476"/>
      <c r="Q287" s="107"/>
      <c r="R287" s="96" t="s">
        <v>133</v>
      </c>
      <c r="S287" s="147">
        <f>$P$11*0.02</f>
        <v>2</v>
      </c>
      <c r="T287" s="146">
        <f>$P$11*0.02</f>
        <v>2</v>
      </c>
      <c r="U287" s="22">
        <f>Adatbázis!E287*Q287</f>
        <v>0</v>
      </c>
      <c r="V287" s="48">
        <f>Adatbázis!F287*$Q287/$Q$361</f>
        <v>0</v>
      </c>
      <c r="W287" s="48">
        <f>Adatbázis!G287*$Q287/$Q$361</f>
        <v>0</v>
      </c>
      <c r="X287" s="48">
        <f>Adatbázis!H287*$Q287/$Q$361</f>
        <v>0</v>
      </c>
      <c r="Y287" s="48">
        <f>Adatbázis!I287*$Q287/$Q$361</f>
        <v>0</v>
      </c>
      <c r="Z287" s="48">
        <f>Adatbázis!J287*$Q287/$Q$361</f>
        <v>0</v>
      </c>
      <c r="AA287" s="48">
        <f>Adatbázis!K287*$Q287/$Q$361</f>
        <v>0</v>
      </c>
      <c r="AB287" s="48">
        <f>Adatbázis!L287*$Q287/$Q$361</f>
        <v>0</v>
      </c>
      <c r="AC287" s="49">
        <f>Adatbázis!C287*Q287</f>
        <v>0</v>
      </c>
      <c r="AD287" s="378">
        <f t="shared" si="28"/>
        <v>0</v>
      </c>
      <c r="AH287" s="34"/>
      <c r="AI287" s="35"/>
    </row>
    <row r="288" spans="1:35" x14ac:dyDescent="0.25">
      <c r="A288" s="602"/>
      <c r="B288" s="598"/>
      <c r="C288" s="94"/>
      <c r="D288" s="95" t="s">
        <v>14</v>
      </c>
      <c r="E288" s="44"/>
      <c r="F288" s="21"/>
      <c r="G288" s="21"/>
      <c r="H288" s="21"/>
      <c r="I288" s="21">
        <v>19.733000000000001</v>
      </c>
      <c r="J288" s="21">
        <v>6.0430000000000001</v>
      </c>
      <c r="K288" s="21"/>
      <c r="L288" s="21"/>
      <c r="M288" s="43"/>
      <c r="N288" s="476" t="s">
        <v>243</v>
      </c>
      <c r="O288" s="476"/>
      <c r="P288" s="476"/>
      <c r="Q288" s="145"/>
      <c r="R288" s="96" t="s">
        <v>133</v>
      </c>
      <c r="S288" s="147">
        <f>$P$11*0.015</f>
        <v>1.5</v>
      </c>
      <c r="T288" s="146">
        <f>$P$11*0.015</f>
        <v>1.5</v>
      </c>
      <c r="U288" s="22">
        <f>Adatbázis!E288*Q288</f>
        <v>0</v>
      </c>
      <c r="V288" s="48">
        <f>Adatbázis!F288*$Q288/$Q$361</f>
        <v>0</v>
      </c>
      <c r="W288" s="48">
        <f>Adatbázis!G288*$Q288/$Q$361</f>
        <v>0</v>
      </c>
      <c r="X288" s="48">
        <f>Adatbázis!H288*$Q288/$Q$361</f>
        <v>0</v>
      </c>
      <c r="Y288" s="48">
        <f>Adatbázis!I288*$Q288/$Q$361</f>
        <v>0</v>
      </c>
      <c r="Z288" s="48">
        <f>Adatbázis!J288*$Q288/$Q$361</f>
        <v>0</v>
      </c>
      <c r="AA288" s="48">
        <f>Adatbázis!K288*$Q288/$Q$361</f>
        <v>0</v>
      </c>
      <c r="AB288" s="48">
        <f>Adatbázis!L288*$Q288/$Q$361</f>
        <v>0</v>
      </c>
      <c r="AC288" s="49">
        <f>Adatbázis!C288*Q288</f>
        <v>0</v>
      </c>
      <c r="AD288" s="378">
        <f t="shared" si="28"/>
        <v>0</v>
      </c>
      <c r="AH288" s="34"/>
      <c r="AI288" s="35"/>
    </row>
    <row r="289" spans="1:45" ht="15.75" thickBot="1" x14ac:dyDescent="0.3">
      <c r="A289" s="602"/>
      <c r="B289" s="599"/>
      <c r="C289" s="82"/>
      <c r="D289" s="29" t="s">
        <v>14</v>
      </c>
      <c r="E289" s="51"/>
      <c r="F289" s="18"/>
      <c r="G289" s="18"/>
      <c r="H289" s="18"/>
      <c r="I289" s="18">
        <v>18</v>
      </c>
      <c r="J289" s="18">
        <v>6</v>
      </c>
      <c r="K289" s="18"/>
      <c r="L289" s="18"/>
      <c r="M289" s="53"/>
      <c r="N289" s="594" t="s">
        <v>244</v>
      </c>
      <c r="O289" s="595"/>
      <c r="P289" s="596"/>
      <c r="Q289" s="145"/>
      <c r="R289" s="83" t="s">
        <v>133</v>
      </c>
      <c r="S289" s="124">
        <f>$P$11*0.025</f>
        <v>2.5</v>
      </c>
      <c r="T289" s="122">
        <f>$P$11*0.025</f>
        <v>2.5</v>
      </c>
      <c r="U289" s="38">
        <f>Adatbázis!E289*Q289</f>
        <v>0</v>
      </c>
      <c r="V289" s="67">
        <f>Adatbázis!F289*$Q289/$Q$361</f>
        <v>0</v>
      </c>
      <c r="W289" s="67">
        <f>Adatbázis!G289*$Q289/$Q$361</f>
        <v>0</v>
      </c>
      <c r="X289" s="67">
        <f>Adatbázis!H289*$Q289/$Q$361</f>
        <v>0</v>
      </c>
      <c r="Y289" s="67">
        <f>Adatbázis!I289*$Q289/$Q$361</f>
        <v>0</v>
      </c>
      <c r="Z289" s="67">
        <f>Adatbázis!J289*$Q289/$Q$361</f>
        <v>0</v>
      </c>
      <c r="AA289" s="67">
        <f>Adatbázis!K289*$Q289/$Q$361</f>
        <v>0</v>
      </c>
      <c r="AB289" s="67">
        <f>Adatbázis!L289*$Q289/$Q$361</f>
        <v>0</v>
      </c>
      <c r="AC289" s="68">
        <f>Adatbázis!C289*Q289</f>
        <v>0</v>
      </c>
      <c r="AD289" s="378">
        <f t="shared" si="28"/>
        <v>0</v>
      </c>
      <c r="AH289" s="34"/>
      <c r="AI289" s="35"/>
    </row>
    <row r="290" spans="1:45" ht="15.75" thickBot="1" x14ac:dyDescent="0.3">
      <c r="A290" s="602"/>
      <c r="B290" s="597" t="s">
        <v>185</v>
      </c>
      <c r="C290" s="268"/>
      <c r="D290" s="78" t="s">
        <v>14</v>
      </c>
      <c r="E290" s="106"/>
      <c r="F290" s="77">
        <v>37.799999999999997</v>
      </c>
      <c r="G290" s="77">
        <v>4.5999999999999996</v>
      </c>
      <c r="H290" s="77">
        <v>3.8</v>
      </c>
      <c r="I290" s="77">
        <v>4.7</v>
      </c>
      <c r="J290" s="77">
        <v>1</v>
      </c>
      <c r="K290" s="77">
        <v>4.33</v>
      </c>
      <c r="L290" s="77">
        <v>0.94</v>
      </c>
      <c r="M290" s="144"/>
      <c r="N290" s="481" t="s">
        <v>186</v>
      </c>
      <c r="O290" s="481"/>
      <c r="P290" s="481"/>
      <c r="Q290" s="107"/>
      <c r="R290" s="120" t="s">
        <v>133</v>
      </c>
      <c r="S290" s="89">
        <f>$P$11*0.11</f>
        <v>11</v>
      </c>
      <c r="T290" s="90">
        <f>$P$11*0.16</f>
        <v>16</v>
      </c>
      <c r="U290" s="32">
        <f>Adatbázis!E290*Q290</f>
        <v>0</v>
      </c>
      <c r="V290" s="6">
        <f>Adatbázis!F290*$Q290/$Q$361</f>
        <v>0</v>
      </c>
      <c r="W290" s="6">
        <f>Adatbázis!G290*$Q290/$Q$361</f>
        <v>0</v>
      </c>
      <c r="X290" s="6">
        <f>Adatbázis!H290*$Q290/$Q$361</f>
        <v>0</v>
      </c>
      <c r="Y290" s="6">
        <f>Adatbázis!I290*$Q290/$Q$361</f>
        <v>0</v>
      </c>
      <c r="Z290" s="6">
        <f>Adatbázis!J290*$Q290/$Q$361</f>
        <v>0</v>
      </c>
      <c r="AA290" s="6">
        <f>Adatbázis!K290*$Q290/$Q$361</f>
        <v>0</v>
      </c>
      <c r="AB290" s="6">
        <f>Adatbázis!L290*$Q290/$Q$361</f>
        <v>0</v>
      </c>
      <c r="AC290" s="50">
        <f>Adatbázis!C290*Q290</f>
        <v>0</v>
      </c>
      <c r="AD290" s="378">
        <f t="shared" si="28"/>
        <v>0</v>
      </c>
      <c r="AF290" s="108" t="s">
        <v>187</v>
      </c>
      <c r="AG290" s="108"/>
      <c r="AH290" s="114"/>
      <c r="AI290" s="115"/>
      <c r="AJ290" s="101"/>
      <c r="AK290" s="108"/>
      <c r="AL290" s="108"/>
      <c r="AM290" s="108"/>
      <c r="AN290" s="108"/>
      <c r="AO290" s="108"/>
      <c r="AP290" s="108"/>
      <c r="AQ290" s="108"/>
      <c r="AR290" s="108"/>
      <c r="AS290" s="110"/>
    </row>
    <row r="291" spans="1:45" ht="15.75" thickBot="1" x14ac:dyDescent="0.3">
      <c r="A291" s="602"/>
      <c r="B291" s="599"/>
      <c r="C291" s="266"/>
      <c r="D291" s="29" t="s">
        <v>14</v>
      </c>
      <c r="E291" s="51"/>
      <c r="F291" s="18">
        <v>41.2</v>
      </c>
      <c r="G291" s="18">
        <v>4</v>
      </c>
      <c r="H291" s="18">
        <v>3.7</v>
      </c>
      <c r="I291" s="18">
        <v>3.2</v>
      </c>
      <c r="J291" s="18">
        <v>1.37</v>
      </c>
      <c r="K291" s="18">
        <v>3.49</v>
      </c>
      <c r="L291" s="18">
        <v>1.55</v>
      </c>
      <c r="M291" s="53"/>
      <c r="N291" s="489" t="s">
        <v>188</v>
      </c>
      <c r="O291" s="489"/>
      <c r="P291" s="489"/>
      <c r="Q291" s="107"/>
      <c r="R291" s="83" t="s">
        <v>133</v>
      </c>
      <c r="S291" s="124">
        <f>$P$11*0.18</f>
        <v>18</v>
      </c>
      <c r="T291" s="122">
        <f>$P$11*0.4</f>
        <v>40</v>
      </c>
      <c r="U291" s="38">
        <f>Adatbázis!E291*Q291</f>
        <v>0</v>
      </c>
      <c r="V291" s="67">
        <f>Adatbázis!F291*$Q291/$Q$361</f>
        <v>0</v>
      </c>
      <c r="W291" s="67">
        <f>Adatbázis!G291*$Q291/$Q$361</f>
        <v>0</v>
      </c>
      <c r="X291" s="67">
        <f>Adatbázis!H291*$Q291/$Q$361</f>
        <v>0</v>
      </c>
      <c r="Y291" s="67">
        <f>Adatbázis!I291*$Q291/$Q$361</f>
        <v>0</v>
      </c>
      <c r="Z291" s="67">
        <f>Adatbázis!J291*$Q291/$Q$361</f>
        <v>0</v>
      </c>
      <c r="AA291" s="67">
        <f>Adatbázis!K291*$Q291/$Q$361</f>
        <v>0</v>
      </c>
      <c r="AB291" s="67">
        <f>Adatbázis!L291*$Q291/$Q$361</f>
        <v>0</v>
      </c>
      <c r="AC291" s="68">
        <f>Adatbázis!C291*Q291</f>
        <v>0</v>
      </c>
      <c r="AD291" s="378">
        <f t="shared" si="28"/>
        <v>0</v>
      </c>
      <c r="AH291" s="34"/>
      <c r="AI291" s="35"/>
    </row>
    <row r="292" spans="1:45" x14ac:dyDescent="0.25">
      <c r="A292" s="602"/>
      <c r="B292" s="597" t="s">
        <v>101</v>
      </c>
      <c r="C292" s="268"/>
      <c r="D292" s="78" t="s">
        <v>14</v>
      </c>
      <c r="E292" s="106"/>
      <c r="F292" s="77">
        <v>40.5</v>
      </c>
      <c r="G292" s="77">
        <v>5</v>
      </c>
      <c r="H292" s="77">
        <v>4.9400000000000004</v>
      </c>
      <c r="I292" s="77">
        <v>2.2000000000000002</v>
      </c>
      <c r="J292" s="77">
        <v>1.19</v>
      </c>
      <c r="K292" s="77">
        <v>3.13</v>
      </c>
      <c r="L292" s="77">
        <v>1.36</v>
      </c>
      <c r="M292" s="144"/>
      <c r="N292" s="590" t="s">
        <v>407</v>
      </c>
      <c r="O292" s="590"/>
      <c r="P292" s="590"/>
      <c r="Q292" s="145"/>
      <c r="R292" s="64" t="s">
        <v>133</v>
      </c>
      <c r="S292" s="89">
        <f>$P$11*0.35</f>
        <v>35</v>
      </c>
      <c r="T292" s="90">
        <f>$P$11*0.35</f>
        <v>35</v>
      </c>
      <c r="U292" s="32">
        <f>Adatbázis!E292*Q292</f>
        <v>0</v>
      </c>
      <c r="V292" s="6">
        <f>Adatbázis!F292*$Q292/$Q$361</f>
        <v>0</v>
      </c>
      <c r="W292" s="6">
        <f>Adatbázis!G292*$Q292/$Q$361</f>
        <v>0</v>
      </c>
      <c r="X292" s="6">
        <f>Adatbázis!H292*$Q292/$Q$361</f>
        <v>0</v>
      </c>
      <c r="Y292" s="6">
        <f>Adatbázis!I292*$Q292/$Q$361</f>
        <v>0</v>
      </c>
      <c r="Z292" s="6">
        <f>Adatbázis!J292*$Q292/$Q$361</f>
        <v>0</v>
      </c>
      <c r="AA292" s="6">
        <f>Adatbázis!K292*$Q292/$Q$361</f>
        <v>0</v>
      </c>
      <c r="AB292" s="6">
        <f>Adatbázis!L292*$Q292/$Q$361</f>
        <v>0</v>
      </c>
      <c r="AC292" s="50">
        <f>Adatbázis!C292*Q292</f>
        <v>0</v>
      </c>
      <c r="AD292" s="378">
        <f t="shared" si="28"/>
        <v>0</v>
      </c>
      <c r="AH292" s="34"/>
      <c r="AI292" s="35"/>
    </row>
    <row r="293" spans="1:45" x14ac:dyDescent="0.25">
      <c r="A293" s="602"/>
      <c r="B293" s="598"/>
      <c r="C293" s="269"/>
      <c r="D293" s="95" t="s">
        <v>14</v>
      </c>
      <c r="E293" s="44"/>
      <c r="F293" s="21">
        <v>29.34</v>
      </c>
      <c r="G293" s="21">
        <v>4.5</v>
      </c>
      <c r="H293" s="21">
        <v>6.42</v>
      </c>
      <c r="I293" s="21">
        <v>9.4700000000000006</v>
      </c>
      <c r="J293" s="21">
        <v>0.97</v>
      </c>
      <c r="K293" s="21">
        <v>1.87</v>
      </c>
      <c r="L293" s="21">
        <v>0.86</v>
      </c>
      <c r="M293" s="118"/>
      <c r="N293" s="476" t="s">
        <v>408</v>
      </c>
      <c r="O293" s="476"/>
      <c r="P293" s="476"/>
      <c r="Q293" s="145"/>
      <c r="R293" s="96" t="s">
        <v>133</v>
      </c>
      <c r="S293" s="161">
        <f>$P$11*0.4</f>
        <v>40</v>
      </c>
      <c r="T293" s="164">
        <f>$P$11*0.4</f>
        <v>40</v>
      </c>
      <c r="U293" s="22">
        <f>Adatbázis!E293*Q293</f>
        <v>0</v>
      </c>
      <c r="V293" s="48">
        <f>Adatbázis!F293*$Q293/$Q$361</f>
        <v>0</v>
      </c>
      <c r="W293" s="48">
        <f>Adatbázis!G293*$Q293/$Q$361</f>
        <v>0</v>
      </c>
      <c r="X293" s="48">
        <f>Adatbázis!H293*$Q293/$Q$361</f>
        <v>0</v>
      </c>
      <c r="Y293" s="48">
        <f>Adatbázis!I293*$Q293/$Q$361</f>
        <v>0</v>
      </c>
      <c r="Z293" s="48">
        <f>Adatbázis!J293*$Q293/$Q$361</f>
        <v>0</v>
      </c>
      <c r="AA293" s="48">
        <f>Adatbázis!K293*$Q293/$Q$361</f>
        <v>0</v>
      </c>
      <c r="AB293" s="48">
        <f>Adatbázis!L293*$Q293/$Q$361</f>
        <v>0</v>
      </c>
      <c r="AC293" s="49">
        <f>Adatbázis!C293*Q293</f>
        <v>0</v>
      </c>
      <c r="AD293" s="378">
        <f t="shared" si="28"/>
        <v>0</v>
      </c>
      <c r="AH293" s="34"/>
      <c r="AI293" s="35"/>
    </row>
    <row r="294" spans="1:45" ht="15.75" thickBot="1" x14ac:dyDescent="0.3">
      <c r="A294" s="602"/>
      <c r="B294" s="599"/>
      <c r="C294" s="269"/>
      <c r="D294" s="95" t="s">
        <v>14</v>
      </c>
      <c r="E294" s="44"/>
      <c r="F294" s="21">
        <v>38.4</v>
      </c>
      <c r="G294" s="21">
        <v>4.05</v>
      </c>
      <c r="H294" s="21">
        <v>6.67</v>
      </c>
      <c r="I294" s="21">
        <v>2.6</v>
      </c>
      <c r="J294" s="21">
        <v>1.21</v>
      </c>
      <c r="K294" s="21">
        <v>4.03</v>
      </c>
      <c r="L294" s="21">
        <v>1.03</v>
      </c>
      <c r="M294" s="118"/>
      <c r="N294" s="476" t="s">
        <v>409</v>
      </c>
      <c r="O294" s="476"/>
      <c r="P294" s="476"/>
      <c r="Q294" s="107"/>
      <c r="R294" s="96" t="s">
        <v>133</v>
      </c>
      <c r="S294" s="264">
        <f>$P$11*0.15</f>
        <v>15</v>
      </c>
      <c r="T294" s="261">
        <f>$P$11*0.2</f>
        <v>20</v>
      </c>
      <c r="U294" s="22">
        <f>Adatbázis!E294*Q294</f>
        <v>0</v>
      </c>
      <c r="V294" s="48">
        <f>Adatbázis!F294*$Q294/$Q$361</f>
        <v>0</v>
      </c>
      <c r="W294" s="48">
        <f>Adatbázis!G294*$Q294/$Q$361</f>
        <v>0</v>
      </c>
      <c r="X294" s="48">
        <f>Adatbázis!H294*$Q294/$Q$361</f>
        <v>0</v>
      </c>
      <c r="Y294" s="48">
        <f>Adatbázis!I294*$Q294/$Q$361</f>
        <v>0</v>
      </c>
      <c r="Z294" s="48">
        <f>Adatbázis!J294*$Q294/$Q$361</f>
        <v>0</v>
      </c>
      <c r="AA294" s="48">
        <f>Adatbázis!K294*$Q294/$Q$361</f>
        <v>0</v>
      </c>
      <c r="AB294" s="48">
        <f>Adatbázis!L294*$Q294/$Q$361</f>
        <v>0</v>
      </c>
      <c r="AC294" s="49">
        <f>Adatbázis!C294*Q294</f>
        <v>0</v>
      </c>
      <c r="AD294" s="378">
        <f t="shared" si="28"/>
        <v>0</v>
      </c>
      <c r="AH294" s="34"/>
      <c r="AI294" s="35"/>
    </row>
    <row r="295" spans="1:45" x14ac:dyDescent="0.25">
      <c r="A295" s="602"/>
      <c r="B295" s="597" t="s">
        <v>269</v>
      </c>
      <c r="C295" s="265"/>
      <c r="D295" s="25" t="s">
        <v>14</v>
      </c>
      <c r="E295" s="37"/>
      <c r="F295" s="19"/>
      <c r="G295" s="19"/>
      <c r="H295" s="19"/>
      <c r="I295" s="19">
        <v>23.35</v>
      </c>
      <c r="J295" s="19">
        <v>6.23</v>
      </c>
      <c r="K295" s="19">
        <v>2.9</v>
      </c>
      <c r="L295" s="19">
        <v>4.57</v>
      </c>
      <c r="M295" s="42"/>
      <c r="N295" s="477" t="s">
        <v>270</v>
      </c>
      <c r="O295" s="477"/>
      <c r="P295" s="477"/>
      <c r="Q295" s="107"/>
      <c r="R295" s="66" t="s">
        <v>133</v>
      </c>
      <c r="S295" s="159">
        <f>$P$11*0.035</f>
        <v>3.5000000000000004</v>
      </c>
      <c r="T295" s="162">
        <f>$P$11*0.035</f>
        <v>3.5000000000000004</v>
      </c>
      <c r="U295" s="37">
        <f>Adatbázis!E295*Q295</f>
        <v>0</v>
      </c>
      <c r="V295" s="26">
        <f>Adatbázis!F295*$Q295/$Q$361</f>
        <v>0</v>
      </c>
      <c r="W295" s="26">
        <f>Adatbázis!G295*$Q295/$Q$361</f>
        <v>0</v>
      </c>
      <c r="X295" s="26">
        <f>Adatbázis!H295*$Q295/$Q$361</f>
        <v>0</v>
      </c>
      <c r="Y295" s="26">
        <f>Adatbázis!I295*$Q295/$Q$361</f>
        <v>0</v>
      </c>
      <c r="Z295" s="26">
        <f>Adatbázis!J295*$Q295/$Q$361</f>
        <v>0</v>
      </c>
      <c r="AA295" s="26">
        <f>Adatbázis!K295*$Q295/$Q$361</f>
        <v>0</v>
      </c>
      <c r="AB295" s="26">
        <f>Adatbázis!L295*$Q295/$Q$361</f>
        <v>0</v>
      </c>
      <c r="AC295" s="40">
        <f>Adatbázis!C295*Q295</f>
        <v>0</v>
      </c>
      <c r="AD295" s="378">
        <f t="shared" si="28"/>
        <v>0</v>
      </c>
      <c r="AH295" s="34"/>
      <c r="AI295" s="35"/>
    </row>
    <row r="296" spans="1:45" ht="15.75" thickBot="1" x14ac:dyDescent="0.3">
      <c r="A296" s="602"/>
      <c r="B296" s="599"/>
      <c r="C296" s="270"/>
      <c r="D296" s="166" t="s">
        <v>14</v>
      </c>
      <c r="E296" s="167"/>
      <c r="F296" s="168"/>
      <c r="G296" s="168"/>
      <c r="H296" s="168"/>
      <c r="I296" s="168">
        <v>26.45</v>
      </c>
      <c r="J296" s="168">
        <v>4.59</v>
      </c>
      <c r="K296" s="168">
        <v>1.97</v>
      </c>
      <c r="L296" s="168">
        <v>1.99</v>
      </c>
      <c r="M296" s="53"/>
      <c r="N296" s="498" t="s">
        <v>271</v>
      </c>
      <c r="O296" s="498"/>
      <c r="P296" s="498"/>
      <c r="Q296" s="145"/>
      <c r="R296" s="169" t="s">
        <v>133</v>
      </c>
      <c r="S296" s="99">
        <f>$P$11*0.04</f>
        <v>4</v>
      </c>
      <c r="T296" s="100">
        <f>$P$11*0.04</f>
        <v>4</v>
      </c>
      <c r="U296" s="167">
        <f>Adatbázis!E296*Q296</f>
        <v>0</v>
      </c>
      <c r="V296" s="170">
        <f>Adatbázis!F296*$Q296/$Q$361</f>
        <v>0</v>
      </c>
      <c r="W296" s="170">
        <f>Adatbázis!G296*$Q296/$Q$361</f>
        <v>0</v>
      </c>
      <c r="X296" s="170">
        <f>Adatbázis!H296*$Q296/$Q$361</f>
        <v>0</v>
      </c>
      <c r="Y296" s="170">
        <f>Adatbázis!I296*$Q296/$Q$361</f>
        <v>0</v>
      </c>
      <c r="Z296" s="170">
        <f>Adatbázis!J296*$Q296/$Q$361</f>
        <v>0</v>
      </c>
      <c r="AA296" s="170">
        <f>Adatbázis!K296*$Q296/$Q$361</f>
        <v>0</v>
      </c>
      <c r="AB296" s="170">
        <f>Adatbázis!L296*$Q296/$Q$361</f>
        <v>0</v>
      </c>
      <c r="AC296" s="171">
        <f>Adatbázis!C296*Q296</f>
        <v>0</v>
      </c>
      <c r="AD296" s="378">
        <f t="shared" si="28"/>
        <v>0</v>
      </c>
      <c r="AH296" s="34"/>
      <c r="AI296" s="35"/>
    </row>
    <row r="297" spans="1:45" x14ac:dyDescent="0.25">
      <c r="A297" s="602"/>
      <c r="B297" s="597" t="s">
        <v>272</v>
      </c>
      <c r="C297" s="265"/>
      <c r="D297" s="25" t="s">
        <v>14</v>
      </c>
      <c r="E297" s="37"/>
      <c r="F297" s="19"/>
      <c r="G297" s="19"/>
      <c r="H297" s="19"/>
      <c r="I297" s="19">
        <v>16.04</v>
      </c>
      <c r="J297" s="19">
        <v>4.93</v>
      </c>
      <c r="K297" s="19"/>
      <c r="L297" s="19"/>
      <c r="M297" s="42"/>
      <c r="N297" s="477" t="s">
        <v>273</v>
      </c>
      <c r="O297" s="477"/>
      <c r="P297" s="477"/>
      <c r="Q297" s="145"/>
      <c r="R297" s="66" t="s">
        <v>133</v>
      </c>
      <c r="S297" s="159">
        <f>$P$11*0.02</f>
        <v>2</v>
      </c>
      <c r="T297" s="162">
        <f>$P$11*0.02</f>
        <v>2</v>
      </c>
      <c r="U297" s="37">
        <f>Adatbázis!E297*Q297</f>
        <v>0</v>
      </c>
      <c r="V297" s="26">
        <f>Adatbázis!F297*$Q297/$Q$361</f>
        <v>0</v>
      </c>
      <c r="W297" s="26">
        <f>Adatbázis!G297*$Q297/$Q$361</f>
        <v>0</v>
      </c>
      <c r="X297" s="26">
        <f>Adatbázis!H297*$Q297/$Q$361</f>
        <v>0</v>
      </c>
      <c r="Y297" s="26">
        <f>Adatbázis!I297*$Q297/$Q$361</f>
        <v>0</v>
      </c>
      <c r="Z297" s="26">
        <f>Adatbázis!J297*$Q297/$Q$361</f>
        <v>0</v>
      </c>
      <c r="AA297" s="26">
        <f>Adatbázis!K297*$Q297/$Q$361</f>
        <v>0</v>
      </c>
      <c r="AB297" s="26">
        <f>Adatbázis!L297*$Q297/$Q$361</f>
        <v>0</v>
      </c>
      <c r="AC297" s="40">
        <f>Adatbázis!C297*Q297</f>
        <v>0</v>
      </c>
      <c r="AD297" s="378">
        <f t="shared" si="28"/>
        <v>0</v>
      </c>
      <c r="AH297" s="34"/>
      <c r="AI297" s="35"/>
    </row>
    <row r="298" spans="1:45" ht="15.75" thickBot="1" x14ac:dyDescent="0.3">
      <c r="A298" s="602"/>
      <c r="B298" s="599"/>
      <c r="C298" s="270"/>
      <c r="D298" s="166" t="s">
        <v>14</v>
      </c>
      <c r="E298" s="167"/>
      <c r="F298" s="168"/>
      <c r="G298" s="168"/>
      <c r="H298" s="168"/>
      <c r="I298" s="168">
        <v>29.63</v>
      </c>
      <c r="J298" s="168">
        <v>2.46</v>
      </c>
      <c r="K298" s="168"/>
      <c r="L298" s="168"/>
      <c r="M298" s="53"/>
      <c r="N298" s="498" t="s">
        <v>274</v>
      </c>
      <c r="O298" s="498"/>
      <c r="P298" s="498"/>
      <c r="Q298" s="107"/>
      <c r="R298" s="169" t="s">
        <v>133</v>
      </c>
      <c r="S298" s="99">
        <f>$P$11*0.05</f>
        <v>5</v>
      </c>
      <c r="T298" s="100">
        <f>$P$11*0.05</f>
        <v>5</v>
      </c>
      <c r="U298" s="167">
        <f>Adatbázis!E298*Q298</f>
        <v>0</v>
      </c>
      <c r="V298" s="170">
        <f>Adatbázis!F298*$Q298/$Q$361</f>
        <v>0</v>
      </c>
      <c r="W298" s="170">
        <f>Adatbázis!G298*$Q298/$Q$361</f>
        <v>0</v>
      </c>
      <c r="X298" s="170">
        <f>Adatbázis!H298*$Q298/$Q$361</f>
        <v>0</v>
      </c>
      <c r="Y298" s="170">
        <f>Adatbázis!I298*$Q298/$Q$361</f>
        <v>0</v>
      </c>
      <c r="Z298" s="170">
        <f>Adatbázis!J298*$Q298/$Q$361</f>
        <v>0</v>
      </c>
      <c r="AA298" s="170">
        <f>Adatbázis!K298*$Q298/$Q$361</f>
        <v>0</v>
      </c>
      <c r="AB298" s="170">
        <f>Adatbázis!L298*$Q298/$Q$361</f>
        <v>0</v>
      </c>
      <c r="AC298" s="171">
        <f>Adatbázis!C298*Q298</f>
        <v>0</v>
      </c>
      <c r="AD298" s="378">
        <f t="shared" si="28"/>
        <v>0</v>
      </c>
      <c r="AH298" s="34"/>
      <c r="AI298" s="35"/>
    </row>
    <row r="299" spans="1:45" x14ac:dyDescent="0.25">
      <c r="A299" s="602"/>
      <c r="B299" s="597" t="s">
        <v>275</v>
      </c>
      <c r="C299" s="265"/>
      <c r="D299" s="25" t="s">
        <v>14</v>
      </c>
      <c r="E299" s="37"/>
      <c r="F299" s="19">
        <v>36.81</v>
      </c>
      <c r="G299" s="19">
        <v>2.36</v>
      </c>
      <c r="H299" s="19">
        <v>7.29</v>
      </c>
      <c r="I299" s="19">
        <v>2.2999999999999998</v>
      </c>
      <c r="J299" s="19">
        <v>0.79</v>
      </c>
      <c r="K299" s="19">
        <v>2.1800000000000002</v>
      </c>
      <c r="L299" s="19">
        <v>0.51</v>
      </c>
      <c r="M299" s="42"/>
      <c r="N299" s="477" t="s">
        <v>276</v>
      </c>
      <c r="O299" s="477"/>
      <c r="P299" s="477"/>
      <c r="Q299" s="107"/>
      <c r="R299" s="66" t="s">
        <v>133</v>
      </c>
      <c r="S299" s="159">
        <f>$P$11*0.35</f>
        <v>35</v>
      </c>
      <c r="T299" s="162">
        <f>$P$11*0.35</f>
        <v>35</v>
      </c>
      <c r="U299" s="37">
        <f>Adatbázis!E299*Q299</f>
        <v>0</v>
      </c>
      <c r="V299" s="26">
        <f>Adatbázis!F299*$Q299/$Q$361</f>
        <v>0</v>
      </c>
      <c r="W299" s="26">
        <f>Adatbázis!G299*$Q299/$Q$361</f>
        <v>0</v>
      </c>
      <c r="X299" s="26">
        <f>Adatbázis!H299*$Q299/$Q$361</f>
        <v>0</v>
      </c>
      <c r="Y299" s="26">
        <f>Adatbázis!I299*$Q299/$Q$361</f>
        <v>0</v>
      </c>
      <c r="Z299" s="26">
        <f>Adatbázis!J299*$Q299/$Q$361</f>
        <v>0</v>
      </c>
      <c r="AA299" s="26">
        <f>Adatbázis!K299*$Q299/$Q$361</f>
        <v>0</v>
      </c>
      <c r="AB299" s="26">
        <f>Adatbázis!L299*$Q299/$Q$361</f>
        <v>0</v>
      </c>
      <c r="AC299" s="40">
        <f>Adatbázis!C299*Q299</f>
        <v>0</v>
      </c>
      <c r="AD299" s="378">
        <f t="shared" si="28"/>
        <v>0</v>
      </c>
      <c r="AH299" s="34"/>
      <c r="AI299" s="35"/>
    </row>
    <row r="300" spans="1:45" ht="15" customHeight="1" thickBot="1" x14ac:dyDescent="0.3">
      <c r="A300" s="602"/>
      <c r="B300" s="598"/>
      <c r="C300" s="269"/>
      <c r="D300" s="165" t="s">
        <v>14</v>
      </c>
      <c r="E300" s="22"/>
      <c r="F300" s="21">
        <v>32.450000000000003</v>
      </c>
      <c r="G300" s="21">
        <v>8.86</v>
      </c>
      <c r="H300" s="21">
        <v>17.28</v>
      </c>
      <c r="I300" s="21">
        <v>0.13</v>
      </c>
      <c r="J300" s="21">
        <v>0.24</v>
      </c>
      <c r="K300" s="21">
        <v>1.79</v>
      </c>
      <c r="L300" s="21">
        <v>0.56999999999999995</v>
      </c>
      <c r="M300" s="118"/>
      <c r="N300" s="476" t="s">
        <v>277</v>
      </c>
      <c r="O300" s="476"/>
      <c r="P300" s="476"/>
      <c r="Q300" s="145"/>
      <c r="R300" s="96" t="s">
        <v>133</v>
      </c>
      <c r="S300" s="222" t="s">
        <v>180</v>
      </c>
      <c r="T300" s="223" t="s">
        <v>181</v>
      </c>
      <c r="U300" s="22">
        <f>Adatbázis!E300*Q300</f>
        <v>0</v>
      </c>
      <c r="V300" s="48">
        <f>Adatbázis!F300*$Q300/$Q$361</f>
        <v>0</v>
      </c>
      <c r="W300" s="48">
        <f>Adatbázis!G300*$Q300/$Q$361</f>
        <v>0</v>
      </c>
      <c r="X300" s="48">
        <f>Adatbázis!H300*$Q300/$Q$361</f>
        <v>0</v>
      </c>
      <c r="Y300" s="48">
        <f>Adatbázis!I300*$Q300/$Q$361</f>
        <v>0</v>
      </c>
      <c r="Z300" s="48">
        <f>Adatbázis!J300*$Q300/$Q$361</f>
        <v>0</v>
      </c>
      <c r="AA300" s="48">
        <f>Adatbázis!K300*$Q300/$Q$361</f>
        <v>0</v>
      </c>
      <c r="AB300" s="48">
        <f>Adatbázis!L300*$Q300/$Q$361</f>
        <v>0</v>
      </c>
      <c r="AC300" s="49">
        <f>Adatbázis!C300*Q300</f>
        <v>0</v>
      </c>
      <c r="AD300" s="434"/>
      <c r="AE300" s="434"/>
      <c r="AH300" s="34"/>
      <c r="AI300" s="35"/>
    </row>
    <row r="301" spans="1:45" ht="15" customHeight="1" x14ac:dyDescent="0.25">
      <c r="A301" s="602"/>
      <c r="B301" s="526" t="s">
        <v>148</v>
      </c>
      <c r="C301" s="265"/>
      <c r="D301" s="25" t="s">
        <v>14</v>
      </c>
      <c r="E301" s="37">
        <v>6.44</v>
      </c>
      <c r="F301" s="19">
        <v>32.21</v>
      </c>
      <c r="G301" s="19">
        <v>1.88</v>
      </c>
      <c r="H301" s="19">
        <v>12.05</v>
      </c>
      <c r="I301" s="19">
        <v>4.57</v>
      </c>
      <c r="J301" s="19">
        <v>2.4500000000000002</v>
      </c>
      <c r="K301" s="19">
        <v>1.54</v>
      </c>
      <c r="L301" s="19">
        <v>0.64</v>
      </c>
      <c r="M301" s="42"/>
      <c r="N301" s="477" t="s">
        <v>300</v>
      </c>
      <c r="O301" s="477"/>
      <c r="P301" s="477"/>
      <c r="Q301" s="145"/>
      <c r="R301" s="66" t="s">
        <v>133</v>
      </c>
      <c r="S301" s="214">
        <f>$P$11*0.27</f>
        <v>27</v>
      </c>
      <c r="T301" s="212">
        <f>$P$11*0.27</f>
        <v>27</v>
      </c>
      <c r="U301" s="37">
        <f>Adatbázis!E301*Q301</f>
        <v>0</v>
      </c>
      <c r="V301" s="26">
        <f>Adatbázis!F301*$Q301/$Q$361</f>
        <v>0</v>
      </c>
      <c r="W301" s="26">
        <f>Adatbázis!G301*$Q301/$Q$361</f>
        <v>0</v>
      </c>
      <c r="X301" s="26">
        <f>Adatbázis!H301*$Q301/$Q$361</f>
        <v>0</v>
      </c>
      <c r="Y301" s="26">
        <f>Adatbázis!I301*$Q301/$Q$361</f>
        <v>0</v>
      </c>
      <c r="Z301" s="26">
        <f>Adatbázis!J301*$Q301/$Q$361</f>
        <v>0</v>
      </c>
      <c r="AA301" s="26">
        <f>Adatbázis!K301*$Q301/$Q$361</f>
        <v>0</v>
      </c>
      <c r="AB301" s="26">
        <f>Adatbázis!L301*$Q301/$Q$361</f>
        <v>0</v>
      </c>
      <c r="AC301" s="40">
        <f>Adatbázis!C301*Q301</f>
        <v>0</v>
      </c>
      <c r="AD301" s="378">
        <f t="shared" ref="AD301:AD334" si="30">IF(AND(Q301&gt;=S301,Q301&lt;=T301),1,0)</f>
        <v>0</v>
      </c>
      <c r="AH301" s="34"/>
      <c r="AI301" s="35"/>
    </row>
    <row r="302" spans="1:45" ht="15" customHeight="1" x14ac:dyDescent="0.25">
      <c r="A302" s="602"/>
      <c r="B302" s="527"/>
      <c r="C302" s="267"/>
      <c r="D302" s="27" t="s">
        <v>14</v>
      </c>
      <c r="E302" s="36">
        <v>6.01</v>
      </c>
      <c r="F302" s="4">
        <v>29.5</v>
      </c>
      <c r="G302" s="4">
        <v>1.43</v>
      </c>
      <c r="H302" s="4">
        <v>3.24</v>
      </c>
      <c r="I302" s="4">
        <v>12.75</v>
      </c>
      <c r="J302" s="4">
        <v>1.26</v>
      </c>
      <c r="K302" s="4">
        <v>1.86</v>
      </c>
      <c r="L302" s="4">
        <v>0.78</v>
      </c>
      <c r="M302" s="43"/>
      <c r="N302" s="472" t="s">
        <v>301</v>
      </c>
      <c r="O302" s="472"/>
      <c r="P302" s="472"/>
      <c r="Q302" s="107"/>
      <c r="R302" s="79" t="s">
        <v>133</v>
      </c>
      <c r="S302" s="215">
        <f>$P$11*0.35</f>
        <v>35</v>
      </c>
      <c r="T302" s="213">
        <f>$P$11*0.35</f>
        <v>35</v>
      </c>
      <c r="U302" s="36">
        <f>Adatbázis!E302*Q302</f>
        <v>0</v>
      </c>
      <c r="V302" s="28">
        <f>Adatbázis!F302*$Q302/$Q$361</f>
        <v>0</v>
      </c>
      <c r="W302" s="28">
        <f>Adatbázis!G302*$Q302/$Q$361</f>
        <v>0</v>
      </c>
      <c r="X302" s="28">
        <f>Adatbázis!H302*$Q302/$Q$361</f>
        <v>0</v>
      </c>
      <c r="Y302" s="28">
        <f>Adatbázis!I302*$Q302/$Q$361</f>
        <v>0</v>
      </c>
      <c r="Z302" s="28">
        <f>Adatbázis!J302*$Q302/$Q$361</f>
        <v>0</v>
      </c>
      <c r="AA302" s="28">
        <f>Adatbázis!K302*$Q302/$Q$361</f>
        <v>0</v>
      </c>
      <c r="AB302" s="28">
        <f>Adatbázis!L302*$Q302/$Q$361</f>
        <v>0</v>
      </c>
      <c r="AC302" s="41">
        <f>Adatbázis!C302*Q302</f>
        <v>0</v>
      </c>
      <c r="AD302" s="378">
        <f t="shared" si="30"/>
        <v>0</v>
      </c>
      <c r="AH302" s="34"/>
      <c r="AI302" s="35"/>
    </row>
    <row r="303" spans="1:45" ht="15" customHeight="1" thickBot="1" x14ac:dyDescent="0.3">
      <c r="A303" s="602"/>
      <c r="B303" s="528"/>
      <c r="C303" s="269"/>
      <c r="D303" s="95" t="s">
        <v>14</v>
      </c>
      <c r="E303" s="22"/>
      <c r="F303" s="21"/>
      <c r="G303" s="21"/>
      <c r="H303" s="21"/>
      <c r="I303" s="21">
        <v>21.16</v>
      </c>
      <c r="J303" s="21">
        <v>4.62</v>
      </c>
      <c r="K303" s="21">
        <v>0.08</v>
      </c>
      <c r="L303" s="21">
        <v>0.04</v>
      </c>
      <c r="M303" s="118"/>
      <c r="N303" s="476" t="s">
        <v>302</v>
      </c>
      <c r="O303" s="476"/>
      <c r="P303" s="476"/>
      <c r="Q303" s="107"/>
      <c r="R303" s="96" t="s">
        <v>133</v>
      </c>
      <c r="S303" s="423">
        <f>$P$11*0.05</f>
        <v>5</v>
      </c>
      <c r="T303" s="422">
        <f>$P$11*0.05</f>
        <v>5</v>
      </c>
      <c r="U303" s="22">
        <f>Adatbázis!E303*Q303</f>
        <v>0</v>
      </c>
      <c r="V303" s="48">
        <f>Adatbázis!F303*$Q303/$Q$361</f>
        <v>0</v>
      </c>
      <c r="W303" s="48">
        <f>Adatbázis!G303*$Q303/$Q$361</f>
        <v>0</v>
      </c>
      <c r="X303" s="48">
        <f>Adatbázis!H303*$Q303/$Q$361</f>
        <v>0</v>
      </c>
      <c r="Y303" s="48">
        <f>Adatbázis!I303*$Q303/$Q$361</f>
        <v>0</v>
      </c>
      <c r="Z303" s="48">
        <f>Adatbázis!J303*$Q303/$Q$361</f>
        <v>0</v>
      </c>
      <c r="AA303" s="48">
        <f>Adatbázis!K303*$Q303/$Q$361</f>
        <v>0</v>
      </c>
      <c r="AB303" s="48">
        <f>Adatbázis!L303*$Q303/$Q$361</f>
        <v>0</v>
      </c>
      <c r="AC303" s="49">
        <f>Adatbázis!C303*Q303</f>
        <v>0</v>
      </c>
      <c r="AD303" s="378">
        <f t="shared" si="30"/>
        <v>0</v>
      </c>
      <c r="AH303" s="34"/>
      <c r="AI303" s="35"/>
    </row>
    <row r="304" spans="1:45" ht="15" customHeight="1" x14ac:dyDescent="0.25">
      <c r="A304" s="602"/>
      <c r="B304" s="526" t="s">
        <v>432</v>
      </c>
      <c r="C304" s="265"/>
      <c r="D304" s="25" t="s">
        <v>14</v>
      </c>
      <c r="E304" s="37"/>
      <c r="F304" s="19"/>
      <c r="G304" s="19"/>
      <c r="H304" s="19"/>
      <c r="I304" s="19">
        <v>26.46</v>
      </c>
      <c r="J304" s="19">
        <v>4.29</v>
      </c>
      <c r="K304" s="19"/>
      <c r="L304" s="19">
        <v>1.98</v>
      </c>
      <c r="M304" s="42"/>
      <c r="N304" s="600" t="s">
        <v>433</v>
      </c>
      <c r="O304" s="600"/>
      <c r="P304" s="600"/>
      <c r="Q304" s="145"/>
      <c r="R304" s="66" t="s">
        <v>133</v>
      </c>
      <c r="S304" s="450">
        <f>$P$11*0.025</f>
        <v>2.5</v>
      </c>
      <c r="T304" s="448">
        <f>$P$11*0.025</f>
        <v>2.5</v>
      </c>
      <c r="U304" s="37">
        <f>Adatbázis!E304*Q304</f>
        <v>0</v>
      </c>
      <c r="V304" s="26">
        <f>Adatbázis!F304*$Q304/$Q$361</f>
        <v>0</v>
      </c>
      <c r="W304" s="26">
        <f>Adatbázis!G304*$Q304/$Q$361</f>
        <v>0</v>
      </c>
      <c r="X304" s="26">
        <f>Adatbázis!H304*$Q304/$Q$361</f>
        <v>0</v>
      </c>
      <c r="Y304" s="26">
        <f>Adatbázis!I304*$Q304/$Q$361</f>
        <v>0</v>
      </c>
      <c r="Z304" s="26">
        <f>Adatbázis!J304*$Q304/$Q$361</f>
        <v>0</v>
      </c>
      <c r="AA304" s="26">
        <f>Adatbázis!K304*$Q304/$Q$361</f>
        <v>0</v>
      </c>
      <c r="AB304" s="26">
        <f>Adatbázis!L304*$Q304/$Q$361</f>
        <v>0</v>
      </c>
      <c r="AC304" s="40">
        <f>Adatbázis!C304*Q304</f>
        <v>0</v>
      </c>
      <c r="AD304" s="378">
        <f t="shared" si="30"/>
        <v>0</v>
      </c>
      <c r="AH304" s="34"/>
      <c r="AI304" s="35"/>
    </row>
    <row r="305" spans="1:35" ht="15" customHeight="1" x14ac:dyDescent="0.25">
      <c r="A305" s="602"/>
      <c r="B305" s="527"/>
      <c r="C305" s="267"/>
      <c r="D305" s="27" t="s">
        <v>14</v>
      </c>
      <c r="E305" s="36"/>
      <c r="F305" s="4"/>
      <c r="G305" s="4"/>
      <c r="H305" s="4"/>
      <c r="I305" s="4">
        <v>25.71</v>
      </c>
      <c r="J305" s="4">
        <v>4.29</v>
      </c>
      <c r="K305" s="4"/>
      <c r="L305" s="4">
        <v>1.98</v>
      </c>
      <c r="M305" s="43"/>
      <c r="N305" s="510" t="s">
        <v>463</v>
      </c>
      <c r="O305" s="510"/>
      <c r="P305" s="510"/>
      <c r="Q305" s="145"/>
      <c r="R305" s="79" t="s">
        <v>133</v>
      </c>
      <c r="S305" s="451">
        <f>$P$11*0.025</f>
        <v>2.5</v>
      </c>
      <c r="T305" s="449">
        <f>$P$11*0.025</f>
        <v>2.5</v>
      </c>
      <c r="U305" s="36">
        <f>Adatbázis!E305*Q305</f>
        <v>0</v>
      </c>
      <c r="V305" s="28">
        <f>Adatbázis!F305*$Q305/$Q$361</f>
        <v>0</v>
      </c>
      <c r="W305" s="28">
        <f>Adatbázis!G305*$Q305/$Q$361</f>
        <v>0</v>
      </c>
      <c r="X305" s="28">
        <f>Adatbázis!H305*$Q305/$Q$361</f>
        <v>0</v>
      </c>
      <c r="Y305" s="28">
        <f>Adatbázis!I305*$Q305/$Q$361</f>
        <v>0</v>
      </c>
      <c r="Z305" s="28">
        <f>Adatbázis!J305*$Q305/$Q$361</f>
        <v>0</v>
      </c>
      <c r="AA305" s="28">
        <f>Adatbázis!K305*$Q305/$Q$361</f>
        <v>0</v>
      </c>
      <c r="AB305" s="28">
        <f>Adatbázis!L305*$Q305/$Q$361</f>
        <v>0</v>
      </c>
      <c r="AC305" s="41">
        <f>Adatbázis!C305*Q305</f>
        <v>0</v>
      </c>
      <c r="AD305" s="378">
        <f t="shared" ref="AD305" si="31">IF(AND(Q305&gt;=S305,Q305&lt;=T305),1,0)</f>
        <v>0</v>
      </c>
      <c r="AH305" s="34"/>
      <c r="AI305" s="35"/>
    </row>
    <row r="306" spans="1:35" ht="15" customHeight="1" thickBot="1" x14ac:dyDescent="0.3">
      <c r="A306" s="602"/>
      <c r="B306" s="529"/>
      <c r="C306" s="266"/>
      <c r="D306" s="29" t="s">
        <v>14</v>
      </c>
      <c r="E306" s="38"/>
      <c r="F306" s="18"/>
      <c r="G306" s="18"/>
      <c r="H306" s="18"/>
      <c r="I306" s="18">
        <v>23.33</v>
      </c>
      <c r="J306" s="18"/>
      <c r="K306" s="18">
        <v>4</v>
      </c>
      <c r="L306" s="18">
        <v>1</v>
      </c>
      <c r="M306" s="53"/>
      <c r="N306" s="601" t="s">
        <v>434</v>
      </c>
      <c r="O306" s="601"/>
      <c r="P306" s="601"/>
      <c r="Q306" s="107"/>
      <c r="R306" s="83" t="s">
        <v>133</v>
      </c>
      <c r="S306" s="376">
        <f>$P$11*0.01</f>
        <v>1</v>
      </c>
      <c r="T306" s="373">
        <f>$P$11*0.01</f>
        <v>1</v>
      </c>
      <c r="U306" s="38">
        <f>Adatbázis!E306*Q306</f>
        <v>0</v>
      </c>
      <c r="V306" s="67">
        <f>Adatbázis!F306*$Q306/$Q$361</f>
        <v>0</v>
      </c>
      <c r="W306" s="67">
        <f>Adatbázis!G306*$Q306/$Q$361</f>
        <v>0</v>
      </c>
      <c r="X306" s="67">
        <f>Adatbázis!H306*$Q306/$Q$361</f>
        <v>0</v>
      </c>
      <c r="Y306" s="67">
        <f>Adatbázis!I306*$Q306/$Q$361</f>
        <v>0</v>
      </c>
      <c r="Z306" s="67">
        <f>Adatbázis!J306*$Q306/$Q$361</f>
        <v>0</v>
      </c>
      <c r="AA306" s="67">
        <f>Adatbázis!K306*$Q306/$Q$361</f>
        <v>0</v>
      </c>
      <c r="AB306" s="67">
        <f>Adatbázis!L306*$Q306/$Q$361</f>
        <v>0</v>
      </c>
      <c r="AC306" s="68">
        <f>Adatbázis!C306*Q306</f>
        <v>0</v>
      </c>
      <c r="AD306" s="378">
        <f t="shared" si="30"/>
        <v>0</v>
      </c>
      <c r="AH306" s="34"/>
      <c r="AI306" s="35"/>
    </row>
    <row r="307" spans="1:35" ht="15" customHeight="1" x14ac:dyDescent="0.25">
      <c r="A307" s="602"/>
      <c r="B307" s="598" t="s">
        <v>297</v>
      </c>
      <c r="C307" s="268"/>
      <c r="D307" s="78" t="s">
        <v>14</v>
      </c>
      <c r="E307" s="32"/>
      <c r="F307" s="77">
        <v>28.42</v>
      </c>
      <c r="G307" s="77">
        <v>1.1599999999999999</v>
      </c>
      <c r="H307" s="77">
        <v>7.19</v>
      </c>
      <c r="I307" s="77">
        <v>8.6999999999999993</v>
      </c>
      <c r="J307" s="77">
        <v>1.37</v>
      </c>
      <c r="K307" s="77">
        <v>1.91</v>
      </c>
      <c r="L307" s="77">
        <v>0.6</v>
      </c>
      <c r="M307" s="144"/>
      <c r="N307" s="481" t="s">
        <v>298</v>
      </c>
      <c r="O307" s="481"/>
      <c r="P307" s="481"/>
      <c r="Q307" s="107"/>
      <c r="R307" s="64" t="s">
        <v>133</v>
      </c>
      <c r="S307" s="89">
        <f>$P$11*0.35</f>
        <v>35</v>
      </c>
      <c r="T307" s="90">
        <f>$P$11*0.4</f>
        <v>40</v>
      </c>
      <c r="U307" s="216">
        <f>Adatbázis!E307*Q307</f>
        <v>0</v>
      </c>
      <c r="V307" s="219">
        <f>Adatbázis!F307*$Q307/$Q$361</f>
        <v>0</v>
      </c>
      <c r="W307" s="219">
        <f>Adatbázis!G307*$Q307/$Q$361</f>
        <v>0</v>
      </c>
      <c r="X307" s="219">
        <f>Adatbázis!H307*$Q307/$Q$361</f>
        <v>0</v>
      </c>
      <c r="Y307" s="219">
        <f>Adatbázis!I307*$Q307/$Q$361</f>
        <v>0</v>
      </c>
      <c r="Z307" s="219">
        <f>Adatbázis!J307*$Q307/$Q$361</f>
        <v>0</v>
      </c>
      <c r="AA307" s="219">
        <f>Adatbázis!K307*$Q307/$Q$361</f>
        <v>0</v>
      </c>
      <c r="AB307" s="219">
        <f>Adatbázis!L307*$Q307/$Q$361</f>
        <v>0</v>
      </c>
      <c r="AC307" s="220">
        <f>Adatbázis!C307*Q307</f>
        <v>0</v>
      </c>
      <c r="AD307" s="378">
        <f t="shared" si="30"/>
        <v>0</v>
      </c>
      <c r="AH307" s="34"/>
      <c r="AI307" s="35"/>
    </row>
    <row r="308" spans="1:35" ht="15" customHeight="1" thickBot="1" x14ac:dyDescent="0.3">
      <c r="A308" s="602"/>
      <c r="B308" s="598"/>
      <c r="C308" s="269"/>
      <c r="D308" s="165" t="s">
        <v>14</v>
      </c>
      <c r="E308" s="22"/>
      <c r="F308" s="21">
        <v>31.8</v>
      </c>
      <c r="G308" s="21">
        <v>0.9</v>
      </c>
      <c r="H308" s="21">
        <v>4.37</v>
      </c>
      <c r="I308" s="21">
        <v>9.3800000000000008</v>
      </c>
      <c r="J308" s="21">
        <v>1.1499999999999999</v>
      </c>
      <c r="K308" s="21">
        <v>2.11</v>
      </c>
      <c r="L308" s="21">
        <v>0.85</v>
      </c>
      <c r="M308" s="118"/>
      <c r="N308" s="476" t="s">
        <v>299</v>
      </c>
      <c r="O308" s="476"/>
      <c r="P308" s="476"/>
      <c r="Q308" s="145"/>
      <c r="R308" s="96" t="s">
        <v>133</v>
      </c>
      <c r="S308" s="264">
        <f>$P$11*0.35</f>
        <v>35</v>
      </c>
      <c r="T308" s="261">
        <f>$P$11*0.35</f>
        <v>35</v>
      </c>
      <c r="U308" s="22">
        <f>Adatbázis!E308*Q308</f>
        <v>0</v>
      </c>
      <c r="V308" s="48">
        <f>Adatbázis!F308*$Q308/$Q$361</f>
        <v>0</v>
      </c>
      <c r="W308" s="48">
        <f>Adatbázis!G308*$Q308/$Q$361</f>
        <v>0</v>
      </c>
      <c r="X308" s="48">
        <f>Adatbázis!H308*$Q308/$Q$361</f>
        <v>0</v>
      </c>
      <c r="Y308" s="48">
        <f>Adatbázis!I308*$Q308/$Q$361</f>
        <v>0</v>
      </c>
      <c r="Z308" s="48">
        <f>Adatbázis!J308*$Q308/$Q$361</f>
        <v>0</v>
      </c>
      <c r="AA308" s="48">
        <f>Adatbázis!K308*$Q308/$Q$361</f>
        <v>0</v>
      </c>
      <c r="AB308" s="48">
        <f>Adatbázis!L308*$Q308/$Q$361</f>
        <v>0</v>
      </c>
      <c r="AC308" s="49">
        <f>Adatbázis!C308*Q308</f>
        <v>0</v>
      </c>
      <c r="AD308" s="378">
        <f t="shared" si="30"/>
        <v>0</v>
      </c>
      <c r="AH308" s="34"/>
      <c r="AI308" s="35"/>
    </row>
    <row r="309" spans="1:35" ht="15" customHeight="1" thickBot="1" x14ac:dyDescent="0.3">
      <c r="A309" s="602"/>
      <c r="B309" s="320" t="s">
        <v>383</v>
      </c>
      <c r="C309" s="321"/>
      <c r="D309" s="322" t="s">
        <v>14</v>
      </c>
      <c r="E309" s="323"/>
      <c r="F309" s="324">
        <v>30</v>
      </c>
      <c r="G309" s="324">
        <v>4.76</v>
      </c>
      <c r="H309" s="324">
        <v>5.62</v>
      </c>
      <c r="I309" s="324">
        <v>9.1999999999999993</v>
      </c>
      <c r="J309" s="324">
        <v>1.2</v>
      </c>
      <c r="K309" s="324">
        <v>2.77</v>
      </c>
      <c r="L309" s="324">
        <v>0.73</v>
      </c>
      <c r="M309" s="325"/>
      <c r="N309" s="591" t="s">
        <v>384</v>
      </c>
      <c r="O309" s="591"/>
      <c r="P309" s="591"/>
      <c r="Q309" s="145"/>
      <c r="R309" s="326" t="s">
        <v>133</v>
      </c>
      <c r="S309" s="327">
        <f>$P$11*0.4</f>
        <v>40</v>
      </c>
      <c r="T309" s="328">
        <f>$P$11*0.4</f>
        <v>40</v>
      </c>
      <c r="U309" s="323">
        <f>Adatbázis!E309*Q309</f>
        <v>0</v>
      </c>
      <c r="V309" s="329">
        <f>Adatbázis!F309*$Q309/$Q$361</f>
        <v>0</v>
      </c>
      <c r="W309" s="329">
        <f>Adatbázis!G309*$Q309/$Q$361</f>
        <v>0</v>
      </c>
      <c r="X309" s="329">
        <f>Adatbázis!H309*$Q309/$Q$361</f>
        <v>0</v>
      </c>
      <c r="Y309" s="329">
        <f>Adatbázis!I309*$Q309/$Q$361</f>
        <v>0</v>
      </c>
      <c r="Z309" s="329">
        <f>Adatbázis!J309*$Q309/$Q$361</f>
        <v>0</v>
      </c>
      <c r="AA309" s="329">
        <f>Adatbázis!K309*$Q309/$Q$361</f>
        <v>0</v>
      </c>
      <c r="AB309" s="329">
        <f>Adatbázis!L309*$Q309/$Q$361</f>
        <v>0</v>
      </c>
      <c r="AC309" s="330">
        <f>Adatbázis!C309*Q309</f>
        <v>0</v>
      </c>
      <c r="AD309" s="378">
        <f t="shared" si="30"/>
        <v>0</v>
      </c>
      <c r="AH309" s="34"/>
      <c r="AI309" s="35"/>
    </row>
    <row r="310" spans="1:35" ht="15" customHeight="1" thickBot="1" x14ac:dyDescent="0.3">
      <c r="A310" s="602"/>
      <c r="B310" s="604" t="s">
        <v>286</v>
      </c>
      <c r="C310" s="268"/>
      <c r="D310" s="78" t="s">
        <v>14</v>
      </c>
      <c r="E310" s="32"/>
      <c r="F310" s="77"/>
      <c r="G310" s="77"/>
      <c r="H310" s="77"/>
      <c r="I310" s="77">
        <v>31.5</v>
      </c>
      <c r="J310" s="77">
        <v>5</v>
      </c>
      <c r="K310" s="77"/>
      <c r="L310" s="77">
        <v>0.15</v>
      </c>
      <c r="M310" s="144"/>
      <c r="N310" s="590" t="s">
        <v>283</v>
      </c>
      <c r="O310" s="590"/>
      <c r="P310" s="590"/>
      <c r="Q310" s="107"/>
      <c r="R310" s="221" t="s">
        <v>133</v>
      </c>
      <c r="S310" s="217">
        <f>$P$11*0.054</f>
        <v>5.4</v>
      </c>
      <c r="T310" s="218">
        <f>$P$11*0.077</f>
        <v>7.7</v>
      </c>
      <c r="U310" s="216">
        <f>Adatbázis!E310*Q310</f>
        <v>0</v>
      </c>
      <c r="V310" s="219">
        <f>Adatbázis!F310*$Q310/$Q$361</f>
        <v>0</v>
      </c>
      <c r="W310" s="219">
        <f>Adatbázis!G310*$Q310/$Q$361</f>
        <v>0</v>
      </c>
      <c r="X310" s="219">
        <f>Adatbázis!H310*$Q310/$Q$361</f>
        <v>0</v>
      </c>
      <c r="Y310" s="219">
        <f>Adatbázis!I310*$Q310/$Q$361</f>
        <v>0</v>
      </c>
      <c r="Z310" s="219">
        <f>Adatbázis!J310*$Q310/$Q$361</f>
        <v>0</v>
      </c>
      <c r="AA310" s="219">
        <f>Adatbázis!K310*$Q310/$Q$361</f>
        <v>0</v>
      </c>
      <c r="AB310" s="219">
        <f>Adatbázis!L310*$Q310/$Q$361</f>
        <v>0</v>
      </c>
      <c r="AC310" s="220">
        <f>Adatbázis!C310*Q310</f>
        <v>0</v>
      </c>
      <c r="AD310" s="378">
        <f t="shared" si="30"/>
        <v>0</v>
      </c>
      <c r="AF310" s="653" t="s">
        <v>282</v>
      </c>
      <c r="AG310" s="582"/>
      <c r="AH310" s="582"/>
      <c r="AI310" s="583"/>
    </row>
    <row r="311" spans="1:35" ht="15" customHeight="1" x14ac:dyDescent="0.25">
      <c r="A311" s="602"/>
      <c r="B311" s="527"/>
      <c r="C311" s="267"/>
      <c r="D311" s="27" t="s">
        <v>14</v>
      </c>
      <c r="E311" s="36"/>
      <c r="F311" s="4"/>
      <c r="G311" s="4"/>
      <c r="H311" s="4"/>
      <c r="I311" s="4">
        <v>34</v>
      </c>
      <c r="J311" s="4">
        <v>3</v>
      </c>
      <c r="K311" s="4">
        <v>0</v>
      </c>
      <c r="L311" s="4">
        <v>0</v>
      </c>
      <c r="M311" s="43"/>
      <c r="N311" s="476" t="s">
        <v>284</v>
      </c>
      <c r="O311" s="476"/>
      <c r="P311" s="476"/>
      <c r="Q311" s="107"/>
      <c r="R311" s="96" t="s">
        <v>133</v>
      </c>
      <c r="S311" s="161">
        <f>$P$11*0.054</f>
        <v>5.4</v>
      </c>
      <c r="T311" s="164">
        <f>$P$11*0.08</f>
        <v>8</v>
      </c>
      <c r="U311" s="22">
        <f>Adatbázis!E311*Q311</f>
        <v>0</v>
      </c>
      <c r="V311" s="48">
        <f>Adatbázis!F311*$Q311/$Q$361</f>
        <v>0</v>
      </c>
      <c r="W311" s="48">
        <f>Adatbázis!G311*$Q311/$Q$361</f>
        <v>0</v>
      </c>
      <c r="X311" s="48">
        <f>Adatbázis!H311*$Q311/$Q$361</f>
        <v>0</v>
      </c>
      <c r="Y311" s="48">
        <f>Adatbázis!I311*$Q311/$Q$361</f>
        <v>0</v>
      </c>
      <c r="Z311" s="48">
        <f>Adatbázis!J311*$Q311/$Q$361</f>
        <v>0</v>
      </c>
      <c r="AA311" s="48">
        <f>Adatbázis!K311*$Q311/$Q$361</f>
        <v>0</v>
      </c>
      <c r="AB311" s="48">
        <f>Adatbázis!L311*$Q311/$Q$361</f>
        <v>0</v>
      </c>
      <c r="AC311" s="49">
        <f>Adatbázis!C311*Q311</f>
        <v>0</v>
      </c>
      <c r="AD311" s="434">
        <f>IF(AND(Q311&gt;=S311,Q311&lt;=T311),1,0)</f>
        <v>0</v>
      </c>
      <c r="AE311" s="434"/>
      <c r="AH311" s="34"/>
      <c r="AI311" s="35"/>
    </row>
    <row r="312" spans="1:35" ht="15" customHeight="1" x14ac:dyDescent="0.25">
      <c r="A312" s="602"/>
      <c r="B312" s="528"/>
      <c r="C312" s="267"/>
      <c r="D312" s="27" t="s">
        <v>14</v>
      </c>
      <c r="E312" s="36"/>
      <c r="F312" s="4">
        <v>26.5</v>
      </c>
      <c r="G312" s="4">
        <v>1.1499999999999999</v>
      </c>
      <c r="H312" s="4">
        <v>3.8</v>
      </c>
      <c r="I312" s="4">
        <v>14</v>
      </c>
      <c r="J312" s="4">
        <v>1.2</v>
      </c>
      <c r="K312" s="4">
        <v>1.4</v>
      </c>
      <c r="L312" s="4">
        <v>0.9</v>
      </c>
      <c r="M312" s="43"/>
      <c r="N312" s="476" t="s">
        <v>470</v>
      </c>
      <c r="O312" s="476"/>
      <c r="P312" s="476"/>
      <c r="Q312" s="107"/>
      <c r="R312" s="467" t="s">
        <v>133</v>
      </c>
      <c r="S312" s="461">
        <f>$P$11*0.1</f>
        <v>10</v>
      </c>
      <c r="T312" s="460">
        <f>$P$11*0.1</f>
        <v>10</v>
      </c>
      <c r="U312" s="22">
        <f>Adatbázis!E312*Q312</f>
        <v>0</v>
      </c>
      <c r="V312" s="48">
        <f>Adatbázis!F312*$Q312/$Q$361</f>
        <v>0</v>
      </c>
      <c r="W312" s="48">
        <f>Adatbázis!G312*$Q312/$Q$361</f>
        <v>0</v>
      </c>
      <c r="X312" s="48">
        <f>Adatbázis!H312*$Q312/$Q$361</f>
        <v>0</v>
      </c>
      <c r="Y312" s="48">
        <f>Adatbázis!I312*$Q312/$Q$361</f>
        <v>0</v>
      </c>
      <c r="Z312" s="48">
        <f>Adatbázis!J312*$Q312/$Q$361</f>
        <v>0</v>
      </c>
      <c r="AA312" s="48">
        <f>Adatbázis!K312*$Q312/$Q$361</f>
        <v>0</v>
      </c>
      <c r="AB312" s="48">
        <f>Adatbázis!L312*$Q312/$Q$361</f>
        <v>0</v>
      </c>
      <c r="AC312" s="49">
        <f>Adatbázis!C312*Q312</f>
        <v>0</v>
      </c>
      <c r="AD312" s="434">
        <f>IF(AND(Q312&gt;=S312,Q312&lt;=T312),1,0)</f>
        <v>0</v>
      </c>
      <c r="AE312" s="434"/>
      <c r="AF312" s="459" t="s">
        <v>415</v>
      </c>
      <c r="AG312" s="464"/>
      <c r="AH312" s="465"/>
      <c r="AI312" s="466"/>
    </row>
    <row r="313" spans="1:35" ht="15" customHeight="1" thickBot="1" x14ac:dyDescent="0.3">
      <c r="A313" s="602"/>
      <c r="B313" s="528"/>
      <c r="C313" s="269"/>
      <c r="D313" s="95" t="s">
        <v>14</v>
      </c>
      <c r="E313" s="22"/>
      <c r="F313" s="21"/>
      <c r="G313" s="21"/>
      <c r="H313" s="21"/>
      <c r="I313" s="21">
        <v>38</v>
      </c>
      <c r="J313" s="21"/>
      <c r="K313" s="21">
        <v>0</v>
      </c>
      <c r="L313" s="21">
        <v>0</v>
      </c>
      <c r="M313" s="118"/>
      <c r="N313" s="476" t="s">
        <v>285</v>
      </c>
      <c r="O313" s="476"/>
      <c r="P313" s="476"/>
      <c r="Q313" s="145"/>
      <c r="R313" s="96" t="s">
        <v>133</v>
      </c>
      <c r="S313" s="457">
        <f>$P$11*0.005</f>
        <v>0.5</v>
      </c>
      <c r="T313" s="455">
        <f>$P$11*0.1</f>
        <v>10</v>
      </c>
      <c r="U313" s="22">
        <f>Adatbázis!E313*Q313</f>
        <v>0</v>
      </c>
      <c r="V313" s="48">
        <f>Adatbázis!F313*$Q313/$Q$361</f>
        <v>0</v>
      </c>
      <c r="W313" s="48">
        <f>Adatbázis!G313*$Q313/$Q$361</f>
        <v>0</v>
      </c>
      <c r="X313" s="48">
        <f>Adatbázis!H313*$Q313/$Q$361</f>
        <v>0</v>
      </c>
      <c r="Y313" s="48">
        <f>Adatbázis!I313*$Q313/$Q$361</f>
        <v>0</v>
      </c>
      <c r="Z313" s="48">
        <f>Adatbázis!J313*$Q313/$Q$361</f>
        <v>0</v>
      </c>
      <c r="AA313" s="48">
        <f>Adatbázis!K313*$Q313/$Q$361</f>
        <v>0</v>
      </c>
      <c r="AB313" s="48">
        <f>Adatbázis!L313*$Q313/$Q$361</f>
        <v>0</v>
      </c>
      <c r="AC313" s="49">
        <f>Adatbázis!C313*Q313</f>
        <v>0</v>
      </c>
      <c r="AD313" s="434">
        <f>IF(AND(Q313&gt;=S313,Q313&lt;=T313),1,0)</f>
        <v>0</v>
      </c>
      <c r="AE313" s="434"/>
      <c r="AH313" s="34"/>
      <c r="AI313" s="35"/>
    </row>
    <row r="314" spans="1:35" ht="15" customHeight="1" x14ac:dyDescent="0.25">
      <c r="A314" s="602"/>
      <c r="B314" s="597" t="s">
        <v>465</v>
      </c>
      <c r="C314" s="265"/>
      <c r="D314" s="25" t="s">
        <v>14</v>
      </c>
      <c r="E314" s="37"/>
      <c r="F314" s="19"/>
      <c r="G314" s="19"/>
      <c r="H314" s="19"/>
      <c r="I314" s="19">
        <v>15</v>
      </c>
      <c r="J314" s="19">
        <v>13</v>
      </c>
      <c r="K314" s="19">
        <v>2</v>
      </c>
      <c r="L314" s="19">
        <v>6</v>
      </c>
      <c r="M314" s="42"/>
      <c r="N314" s="477" t="s">
        <v>467</v>
      </c>
      <c r="O314" s="477"/>
      <c r="P314" s="477"/>
      <c r="Q314" s="145"/>
      <c r="R314" s="66" t="s">
        <v>133</v>
      </c>
      <c r="S314" s="456">
        <f>$P$11*0.02</f>
        <v>2</v>
      </c>
      <c r="T314" s="454">
        <f>$P$11*0.02</f>
        <v>2</v>
      </c>
      <c r="U314" s="37">
        <f>Adatbázis!E314*Q314</f>
        <v>0</v>
      </c>
      <c r="V314" s="26">
        <f>Adatbázis!F314*$Q314/$Q$361</f>
        <v>0</v>
      </c>
      <c r="W314" s="26">
        <f>Adatbázis!G314*$Q314/$Q$361</f>
        <v>0</v>
      </c>
      <c r="X314" s="26">
        <f>Adatbázis!H314*$Q314/$Q$361</f>
        <v>0</v>
      </c>
      <c r="Y314" s="26">
        <f>Adatbázis!I314*$Q314/$Q$361</f>
        <v>0</v>
      </c>
      <c r="Z314" s="26">
        <f>Adatbázis!J314*$Q314/$Q$361</f>
        <v>0</v>
      </c>
      <c r="AA314" s="26">
        <f>Adatbázis!K314*$Q314/$Q$361</f>
        <v>0</v>
      </c>
      <c r="AB314" s="26">
        <f>Adatbázis!L314*$Q314/$Q$361</f>
        <v>0</v>
      </c>
      <c r="AC314" s="40">
        <f>Adatbázis!C314*Q314</f>
        <v>0</v>
      </c>
      <c r="AD314" s="434"/>
      <c r="AE314" s="434"/>
      <c r="AH314" s="34"/>
      <c r="AI314" s="35"/>
    </row>
    <row r="315" spans="1:35" ht="15" customHeight="1" x14ac:dyDescent="0.25">
      <c r="A315" s="602"/>
      <c r="B315" s="598"/>
      <c r="C315" s="268"/>
      <c r="D315" s="78" t="s">
        <v>14</v>
      </c>
      <c r="E315" s="32"/>
      <c r="F315" s="77"/>
      <c r="G315" s="77"/>
      <c r="H315" s="77"/>
      <c r="I315" s="77">
        <v>16</v>
      </c>
      <c r="J315" s="77">
        <v>13.5</v>
      </c>
      <c r="K315" s="77"/>
      <c r="L315" s="77">
        <v>5</v>
      </c>
      <c r="M315" s="144"/>
      <c r="N315" s="481" t="s">
        <v>468</v>
      </c>
      <c r="O315" s="481"/>
      <c r="P315" s="481"/>
      <c r="Q315" s="107"/>
      <c r="R315" s="64" t="s">
        <v>133</v>
      </c>
      <c r="S315" s="89">
        <f>$P$11*0.02</f>
        <v>2</v>
      </c>
      <c r="T315" s="90">
        <f>$P$11*0.02</f>
        <v>2</v>
      </c>
      <c r="U315" s="32">
        <f>Adatbázis!E315*Q315</f>
        <v>0</v>
      </c>
      <c r="V315" s="6">
        <f>Adatbázis!F315*$Q315/$Q$361</f>
        <v>0</v>
      </c>
      <c r="W315" s="6">
        <f>Adatbázis!G315*$Q315/$Q$361</f>
        <v>0</v>
      </c>
      <c r="X315" s="6">
        <f>Adatbázis!H315*$Q315/$Q$361</f>
        <v>0</v>
      </c>
      <c r="Y315" s="6">
        <f>Adatbázis!I315*$Q315/$Q$361</f>
        <v>0</v>
      </c>
      <c r="Z315" s="6">
        <f>Adatbázis!J315*$Q315/$Q$361</f>
        <v>0</v>
      </c>
      <c r="AA315" s="6">
        <f>Adatbázis!K315*$Q315/$Q$361</f>
        <v>0</v>
      </c>
      <c r="AB315" s="6">
        <f>Adatbázis!L315*$Q315/$Q$361</f>
        <v>0</v>
      </c>
      <c r="AC315" s="50">
        <f>Adatbázis!C315*Q315</f>
        <v>0</v>
      </c>
      <c r="AD315" s="434"/>
      <c r="AE315" s="434"/>
      <c r="AH315" s="34"/>
      <c r="AI315" s="35"/>
    </row>
    <row r="316" spans="1:35" ht="15" customHeight="1" thickBot="1" x14ac:dyDescent="0.3">
      <c r="A316" s="602"/>
      <c r="B316" s="599"/>
      <c r="C316" s="270"/>
      <c r="D316" s="166" t="s">
        <v>14</v>
      </c>
      <c r="E316" s="167"/>
      <c r="F316" s="168">
        <v>0.106</v>
      </c>
      <c r="G316" s="168">
        <v>0</v>
      </c>
      <c r="H316" s="168"/>
      <c r="I316" s="168"/>
      <c r="J316" s="168"/>
      <c r="K316" s="168"/>
      <c r="L316" s="168"/>
      <c r="M316" s="458"/>
      <c r="N316" s="594" t="s">
        <v>466</v>
      </c>
      <c r="O316" s="595"/>
      <c r="P316" s="596"/>
      <c r="Q316" s="107"/>
      <c r="R316" s="169" t="s">
        <v>133</v>
      </c>
      <c r="S316" s="99">
        <f>$P$11*0.002</f>
        <v>0.2</v>
      </c>
      <c r="T316" s="100">
        <f>$P$11*0.01</f>
        <v>1</v>
      </c>
      <c r="U316" s="167">
        <f>Adatbázis!E316*Q316</f>
        <v>0</v>
      </c>
      <c r="V316" s="170">
        <f>Adatbázis!F316*$Q316/$Q$361</f>
        <v>0</v>
      </c>
      <c r="W316" s="170">
        <f>Adatbázis!G316*$Q316/$Q$361</f>
        <v>0</v>
      </c>
      <c r="X316" s="170">
        <f>Adatbázis!H316*$Q316/$Q$361</f>
        <v>0</v>
      </c>
      <c r="Y316" s="170">
        <f>Adatbázis!I316*$Q316/$Q$361</f>
        <v>0</v>
      </c>
      <c r="Z316" s="170">
        <f>Adatbázis!J316*$Q316/$Q$361</f>
        <v>0</v>
      </c>
      <c r="AA316" s="170">
        <f>Adatbázis!K316*$Q316/$Q$361</f>
        <v>0</v>
      </c>
      <c r="AB316" s="170">
        <f>Adatbázis!L316*$Q316/$Q$361</f>
        <v>0</v>
      </c>
      <c r="AC316" s="171">
        <f>Adatbázis!C316*Q316</f>
        <v>0</v>
      </c>
      <c r="AD316" s="434"/>
      <c r="AE316" s="434"/>
      <c r="AH316" s="34"/>
      <c r="AI316" s="35"/>
    </row>
    <row r="317" spans="1:35" ht="15" customHeight="1" x14ac:dyDescent="0.25">
      <c r="A317" s="602"/>
      <c r="B317" s="598" t="s">
        <v>278</v>
      </c>
      <c r="C317" s="268"/>
      <c r="D317" s="78" t="s">
        <v>14</v>
      </c>
      <c r="E317" s="32"/>
      <c r="F317" s="77"/>
      <c r="G317" s="77"/>
      <c r="H317" s="77"/>
      <c r="I317" s="77">
        <v>27</v>
      </c>
      <c r="J317" s="77">
        <v>0.26800000000000002</v>
      </c>
      <c r="K317" s="77">
        <v>0.22</v>
      </c>
      <c r="L317" s="77">
        <v>0.81</v>
      </c>
      <c r="M317" s="144"/>
      <c r="N317" s="481" t="s">
        <v>202</v>
      </c>
      <c r="O317" s="481"/>
      <c r="P317" s="481"/>
      <c r="Q317" s="145"/>
      <c r="R317" s="64" t="s">
        <v>133</v>
      </c>
      <c r="S317" s="89">
        <f>$P$11*0.1</f>
        <v>10</v>
      </c>
      <c r="T317" s="90">
        <f>$P$11*0.1</f>
        <v>10</v>
      </c>
      <c r="U317" s="32">
        <f>Adatbázis!E317*Q317</f>
        <v>0</v>
      </c>
      <c r="V317" s="6">
        <f>Adatbázis!F317*$Q317/$Q$361</f>
        <v>0</v>
      </c>
      <c r="W317" s="6">
        <f>Adatbázis!G317*$Q317/$Q$361</f>
        <v>0</v>
      </c>
      <c r="X317" s="6">
        <f>Adatbázis!H317*$Q317/$Q$361</f>
        <v>0</v>
      </c>
      <c r="Y317" s="6">
        <f>Adatbázis!I317*$Q317/$Q$361</f>
        <v>0</v>
      </c>
      <c r="Z317" s="6">
        <f>Adatbázis!J317*$Q317/$Q$361</f>
        <v>0</v>
      </c>
      <c r="AA317" s="6">
        <f>Adatbázis!K317*$Q317/$Q$361</f>
        <v>0</v>
      </c>
      <c r="AB317" s="6">
        <f>Adatbázis!L317*$Q317/$Q$361</f>
        <v>0</v>
      </c>
      <c r="AC317" s="50">
        <f>Adatbázis!C317*Q317</f>
        <v>0</v>
      </c>
      <c r="AD317" s="378">
        <f t="shared" si="30"/>
        <v>0</v>
      </c>
      <c r="AH317" s="34"/>
      <c r="AI317" s="35"/>
    </row>
    <row r="318" spans="1:35" ht="15" customHeight="1" x14ac:dyDescent="0.25">
      <c r="A318" s="602"/>
      <c r="B318" s="598"/>
      <c r="C318" s="268"/>
      <c r="D318" s="78" t="s">
        <v>14</v>
      </c>
      <c r="E318" s="32"/>
      <c r="F318" s="77"/>
      <c r="G318" s="77"/>
      <c r="H318" s="77"/>
      <c r="I318" s="77">
        <v>3</v>
      </c>
      <c r="J318" s="77"/>
      <c r="K318" s="77"/>
      <c r="L318" s="77">
        <v>1</v>
      </c>
      <c r="M318" s="144"/>
      <c r="N318" s="481" t="s">
        <v>431</v>
      </c>
      <c r="O318" s="481"/>
      <c r="P318" s="481"/>
      <c r="Q318" s="145"/>
      <c r="R318" s="64" t="s">
        <v>133</v>
      </c>
      <c r="S318" s="89">
        <f>$P$11*0.01</f>
        <v>1</v>
      </c>
      <c r="T318" s="90">
        <f>$P$11*0.01</f>
        <v>1</v>
      </c>
      <c r="U318" s="32">
        <f>Adatbázis!E318*Q318</f>
        <v>0</v>
      </c>
      <c r="V318" s="6">
        <f>Adatbázis!F318*$Q318/$Q$361</f>
        <v>0</v>
      </c>
      <c r="W318" s="6">
        <f>Adatbázis!G318*$Q318/$Q$361</f>
        <v>0</v>
      </c>
      <c r="X318" s="6">
        <f>Adatbázis!H318*$Q318/$Q$361</f>
        <v>0</v>
      </c>
      <c r="Y318" s="6">
        <f>Adatbázis!I318*$Q318/$Q$361</f>
        <v>0</v>
      </c>
      <c r="Z318" s="6">
        <f>Adatbázis!J318*$Q318/$Q$361</f>
        <v>0</v>
      </c>
      <c r="AA318" s="6">
        <f>Adatbázis!K318*$Q318/$Q$361</f>
        <v>0</v>
      </c>
      <c r="AB318" s="6">
        <f>Adatbázis!L318*$Q318/$Q$361</f>
        <v>0</v>
      </c>
      <c r="AC318" s="50">
        <f>Adatbázis!C318*Q318</f>
        <v>0</v>
      </c>
      <c r="AD318" s="378">
        <f t="shared" si="30"/>
        <v>0</v>
      </c>
      <c r="AH318" s="34"/>
      <c r="AI318" s="35"/>
    </row>
    <row r="319" spans="1:35" ht="15" customHeight="1" x14ac:dyDescent="0.25">
      <c r="A319" s="602"/>
      <c r="B319" s="598"/>
      <c r="C319" s="269"/>
      <c r="D319" s="165" t="s">
        <v>14</v>
      </c>
      <c r="E319" s="22">
        <v>9.6999999999999993</v>
      </c>
      <c r="F319" s="21">
        <v>32.1</v>
      </c>
      <c r="G319" s="21">
        <v>7</v>
      </c>
      <c r="H319" s="21">
        <v>6</v>
      </c>
      <c r="I319" s="21">
        <v>2.14</v>
      </c>
      <c r="J319" s="21">
        <v>1.05</v>
      </c>
      <c r="K319" s="21">
        <v>2.5</v>
      </c>
      <c r="L319" s="21">
        <v>0.48</v>
      </c>
      <c r="M319" s="118"/>
      <c r="N319" s="476" t="s">
        <v>427</v>
      </c>
      <c r="O319" s="476"/>
      <c r="P319" s="476"/>
      <c r="Q319" s="107"/>
      <c r="R319" s="96" t="s">
        <v>133</v>
      </c>
      <c r="S319" s="161">
        <f>$P$11*0.25</f>
        <v>25</v>
      </c>
      <c r="T319" s="164">
        <f>$P$11*0.3</f>
        <v>30</v>
      </c>
      <c r="U319" s="22">
        <f>Adatbázis!E319*Q319</f>
        <v>0</v>
      </c>
      <c r="V319" s="48">
        <f>Adatbázis!F319*$Q319/$Q$361</f>
        <v>0</v>
      </c>
      <c r="W319" s="48">
        <f>Adatbázis!G319*$Q319/$Q$361</f>
        <v>0</v>
      </c>
      <c r="X319" s="48">
        <f>Adatbázis!H319*$Q319/$Q$361</f>
        <v>0</v>
      </c>
      <c r="Y319" s="48">
        <f>Adatbázis!I319*$Q319/$Q$361</f>
        <v>0</v>
      </c>
      <c r="Z319" s="48">
        <f>Adatbázis!J319*$Q319/$Q$361</f>
        <v>0</v>
      </c>
      <c r="AA319" s="48">
        <f>Adatbázis!K319*$Q319/$Q$361</f>
        <v>0</v>
      </c>
      <c r="AB319" s="48">
        <f>Adatbázis!L319*$Q319/$Q$361</f>
        <v>0</v>
      </c>
      <c r="AC319" s="49">
        <f>Adatbázis!C319*Q319</f>
        <v>0</v>
      </c>
      <c r="AD319" s="378">
        <f t="shared" si="30"/>
        <v>0</v>
      </c>
      <c r="AH319" s="34"/>
      <c r="AI319" s="35"/>
    </row>
    <row r="320" spans="1:35" ht="15" customHeight="1" thickBot="1" x14ac:dyDescent="0.3">
      <c r="A320" s="602"/>
      <c r="B320" s="599"/>
      <c r="C320" s="269"/>
      <c r="D320" s="165" t="s">
        <v>14</v>
      </c>
      <c r="E320" s="22">
        <v>6.8</v>
      </c>
      <c r="F320" s="21">
        <v>29</v>
      </c>
      <c r="G320" s="21">
        <v>2.7</v>
      </c>
      <c r="H320" s="21">
        <v>6</v>
      </c>
      <c r="I320" s="21">
        <v>11</v>
      </c>
      <c r="J320" s="21">
        <v>0.48</v>
      </c>
      <c r="K320" s="21">
        <v>2.5</v>
      </c>
      <c r="L320" s="21">
        <v>0.48</v>
      </c>
      <c r="M320" s="118"/>
      <c r="N320" s="476" t="s">
        <v>428</v>
      </c>
      <c r="O320" s="476"/>
      <c r="P320" s="476"/>
      <c r="Q320" s="107"/>
      <c r="R320" s="96" t="s">
        <v>133</v>
      </c>
      <c r="S320" s="415">
        <f>$P$11*0.25</f>
        <v>25</v>
      </c>
      <c r="T320" s="414">
        <f>$P$11*0.25</f>
        <v>25</v>
      </c>
      <c r="U320" s="22">
        <f>Adatbázis!E320*Q320</f>
        <v>0</v>
      </c>
      <c r="V320" s="48">
        <f>Adatbázis!F320*$Q320/$Q$361</f>
        <v>0</v>
      </c>
      <c r="W320" s="48">
        <f>Adatbázis!G320*$Q320/$Q$361</f>
        <v>0</v>
      </c>
      <c r="X320" s="48">
        <f>Adatbázis!H320*$Q320/$Q$361</f>
        <v>0</v>
      </c>
      <c r="Y320" s="48">
        <f>Adatbázis!I320*$Q320/$Q$361</f>
        <v>0</v>
      </c>
      <c r="Z320" s="48">
        <f>Adatbázis!J320*$Q320/$Q$361</f>
        <v>0</v>
      </c>
      <c r="AA320" s="48">
        <f>Adatbázis!K320*$Q320/$Q$361</f>
        <v>0</v>
      </c>
      <c r="AB320" s="48">
        <f>Adatbázis!L320*$Q320/$Q$361</f>
        <v>0</v>
      </c>
      <c r="AC320" s="49">
        <f>Adatbázis!C320*Q320</f>
        <v>0</v>
      </c>
      <c r="AD320" s="378">
        <f t="shared" ref="AD320" si="32">IF(AND(Q320&gt;=S320,Q320&lt;=T320),1,0)</f>
        <v>0</v>
      </c>
      <c r="AH320" s="34"/>
      <c r="AI320" s="35"/>
    </row>
    <row r="321" spans="1:36" ht="15.75" customHeight="1" x14ac:dyDescent="0.25">
      <c r="A321" s="602"/>
      <c r="B321" s="507" t="s">
        <v>279</v>
      </c>
      <c r="C321" s="88"/>
      <c r="D321" s="25" t="s">
        <v>14</v>
      </c>
      <c r="E321" s="37"/>
      <c r="F321" s="19">
        <v>17.010000000000002</v>
      </c>
      <c r="G321" s="19">
        <v>3</v>
      </c>
      <c r="H321" s="19">
        <v>6</v>
      </c>
      <c r="I321" s="19">
        <v>0.59</v>
      </c>
      <c r="J321" s="19">
        <v>6.0999999999999999E-2</v>
      </c>
      <c r="K321" s="19"/>
      <c r="L321" s="19"/>
      <c r="M321" s="42"/>
      <c r="N321" s="477" t="s">
        <v>12</v>
      </c>
      <c r="O321" s="477"/>
      <c r="P321" s="477"/>
      <c r="Q321" s="145"/>
      <c r="R321" s="66" t="s">
        <v>133</v>
      </c>
      <c r="S321" s="342">
        <f>$P$11*0.12</f>
        <v>12</v>
      </c>
      <c r="T321" s="339">
        <f>$P$11*0.15</f>
        <v>15</v>
      </c>
      <c r="U321" s="37">
        <f>Adatbázis!E321*Q321</f>
        <v>0</v>
      </c>
      <c r="V321" s="26">
        <f>Adatbázis!F321*$Q321/$Q$361</f>
        <v>0</v>
      </c>
      <c r="W321" s="26">
        <f>Adatbázis!G321*$Q321/$Q$361</f>
        <v>0</v>
      </c>
      <c r="X321" s="26">
        <f>Adatbázis!H321*$Q321/$Q$361</f>
        <v>0</v>
      </c>
      <c r="Y321" s="26">
        <f>Adatbázis!I321*$Q321/$Q$361</f>
        <v>0</v>
      </c>
      <c r="Z321" s="26">
        <f>Adatbázis!J321*$Q321/$Q$361</f>
        <v>0</v>
      </c>
      <c r="AA321" s="26">
        <f>Adatbázis!K321*$Q321/$Q$361</f>
        <v>0</v>
      </c>
      <c r="AB321" s="26">
        <f>Adatbázis!L321*$Q321/$Q$361</f>
        <v>0</v>
      </c>
      <c r="AC321" s="40">
        <f>Adatbázis!C321*Q321</f>
        <v>0</v>
      </c>
      <c r="AD321" s="378">
        <f t="shared" si="30"/>
        <v>0</v>
      </c>
      <c r="AF321" s="133"/>
      <c r="AG321" s="9"/>
      <c r="AH321" s="9"/>
      <c r="AI321" s="1"/>
      <c r="AJ321" s="1"/>
    </row>
    <row r="322" spans="1:36" ht="15.75" customHeight="1" x14ac:dyDescent="0.25">
      <c r="A322" s="602"/>
      <c r="B322" s="490"/>
      <c r="C322" s="81"/>
      <c r="D322" s="27" t="s">
        <v>14</v>
      </c>
      <c r="E322" s="36"/>
      <c r="F322" s="4"/>
      <c r="G322" s="4"/>
      <c r="H322" s="4"/>
      <c r="I322" s="4">
        <v>21.4</v>
      </c>
      <c r="J322" s="4"/>
      <c r="K322" s="4"/>
      <c r="L322" s="4">
        <v>5.5</v>
      </c>
      <c r="M322" s="43"/>
      <c r="N322" s="472" t="s">
        <v>462</v>
      </c>
      <c r="O322" s="472"/>
      <c r="P322" s="472"/>
      <c r="Q322" s="145"/>
      <c r="R322" s="79" t="s">
        <v>133</v>
      </c>
      <c r="S322" s="446">
        <f>$P$11*0.02</f>
        <v>2</v>
      </c>
      <c r="T322" s="444">
        <f>$P$11*0.02</f>
        <v>2</v>
      </c>
      <c r="U322" s="36">
        <f>Adatbázis!E322*Q322</f>
        <v>0</v>
      </c>
      <c r="V322" s="28">
        <f>Adatbázis!F322*$Q322/$Q$361</f>
        <v>0</v>
      </c>
      <c r="W322" s="28">
        <f>Adatbázis!G322*$Q322/$Q$361</f>
        <v>0</v>
      </c>
      <c r="X322" s="28">
        <f>Adatbázis!H322*$Q322/$Q$361</f>
        <v>0</v>
      </c>
      <c r="Y322" s="28">
        <f>Adatbázis!I322*$Q322/$Q$361</f>
        <v>0</v>
      </c>
      <c r="Z322" s="28">
        <f>Adatbázis!J322*$Q322/$Q$361</f>
        <v>0</v>
      </c>
      <c r="AA322" s="28">
        <f>Adatbázis!K322*$Q322/$Q$361</f>
        <v>0</v>
      </c>
      <c r="AB322" s="28">
        <f>Adatbázis!L322*$Q322/$Q$361</f>
        <v>0</v>
      </c>
      <c r="AC322" s="41">
        <f>Adatbázis!C322*Q322</f>
        <v>0</v>
      </c>
      <c r="AD322" s="378">
        <f t="shared" ref="AD322" si="33">IF(AND(Q322&gt;=S322,Q322&lt;=T322),1,0)</f>
        <v>0</v>
      </c>
      <c r="AF322" s="133"/>
      <c r="AG322" s="9"/>
      <c r="AH322" s="9"/>
      <c r="AI322" s="1"/>
      <c r="AJ322" s="1"/>
    </row>
    <row r="323" spans="1:36" ht="15.75" customHeight="1" x14ac:dyDescent="0.25">
      <c r="A323" s="602"/>
      <c r="B323" s="490"/>
      <c r="C323" s="81"/>
      <c r="D323" s="27" t="s">
        <v>14</v>
      </c>
      <c r="E323" s="36"/>
      <c r="F323" s="4">
        <v>3.06</v>
      </c>
      <c r="G323" s="4">
        <v>0.59</v>
      </c>
      <c r="H323" s="4">
        <v>0.71</v>
      </c>
      <c r="I323" s="4">
        <v>22.155000000000001</v>
      </c>
      <c r="J323" s="4">
        <v>2.823</v>
      </c>
      <c r="K323" s="4">
        <v>0.88400000000000001</v>
      </c>
      <c r="L323" s="4">
        <v>3.7999999999999999E-2</v>
      </c>
      <c r="M323" s="43"/>
      <c r="N323" s="472" t="s">
        <v>397</v>
      </c>
      <c r="O323" s="472"/>
      <c r="P323" s="472"/>
      <c r="Q323" s="107"/>
      <c r="R323" s="79" t="s">
        <v>133</v>
      </c>
      <c r="S323" s="343">
        <f>$P$11*0.03</f>
        <v>3</v>
      </c>
      <c r="T323" s="340">
        <f>$P$11*0.03</f>
        <v>3</v>
      </c>
      <c r="U323" s="36">
        <f>Adatbázis!E323*Q323</f>
        <v>0</v>
      </c>
      <c r="V323" s="28">
        <f>Adatbázis!F323*$Q323/$Q$361</f>
        <v>0</v>
      </c>
      <c r="W323" s="28">
        <f>Adatbázis!G323*$Q323/$Q$361</f>
        <v>0</v>
      </c>
      <c r="X323" s="28">
        <f>Adatbázis!H323*$Q323/$Q$361</f>
        <v>0</v>
      </c>
      <c r="Y323" s="28">
        <f>Adatbázis!I323*$Q323/$Q$361</f>
        <v>0</v>
      </c>
      <c r="Z323" s="28">
        <f>Adatbázis!J323*$Q323/$Q$361</f>
        <v>0</v>
      </c>
      <c r="AA323" s="28">
        <f>Adatbázis!K323*$Q323/$Q$361</f>
        <v>0</v>
      </c>
      <c r="AB323" s="28">
        <f>Adatbázis!L323*$Q323/$Q$361</f>
        <v>0</v>
      </c>
      <c r="AC323" s="41">
        <f>Adatbázis!C323*Q323</f>
        <v>0</v>
      </c>
      <c r="AD323" s="378">
        <f t="shared" si="30"/>
        <v>0</v>
      </c>
      <c r="AF323" s="133"/>
      <c r="AG323" s="9"/>
      <c r="AH323" s="9"/>
      <c r="AI323" s="1"/>
      <c r="AJ323" s="1"/>
    </row>
    <row r="324" spans="1:36" ht="15.75" customHeight="1" x14ac:dyDescent="0.25">
      <c r="A324" s="602"/>
      <c r="B324" s="490"/>
      <c r="C324" s="81"/>
      <c r="D324" s="27" t="s">
        <v>14</v>
      </c>
      <c r="E324" s="36"/>
      <c r="F324" s="4"/>
      <c r="G324" s="4"/>
      <c r="H324" s="4"/>
      <c r="I324" s="4">
        <v>19</v>
      </c>
      <c r="J324" s="4">
        <v>5.5</v>
      </c>
      <c r="K324" s="4">
        <v>5</v>
      </c>
      <c r="L324" s="4">
        <v>7.5</v>
      </c>
      <c r="M324" s="43"/>
      <c r="N324" s="472" t="s">
        <v>249</v>
      </c>
      <c r="O324" s="472"/>
      <c r="P324" s="472"/>
      <c r="Q324" s="107"/>
      <c r="R324" s="79" t="s">
        <v>133</v>
      </c>
      <c r="S324" s="343">
        <f>$P$11*0.02</f>
        <v>2</v>
      </c>
      <c r="T324" s="340">
        <f>$P$11*0.02</f>
        <v>2</v>
      </c>
      <c r="U324" s="36">
        <f>Adatbázis!E324*Q324</f>
        <v>0</v>
      </c>
      <c r="V324" s="28">
        <f>Adatbázis!F324*$Q324/$Q$361</f>
        <v>0</v>
      </c>
      <c r="W324" s="28">
        <f>Adatbázis!G324*$Q324/$Q$361</f>
        <v>0</v>
      </c>
      <c r="X324" s="28">
        <f>Adatbázis!H324*$Q324/$Q$361</f>
        <v>0</v>
      </c>
      <c r="Y324" s="28">
        <f>Adatbázis!I324*$Q324/$Q$361</f>
        <v>0</v>
      </c>
      <c r="Z324" s="28">
        <f>Adatbázis!J324*$Q324/$Q$361</f>
        <v>0</v>
      </c>
      <c r="AA324" s="28">
        <f>Adatbázis!K324*$Q324/$Q$361</f>
        <v>0</v>
      </c>
      <c r="AB324" s="28">
        <f>Adatbázis!L324*$Q324/$Q$361</f>
        <v>0</v>
      </c>
      <c r="AC324" s="41">
        <f>Adatbázis!C324*Q324</f>
        <v>0</v>
      </c>
      <c r="AD324" s="378">
        <f t="shared" si="30"/>
        <v>0</v>
      </c>
      <c r="AF324" s="133"/>
      <c r="AG324" s="9"/>
      <c r="AH324" s="9"/>
      <c r="AI324" s="1"/>
      <c r="AJ324" s="1"/>
    </row>
    <row r="325" spans="1:36" ht="15.75" customHeight="1" x14ac:dyDescent="0.25">
      <c r="A325" s="602"/>
      <c r="B325" s="490"/>
      <c r="C325" s="81"/>
      <c r="D325" s="27" t="s">
        <v>14</v>
      </c>
      <c r="E325" s="36"/>
      <c r="F325" s="4"/>
      <c r="G325" s="4"/>
      <c r="H325" s="4"/>
      <c r="I325" s="4">
        <v>21.63</v>
      </c>
      <c r="J325" s="4">
        <v>6.27</v>
      </c>
      <c r="K325" s="4">
        <v>2.7</v>
      </c>
      <c r="L325" s="4">
        <v>3.7</v>
      </c>
      <c r="M325" s="43"/>
      <c r="N325" s="472" t="s">
        <v>387</v>
      </c>
      <c r="O325" s="472"/>
      <c r="P325" s="472"/>
      <c r="Q325" s="145"/>
      <c r="R325" s="79" t="s">
        <v>133</v>
      </c>
      <c r="S325" s="343">
        <f>$P$11*0.03</f>
        <v>3</v>
      </c>
      <c r="T325" s="340">
        <f>$P$11*0.03</f>
        <v>3</v>
      </c>
      <c r="U325" s="36">
        <f>Adatbázis!E325*Q325</f>
        <v>0</v>
      </c>
      <c r="V325" s="28">
        <f>Adatbázis!F325*$Q325/$Q$361</f>
        <v>0</v>
      </c>
      <c r="W325" s="28">
        <f>Adatbázis!G325*$Q325/$Q$361</f>
        <v>0</v>
      </c>
      <c r="X325" s="28">
        <f>Adatbázis!H325*$Q325/$Q$361</f>
        <v>0</v>
      </c>
      <c r="Y325" s="28">
        <f>Adatbázis!I325*$Q325/$Q$361</f>
        <v>0</v>
      </c>
      <c r="Z325" s="28">
        <f>Adatbázis!J325*$Q325/$Q$361</f>
        <v>0</v>
      </c>
      <c r="AA325" s="28">
        <f>Adatbázis!K325*$Q325/$Q$361</f>
        <v>0</v>
      </c>
      <c r="AB325" s="28">
        <f>Adatbázis!L325*$Q325/$Q$361</f>
        <v>0</v>
      </c>
      <c r="AC325" s="41">
        <f>Adatbázis!C325*Q325</f>
        <v>0</v>
      </c>
      <c r="AD325" s="378">
        <f t="shared" si="30"/>
        <v>0</v>
      </c>
      <c r="AF325" s="133"/>
      <c r="AG325" s="9"/>
      <c r="AH325" s="9"/>
      <c r="AI325" s="1"/>
      <c r="AJ325" s="1"/>
    </row>
    <row r="326" spans="1:36" ht="15.75" customHeight="1" x14ac:dyDescent="0.25">
      <c r="A326" s="602"/>
      <c r="B326" s="490"/>
      <c r="C326" s="81"/>
      <c r="D326" s="27" t="s">
        <v>14</v>
      </c>
      <c r="E326" s="36"/>
      <c r="F326" s="4"/>
      <c r="G326" s="4"/>
      <c r="H326" s="4"/>
      <c r="I326" s="4">
        <v>8.1</v>
      </c>
      <c r="J326" s="4">
        <v>11.27</v>
      </c>
      <c r="K326" s="4">
        <v>7.03</v>
      </c>
      <c r="L326" s="4">
        <v>8.91</v>
      </c>
      <c r="M326" s="43"/>
      <c r="N326" s="472" t="s">
        <v>268</v>
      </c>
      <c r="O326" s="472"/>
      <c r="P326" s="472"/>
      <c r="Q326" s="145"/>
      <c r="R326" s="79" t="s">
        <v>133</v>
      </c>
      <c r="S326" s="343">
        <f>$P$11*0.02</f>
        <v>2</v>
      </c>
      <c r="T326" s="340">
        <f>$P$11*0.02</f>
        <v>2</v>
      </c>
      <c r="U326" s="36">
        <f>Adatbázis!E326*Q326</f>
        <v>0</v>
      </c>
      <c r="V326" s="28">
        <f>Adatbázis!F326*$Q326/$Q$361</f>
        <v>0</v>
      </c>
      <c r="W326" s="28">
        <f>Adatbázis!G326*$Q326/$Q$361</f>
        <v>0</v>
      </c>
      <c r="X326" s="28">
        <f>Adatbázis!H326*$Q326/$Q$361</f>
        <v>0</v>
      </c>
      <c r="Y326" s="28">
        <f>Adatbázis!I326*$Q326/$Q$361</f>
        <v>0</v>
      </c>
      <c r="Z326" s="28">
        <f>Adatbázis!J326*$Q326/$Q$361</f>
        <v>0</v>
      </c>
      <c r="AA326" s="28">
        <f>Adatbázis!K326*$Q326/$Q$361</f>
        <v>0</v>
      </c>
      <c r="AB326" s="28">
        <f>Adatbázis!L326*$Q326/$Q$361</f>
        <v>0</v>
      </c>
      <c r="AC326" s="41">
        <f>Adatbázis!C326*Q326</f>
        <v>0</v>
      </c>
      <c r="AD326" s="378">
        <f t="shared" si="30"/>
        <v>0</v>
      </c>
      <c r="AF326" s="133"/>
      <c r="AG326" s="9"/>
      <c r="AH326" s="9"/>
      <c r="AI326" s="1"/>
      <c r="AJ326" s="1"/>
    </row>
    <row r="327" spans="1:36" ht="15.75" customHeight="1" thickBot="1" x14ac:dyDescent="0.3">
      <c r="A327" s="602"/>
      <c r="B327" s="511"/>
      <c r="C327" s="81"/>
      <c r="D327" s="27" t="s">
        <v>14</v>
      </c>
      <c r="E327" s="36"/>
      <c r="F327" s="4"/>
      <c r="G327" s="4"/>
      <c r="H327" s="4"/>
      <c r="I327" s="4">
        <v>19.170000000000002</v>
      </c>
      <c r="J327" s="4">
        <v>5</v>
      </c>
      <c r="K327" s="4"/>
      <c r="L327" s="4">
        <v>5.45</v>
      </c>
      <c r="M327" s="43"/>
      <c r="N327" s="472" t="s">
        <v>388</v>
      </c>
      <c r="O327" s="472"/>
      <c r="P327" s="472"/>
      <c r="Q327" s="107"/>
      <c r="R327" s="79" t="s">
        <v>133</v>
      </c>
      <c r="S327" s="343">
        <f>$P$11*0.02</f>
        <v>2</v>
      </c>
      <c r="T327" s="340">
        <f>$P$11*0.02</f>
        <v>2</v>
      </c>
      <c r="U327" s="36">
        <f>Adatbázis!E327*Q327</f>
        <v>0</v>
      </c>
      <c r="V327" s="28">
        <f>Adatbázis!F327*$Q327/$Q$361</f>
        <v>0</v>
      </c>
      <c r="W327" s="28">
        <f>Adatbázis!G327*$Q327/$Q$361</f>
        <v>0</v>
      </c>
      <c r="X327" s="28">
        <f>Adatbázis!H327*$Q327/$Q$361</f>
        <v>0</v>
      </c>
      <c r="Y327" s="28">
        <f>Adatbázis!I327*$Q327/$Q$361</f>
        <v>0</v>
      </c>
      <c r="Z327" s="28">
        <f>Adatbázis!J327*$Q327/$Q$361</f>
        <v>0</v>
      </c>
      <c r="AA327" s="28">
        <f>Adatbázis!K327*$Q327/$Q$361</f>
        <v>0</v>
      </c>
      <c r="AB327" s="28">
        <f>Adatbázis!L327*$Q327/$Q$361</f>
        <v>0</v>
      </c>
      <c r="AC327" s="41">
        <f>Adatbázis!C327*Q327</f>
        <v>0</v>
      </c>
      <c r="AD327" s="378">
        <f t="shared" si="30"/>
        <v>0</v>
      </c>
      <c r="AF327" s="133"/>
      <c r="AG327" s="9"/>
      <c r="AH327" s="9"/>
      <c r="AI327" s="1"/>
      <c r="AJ327" s="1"/>
    </row>
    <row r="328" spans="1:36" ht="15.75" customHeight="1" thickBot="1" x14ac:dyDescent="0.3">
      <c r="A328" s="602"/>
      <c r="B328" s="492"/>
      <c r="C328" s="81"/>
      <c r="D328" s="27" t="s">
        <v>14</v>
      </c>
      <c r="E328" s="36"/>
      <c r="F328" s="4">
        <v>26.8</v>
      </c>
      <c r="G328" s="4">
        <v>1.42</v>
      </c>
      <c r="H328" s="4">
        <v>8.5399999999999991</v>
      </c>
      <c r="I328" s="4">
        <v>10.73</v>
      </c>
      <c r="J328" s="4">
        <v>1.1200000000000001</v>
      </c>
      <c r="K328" s="4">
        <v>1.75</v>
      </c>
      <c r="L328" s="4">
        <v>0.64</v>
      </c>
      <c r="M328" s="273"/>
      <c r="N328" s="478" t="s">
        <v>192</v>
      </c>
      <c r="O328" s="478"/>
      <c r="P328" s="478"/>
      <c r="Q328" s="107"/>
      <c r="R328" s="103" t="s">
        <v>133</v>
      </c>
      <c r="S328" s="343">
        <f>$P$11*0.3</f>
        <v>30</v>
      </c>
      <c r="T328" s="340">
        <f>$P$11*0.35</f>
        <v>35</v>
      </c>
      <c r="U328" s="36">
        <f>Adatbázis!E328*Q328</f>
        <v>0</v>
      </c>
      <c r="V328" s="28">
        <f>Adatbázis!F328*$Q328/$Q$361</f>
        <v>0</v>
      </c>
      <c r="W328" s="28">
        <f>Adatbázis!G328*$Q328/$Q$361</f>
        <v>0</v>
      </c>
      <c r="X328" s="28">
        <f>Adatbázis!H328*$Q328/$Q$361</f>
        <v>0</v>
      </c>
      <c r="Y328" s="28">
        <f>Adatbázis!I328*$Q328/$Q$361</f>
        <v>0</v>
      </c>
      <c r="Z328" s="28">
        <f>Adatbázis!J328*$Q328/$Q$361</f>
        <v>0</v>
      </c>
      <c r="AA328" s="28">
        <f>Adatbázis!K328*$Q328/$Q$361</f>
        <v>0</v>
      </c>
      <c r="AB328" s="28">
        <f>Adatbázis!L328*$Q328/$Q$361</f>
        <v>0</v>
      </c>
      <c r="AC328" s="41">
        <f>Adatbázis!C328*Q328</f>
        <v>0</v>
      </c>
      <c r="AD328" s="378">
        <f t="shared" si="30"/>
        <v>0</v>
      </c>
      <c r="AF328" s="276" t="s">
        <v>330</v>
      </c>
      <c r="AG328" s="9"/>
      <c r="AH328" s="9"/>
      <c r="AI328" s="1"/>
      <c r="AJ328" s="1"/>
    </row>
    <row r="329" spans="1:36" ht="15.75" customHeight="1" x14ac:dyDescent="0.25">
      <c r="A329" s="602"/>
      <c r="B329" s="492"/>
      <c r="C329" s="81"/>
      <c r="D329" s="27" t="s">
        <v>14</v>
      </c>
      <c r="E329" s="36">
        <v>10.59</v>
      </c>
      <c r="F329" s="4">
        <v>29.2</v>
      </c>
      <c r="G329" s="4">
        <v>1.89</v>
      </c>
      <c r="H329" s="4">
        <v>8.77</v>
      </c>
      <c r="I329" s="4">
        <v>5.41</v>
      </c>
      <c r="J329" s="4">
        <v>1.1299999999999999</v>
      </c>
      <c r="K329" s="4">
        <v>1.66</v>
      </c>
      <c r="L329" s="4">
        <v>0.68</v>
      </c>
      <c r="M329" s="43"/>
      <c r="N329" s="472" t="s">
        <v>259</v>
      </c>
      <c r="O329" s="472"/>
      <c r="P329" s="472"/>
      <c r="Q329" s="145"/>
      <c r="R329" s="79" t="s">
        <v>133</v>
      </c>
      <c r="S329" s="343">
        <f>$P$11*0.3</f>
        <v>30</v>
      </c>
      <c r="T329" s="340">
        <f>$P$11*0.3</f>
        <v>30</v>
      </c>
      <c r="U329" s="36">
        <f>Adatbázis!E329*Q329</f>
        <v>0</v>
      </c>
      <c r="V329" s="28">
        <f>Adatbázis!F329*$Q329/$Q$361</f>
        <v>0</v>
      </c>
      <c r="W329" s="28">
        <f>Adatbázis!G329*$Q329/$Q$361</f>
        <v>0</v>
      </c>
      <c r="X329" s="28">
        <f>Adatbázis!H329*$Q329/$Q$361</f>
        <v>0</v>
      </c>
      <c r="Y329" s="28">
        <f>Adatbázis!I329*$Q329/$Q$361</f>
        <v>0</v>
      </c>
      <c r="Z329" s="28">
        <f>Adatbázis!J329*$Q329/$Q$361</f>
        <v>0</v>
      </c>
      <c r="AA329" s="28">
        <f>Adatbázis!K329*$Q329/$Q$361</f>
        <v>0</v>
      </c>
      <c r="AB329" s="28">
        <f>Adatbázis!L329*$Q329/$Q$361</f>
        <v>0</v>
      </c>
      <c r="AC329" s="41">
        <f>Adatbázis!C329*Q329</f>
        <v>0</v>
      </c>
      <c r="AD329" s="378">
        <f t="shared" si="30"/>
        <v>0</v>
      </c>
      <c r="AF329" s="133"/>
      <c r="AG329" s="9"/>
      <c r="AH329" s="9"/>
      <c r="AI329" s="1"/>
      <c r="AJ329" s="1"/>
    </row>
    <row r="330" spans="1:36" ht="15.75" customHeight="1" x14ac:dyDescent="0.25">
      <c r="A330" s="602"/>
      <c r="B330" s="492"/>
      <c r="C330" s="81"/>
      <c r="D330" s="27" t="s">
        <v>14</v>
      </c>
      <c r="E330" s="36">
        <v>5.3</v>
      </c>
      <c r="F330" s="4">
        <v>25.8</v>
      </c>
      <c r="G330" s="4">
        <v>1.6</v>
      </c>
      <c r="H330" s="4">
        <v>8</v>
      </c>
      <c r="I330" s="4">
        <v>1.1000000000000001</v>
      </c>
      <c r="J330" s="4">
        <v>1.7</v>
      </c>
      <c r="K330" s="4">
        <v>1.6</v>
      </c>
      <c r="L330" s="4">
        <v>0.8</v>
      </c>
      <c r="M330" s="43"/>
      <c r="N330" s="472" t="s">
        <v>394</v>
      </c>
      <c r="O330" s="472"/>
      <c r="P330" s="472"/>
      <c r="Q330" s="145"/>
      <c r="R330" s="79" t="s">
        <v>133</v>
      </c>
      <c r="S330" s="343">
        <f>$P$11*0.25</f>
        <v>25</v>
      </c>
      <c r="T330" s="340">
        <f>$P$11*0.3</f>
        <v>30</v>
      </c>
      <c r="U330" s="36">
        <f>Adatbázis!E330*Q330</f>
        <v>0</v>
      </c>
      <c r="V330" s="28">
        <f>Adatbázis!F330*$Q330/$Q$361</f>
        <v>0</v>
      </c>
      <c r="W330" s="28">
        <f>Adatbázis!G330*$Q330/$Q$361</f>
        <v>0</v>
      </c>
      <c r="X330" s="28">
        <f>Adatbázis!H330*$Q330/$Q$361</f>
        <v>0</v>
      </c>
      <c r="Y330" s="28">
        <f>Adatbázis!I330*$Q330/$Q$361</f>
        <v>0</v>
      </c>
      <c r="Z330" s="28">
        <f>Adatbázis!J330*$Q330/$Q$361</f>
        <v>0</v>
      </c>
      <c r="AA330" s="28">
        <f>Adatbázis!K330*$Q330/$Q$361</f>
        <v>0</v>
      </c>
      <c r="AB330" s="28">
        <f>Adatbázis!L330*$Q330/$Q$361</f>
        <v>0</v>
      </c>
      <c r="AC330" s="41">
        <f>Adatbázis!C330*Q330</f>
        <v>0</v>
      </c>
      <c r="AD330" s="378">
        <f t="shared" si="30"/>
        <v>0</v>
      </c>
      <c r="AF330" s="133"/>
      <c r="AG330" s="9"/>
      <c r="AH330" s="9"/>
      <c r="AI330" s="1"/>
      <c r="AJ330" s="1"/>
    </row>
    <row r="331" spans="1:36" ht="15.75" customHeight="1" x14ac:dyDescent="0.25">
      <c r="A331" s="602"/>
      <c r="B331" s="492"/>
      <c r="C331" s="81"/>
      <c r="D331" s="27" t="s">
        <v>14</v>
      </c>
      <c r="E331" s="36"/>
      <c r="F331" s="4">
        <v>21.59</v>
      </c>
      <c r="G331" s="4">
        <v>10.06</v>
      </c>
      <c r="H331" s="4">
        <v>6.3</v>
      </c>
      <c r="I331" s="4">
        <v>5.1100000000000003</v>
      </c>
      <c r="J331" s="4">
        <v>2.82</v>
      </c>
      <c r="K331" s="4">
        <v>1.25</v>
      </c>
      <c r="L331" s="4">
        <v>0.33</v>
      </c>
      <c r="M331" s="43"/>
      <c r="N331" s="472" t="s">
        <v>419</v>
      </c>
      <c r="O331" s="472"/>
      <c r="P331" s="472"/>
      <c r="Q331" s="107"/>
      <c r="R331" s="79" t="s">
        <v>133</v>
      </c>
      <c r="S331" s="408">
        <f>$P$11*0.16</f>
        <v>16</v>
      </c>
      <c r="T331" s="407">
        <f>$P$11*0.25</f>
        <v>25</v>
      </c>
      <c r="U331" s="36">
        <f>Adatbázis!E331*Q331</f>
        <v>0</v>
      </c>
      <c r="V331" s="28">
        <f>Adatbázis!F331*$Q331/$Q$361</f>
        <v>0</v>
      </c>
      <c r="W331" s="28">
        <f>Adatbázis!G331*$Q331/$Q$361</f>
        <v>0</v>
      </c>
      <c r="X331" s="28">
        <f>Adatbázis!H331*$Q331/$Q$361</f>
        <v>0</v>
      </c>
      <c r="Y331" s="28">
        <f>Adatbázis!I331*$Q331/$Q$361</f>
        <v>0</v>
      </c>
      <c r="Z331" s="28">
        <f>Adatbázis!J331*$Q331/$Q$361</f>
        <v>0</v>
      </c>
      <c r="AA331" s="28">
        <f>Adatbázis!K331*$Q331/$Q$361</f>
        <v>0</v>
      </c>
      <c r="AB331" s="28">
        <f>Adatbázis!L331*$Q331/$Q$361</f>
        <v>0</v>
      </c>
      <c r="AC331" s="41">
        <f>Adatbázis!C331*Q331</f>
        <v>0</v>
      </c>
      <c r="AD331" s="378">
        <f t="shared" si="30"/>
        <v>0</v>
      </c>
      <c r="AF331" s="133"/>
      <c r="AG331" s="9"/>
      <c r="AH331" s="9"/>
      <c r="AI331" s="1"/>
      <c r="AJ331" s="1"/>
    </row>
    <row r="332" spans="1:36" ht="15.75" customHeight="1" x14ac:dyDescent="0.25">
      <c r="A332" s="602"/>
      <c r="B332" s="492"/>
      <c r="C332" s="81"/>
      <c r="D332" s="27" t="s">
        <v>14</v>
      </c>
      <c r="E332" s="36">
        <v>8.3000000000000007</v>
      </c>
      <c r="F332" s="4">
        <v>39.299999999999997</v>
      </c>
      <c r="G332" s="4">
        <v>1.5</v>
      </c>
      <c r="H332" s="4">
        <v>7</v>
      </c>
      <c r="I332" s="4">
        <v>3.8</v>
      </c>
      <c r="J332" s="4">
        <v>1.19</v>
      </c>
      <c r="K332" s="4">
        <v>2.39</v>
      </c>
      <c r="L332" s="4">
        <v>0.71</v>
      </c>
      <c r="M332" s="43"/>
      <c r="N332" s="472" t="s">
        <v>245</v>
      </c>
      <c r="O332" s="472"/>
      <c r="P332" s="472"/>
      <c r="Q332" s="107"/>
      <c r="R332" s="79" t="s">
        <v>133</v>
      </c>
      <c r="S332" s="343">
        <f>$P$11*0.26</f>
        <v>26</v>
      </c>
      <c r="T332" s="340">
        <f>$P$11*0.26</f>
        <v>26</v>
      </c>
      <c r="U332" s="36">
        <f>Adatbázis!E332*Q332</f>
        <v>0</v>
      </c>
      <c r="V332" s="28">
        <f>Adatbázis!F332*$Q332/$Q$361</f>
        <v>0</v>
      </c>
      <c r="W332" s="28">
        <f>Adatbázis!G332*$Q332/$Q$361</f>
        <v>0</v>
      </c>
      <c r="X332" s="28">
        <f>Adatbázis!H332*$Q332/$Q$361</f>
        <v>0</v>
      </c>
      <c r="Y332" s="28">
        <f>Adatbázis!I332*$Q332/$Q$361</f>
        <v>0</v>
      </c>
      <c r="Z332" s="28">
        <f>Adatbázis!J332*$Q332/$Q$361</f>
        <v>0</v>
      </c>
      <c r="AA332" s="28">
        <f>Adatbázis!K332*$Q332/$Q$361</f>
        <v>0</v>
      </c>
      <c r="AB332" s="28">
        <f>Adatbázis!L332*$Q332/$Q$361</f>
        <v>0</v>
      </c>
      <c r="AC332" s="41">
        <f>Adatbázis!C332*Q332</f>
        <v>0</v>
      </c>
      <c r="AD332" s="378">
        <f t="shared" si="30"/>
        <v>0</v>
      </c>
      <c r="AF332" s="133"/>
      <c r="AG332" s="9"/>
      <c r="AH332" s="9"/>
      <c r="AI332" s="1"/>
      <c r="AJ332" s="1"/>
    </row>
    <row r="333" spans="1:36" ht="15.75" customHeight="1" x14ac:dyDescent="0.25">
      <c r="A333" s="602"/>
      <c r="B333" s="492"/>
      <c r="C333" s="81"/>
      <c r="D333" s="27" t="s">
        <v>14</v>
      </c>
      <c r="E333" s="36">
        <v>6.3949999999999996</v>
      </c>
      <c r="F333" s="4">
        <v>28.786000000000001</v>
      </c>
      <c r="G333" s="4">
        <v>1.456</v>
      </c>
      <c r="H333" s="4">
        <v>5.9989999999999997</v>
      </c>
      <c r="I333" s="4">
        <v>10.878</v>
      </c>
      <c r="J333" s="4">
        <v>0.94599999999999995</v>
      </c>
      <c r="K333" s="4">
        <v>2.2869999999999999</v>
      </c>
      <c r="L333" s="4">
        <v>1.07</v>
      </c>
      <c r="M333" s="43"/>
      <c r="N333" s="472" t="s">
        <v>393</v>
      </c>
      <c r="O333" s="472"/>
      <c r="P333" s="472"/>
      <c r="Q333" s="145"/>
      <c r="R333" s="79" t="s">
        <v>133</v>
      </c>
      <c r="S333" s="343">
        <f>$P$11*0.35</f>
        <v>35</v>
      </c>
      <c r="T333" s="340">
        <f>$P$11*0.4</f>
        <v>40</v>
      </c>
      <c r="U333" s="36">
        <f>Adatbázis!E333*Q333</f>
        <v>0</v>
      </c>
      <c r="V333" s="28">
        <f>Adatbázis!F333*$Q333/$Q$361</f>
        <v>0</v>
      </c>
      <c r="W333" s="28">
        <f>Adatbázis!G333*$Q333/$Q$361</f>
        <v>0</v>
      </c>
      <c r="X333" s="28">
        <f>Adatbázis!H333*$Q333/$Q$361</f>
        <v>0</v>
      </c>
      <c r="Y333" s="28">
        <f>Adatbázis!I333*$Q333/$Q$361</f>
        <v>0</v>
      </c>
      <c r="Z333" s="28">
        <f>Adatbázis!J333*$Q333/$Q$361</f>
        <v>0</v>
      </c>
      <c r="AA333" s="28">
        <f>Adatbázis!K333*$Q333/$Q$361</f>
        <v>0</v>
      </c>
      <c r="AB333" s="28">
        <f>Adatbázis!L333*$Q333/$Q$361</f>
        <v>0</v>
      </c>
      <c r="AC333" s="41">
        <f>Adatbázis!C333*Q333</f>
        <v>0</v>
      </c>
      <c r="AD333" s="378">
        <f t="shared" si="30"/>
        <v>0</v>
      </c>
      <c r="AF333" s="133"/>
      <c r="AG333" s="9"/>
      <c r="AH333" s="9"/>
      <c r="AI333" s="1"/>
      <c r="AJ333" s="1"/>
    </row>
    <row r="334" spans="1:36" ht="15.75" customHeight="1" x14ac:dyDescent="0.25">
      <c r="A334" s="602"/>
      <c r="B334" s="492"/>
      <c r="C334" s="81"/>
      <c r="D334" s="27" t="s">
        <v>14</v>
      </c>
      <c r="E334" s="36"/>
      <c r="F334" s="4">
        <v>30.67</v>
      </c>
      <c r="G334" s="4">
        <v>2.42</v>
      </c>
      <c r="H334" s="4">
        <v>8.18</v>
      </c>
      <c r="I334" s="4">
        <v>9.2799999999999994</v>
      </c>
      <c r="J334" s="4">
        <v>0.9</v>
      </c>
      <c r="K334" s="4">
        <v>1.62</v>
      </c>
      <c r="L334" s="4">
        <v>0.67</v>
      </c>
      <c r="M334" s="43"/>
      <c r="N334" s="472" t="s">
        <v>401</v>
      </c>
      <c r="O334" s="472"/>
      <c r="P334" s="472"/>
      <c r="Q334" s="145"/>
      <c r="R334" s="79" t="s">
        <v>133</v>
      </c>
      <c r="S334" s="349">
        <f>$P$11*0.35</f>
        <v>35</v>
      </c>
      <c r="T334" s="348">
        <f>$P$11*0.45</f>
        <v>45</v>
      </c>
      <c r="U334" s="36">
        <f>Adatbázis!E334*Q334</f>
        <v>0</v>
      </c>
      <c r="V334" s="28">
        <f>Adatbázis!F334*$Q334/$Q$361</f>
        <v>0</v>
      </c>
      <c r="W334" s="28">
        <f>Adatbázis!G334*$Q334/$Q$361</f>
        <v>0</v>
      </c>
      <c r="X334" s="28">
        <f>Adatbázis!H334*$Q334/$Q$361</f>
        <v>0</v>
      </c>
      <c r="Y334" s="28">
        <f>Adatbázis!I334*$Q334/$Q$361</f>
        <v>0</v>
      </c>
      <c r="Z334" s="28">
        <f>Adatbázis!J334*$Q334/$Q$361</f>
        <v>0</v>
      </c>
      <c r="AA334" s="28">
        <f>Adatbázis!K334*$Q334/$Q$361</f>
        <v>0</v>
      </c>
      <c r="AB334" s="28">
        <f>Adatbázis!L334*$Q334/$Q$361</f>
        <v>0</v>
      </c>
      <c r="AC334" s="41">
        <f>Adatbázis!C334*Q334</f>
        <v>0</v>
      </c>
      <c r="AD334" s="378">
        <f t="shared" si="30"/>
        <v>0</v>
      </c>
      <c r="AF334" s="133"/>
      <c r="AG334" s="9"/>
      <c r="AH334" s="9"/>
      <c r="AI334" s="1"/>
      <c r="AJ334" s="1"/>
    </row>
    <row r="335" spans="1:36" ht="15.75" customHeight="1" x14ac:dyDescent="0.25">
      <c r="A335" s="602"/>
      <c r="B335" s="492"/>
      <c r="C335" s="81"/>
      <c r="D335" s="27" t="s">
        <v>14</v>
      </c>
      <c r="E335" s="36"/>
      <c r="F335" s="4">
        <v>13.32</v>
      </c>
      <c r="G335" s="4">
        <v>4.01</v>
      </c>
      <c r="H335" s="4">
        <v>2.86</v>
      </c>
      <c r="I335" s="4">
        <v>0.66</v>
      </c>
      <c r="J335" s="4">
        <v>0.39</v>
      </c>
      <c r="K335" s="4">
        <v>0.53</v>
      </c>
      <c r="L335" s="4">
        <v>0.47</v>
      </c>
      <c r="M335" s="43"/>
      <c r="N335" s="472" t="s">
        <v>296</v>
      </c>
      <c r="O335" s="472"/>
      <c r="P335" s="472"/>
      <c r="Q335" s="107"/>
      <c r="R335" s="79" t="s">
        <v>133</v>
      </c>
      <c r="S335" s="343"/>
      <c r="T335" s="340"/>
      <c r="U335" s="36">
        <f>Adatbázis!E335*Q335</f>
        <v>0</v>
      </c>
      <c r="V335" s="28">
        <f>Adatbázis!F335*$Q335/$Q$361</f>
        <v>0</v>
      </c>
      <c r="W335" s="28">
        <f>Adatbázis!G335*$Q335/$Q$361</f>
        <v>0</v>
      </c>
      <c r="X335" s="28">
        <f>Adatbázis!H335*$Q335/$Q$361</f>
        <v>0</v>
      </c>
      <c r="Y335" s="28">
        <f>Adatbázis!I335*$Q335/$Q$361</f>
        <v>0</v>
      </c>
      <c r="Z335" s="28">
        <f>Adatbázis!J335*$Q335/$Q$361</f>
        <v>0</v>
      </c>
      <c r="AA335" s="28">
        <f>Adatbázis!K335*$Q335/$Q$361</f>
        <v>0</v>
      </c>
      <c r="AB335" s="28">
        <f>Adatbázis!L335*$Q335/$Q$361</f>
        <v>0</v>
      </c>
      <c r="AC335" s="41">
        <f>Adatbázis!C335*Q335</f>
        <v>0</v>
      </c>
      <c r="AF335" s="133"/>
      <c r="AG335" s="9"/>
      <c r="AH335" s="9"/>
      <c r="AI335" s="1"/>
      <c r="AJ335" s="1"/>
    </row>
    <row r="336" spans="1:36" ht="15.75" customHeight="1" x14ac:dyDescent="0.25">
      <c r="A336" s="602"/>
      <c r="B336" s="492"/>
      <c r="C336" s="81"/>
      <c r="D336" s="27" t="s">
        <v>14</v>
      </c>
      <c r="E336" s="36"/>
      <c r="F336" s="4"/>
      <c r="G336" s="4"/>
      <c r="H336" s="4"/>
      <c r="I336" s="4">
        <v>4.5</v>
      </c>
      <c r="J336" s="4">
        <v>0.1</v>
      </c>
      <c r="K336" s="4"/>
      <c r="L336" s="4"/>
      <c r="M336" s="43"/>
      <c r="N336" s="472" t="s">
        <v>376</v>
      </c>
      <c r="O336" s="472"/>
      <c r="P336" s="472"/>
      <c r="Q336" s="107"/>
      <c r="R336" s="79" t="s">
        <v>133</v>
      </c>
      <c r="S336" s="343">
        <f>$P$11*0.007</f>
        <v>0.70000000000000007</v>
      </c>
      <c r="T336" s="340">
        <f>$P$11*0.01</f>
        <v>1</v>
      </c>
      <c r="U336" s="36">
        <f>Adatbázis!E336*Q336</f>
        <v>0</v>
      </c>
      <c r="V336" s="28">
        <f>Adatbázis!F336*$Q336/$Q$361</f>
        <v>0</v>
      </c>
      <c r="W336" s="28">
        <f>Adatbázis!G336*$Q336/$Q$361</f>
        <v>0</v>
      </c>
      <c r="X336" s="28">
        <f>Adatbázis!H336*$Q336/$Q$361</f>
        <v>0</v>
      </c>
      <c r="Y336" s="28">
        <f>Adatbázis!I336*$Q336/$Q$361</f>
        <v>0</v>
      </c>
      <c r="Z336" s="28">
        <f>Adatbázis!J336*$Q336/$Q$361</f>
        <v>0</v>
      </c>
      <c r="AA336" s="28">
        <f>Adatbázis!K336*$Q336/$Q$361</f>
        <v>0</v>
      </c>
      <c r="AB336" s="28">
        <f>Adatbázis!L336*$Q336/$Q$361</f>
        <v>0</v>
      </c>
      <c r="AC336" s="41">
        <f>Adatbázis!C336*Q336</f>
        <v>0</v>
      </c>
      <c r="AD336" s="434">
        <f>IF(AND(Q336&gt;=S336,Q336&lt;=T336),1,0)</f>
        <v>0</v>
      </c>
      <c r="AE336" s="434"/>
      <c r="AF336" s="133"/>
      <c r="AG336" s="9"/>
      <c r="AH336" s="9"/>
      <c r="AI336" s="1"/>
      <c r="AJ336" s="1"/>
    </row>
    <row r="337" spans="1:36" ht="15.75" customHeight="1" x14ac:dyDescent="0.25">
      <c r="A337" s="602"/>
      <c r="B337" s="492"/>
      <c r="C337" s="81"/>
      <c r="D337" s="27" t="s">
        <v>14</v>
      </c>
      <c r="E337" s="36">
        <v>5.5</v>
      </c>
      <c r="F337" s="4">
        <v>6.7</v>
      </c>
      <c r="G337" s="4">
        <v>1.66</v>
      </c>
      <c r="H337" s="4">
        <v>24.76</v>
      </c>
      <c r="I337" s="4"/>
      <c r="J337" s="4"/>
      <c r="K337" s="4"/>
      <c r="L337" s="4"/>
      <c r="M337" s="43"/>
      <c r="N337" s="472" t="s">
        <v>377</v>
      </c>
      <c r="O337" s="472"/>
      <c r="P337" s="472"/>
      <c r="Q337" s="145"/>
      <c r="R337" s="79" t="s">
        <v>133</v>
      </c>
      <c r="S337" s="343">
        <f>$P$11*0</f>
        <v>0</v>
      </c>
      <c r="T337" s="340">
        <f>$P$11*0.05</f>
        <v>5</v>
      </c>
      <c r="U337" s="36">
        <f>Adatbázis!E337*Q337</f>
        <v>0</v>
      </c>
      <c r="V337" s="28">
        <f>Adatbázis!F337*$Q337/$Q$361</f>
        <v>0</v>
      </c>
      <c r="W337" s="28">
        <f>Adatbázis!G337*$Q337/$Q$361</f>
        <v>0</v>
      </c>
      <c r="X337" s="28">
        <f>Adatbázis!H337*$Q337/$Q$361</f>
        <v>0</v>
      </c>
      <c r="Y337" s="28">
        <f>Adatbázis!I337*$Q337/$Q$361</f>
        <v>0</v>
      </c>
      <c r="Z337" s="28">
        <f>Adatbázis!J337*$Q337/$Q$361</f>
        <v>0</v>
      </c>
      <c r="AA337" s="28">
        <f>Adatbázis!K337*$Q337/$Q$361</f>
        <v>0</v>
      </c>
      <c r="AB337" s="28">
        <f>Adatbázis!L337*$Q337/$Q$361</f>
        <v>0</v>
      </c>
      <c r="AC337" s="41">
        <f>Adatbázis!C337*Q337</f>
        <v>0</v>
      </c>
      <c r="AF337" s="133"/>
      <c r="AG337" s="9"/>
      <c r="AH337" s="9"/>
      <c r="AI337" s="1"/>
      <c r="AJ337" s="1"/>
    </row>
    <row r="338" spans="1:36" ht="15.75" customHeight="1" x14ac:dyDescent="0.25">
      <c r="A338" s="602"/>
      <c r="B338" s="492"/>
      <c r="C338" s="81"/>
      <c r="D338" s="27" t="s">
        <v>14</v>
      </c>
      <c r="E338" s="36"/>
      <c r="F338" s="4">
        <v>11.73</v>
      </c>
      <c r="G338" s="4">
        <v>2.71</v>
      </c>
      <c r="H338" s="4">
        <v>4.2699999999999996</v>
      </c>
      <c r="I338" s="4">
        <v>0.73</v>
      </c>
      <c r="J338" s="4">
        <v>0.28999999999999998</v>
      </c>
      <c r="K338" s="4">
        <v>0.44</v>
      </c>
      <c r="L338" s="4">
        <v>0.22</v>
      </c>
      <c r="M338" s="43"/>
      <c r="N338" s="472" t="s">
        <v>197</v>
      </c>
      <c r="O338" s="472"/>
      <c r="P338" s="472"/>
      <c r="Q338" s="145"/>
      <c r="R338" s="79" t="s">
        <v>133</v>
      </c>
      <c r="S338" s="343"/>
      <c r="T338" s="340"/>
      <c r="U338" s="36">
        <f>Adatbázis!E338*Q338</f>
        <v>0</v>
      </c>
      <c r="V338" s="28">
        <f>Adatbázis!F338*$Q338/$Q$361</f>
        <v>0</v>
      </c>
      <c r="W338" s="28">
        <f>Adatbázis!G338*$Q338/$Q$361</f>
        <v>0</v>
      </c>
      <c r="X338" s="28">
        <f>Adatbázis!H338*$Q338/$Q$361</f>
        <v>0</v>
      </c>
      <c r="Y338" s="28">
        <f>Adatbázis!I338*$Q338/$Q$361</f>
        <v>0</v>
      </c>
      <c r="Z338" s="28">
        <f>Adatbázis!J338*$Q338/$Q$361</f>
        <v>0</v>
      </c>
      <c r="AA338" s="28">
        <f>Adatbázis!K338*$Q338/$Q$361</f>
        <v>0</v>
      </c>
      <c r="AB338" s="28">
        <f>Adatbázis!L338*$Q338/$Q$361</f>
        <v>0</v>
      </c>
      <c r="AC338" s="41">
        <f>Adatbázis!C338*Q338</f>
        <v>0</v>
      </c>
      <c r="AF338" s="133"/>
      <c r="AG338" s="9"/>
      <c r="AH338" s="9"/>
      <c r="AI338" s="1"/>
      <c r="AJ338" s="1"/>
    </row>
    <row r="339" spans="1:36" ht="15.75" customHeight="1" x14ac:dyDescent="0.25">
      <c r="A339" s="602"/>
      <c r="B339" s="492"/>
      <c r="C339" s="81"/>
      <c r="D339" s="27" t="s">
        <v>14</v>
      </c>
      <c r="E339" s="36">
        <v>13.5</v>
      </c>
      <c r="F339" s="4">
        <v>21</v>
      </c>
      <c r="G339" s="4">
        <v>5</v>
      </c>
      <c r="H339" s="4">
        <v>7</v>
      </c>
      <c r="I339" s="4"/>
      <c r="J339" s="4"/>
      <c r="K339" s="4">
        <v>1.18</v>
      </c>
      <c r="L339" s="4"/>
      <c r="M339" s="43"/>
      <c r="N339" s="472" t="s">
        <v>266</v>
      </c>
      <c r="O339" s="472"/>
      <c r="P339" s="472"/>
      <c r="Q339" s="107"/>
      <c r="R339" s="79" t="s">
        <v>133</v>
      </c>
      <c r="S339" s="343">
        <f>$P$11*0</f>
        <v>0</v>
      </c>
      <c r="T339" s="340">
        <f>$P$11*0.11</f>
        <v>11</v>
      </c>
      <c r="U339" s="36">
        <f>Adatbázis!E339*Q339</f>
        <v>0</v>
      </c>
      <c r="V339" s="28">
        <f>Adatbázis!F339*$Q339/$Q$361</f>
        <v>0</v>
      </c>
      <c r="W339" s="28">
        <f>Adatbázis!G339*$Q339/$Q$361</f>
        <v>0</v>
      </c>
      <c r="X339" s="28">
        <f>Adatbázis!H339*$Q339/$Q$361</f>
        <v>0</v>
      </c>
      <c r="Y339" s="28">
        <f>Adatbázis!I339*$Q339/$Q$361</f>
        <v>0</v>
      </c>
      <c r="Z339" s="28">
        <f>Adatbázis!J339*$Q339/$Q$361</f>
        <v>0</v>
      </c>
      <c r="AA339" s="28">
        <f>Adatbázis!K339*$Q339/$Q$361</f>
        <v>0</v>
      </c>
      <c r="AB339" s="28">
        <f>Adatbázis!L339*$Q339/$Q$361</f>
        <v>0</v>
      </c>
      <c r="AC339" s="41">
        <f>Adatbázis!C339*Q339</f>
        <v>0</v>
      </c>
      <c r="AF339" s="133"/>
      <c r="AG339" s="9"/>
      <c r="AH339" s="9"/>
      <c r="AI339" s="1"/>
      <c r="AJ339" s="1"/>
    </row>
    <row r="340" spans="1:36" ht="15.75" customHeight="1" thickBot="1" x14ac:dyDescent="0.3">
      <c r="A340" s="602"/>
      <c r="B340" s="492"/>
      <c r="C340" s="81"/>
      <c r="D340" s="27" t="s">
        <v>14</v>
      </c>
      <c r="E340" s="36">
        <v>13.673999999999999</v>
      </c>
      <c r="F340" s="4">
        <v>24.25</v>
      </c>
      <c r="G340" s="4">
        <v>6.25</v>
      </c>
      <c r="H340" s="4">
        <v>7.5399999999999991</v>
      </c>
      <c r="I340" s="4">
        <v>0.16500000000000001</v>
      </c>
      <c r="J340" s="4">
        <v>0.51500000000000001</v>
      </c>
      <c r="K340" s="4">
        <v>1.4640000000000002</v>
      </c>
      <c r="L340" s="4">
        <v>0.23600000000000002</v>
      </c>
      <c r="M340" s="43"/>
      <c r="N340" s="472" t="s">
        <v>313</v>
      </c>
      <c r="O340" s="472"/>
      <c r="P340" s="472"/>
      <c r="Q340" s="107"/>
      <c r="R340" s="79" t="s">
        <v>133</v>
      </c>
      <c r="S340" s="343">
        <f>$P$11*0</f>
        <v>0</v>
      </c>
      <c r="T340" s="340">
        <f>$P$11*0.11</f>
        <v>11</v>
      </c>
      <c r="U340" s="36">
        <f>Adatbázis!E340*Q340</f>
        <v>0</v>
      </c>
      <c r="V340" s="28">
        <f>Adatbázis!F340*$Q340/$Q$361</f>
        <v>0</v>
      </c>
      <c r="W340" s="28">
        <f>Adatbázis!G340*$Q340/$Q$361</f>
        <v>0</v>
      </c>
      <c r="X340" s="28">
        <f>Adatbázis!H340*$Q340/$Q$361</f>
        <v>0</v>
      </c>
      <c r="Y340" s="28">
        <f>Adatbázis!I340*$Q340/$Q$361</f>
        <v>0</v>
      </c>
      <c r="Z340" s="28">
        <f>Adatbázis!J340*$Q340/$Q$361</f>
        <v>0</v>
      </c>
      <c r="AA340" s="28">
        <f>Adatbázis!K340*$Q340/$Q$361</f>
        <v>0</v>
      </c>
      <c r="AB340" s="28">
        <f>Adatbázis!L340*$Q340/$Q$361</f>
        <v>0</v>
      </c>
      <c r="AC340" s="41">
        <f>Adatbázis!C340*Q340</f>
        <v>0</v>
      </c>
      <c r="AF340" s="133"/>
      <c r="AG340" s="9"/>
      <c r="AH340" s="9"/>
      <c r="AI340" s="1"/>
      <c r="AJ340" s="1"/>
    </row>
    <row r="341" spans="1:36" ht="15.75" customHeight="1" thickBot="1" x14ac:dyDescent="0.3">
      <c r="A341" s="602"/>
      <c r="B341" s="514"/>
      <c r="C341" s="82"/>
      <c r="D341" s="29" t="s">
        <v>14</v>
      </c>
      <c r="E341" s="38">
        <v>13.5</v>
      </c>
      <c r="F341" s="18">
        <v>21</v>
      </c>
      <c r="G341" s="18">
        <v>5</v>
      </c>
      <c r="H341" s="18">
        <v>7</v>
      </c>
      <c r="I341" s="18">
        <v>1</v>
      </c>
      <c r="J341" s="18">
        <v>0.82</v>
      </c>
      <c r="K341" s="18">
        <v>1.18</v>
      </c>
      <c r="L341" s="18">
        <v>0.45</v>
      </c>
      <c r="M341" s="53"/>
      <c r="N341" s="489" t="s">
        <v>182</v>
      </c>
      <c r="O341" s="489"/>
      <c r="P341" s="489"/>
      <c r="Q341" s="145"/>
      <c r="R341" s="83" t="s">
        <v>133</v>
      </c>
      <c r="S341" s="344">
        <f>$P$11*0.1</f>
        <v>10</v>
      </c>
      <c r="T341" s="341">
        <f>$P$11*0.3</f>
        <v>30</v>
      </c>
      <c r="U341" s="38">
        <f>Adatbázis!E341*Q341</f>
        <v>0</v>
      </c>
      <c r="V341" s="67">
        <f>Adatbázis!F341*$Q341/$Q$361</f>
        <v>0</v>
      </c>
      <c r="W341" s="67">
        <f>Adatbázis!G341*$Q341/$Q$361</f>
        <v>0</v>
      </c>
      <c r="X341" s="67">
        <f>Adatbázis!H341*$Q341/$Q$361</f>
        <v>0</v>
      </c>
      <c r="Y341" s="67">
        <f>Adatbázis!I341*$Q341/$Q$361</f>
        <v>0</v>
      </c>
      <c r="Z341" s="67">
        <f>Adatbázis!J341*$Q341/$Q$361</f>
        <v>0</v>
      </c>
      <c r="AA341" s="67">
        <f>Adatbázis!K341*$Q341/$Q$361</f>
        <v>0</v>
      </c>
      <c r="AB341" s="67">
        <f>Adatbázis!L341*$Q341/$Q$361</f>
        <v>0</v>
      </c>
      <c r="AC341" s="68">
        <f>Adatbázis!C341*Q341</f>
        <v>0</v>
      </c>
      <c r="AF341" s="134" t="s">
        <v>183</v>
      </c>
      <c r="AG341" s="101"/>
      <c r="AH341" s="102"/>
      <c r="AI341" s="1"/>
      <c r="AJ341" s="1"/>
    </row>
    <row r="342" spans="1:36" x14ac:dyDescent="0.25">
      <c r="A342" s="602"/>
      <c r="B342" s="604" t="s">
        <v>280</v>
      </c>
      <c r="C342" s="268"/>
      <c r="D342" s="78" t="s">
        <v>14</v>
      </c>
      <c r="E342" s="32">
        <v>37.65</v>
      </c>
      <c r="F342" s="77"/>
      <c r="G342" s="77">
        <v>100</v>
      </c>
      <c r="H342" s="77"/>
      <c r="I342" s="77"/>
      <c r="J342" s="77">
        <v>2E-3</v>
      </c>
      <c r="K342" s="77"/>
      <c r="L342" s="77"/>
      <c r="M342" s="144"/>
      <c r="N342" s="481" t="s">
        <v>149</v>
      </c>
      <c r="O342" s="481"/>
      <c r="P342" s="481"/>
      <c r="Q342" s="145"/>
      <c r="R342" s="64" t="s">
        <v>133</v>
      </c>
      <c r="S342" s="89">
        <f t="shared" ref="S342:T345" si="34">$P$11*0.01</f>
        <v>1</v>
      </c>
      <c r="T342" s="90">
        <f t="shared" si="34"/>
        <v>1</v>
      </c>
      <c r="U342" s="32">
        <f>Adatbázis!E342*Q342</f>
        <v>0</v>
      </c>
      <c r="V342" s="6">
        <f>Adatbázis!F342*$Q342/$Q$361</f>
        <v>0</v>
      </c>
      <c r="W342" s="6">
        <f>Adatbázis!G342*$Q342/$Q$361</f>
        <v>0</v>
      </c>
      <c r="X342" s="6">
        <f>Adatbázis!H342*$Q342/$Q$361</f>
        <v>0</v>
      </c>
      <c r="Y342" s="6">
        <f>Adatbázis!I342*$Q342/$Q$361</f>
        <v>0</v>
      </c>
      <c r="Z342" s="6">
        <f>Adatbázis!J342*$Q342/$Q$361</f>
        <v>0</v>
      </c>
      <c r="AA342" s="6">
        <f>Adatbázis!K342*$Q342/$Q$361</f>
        <v>0</v>
      </c>
      <c r="AB342" s="6">
        <f>Adatbázis!L342*$Q342/$Q$361</f>
        <v>0</v>
      </c>
      <c r="AC342" s="50">
        <f>Adatbázis!C342*Q342</f>
        <v>0</v>
      </c>
      <c r="AD342" s="434">
        <f t="shared" ref="AD342:AD347" si="35">IF(AND(Q342&gt;=S342,Q342&lt;=T342),1,0)</f>
        <v>0</v>
      </c>
      <c r="AE342" s="434"/>
    </row>
    <row r="343" spans="1:36" x14ac:dyDescent="0.25">
      <c r="A343" s="602"/>
      <c r="B343" s="527"/>
      <c r="C343" s="267"/>
      <c r="D343" s="78" t="s">
        <v>14</v>
      </c>
      <c r="E343" s="36">
        <v>37.65</v>
      </c>
      <c r="F343" s="4"/>
      <c r="G343" s="4">
        <v>100</v>
      </c>
      <c r="H343" s="4"/>
      <c r="I343" s="4"/>
      <c r="J343" s="4"/>
      <c r="K343" s="4"/>
      <c r="L343" s="4"/>
      <c r="M343" s="43"/>
      <c r="N343" s="472" t="s">
        <v>150</v>
      </c>
      <c r="O343" s="472"/>
      <c r="P343" s="472"/>
      <c r="Q343" s="107"/>
      <c r="R343" s="79" t="s">
        <v>133</v>
      </c>
      <c r="S343" s="123">
        <f t="shared" si="34"/>
        <v>1</v>
      </c>
      <c r="T343" s="121">
        <f t="shared" si="34"/>
        <v>1</v>
      </c>
      <c r="U343" s="36">
        <f>Adatbázis!E343*Q343</f>
        <v>0</v>
      </c>
      <c r="V343" s="28">
        <f>Adatbázis!F343*$Q343/$Q$361</f>
        <v>0</v>
      </c>
      <c r="W343" s="28">
        <f>Adatbázis!G343*$Q343/$Q$361</f>
        <v>0</v>
      </c>
      <c r="X343" s="28">
        <f>Adatbázis!H343*$Q343/$Q$361</f>
        <v>0</v>
      </c>
      <c r="Y343" s="28">
        <f>Adatbázis!I343*$Q343/$Q$361</f>
        <v>0</v>
      </c>
      <c r="Z343" s="28">
        <f>Adatbázis!J343*$Q343/$Q$361</f>
        <v>0</v>
      </c>
      <c r="AA343" s="28">
        <f>Adatbázis!K343*$Q343/$Q$361</f>
        <v>0</v>
      </c>
      <c r="AB343" s="28">
        <f>Adatbázis!L343*$Q343/$Q$361</f>
        <v>0</v>
      </c>
      <c r="AC343" s="41">
        <f>Adatbázis!C343*Q343</f>
        <v>0</v>
      </c>
      <c r="AD343" s="434">
        <f t="shared" si="35"/>
        <v>0</v>
      </c>
      <c r="AE343" s="434"/>
    </row>
    <row r="344" spans="1:36" x14ac:dyDescent="0.25">
      <c r="A344" s="602"/>
      <c r="B344" s="527"/>
      <c r="C344" s="267"/>
      <c r="D344" s="78" t="s">
        <v>14</v>
      </c>
      <c r="E344" s="36">
        <v>35.549999999999997</v>
      </c>
      <c r="F344" s="4"/>
      <c r="G344" s="4">
        <v>100</v>
      </c>
      <c r="H344" s="4"/>
      <c r="I344" s="4"/>
      <c r="J344" s="4"/>
      <c r="K344" s="4"/>
      <c r="L344" s="4"/>
      <c r="M344" s="43"/>
      <c r="N344" s="472" t="s">
        <v>151</v>
      </c>
      <c r="O344" s="472"/>
      <c r="P344" s="472"/>
      <c r="Q344" s="107"/>
      <c r="R344" s="79" t="s">
        <v>133</v>
      </c>
      <c r="S344" s="123">
        <f t="shared" si="34"/>
        <v>1</v>
      </c>
      <c r="T344" s="121">
        <f t="shared" si="34"/>
        <v>1</v>
      </c>
      <c r="U344" s="36">
        <f>Adatbázis!E344*Q344</f>
        <v>0</v>
      </c>
      <c r="V344" s="28">
        <f>Adatbázis!F344*$Q344/$Q$361</f>
        <v>0</v>
      </c>
      <c r="W344" s="28">
        <f>Adatbázis!G344*$Q344/$Q$361</f>
        <v>0</v>
      </c>
      <c r="X344" s="28">
        <f>Adatbázis!H344*$Q344/$Q$361</f>
        <v>0</v>
      </c>
      <c r="Y344" s="28">
        <f>Adatbázis!I344*$Q344/$Q$361</f>
        <v>0</v>
      </c>
      <c r="Z344" s="28">
        <f>Adatbázis!J344*$Q344/$Q$361</f>
        <v>0</v>
      </c>
      <c r="AA344" s="28">
        <f>Adatbázis!K344*$Q344/$Q$361</f>
        <v>0</v>
      </c>
      <c r="AB344" s="28">
        <f>Adatbázis!L344*$Q344/$Q$361</f>
        <v>0</v>
      </c>
      <c r="AC344" s="41">
        <f>Adatbázis!C344*Q344</f>
        <v>0</v>
      </c>
      <c r="AD344" s="434">
        <f t="shared" si="35"/>
        <v>0</v>
      </c>
      <c r="AE344" s="434"/>
    </row>
    <row r="345" spans="1:36" x14ac:dyDescent="0.25">
      <c r="A345" s="602"/>
      <c r="B345" s="527"/>
      <c r="C345" s="267"/>
      <c r="D345" s="78" t="s">
        <v>14</v>
      </c>
      <c r="E345" s="36">
        <v>35.549999999999997</v>
      </c>
      <c r="F345" s="4"/>
      <c r="G345" s="4">
        <v>100</v>
      </c>
      <c r="H345" s="4"/>
      <c r="I345" s="4"/>
      <c r="J345" s="4"/>
      <c r="K345" s="4"/>
      <c r="L345" s="4"/>
      <c r="M345" s="43"/>
      <c r="N345" s="472" t="s">
        <v>217</v>
      </c>
      <c r="O345" s="472"/>
      <c r="P345" s="472"/>
      <c r="Q345" s="145"/>
      <c r="R345" s="79" t="s">
        <v>133</v>
      </c>
      <c r="S345" s="123">
        <f t="shared" si="34"/>
        <v>1</v>
      </c>
      <c r="T345" s="121">
        <f t="shared" si="34"/>
        <v>1</v>
      </c>
      <c r="U345" s="36">
        <f>Adatbázis!E345*Q345</f>
        <v>0</v>
      </c>
      <c r="V345" s="28">
        <f>Adatbázis!F345*$Q345/$Q$361</f>
        <v>0</v>
      </c>
      <c r="W345" s="28">
        <f>Adatbázis!G345*$Q345/$Q$361</f>
        <v>0</v>
      </c>
      <c r="X345" s="28">
        <f>Adatbázis!H345*$Q345/$Q$361</f>
        <v>0</v>
      </c>
      <c r="Y345" s="28">
        <f>Adatbázis!I345*$Q345/$Q$361</f>
        <v>0</v>
      </c>
      <c r="Z345" s="28">
        <f>Adatbázis!J345*$Q345/$Q$361</f>
        <v>0</v>
      </c>
      <c r="AA345" s="28">
        <f>Adatbázis!K345*$Q345/$Q$361</f>
        <v>0</v>
      </c>
      <c r="AB345" s="28">
        <f>Adatbázis!L345*$Q345/$Q$361</f>
        <v>0</v>
      </c>
      <c r="AC345" s="41">
        <f>Adatbázis!C345*Q345</f>
        <v>0</v>
      </c>
      <c r="AD345" s="434">
        <f t="shared" si="35"/>
        <v>0</v>
      </c>
      <c r="AE345" s="434"/>
    </row>
    <row r="346" spans="1:36" x14ac:dyDescent="0.25">
      <c r="A346" s="602"/>
      <c r="B346" s="527"/>
      <c r="C346" s="267"/>
      <c r="D346" s="78" t="s">
        <v>14</v>
      </c>
      <c r="E346" s="36">
        <v>23</v>
      </c>
      <c r="F346" s="4">
        <v>2</v>
      </c>
      <c r="G346" s="4">
        <v>50</v>
      </c>
      <c r="H346" s="4">
        <v>5</v>
      </c>
      <c r="I346" s="4"/>
      <c r="J346" s="4"/>
      <c r="K346" s="4"/>
      <c r="L346" s="4"/>
      <c r="M346" s="43"/>
      <c r="N346" s="472" t="s">
        <v>374</v>
      </c>
      <c r="O346" s="472"/>
      <c r="P346" s="472"/>
      <c r="Q346" s="145"/>
      <c r="R346" s="79" t="s">
        <v>133</v>
      </c>
      <c r="S346" s="314">
        <f>$P$11*0.01</f>
        <v>1</v>
      </c>
      <c r="T346" s="313">
        <f>$P$11*0.1</f>
        <v>10</v>
      </c>
      <c r="U346" s="36">
        <f>Adatbázis!E346*Q346</f>
        <v>0</v>
      </c>
      <c r="V346" s="28">
        <f>Adatbázis!F346*$Q346/$Q$361</f>
        <v>0</v>
      </c>
      <c r="W346" s="28">
        <f>Adatbázis!G346*$Q346/$Q$361</f>
        <v>0</v>
      </c>
      <c r="X346" s="28">
        <f>Adatbázis!H346*$Q346/$Q$361</f>
        <v>0</v>
      </c>
      <c r="Y346" s="28">
        <f>Adatbázis!I346*$Q346/$Q$361</f>
        <v>0</v>
      </c>
      <c r="Z346" s="28">
        <f>Adatbázis!J346*$Q346/$Q$361</f>
        <v>0</v>
      </c>
      <c r="AA346" s="28">
        <f>Adatbázis!K346*$Q346/$Q$361</f>
        <v>0</v>
      </c>
      <c r="AB346" s="28">
        <f>Adatbázis!L346*$Q346/$Q$361</f>
        <v>0</v>
      </c>
      <c r="AC346" s="41">
        <f>Adatbázis!C346*Q346</f>
        <v>0</v>
      </c>
      <c r="AD346" s="434">
        <f t="shared" si="35"/>
        <v>0</v>
      </c>
      <c r="AE346" s="434"/>
    </row>
    <row r="347" spans="1:36" x14ac:dyDescent="0.25">
      <c r="A347" s="602"/>
      <c r="B347" s="527"/>
      <c r="C347" s="267"/>
      <c r="D347" s="78" t="s">
        <v>14</v>
      </c>
      <c r="E347" s="36">
        <v>21.2</v>
      </c>
      <c r="F347" s="4">
        <v>2</v>
      </c>
      <c r="G347" s="4">
        <v>40</v>
      </c>
      <c r="H347" s="4">
        <v>5</v>
      </c>
      <c r="I347" s="4"/>
      <c r="J347" s="4"/>
      <c r="K347" s="4"/>
      <c r="L347" s="4"/>
      <c r="M347" s="43"/>
      <c r="N347" s="472" t="s">
        <v>375</v>
      </c>
      <c r="O347" s="472"/>
      <c r="P347" s="472"/>
      <c r="Q347" s="107"/>
      <c r="R347" s="79" t="s">
        <v>133</v>
      </c>
      <c r="S347" s="314">
        <f>$P$11*0.01</f>
        <v>1</v>
      </c>
      <c r="T347" s="313">
        <f>$P$11*0.06</f>
        <v>6</v>
      </c>
      <c r="U347" s="36">
        <f>Adatbázis!E347*Q347</f>
        <v>0</v>
      </c>
      <c r="V347" s="28">
        <f>Adatbázis!F347*$Q347/$Q$361</f>
        <v>0</v>
      </c>
      <c r="W347" s="28">
        <f>Adatbázis!G347*$Q347/$Q$361</f>
        <v>0</v>
      </c>
      <c r="X347" s="28">
        <f>Adatbázis!H347*$Q347/$Q$361</f>
        <v>0</v>
      </c>
      <c r="Y347" s="28">
        <f>Adatbázis!I347*$Q347/$Q$361</f>
        <v>0</v>
      </c>
      <c r="Z347" s="28">
        <f>Adatbázis!J347*$Q347/$Q$361</f>
        <v>0</v>
      </c>
      <c r="AA347" s="28">
        <f>Adatbázis!K347*$Q347/$Q$361</f>
        <v>0</v>
      </c>
      <c r="AB347" s="28">
        <f>Adatbázis!L347*$Q347/$Q$361</f>
        <v>0</v>
      </c>
      <c r="AC347" s="41">
        <f>Adatbázis!C347*Q347</f>
        <v>0</v>
      </c>
      <c r="AD347" s="434">
        <f t="shared" si="35"/>
        <v>0</v>
      </c>
      <c r="AE347" s="434"/>
    </row>
    <row r="348" spans="1:36" x14ac:dyDescent="0.25">
      <c r="A348" s="602"/>
      <c r="B348" s="527"/>
      <c r="C348" s="267"/>
      <c r="D348" s="27" t="s">
        <v>14</v>
      </c>
      <c r="E348" s="36">
        <v>4</v>
      </c>
      <c r="F348" s="4">
        <v>16.7</v>
      </c>
      <c r="G348" s="4">
        <v>9</v>
      </c>
      <c r="H348" s="4">
        <v>0</v>
      </c>
      <c r="I348" s="4"/>
      <c r="J348" s="4"/>
      <c r="K348" s="4"/>
      <c r="L348" s="4"/>
      <c r="M348" s="43"/>
      <c r="N348" s="472" t="s">
        <v>100</v>
      </c>
      <c r="O348" s="472"/>
      <c r="P348" s="472"/>
      <c r="Q348" s="107"/>
      <c r="R348" s="79" t="s">
        <v>133</v>
      </c>
      <c r="S348" s="375">
        <f t="shared" ref="S348:S356" si="36">$P$11*0</f>
        <v>0</v>
      </c>
      <c r="T348" s="372">
        <f>$P$11*0.05</f>
        <v>5</v>
      </c>
      <c r="U348" s="36">
        <f>Adatbázis!E348*Q348</f>
        <v>0</v>
      </c>
      <c r="V348" s="28">
        <f>Adatbázis!F348*$Q348/$Q$361</f>
        <v>0</v>
      </c>
      <c r="W348" s="28">
        <f>Adatbázis!G348*$Q348/$Q$361</f>
        <v>0</v>
      </c>
      <c r="X348" s="28">
        <f>Adatbázis!H348*$Q348/$Q$361</f>
        <v>0</v>
      </c>
      <c r="Y348" s="28">
        <f>Adatbázis!I348*$Q348/$Q$361</f>
        <v>0</v>
      </c>
      <c r="Z348" s="28">
        <f>Adatbázis!J348*$Q348/$Q$361</f>
        <v>0</v>
      </c>
      <c r="AA348" s="28">
        <f>Adatbázis!K348*$Q348/$Q$361</f>
        <v>0</v>
      </c>
      <c r="AB348" s="28">
        <f>Adatbázis!L348*$Q348/$Q$361</f>
        <v>0</v>
      </c>
      <c r="AC348" s="41">
        <f>Adatbázis!C348*Q348</f>
        <v>0</v>
      </c>
    </row>
    <row r="349" spans="1:36" x14ac:dyDescent="0.25">
      <c r="A349" s="602"/>
      <c r="B349" s="527"/>
      <c r="C349" s="267"/>
      <c r="D349" s="27" t="s">
        <v>14</v>
      </c>
      <c r="E349" s="36">
        <v>2.85</v>
      </c>
      <c r="F349" s="4">
        <v>12.7</v>
      </c>
      <c r="G349" s="4">
        <v>5</v>
      </c>
      <c r="H349" s="4">
        <v>0</v>
      </c>
      <c r="I349" s="4"/>
      <c r="J349" s="4"/>
      <c r="K349" s="4"/>
      <c r="L349" s="4"/>
      <c r="M349" s="43"/>
      <c r="N349" s="472" t="s">
        <v>95</v>
      </c>
      <c r="O349" s="472"/>
      <c r="P349" s="472"/>
      <c r="Q349" s="145"/>
      <c r="R349" s="79" t="s">
        <v>133</v>
      </c>
      <c r="S349" s="375">
        <f t="shared" si="36"/>
        <v>0</v>
      </c>
      <c r="T349" s="372">
        <f>$P$11*0.05</f>
        <v>5</v>
      </c>
      <c r="U349" s="36">
        <f>Adatbázis!E349*Q349</f>
        <v>0</v>
      </c>
      <c r="V349" s="28">
        <f>Adatbázis!F349*$Q349/$Q$361</f>
        <v>0</v>
      </c>
      <c r="W349" s="28">
        <f>Adatbázis!G349*$Q349/$Q$361</f>
        <v>0</v>
      </c>
      <c r="X349" s="28">
        <f>Adatbázis!H349*$Q349/$Q$361</f>
        <v>0</v>
      </c>
      <c r="Y349" s="28">
        <f>Adatbázis!I349*$Q349/$Q$361</f>
        <v>0</v>
      </c>
      <c r="Z349" s="28">
        <f>Adatbázis!J349*$Q349/$Q$361</f>
        <v>0</v>
      </c>
      <c r="AA349" s="28">
        <f>Adatbázis!K349*$Q349/$Q$361</f>
        <v>0</v>
      </c>
      <c r="AB349" s="28">
        <f>Adatbázis!L349*$Q349/$Q$361</f>
        <v>0</v>
      </c>
      <c r="AC349" s="41">
        <f>Adatbázis!C349*Q349</f>
        <v>0</v>
      </c>
    </row>
    <row r="350" spans="1:36" x14ac:dyDescent="0.25">
      <c r="A350" s="602"/>
      <c r="B350" s="527"/>
      <c r="C350" s="267"/>
      <c r="D350" s="27" t="s">
        <v>14</v>
      </c>
      <c r="E350" s="36">
        <v>3.2240000000000002</v>
      </c>
      <c r="F350" s="4">
        <v>30</v>
      </c>
      <c r="G350" s="4">
        <v>55</v>
      </c>
      <c r="H350" s="4">
        <v>0</v>
      </c>
      <c r="I350" s="4"/>
      <c r="J350" s="4"/>
      <c r="K350" s="4"/>
      <c r="L350" s="4"/>
      <c r="M350" s="43"/>
      <c r="N350" s="472" t="s">
        <v>199</v>
      </c>
      <c r="O350" s="472"/>
      <c r="P350" s="472"/>
      <c r="Q350" s="145"/>
      <c r="R350" s="79" t="s">
        <v>133</v>
      </c>
      <c r="S350" s="123">
        <f t="shared" si="36"/>
        <v>0</v>
      </c>
      <c r="T350" s="121">
        <f>$P$11*0.1</f>
        <v>10</v>
      </c>
      <c r="U350" s="36">
        <f>Adatbázis!E350*Q350</f>
        <v>0</v>
      </c>
      <c r="V350" s="28">
        <f>Adatbázis!F350*$Q350/$Q$361</f>
        <v>0</v>
      </c>
      <c r="W350" s="28">
        <f>Adatbázis!G350*$Q350/$Q$361</f>
        <v>0</v>
      </c>
      <c r="X350" s="28">
        <f>Adatbázis!H350*$Q350/$Q$361</f>
        <v>0</v>
      </c>
      <c r="Y350" s="28">
        <f>Adatbázis!I350*$Q350/$Q$361</f>
        <v>0</v>
      </c>
      <c r="Z350" s="28">
        <f>Adatbázis!J350*$Q350/$Q$361</f>
        <v>0</v>
      </c>
      <c r="AA350" s="28">
        <f>Adatbázis!K350*$Q350/$Q$361</f>
        <v>0</v>
      </c>
      <c r="AB350" s="28">
        <f>Adatbázis!L350*$Q350/$Q$361</f>
        <v>0</v>
      </c>
      <c r="AC350" s="41">
        <f>Adatbázis!C350*Q350</f>
        <v>0</v>
      </c>
    </row>
    <row r="351" spans="1:36" x14ac:dyDescent="0.25">
      <c r="A351" s="602"/>
      <c r="B351" s="527"/>
      <c r="C351" s="267"/>
      <c r="D351" s="27" t="s">
        <v>14</v>
      </c>
      <c r="E351" s="36">
        <v>2.0099999999999998</v>
      </c>
      <c r="F351" s="4">
        <v>83</v>
      </c>
      <c r="G351" s="4">
        <v>0</v>
      </c>
      <c r="H351" s="4">
        <v>0</v>
      </c>
      <c r="I351" s="4"/>
      <c r="J351" s="4"/>
      <c r="K351" s="4"/>
      <c r="L351" s="4"/>
      <c r="M351" s="43"/>
      <c r="N351" s="472" t="s">
        <v>200</v>
      </c>
      <c r="O351" s="472"/>
      <c r="P351" s="472"/>
      <c r="Q351" s="107"/>
      <c r="R351" s="79" t="s">
        <v>133</v>
      </c>
      <c r="S351" s="123">
        <f t="shared" si="36"/>
        <v>0</v>
      </c>
      <c r="T351" s="121">
        <f>$P$11*0.2</f>
        <v>20</v>
      </c>
      <c r="U351" s="36">
        <f>Adatbázis!E351*Q351</f>
        <v>0</v>
      </c>
      <c r="V351" s="28">
        <f>Adatbázis!F351*$Q351/$Q$361</f>
        <v>0</v>
      </c>
      <c r="W351" s="28">
        <f>Adatbázis!G351*$Q351/$Q$361</f>
        <v>0</v>
      </c>
      <c r="X351" s="28">
        <f>Adatbázis!H351*$Q351/$Q$361</f>
        <v>0</v>
      </c>
      <c r="Y351" s="28">
        <f>Adatbázis!I351*$Q351/$Q$361</f>
        <v>0</v>
      </c>
      <c r="Z351" s="28">
        <f>Adatbázis!J351*$Q351/$Q$361</f>
        <v>0</v>
      </c>
      <c r="AA351" s="28">
        <f>Adatbázis!K351*$Q351/$Q$361</f>
        <v>0</v>
      </c>
      <c r="AB351" s="28">
        <f>Adatbázis!L351*$Q351/$Q$361</f>
        <v>0</v>
      </c>
      <c r="AC351" s="41">
        <f>Adatbázis!C351*Q351</f>
        <v>0</v>
      </c>
    </row>
    <row r="352" spans="1:36" x14ac:dyDescent="0.25">
      <c r="A352" s="602"/>
      <c r="B352" s="527"/>
      <c r="C352" s="267"/>
      <c r="D352" s="27" t="s">
        <v>14</v>
      </c>
      <c r="E352" s="36">
        <v>2.17</v>
      </c>
      <c r="F352" s="4">
        <v>44.8</v>
      </c>
      <c r="G352" s="4">
        <v>36.9</v>
      </c>
      <c r="H352" s="4">
        <v>0</v>
      </c>
      <c r="I352" s="4"/>
      <c r="J352" s="4"/>
      <c r="K352" s="4"/>
      <c r="L352" s="4"/>
      <c r="M352" s="43"/>
      <c r="N352" s="472" t="s">
        <v>201</v>
      </c>
      <c r="O352" s="472"/>
      <c r="P352" s="472"/>
      <c r="Q352" s="107"/>
      <c r="R352" s="79" t="s">
        <v>133</v>
      </c>
      <c r="S352" s="123">
        <f t="shared" si="36"/>
        <v>0</v>
      </c>
      <c r="T352" s="121">
        <f>$P$11*0.15</f>
        <v>15</v>
      </c>
      <c r="U352" s="36">
        <f>Adatbázis!E352*Q352</f>
        <v>0</v>
      </c>
      <c r="V352" s="28">
        <f>Adatbázis!F352*$Q352/$Q$361</f>
        <v>0</v>
      </c>
      <c r="W352" s="28">
        <f>Adatbázis!G352*$Q352/$Q$361</f>
        <v>0</v>
      </c>
      <c r="X352" s="28">
        <f>Adatbázis!H352*$Q352/$Q$361</f>
        <v>0</v>
      </c>
      <c r="Y352" s="28">
        <f>Adatbázis!I352*$Q352/$Q$361</f>
        <v>0</v>
      </c>
      <c r="Z352" s="28">
        <f>Adatbázis!J352*$Q352/$Q$361</f>
        <v>0</v>
      </c>
      <c r="AA352" s="28">
        <f>Adatbázis!K352*$Q352/$Q$361</f>
        <v>0</v>
      </c>
      <c r="AB352" s="28">
        <f>Adatbázis!L352*$Q352/$Q$361</f>
        <v>0</v>
      </c>
      <c r="AC352" s="41">
        <f>Adatbázis!C352*Q352</f>
        <v>0</v>
      </c>
    </row>
    <row r="353" spans="1:37" x14ac:dyDescent="0.25">
      <c r="A353" s="602"/>
      <c r="B353" s="527"/>
      <c r="C353" s="267"/>
      <c r="D353" s="27" t="s">
        <v>14</v>
      </c>
      <c r="E353" s="36"/>
      <c r="F353" s="4"/>
      <c r="G353" s="4"/>
      <c r="H353" s="4"/>
      <c r="I353" s="4">
        <v>45</v>
      </c>
      <c r="J353" s="4"/>
      <c r="K353" s="4"/>
      <c r="L353" s="4"/>
      <c r="M353" s="43"/>
      <c r="N353" s="472" t="s">
        <v>318</v>
      </c>
      <c r="O353" s="472"/>
      <c r="P353" s="472"/>
      <c r="Q353" s="145"/>
      <c r="R353" s="79" t="s">
        <v>133</v>
      </c>
      <c r="S353" s="247">
        <f t="shared" si="36"/>
        <v>0</v>
      </c>
      <c r="T353" s="246">
        <v>10</v>
      </c>
      <c r="U353" s="36">
        <f>Adatbázis!E353*Q353</f>
        <v>0</v>
      </c>
      <c r="V353" s="28">
        <f>Adatbázis!F353*$Q353/$Q$361</f>
        <v>0</v>
      </c>
      <c r="W353" s="28">
        <f>Adatbázis!G353*$Q353/$Q$361</f>
        <v>0</v>
      </c>
      <c r="X353" s="28">
        <f>Adatbázis!H353*$Q353/$Q$361</f>
        <v>0</v>
      </c>
      <c r="Y353" s="28">
        <f>Adatbázis!I353*$Q353/$Q$361</f>
        <v>0</v>
      </c>
      <c r="Z353" s="28">
        <f>Adatbázis!J353*$Q353/$Q$361</f>
        <v>0</v>
      </c>
      <c r="AA353" s="28">
        <f>Adatbázis!K353*$Q353/$Q$361</f>
        <v>0</v>
      </c>
      <c r="AB353" s="28">
        <f>Adatbázis!L353*$Q353/$Q$361</f>
        <v>0</v>
      </c>
      <c r="AC353" s="41">
        <f>Adatbázis!C353*Q353</f>
        <v>0</v>
      </c>
    </row>
    <row r="354" spans="1:37" x14ac:dyDescent="0.25">
      <c r="A354" s="602"/>
      <c r="B354" s="527"/>
      <c r="C354" s="267"/>
      <c r="D354" s="27" t="s">
        <v>14</v>
      </c>
      <c r="E354" s="36"/>
      <c r="F354" s="4">
        <v>25.7</v>
      </c>
      <c r="G354" s="4">
        <v>0</v>
      </c>
      <c r="H354" s="4">
        <v>29</v>
      </c>
      <c r="I354" s="4">
        <v>11.14</v>
      </c>
      <c r="J354" s="4">
        <v>41</v>
      </c>
      <c r="K354" s="4">
        <v>0.75</v>
      </c>
      <c r="L354" s="4">
        <v>0.21</v>
      </c>
      <c r="M354" s="43"/>
      <c r="N354" s="472" t="s">
        <v>125</v>
      </c>
      <c r="O354" s="472"/>
      <c r="P354" s="472"/>
      <c r="Q354" s="145"/>
      <c r="R354" s="79" t="s">
        <v>133</v>
      </c>
      <c r="S354" s="123">
        <f t="shared" si="36"/>
        <v>0</v>
      </c>
      <c r="T354" s="121">
        <f>$P$11*0.08</f>
        <v>8</v>
      </c>
      <c r="U354" s="36">
        <f>Adatbázis!E354*Q354</f>
        <v>0</v>
      </c>
      <c r="V354" s="28">
        <f>Adatbázis!F354*$Q354/$Q$361</f>
        <v>0</v>
      </c>
      <c r="W354" s="28">
        <f>Adatbázis!G354*$Q354/$Q$361</f>
        <v>0</v>
      </c>
      <c r="X354" s="28">
        <f>Adatbázis!H354*$Q354/$Q$361</f>
        <v>0</v>
      </c>
      <c r="Y354" s="28">
        <f>Adatbázis!I354*$Q354/$Q$361</f>
        <v>0</v>
      </c>
      <c r="Z354" s="28">
        <f>Adatbázis!J354*$Q354/$Q$361</f>
        <v>0</v>
      </c>
      <c r="AA354" s="28">
        <f>Adatbázis!K354*$Q354/$Q$361</f>
        <v>0</v>
      </c>
      <c r="AB354" s="28">
        <f>Adatbázis!L354*$Q354/$Q$361</f>
        <v>0</v>
      </c>
      <c r="AC354" s="41">
        <f>Adatbázis!C354*Q354</f>
        <v>0</v>
      </c>
    </row>
    <row r="355" spans="1:37" x14ac:dyDescent="0.25">
      <c r="A355" s="602"/>
      <c r="B355" s="527"/>
      <c r="C355" s="267"/>
      <c r="D355" s="27" t="s">
        <v>14</v>
      </c>
      <c r="E355" s="36">
        <v>11.3</v>
      </c>
      <c r="F355" s="4">
        <v>8.1999999999999993</v>
      </c>
      <c r="G355" s="4">
        <v>3.6</v>
      </c>
      <c r="H355" s="4">
        <v>2.2999999999999998</v>
      </c>
      <c r="I355" s="4"/>
      <c r="J355" s="4"/>
      <c r="K355" s="4"/>
      <c r="L355" s="4"/>
      <c r="M355" s="43"/>
      <c r="N355" s="472" t="s">
        <v>372</v>
      </c>
      <c r="O355" s="472"/>
      <c r="P355" s="472"/>
      <c r="Q355" s="107"/>
      <c r="R355" s="79" t="s">
        <v>133</v>
      </c>
      <c r="S355" s="312">
        <f t="shared" si="36"/>
        <v>0</v>
      </c>
      <c r="T355" s="311">
        <f>$P$11*0.05</f>
        <v>5</v>
      </c>
      <c r="U355" s="36">
        <f>Adatbázis!E355*Q355</f>
        <v>0</v>
      </c>
      <c r="V355" s="28">
        <f>Adatbázis!F355*$Q355/$Q$361</f>
        <v>0</v>
      </c>
      <c r="W355" s="28">
        <f>Adatbázis!G355*$Q355/$Q$361</f>
        <v>0</v>
      </c>
      <c r="X355" s="28">
        <f>Adatbázis!H355*$Q355/$Q$361</f>
        <v>0</v>
      </c>
      <c r="Y355" s="28">
        <f>Adatbázis!I355*$Q355/$Q$361</f>
        <v>0</v>
      </c>
      <c r="Z355" s="28">
        <f>Adatbázis!J355*$Q355/$Q$361</f>
        <v>0</v>
      </c>
      <c r="AA355" s="28">
        <f>Adatbázis!K355*$Q355/$Q$361</f>
        <v>0</v>
      </c>
      <c r="AB355" s="28">
        <f>Adatbázis!L355*$Q355/$Q$361</f>
        <v>0</v>
      </c>
      <c r="AC355" s="41">
        <f>Adatbázis!C355*Q355</f>
        <v>0</v>
      </c>
    </row>
    <row r="356" spans="1:37" x14ac:dyDescent="0.25">
      <c r="A356" s="602"/>
      <c r="B356" s="527"/>
      <c r="C356" s="267"/>
      <c r="D356" s="27" t="s">
        <v>14</v>
      </c>
      <c r="E356" s="36">
        <v>6</v>
      </c>
      <c r="F356" s="4">
        <v>1.95</v>
      </c>
      <c r="G356" s="4">
        <v>1</v>
      </c>
      <c r="H356" s="4">
        <v>3</v>
      </c>
      <c r="I356" s="4">
        <v>8</v>
      </c>
      <c r="J356" s="4">
        <v>8</v>
      </c>
      <c r="K356" s="4"/>
      <c r="L356" s="4"/>
      <c r="M356" s="43"/>
      <c r="N356" s="472" t="s">
        <v>371</v>
      </c>
      <c r="O356" s="472"/>
      <c r="P356" s="472"/>
      <c r="Q356" s="107"/>
      <c r="R356" s="79" t="s">
        <v>133</v>
      </c>
      <c r="S356" s="123">
        <f t="shared" si="36"/>
        <v>0</v>
      </c>
      <c r="T356" s="121">
        <f>$P$11*0.1</f>
        <v>10</v>
      </c>
      <c r="U356" s="36">
        <f>Adatbázis!E356*Q356</f>
        <v>0</v>
      </c>
      <c r="V356" s="28">
        <f>Adatbázis!F356*$Q356/$Q$361</f>
        <v>0</v>
      </c>
      <c r="W356" s="28">
        <f>Adatbázis!G356*$Q356/$Q$361</f>
        <v>0</v>
      </c>
      <c r="X356" s="28">
        <f>Adatbázis!H356*$Q356/$Q$361</f>
        <v>0</v>
      </c>
      <c r="Y356" s="28">
        <f>Adatbázis!I356*$Q356/$Q$361</f>
        <v>0</v>
      </c>
      <c r="Z356" s="28">
        <f>Adatbázis!J356*$Q356/$Q$361</f>
        <v>0</v>
      </c>
      <c r="AA356" s="28">
        <f>Adatbázis!K356*$Q356/$Q$361</f>
        <v>0</v>
      </c>
      <c r="AB356" s="28">
        <f>Adatbázis!L356*$Q356/$Q$361</f>
        <v>0</v>
      </c>
      <c r="AC356" s="41">
        <f>Adatbázis!C356*Q356</f>
        <v>0</v>
      </c>
    </row>
    <row r="357" spans="1:37" x14ac:dyDescent="0.25">
      <c r="A357" s="602"/>
      <c r="B357" s="527"/>
      <c r="C357" s="267"/>
      <c r="D357" s="27" t="s">
        <v>14</v>
      </c>
      <c r="E357" s="36"/>
      <c r="F357" s="4"/>
      <c r="G357" s="4"/>
      <c r="H357" s="4"/>
      <c r="I357" s="4"/>
      <c r="J357" s="4"/>
      <c r="K357" s="4"/>
      <c r="L357" s="4"/>
      <c r="M357" s="43"/>
      <c r="N357" s="472" t="s">
        <v>119</v>
      </c>
      <c r="O357" s="472"/>
      <c r="P357" s="472"/>
      <c r="Q357" s="145"/>
      <c r="R357" s="79" t="s">
        <v>133</v>
      </c>
      <c r="S357" s="353">
        <f>$P$11*0.0003</f>
        <v>0.03</v>
      </c>
      <c r="T357" s="352">
        <f>$P$11*0.0005</f>
        <v>0.05</v>
      </c>
      <c r="U357" s="36">
        <f>Adatbázis!E357*Q357</f>
        <v>0</v>
      </c>
      <c r="V357" s="28">
        <f>Adatbázis!F357*$Q357/$Q$361</f>
        <v>0</v>
      </c>
      <c r="W357" s="28">
        <f>Adatbázis!G357*$Q357/$Q$361</f>
        <v>0</v>
      </c>
      <c r="X357" s="28">
        <f>Adatbázis!H357*$Q357/$Q$361</f>
        <v>0</v>
      </c>
      <c r="Y357" s="28">
        <f>Adatbázis!I357*$Q357/$Q$361</f>
        <v>0</v>
      </c>
      <c r="Z357" s="28">
        <f>Adatbázis!J357*$Q357/$Q$361</f>
        <v>0</v>
      </c>
      <c r="AA357" s="28">
        <f>Adatbázis!K357*$Q357/$Q$361</f>
        <v>0</v>
      </c>
      <c r="AB357" s="28">
        <f>Adatbázis!L357*$Q357/$Q$361</f>
        <v>0</v>
      </c>
      <c r="AC357" s="41">
        <f>Adatbázis!C357*Q357</f>
        <v>0</v>
      </c>
      <c r="AD357" s="434">
        <f>IF(AND(Q357&gt;=S357,Q357&lt;=T357),1,0)</f>
        <v>0</v>
      </c>
      <c r="AE357" s="434"/>
    </row>
    <row r="358" spans="1:37" ht="15.75" thickBot="1" x14ac:dyDescent="0.3">
      <c r="A358" s="602"/>
      <c r="B358" s="527"/>
      <c r="C358" s="267"/>
      <c r="D358" s="27" t="s">
        <v>14</v>
      </c>
      <c r="E358" s="36"/>
      <c r="F358" s="4"/>
      <c r="G358" s="4"/>
      <c r="H358" s="4"/>
      <c r="I358" s="4"/>
      <c r="J358" s="4"/>
      <c r="K358" s="4"/>
      <c r="L358" s="4"/>
      <c r="M358" s="43"/>
      <c r="N358" s="472" t="s">
        <v>97</v>
      </c>
      <c r="O358" s="472"/>
      <c r="P358" s="472"/>
      <c r="Q358" s="145"/>
      <c r="R358" s="79" t="s">
        <v>133</v>
      </c>
      <c r="S358" s="123">
        <f>$P$11*0.0001</f>
        <v>0.01</v>
      </c>
      <c r="T358" s="121">
        <f>$P$11*0.0001</f>
        <v>0.01</v>
      </c>
      <c r="U358" s="36">
        <f>Adatbázis!E358*Q358</f>
        <v>0</v>
      </c>
      <c r="V358" s="28">
        <f>Adatbázis!F358*$Q358/$Q$361</f>
        <v>0</v>
      </c>
      <c r="W358" s="28">
        <f>Adatbázis!G358*$Q358/$Q$361</f>
        <v>0</v>
      </c>
      <c r="X358" s="28">
        <f>Adatbázis!H358*$Q358/$Q$361</f>
        <v>0</v>
      </c>
      <c r="Y358" s="28">
        <f>Adatbázis!I358*$Q358/$Q$361</f>
        <v>0</v>
      </c>
      <c r="Z358" s="28">
        <f>Adatbázis!J358*$Q358/$Q$361</f>
        <v>0</v>
      </c>
      <c r="AA358" s="28">
        <f>Adatbázis!K358*$Q358/$Q$361</f>
        <v>0</v>
      </c>
      <c r="AB358" s="28">
        <f>Adatbázis!L358*$Q358/$Q$361</f>
        <v>0</v>
      </c>
      <c r="AC358" s="41">
        <f>Adatbázis!C358*Q358</f>
        <v>0</v>
      </c>
      <c r="AD358" s="434">
        <f>IF(AND(Q358&gt;=S358,Q358&lt;=T358),1,0)</f>
        <v>0</v>
      </c>
      <c r="AE358" s="434"/>
    </row>
    <row r="359" spans="1:37" ht="15.75" thickBot="1" x14ac:dyDescent="0.3">
      <c r="A359" s="602"/>
      <c r="B359" s="527"/>
      <c r="C359" s="267"/>
      <c r="D359" s="27" t="s">
        <v>14</v>
      </c>
      <c r="E359" s="36"/>
      <c r="F359" s="4"/>
      <c r="G359" s="4"/>
      <c r="H359" s="4"/>
      <c r="I359" s="4"/>
      <c r="J359" s="4"/>
      <c r="K359" s="4"/>
      <c r="L359" s="4"/>
      <c r="M359" s="43"/>
      <c r="N359" s="472" t="s">
        <v>96</v>
      </c>
      <c r="O359" s="472"/>
      <c r="P359" s="472"/>
      <c r="Q359" s="107"/>
      <c r="R359" s="80" t="s">
        <v>133</v>
      </c>
      <c r="S359" s="123">
        <f>$P$11*0.001</f>
        <v>0.1</v>
      </c>
      <c r="T359" s="121">
        <f>$P$11*0.001</f>
        <v>0.1</v>
      </c>
      <c r="U359" s="36">
        <f>Adatbázis!E359*Q359</f>
        <v>0</v>
      </c>
      <c r="V359" s="28">
        <f>Adatbázis!F359*$Q359/$Q$361</f>
        <v>0</v>
      </c>
      <c r="W359" s="28">
        <f>Adatbázis!G359*$Q359/$Q$361</f>
        <v>0</v>
      </c>
      <c r="X359" s="28">
        <f>Adatbázis!H359*$Q359/$Q$361</f>
        <v>0</v>
      </c>
      <c r="Y359" s="28">
        <f>Adatbázis!I359*$Q359/$Q$361</f>
        <v>0</v>
      </c>
      <c r="Z359" s="28">
        <f>Adatbázis!J359*$Q359/$Q$361</f>
        <v>0</v>
      </c>
      <c r="AA359" s="28">
        <f>Adatbázis!K359*$Q359/$Q$361</f>
        <v>0</v>
      </c>
      <c r="AB359" s="28">
        <f>Adatbázis!L359*$Q359/$Q$361</f>
        <v>0</v>
      </c>
      <c r="AC359" s="41">
        <f>Adatbázis!C359*Q359</f>
        <v>0</v>
      </c>
      <c r="AD359" s="434">
        <f>IF(AND(Q359&gt;=S359,Q359&lt;=T359),1,0)</f>
        <v>0</v>
      </c>
      <c r="AE359" s="434"/>
      <c r="AF359" s="135" t="s">
        <v>98</v>
      </c>
      <c r="AG359" s="116"/>
      <c r="AH359" s="116"/>
      <c r="AI359" s="117"/>
    </row>
    <row r="360" spans="1:37" ht="15.75" thickBot="1" x14ac:dyDescent="0.3">
      <c r="A360" s="603"/>
      <c r="B360" s="529"/>
      <c r="C360" s="266"/>
      <c r="D360" s="29" t="s">
        <v>14</v>
      </c>
      <c r="E360" s="38"/>
      <c r="F360" s="18"/>
      <c r="G360" s="18"/>
      <c r="H360" s="18"/>
      <c r="I360" s="18"/>
      <c r="J360" s="18"/>
      <c r="K360" s="18"/>
      <c r="L360" s="18"/>
      <c r="M360" s="53"/>
      <c r="N360" s="489" t="s">
        <v>11</v>
      </c>
      <c r="O360" s="489"/>
      <c r="P360" s="489"/>
      <c r="Q360" s="107"/>
      <c r="R360" s="83" t="s">
        <v>133</v>
      </c>
      <c r="S360" s="124">
        <f>$P$11*0.003</f>
        <v>0.3</v>
      </c>
      <c r="T360" s="122">
        <f>$P$11*0.005</f>
        <v>0.5</v>
      </c>
      <c r="U360" s="38">
        <f>Adatbázis!E360*Q360</f>
        <v>0</v>
      </c>
      <c r="V360" s="67">
        <f>Adatbázis!F360*$Q360/$Q$361</f>
        <v>0</v>
      </c>
      <c r="W360" s="67">
        <f>Adatbázis!G360*$Q360/$Q$361</f>
        <v>0</v>
      </c>
      <c r="X360" s="67">
        <f>Adatbázis!H360*$Q360/$Q$361</f>
        <v>0</v>
      </c>
      <c r="Y360" s="67">
        <f>Adatbázis!I360*$Q360/$Q$361</f>
        <v>0</v>
      </c>
      <c r="Z360" s="67">
        <f>Adatbázis!J360*$Q360/$Q$361</f>
        <v>0</v>
      </c>
      <c r="AA360" s="67">
        <f>Adatbázis!K360*$Q360/$Q$361</f>
        <v>0</v>
      </c>
      <c r="AB360" s="67">
        <f>Adatbázis!L360*$Q360/$Q$361</f>
        <v>0</v>
      </c>
      <c r="AC360" s="68">
        <f>Adatbázis!C360*Q360</f>
        <v>0</v>
      </c>
      <c r="AD360" s="434">
        <f>IF(AND(Q360&gt;=S360,Q360&lt;=T360),1,0)</f>
        <v>0</v>
      </c>
      <c r="AE360" s="434"/>
    </row>
    <row r="361" spans="1:37" ht="15.75" thickBot="1" x14ac:dyDescent="0.3">
      <c r="N361" s="592" t="s">
        <v>3</v>
      </c>
      <c r="O361" s="593"/>
      <c r="P361" s="593"/>
      <c r="Q361" s="62">
        <f>SUM(Q32:Q360)+1E-70</f>
        <v>1E-70</v>
      </c>
      <c r="R361" s="1" t="s">
        <v>8</v>
      </c>
      <c r="U361" s="62">
        <f>SUM(U32:U360)/Q361</f>
        <v>0</v>
      </c>
      <c r="V361" s="62">
        <f t="shared" ref="V361:AC361" si="37">SUM(V32:V360)</f>
        <v>0</v>
      </c>
      <c r="W361" s="62">
        <f t="shared" si="37"/>
        <v>0</v>
      </c>
      <c r="X361" s="62">
        <f t="shared" si="37"/>
        <v>0</v>
      </c>
      <c r="Y361" s="62">
        <f t="shared" si="37"/>
        <v>0</v>
      </c>
      <c r="Z361" s="62">
        <f t="shared" si="37"/>
        <v>0</v>
      </c>
      <c r="AA361" s="62">
        <f t="shared" si="37"/>
        <v>0</v>
      </c>
      <c r="AB361" s="62">
        <f t="shared" si="37"/>
        <v>0</v>
      </c>
      <c r="AC361" s="62">
        <f t="shared" si="37"/>
        <v>0</v>
      </c>
      <c r="AD361" s="47"/>
      <c r="AE361" s="47"/>
      <c r="AG361" s="1" t="s">
        <v>99</v>
      </c>
    </row>
    <row r="362" spans="1:37" ht="15.75" thickBot="1" x14ac:dyDescent="0.3">
      <c r="N362" s="33"/>
      <c r="O362" s="33"/>
      <c r="P362" s="33"/>
      <c r="Q362" s="46" t="s">
        <v>8</v>
      </c>
      <c r="U362" s="47" t="s">
        <v>76</v>
      </c>
      <c r="V362" s="7" t="s">
        <v>15</v>
      </c>
      <c r="W362" s="7" t="s">
        <v>15</v>
      </c>
      <c r="X362" s="7" t="s">
        <v>15</v>
      </c>
      <c r="Y362" s="7" t="s">
        <v>15</v>
      </c>
      <c r="Z362" s="7" t="s">
        <v>15</v>
      </c>
      <c r="AA362" s="7" t="s">
        <v>15</v>
      </c>
      <c r="AB362" s="7" t="s">
        <v>15</v>
      </c>
      <c r="AC362" s="7" t="s">
        <v>14</v>
      </c>
    </row>
    <row r="363" spans="1:37" ht="15.75" thickBot="1" x14ac:dyDescent="0.3">
      <c r="AC363" s="45">
        <f>AC361/Q361</f>
        <v>0</v>
      </c>
      <c r="AD363" s="47"/>
      <c r="AE363" s="47"/>
    </row>
    <row r="364" spans="1:37" x14ac:dyDescent="0.25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3"/>
      <c r="N364" s="11"/>
      <c r="O364" s="11"/>
      <c r="P364" s="11"/>
      <c r="Q364" s="9"/>
      <c r="R364" s="9"/>
      <c r="S364" s="9"/>
      <c r="T364" s="9"/>
      <c r="U364" s="9"/>
      <c r="V364" s="9"/>
      <c r="W364" s="11"/>
      <c r="X364" s="11"/>
      <c r="Y364" s="9"/>
      <c r="Z364" s="9"/>
      <c r="AA364" s="9"/>
      <c r="AB364" s="9"/>
      <c r="AC364" s="9"/>
      <c r="AD364" s="377"/>
      <c r="AE364" s="377"/>
      <c r="AF364" s="31"/>
      <c r="AG364" s="12"/>
      <c r="AH364" s="11"/>
      <c r="AI364" s="13"/>
      <c r="AJ364" s="13"/>
      <c r="AK364" s="11"/>
    </row>
    <row r="366" spans="1:37" x14ac:dyDescent="0.25">
      <c r="V366" s="158"/>
      <c r="W366" s="158"/>
      <c r="X366" s="158"/>
      <c r="Y366" s="158"/>
      <c r="Z366" s="158"/>
      <c r="AA366" s="158"/>
      <c r="AB366" s="158"/>
    </row>
  </sheetData>
  <autoFilter ref="M31:M363"/>
  <mergeCells count="447">
    <mergeCell ref="B261:B268"/>
    <mergeCell ref="N270:P270"/>
    <mergeCell ref="N290:P290"/>
    <mergeCell ref="B269:B289"/>
    <mergeCell ref="B292:B294"/>
    <mergeCell ref="N295:P295"/>
    <mergeCell ref="N293:P293"/>
    <mergeCell ref="N294:P294"/>
    <mergeCell ref="B310:B313"/>
    <mergeCell ref="B299:B300"/>
    <mergeCell ref="B295:B296"/>
    <mergeCell ref="B297:B298"/>
    <mergeCell ref="N298:P298"/>
    <mergeCell ref="N296:P296"/>
    <mergeCell ref="N299:P299"/>
    <mergeCell ref="N300:P300"/>
    <mergeCell ref="B290:B291"/>
    <mergeCell ref="N106:P106"/>
    <mergeCell ref="N124:P124"/>
    <mergeCell ref="AB12:AC12"/>
    <mergeCell ref="Y12:Z12"/>
    <mergeCell ref="AF310:AI310"/>
    <mergeCell ref="N271:P271"/>
    <mergeCell ref="N261:P261"/>
    <mergeCell ref="N266:P266"/>
    <mergeCell ref="N276:P276"/>
    <mergeCell ref="N39:P39"/>
    <mergeCell ref="N40:P40"/>
    <mergeCell ref="N34:P34"/>
    <mergeCell ref="N292:P292"/>
    <mergeCell ref="N262:P262"/>
    <mergeCell ref="N263:P263"/>
    <mergeCell ref="B63:B76"/>
    <mergeCell ref="N116:P116"/>
    <mergeCell ref="N202:P202"/>
    <mergeCell ref="N203:P203"/>
    <mergeCell ref="N205:P205"/>
    <mergeCell ref="B236:B251"/>
    <mergeCell ref="N251:P251"/>
    <mergeCell ref="N208:P208"/>
    <mergeCell ref="B207:B208"/>
    <mergeCell ref="N232:P232"/>
    <mergeCell ref="N243:P243"/>
    <mergeCell ref="N238:P238"/>
    <mergeCell ref="N239:P239"/>
    <mergeCell ref="N227:P227"/>
    <mergeCell ref="N250:P250"/>
    <mergeCell ref="N177:P177"/>
    <mergeCell ref="N176:P176"/>
    <mergeCell ref="N173:P173"/>
    <mergeCell ref="N97:P97"/>
    <mergeCell ref="N81:P81"/>
    <mergeCell ref="T38:T62"/>
    <mergeCell ref="S38:S62"/>
    <mergeCell ref="N75:P75"/>
    <mergeCell ref="A5:M5"/>
    <mergeCell ref="N31:P31"/>
    <mergeCell ref="N36:P36"/>
    <mergeCell ref="A34:A62"/>
    <mergeCell ref="N51:P51"/>
    <mergeCell ref="B34:B37"/>
    <mergeCell ref="N52:P52"/>
    <mergeCell ref="N53:P53"/>
    <mergeCell ref="N54:P54"/>
    <mergeCell ref="B38:B62"/>
    <mergeCell ref="N56:P56"/>
    <mergeCell ref="N41:P41"/>
    <mergeCell ref="N42:P42"/>
    <mergeCell ref="N43:P43"/>
    <mergeCell ref="N44:P44"/>
    <mergeCell ref="N45:P45"/>
    <mergeCell ref="N57:P57"/>
    <mergeCell ref="N32:P32"/>
    <mergeCell ref="N35:P35"/>
    <mergeCell ref="N49:P49"/>
    <mergeCell ref="N79:P79"/>
    <mergeCell ref="Q12:T12"/>
    <mergeCell ref="N37:P37"/>
    <mergeCell ref="N38:P38"/>
    <mergeCell ref="AF65:AJ65"/>
    <mergeCell ref="N85:P85"/>
    <mergeCell ref="N48:P48"/>
    <mergeCell ref="N78:P78"/>
    <mergeCell ref="N76:P76"/>
    <mergeCell ref="N64:P64"/>
    <mergeCell ref="N72:P72"/>
    <mergeCell ref="R29:T29"/>
    <mergeCell ref="AF36:AH36"/>
    <mergeCell ref="AF34:AH34"/>
    <mergeCell ref="AF83:AI83"/>
    <mergeCell ref="N83:P83"/>
    <mergeCell ref="N77:P77"/>
    <mergeCell ref="N46:P46"/>
    <mergeCell ref="N50:P50"/>
    <mergeCell ref="N58:P58"/>
    <mergeCell ref="AF35:AH35"/>
    <mergeCell ref="AF37:AH37"/>
    <mergeCell ref="AF74:AL74"/>
    <mergeCell ref="N65:P65"/>
    <mergeCell ref="AF63:AJ63"/>
    <mergeCell ref="N55:P55"/>
    <mergeCell ref="N62:P62"/>
    <mergeCell ref="N61:P61"/>
    <mergeCell ref="N63:P63"/>
    <mergeCell ref="AF75:AI75"/>
    <mergeCell ref="AF76:AJ76"/>
    <mergeCell ref="AF77:AW77"/>
    <mergeCell ref="N59:P59"/>
    <mergeCell ref="N60:P60"/>
    <mergeCell ref="N71:P71"/>
    <mergeCell ref="A202:A360"/>
    <mergeCell ref="B321:B341"/>
    <mergeCell ref="B342:B360"/>
    <mergeCell ref="N308:P308"/>
    <mergeCell ref="N302:P302"/>
    <mergeCell ref="N297:P297"/>
    <mergeCell ref="N301:P301"/>
    <mergeCell ref="N347:P347"/>
    <mergeCell ref="N340:P340"/>
    <mergeCell ref="N344:P344"/>
    <mergeCell ref="N341:P341"/>
    <mergeCell ref="N353:P353"/>
    <mergeCell ref="N332:P332"/>
    <mergeCell ref="N336:P336"/>
    <mergeCell ref="N337:P337"/>
    <mergeCell ref="N343:P343"/>
    <mergeCell ref="N345:P345"/>
    <mergeCell ref="N334:P334"/>
    <mergeCell ref="N329:P329"/>
    <mergeCell ref="B209:B235"/>
    <mergeCell ref="B202:B206"/>
    <mergeCell ref="N289:P289"/>
    <mergeCell ref="N331:P331"/>
    <mergeCell ref="B252:B260"/>
    <mergeCell ref="N338:P338"/>
    <mergeCell ref="N327:P327"/>
    <mergeCell ref="N314:P314"/>
    <mergeCell ref="B314:B316"/>
    <mergeCell ref="B301:B303"/>
    <mergeCell ref="B307:B308"/>
    <mergeCell ref="N326:P326"/>
    <mergeCell ref="N303:P303"/>
    <mergeCell ref="N315:P315"/>
    <mergeCell ref="N310:P310"/>
    <mergeCell ref="N313:P313"/>
    <mergeCell ref="B317:B320"/>
    <mergeCell ref="N318:P318"/>
    <mergeCell ref="B304:B306"/>
    <mergeCell ref="N304:P304"/>
    <mergeCell ref="N306:P306"/>
    <mergeCell ref="N321:P321"/>
    <mergeCell ref="N319:P319"/>
    <mergeCell ref="N320:P320"/>
    <mergeCell ref="N323:P323"/>
    <mergeCell ref="N264:P264"/>
    <mergeCell ref="N283:P283"/>
    <mergeCell ref="N360:P360"/>
    <mergeCell ref="N342:P342"/>
    <mergeCell ref="N348:P348"/>
    <mergeCell ref="N349:P349"/>
    <mergeCell ref="N354:P354"/>
    <mergeCell ref="N325:P325"/>
    <mergeCell ref="N307:P307"/>
    <mergeCell ref="N335:P335"/>
    <mergeCell ref="N328:P328"/>
    <mergeCell ref="N359:P359"/>
    <mergeCell ref="N355:P355"/>
    <mergeCell ref="N357:P357"/>
    <mergeCell ref="N358:P358"/>
    <mergeCell ref="N333:P333"/>
    <mergeCell ref="N330:P330"/>
    <mergeCell ref="N346:P346"/>
    <mergeCell ref="N356:P356"/>
    <mergeCell ref="N311:P311"/>
    <mergeCell ref="N350:P350"/>
    <mergeCell ref="N351:P351"/>
    <mergeCell ref="N352:P352"/>
    <mergeCell ref="N267:P267"/>
    <mergeCell ref="N361:P361"/>
    <mergeCell ref="AF155:AI155"/>
    <mergeCell ref="AF158:AI158"/>
    <mergeCell ref="N212:P212"/>
    <mergeCell ref="N200:P200"/>
    <mergeCell ref="N180:P180"/>
    <mergeCell ref="N207:P207"/>
    <mergeCell ref="N187:P187"/>
    <mergeCell ref="N188:P188"/>
    <mergeCell ref="N210:P210"/>
    <mergeCell ref="N211:P211"/>
    <mergeCell ref="N229:P229"/>
    <mergeCell ref="N216:P216"/>
    <mergeCell ref="N199:P199"/>
    <mergeCell ref="N201:P201"/>
    <mergeCell ref="N182:P182"/>
    <mergeCell ref="N194:P194"/>
    <mergeCell ref="N316:P316"/>
    <mergeCell ref="N339:P339"/>
    <mergeCell ref="N324:P324"/>
    <mergeCell ref="N288:P288"/>
    <mergeCell ref="N206:P206"/>
    <mergeCell ref="N204:P204"/>
    <mergeCell ref="N160:P160"/>
    <mergeCell ref="N285:P285"/>
    <mergeCell ref="N322:P322"/>
    <mergeCell ref="N305:P305"/>
    <mergeCell ref="N309:P309"/>
    <mergeCell ref="N317:P317"/>
    <mergeCell ref="N291:P291"/>
    <mergeCell ref="N274:P274"/>
    <mergeCell ref="N275:P275"/>
    <mergeCell ref="N277:P277"/>
    <mergeCell ref="N286:P286"/>
    <mergeCell ref="N287:P287"/>
    <mergeCell ref="N312:P312"/>
    <mergeCell ref="N268:P268"/>
    <mergeCell ref="N280:P280"/>
    <mergeCell ref="N281:P281"/>
    <mergeCell ref="N269:P269"/>
    <mergeCell ref="N265:P265"/>
    <mergeCell ref="N284:P284"/>
    <mergeCell ref="N282:P282"/>
    <mergeCell ref="N279:P279"/>
    <mergeCell ref="N278:P278"/>
    <mergeCell ref="N273:P273"/>
    <mergeCell ref="N272:P272"/>
    <mergeCell ref="AF129:AJ129"/>
    <mergeCell ref="AF150:AI150"/>
    <mergeCell ref="AF130:AJ130"/>
    <mergeCell ref="AF145:AI145"/>
    <mergeCell ref="N175:P175"/>
    <mergeCell ref="N168:P168"/>
    <mergeCell ref="N131:P131"/>
    <mergeCell ref="N148:P148"/>
    <mergeCell ref="N154:P154"/>
    <mergeCell ref="N134:P134"/>
    <mergeCell ref="N156:P156"/>
    <mergeCell ref="N169:P169"/>
    <mergeCell ref="N139:P139"/>
    <mergeCell ref="N140:P140"/>
    <mergeCell ref="AF151:AI151"/>
    <mergeCell ref="AF152:AI152"/>
    <mergeCell ref="AF149:AI149"/>
    <mergeCell ref="AF147:AI147"/>
    <mergeCell ref="AF148:AI148"/>
    <mergeCell ref="AF146:AI146"/>
    <mergeCell ref="AF153:AI153"/>
    <mergeCell ref="N133:P133"/>
    <mergeCell ref="N146:P146"/>
    <mergeCell ref="AF154:AI154"/>
    <mergeCell ref="AF243:AG243"/>
    <mergeCell ref="AF256:AG256"/>
    <mergeCell ref="N257:P257"/>
    <mergeCell ref="N209:P209"/>
    <mergeCell ref="N213:P213"/>
    <mergeCell ref="N214:P214"/>
    <mergeCell ref="N224:P224"/>
    <mergeCell ref="N193:P193"/>
    <mergeCell ref="N215:P215"/>
    <mergeCell ref="N218:P218"/>
    <mergeCell ref="N197:P197"/>
    <mergeCell ref="N248:P248"/>
    <mergeCell ref="N249:P249"/>
    <mergeCell ref="N231:P231"/>
    <mergeCell ref="N234:P234"/>
    <mergeCell ref="N244:P244"/>
    <mergeCell ref="N245:P245"/>
    <mergeCell ref="N219:P219"/>
    <mergeCell ref="N195:P195"/>
    <mergeCell ref="N198:P198"/>
    <mergeCell ref="N241:P241"/>
    <mergeCell ref="N237:P237"/>
    <mergeCell ref="N217:P217"/>
    <mergeCell ref="N246:P246"/>
    <mergeCell ref="AX82:BA82"/>
    <mergeCell ref="AF78:AW78"/>
    <mergeCell ref="AF79:AW79"/>
    <mergeCell ref="AF80:AW80"/>
    <mergeCell ref="AF81:AW81"/>
    <mergeCell ref="AF82:AW82"/>
    <mergeCell ref="N89:P89"/>
    <mergeCell ref="AF99:AH99"/>
    <mergeCell ref="N121:P121"/>
    <mergeCell ref="N84:P84"/>
    <mergeCell ref="N118:P118"/>
    <mergeCell ref="N104:P104"/>
    <mergeCell ref="N99:P99"/>
    <mergeCell ref="N107:P107"/>
    <mergeCell ref="N108:P108"/>
    <mergeCell ref="N101:P101"/>
    <mergeCell ref="N102:P102"/>
    <mergeCell ref="N114:P114"/>
    <mergeCell ref="N115:P115"/>
    <mergeCell ref="N120:P120"/>
    <mergeCell ref="N92:P92"/>
    <mergeCell ref="N87:P87"/>
    <mergeCell ref="N100:P100"/>
    <mergeCell ref="N93:P93"/>
    <mergeCell ref="AF66:AN66"/>
    <mergeCell ref="AF71:AI71"/>
    <mergeCell ref="AC1:AF1"/>
    <mergeCell ref="N33:P33"/>
    <mergeCell ref="Q9:T9"/>
    <mergeCell ref="Q10:T10"/>
    <mergeCell ref="Q8:T8"/>
    <mergeCell ref="B8:P10"/>
    <mergeCell ref="A3:M3"/>
    <mergeCell ref="R11:X11"/>
    <mergeCell ref="Z11:AB11"/>
    <mergeCell ref="A1:P1"/>
    <mergeCell ref="B7:AC7"/>
    <mergeCell ref="N12:O12"/>
    <mergeCell ref="N5:S5"/>
    <mergeCell ref="Q1:T1"/>
    <mergeCell ref="Q2:S2"/>
    <mergeCell ref="D12:M12"/>
    <mergeCell ref="A2:P2"/>
    <mergeCell ref="N3:O3"/>
    <mergeCell ref="V12:W12"/>
    <mergeCell ref="N68:P68"/>
    <mergeCell ref="AF64:AJ64"/>
    <mergeCell ref="N47:P47"/>
    <mergeCell ref="P3:S3"/>
    <mergeCell ref="AC3:AG3"/>
    <mergeCell ref="B11:O11"/>
    <mergeCell ref="A4:M4"/>
    <mergeCell ref="N4:O4"/>
    <mergeCell ref="B12:C12"/>
    <mergeCell ref="B77:B83"/>
    <mergeCell ref="N112:P112"/>
    <mergeCell ref="N74:P74"/>
    <mergeCell ref="B84:B95"/>
    <mergeCell ref="B108:B121"/>
    <mergeCell ref="B100:B107"/>
    <mergeCell ref="A96:B99"/>
    <mergeCell ref="A63:A95"/>
    <mergeCell ref="N70:P70"/>
    <mergeCell ref="N73:P73"/>
    <mergeCell ref="A100:A201"/>
    <mergeCell ref="B197:B201"/>
    <mergeCell ref="N163:P163"/>
    <mergeCell ref="N170:P170"/>
    <mergeCell ref="N69:P69"/>
    <mergeCell ref="N67:P67"/>
    <mergeCell ref="AF73:AL73"/>
    <mergeCell ref="AF70:AI70"/>
    <mergeCell ref="N110:P110"/>
    <mergeCell ref="N164:P164"/>
    <mergeCell ref="N141:P141"/>
    <mergeCell ref="N135:P135"/>
    <mergeCell ref="N161:P161"/>
    <mergeCell ref="N191:P191"/>
    <mergeCell ref="N129:P129"/>
    <mergeCell ref="N178:P178"/>
    <mergeCell ref="N158:P158"/>
    <mergeCell ref="N159:P159"/>
    <mergeCell ref="N147:P147"/>
    <mergeCell ref="N183:P183"/>
    <mergeCell ref="N190:P190"/>
    <mergeCell ref="N171:P171"/>
    <mergeCell ref="N172:P172"/>
    <mergeCell ref="N166:P166"/>
    <mergeCell ref="N155:P155"/>
    <mergeCell ref="N149:P149"/>
    <mergeCell ref="N157:P157"/>
    <mergeCell ref="N165:P165"/>
    <mergeCell ref="N153:P153"/>
    <mergeCell ref="N181:P181"/>
    <mergeCell ref="N162:P162"/>
    <mergeCell ref="N152:P152"/>
    <mergeCell ref="AF162:AI162"/>
    <mergeCell ref="N80:P80"/>
    <mergeCell ref="N128:P128"/>
    <mergeCell ref="N90:P90"/>
    <mergeCell ref="N123:P123"/>
    <mergeCell ref="N95:P95"/>
    <mergeCell ref="N82:P82"/>
    <mergeCell ref="N111:P111"/>
    <mergeCell ref="N113:P113"/>
    <mergeCell ref="N88:P88"/>
    <mergeCell ref="N117:P117"/>
    <mergeCell ref="N86:P86"/>
    <mergeCell ref="N94:P94"/>
    <mergeCell ref="N96:P96"/>
    <mergeCell ref="N91:P91"/>
    <mergeCell ref="N105:P105"/>
    <mergeCell ref="N103:P103"/>
    <mergeCell ref="N98:P98"/>
    <mergeCell ref="N126:P126"/>
    <mergeCell ref="N122:P122"/>
    <mergeCell ref="N119:P119"/>
    <mergeCell ref="N127:P127"/>
    <mergeCell ref="N109:P109"/>
    <mergeCell ref="N130:P130"/>
    <mergeCell ref="B122:B128"/>
    <mergeCell ref="N151:P151"/>
    <mergeCell ref="N196:P196"/>
    <mergeCell ref="N189:P189"/>
    <mergeCell ref="B184:B185"/>
    <mergeCell ref="N185:P185"/>
    <mergeCell ref="B129:B182"/>
    <mergeCell ref="N174:P174"/>
    <mergeCell ref="N184:P184"/>
    <mergeCell ref="N150:P150"/>
    <mergeCell ref="N167:P167"/>
    <mergeCell ref="N179:P179"/>
    <mergeCell ref="N192:P192"/>
    <mergeCell ref="B186:B196"/>
    <mergeCell ref="N132:P132"/>
    <mergeCell ref="N136:P136"/>
    <mergeCell ref="N144:P144"/>
    <mergeCell ref="N186:P186"/>
    <mergeCell ref="N143:P143"/>
    <mergeCell ref="N142:P142"/>
    <mergeCell ref="N137:P137"/>
    <mergeCell ref="N138:P138"/>
    <mergeCell ref="N145:P145"/>
    <mergeCell ref="N125:P125"/>
    <mergeCell ref="AF260:AG260"/>
    <mergeCell ref="AF252:AG252"/>
    <mergeCell ref="AF253:AG253"/>
    <mergeCell ref="AF254:AG254"/>
    <mergeCell ref="N259:P259"/>
    <mergeCell ref="N254:P254"/>
    <mergeCell ref="AF257:AG257"/>
    <mergeCell ref="AF258:AG258"/>
    <mergeCell ref="AF259:AG259"/>
    <mergeCell ref="N260:P260"/>
    <mergeCell ref="N256:P256"/>
    <mergeCell ref="N258:P258"/>
    <mergeCell ref="N255:P255"/>
    <mergeCell ref="AF255:AG255"/>
    <mergeCell ref="N253:P253"/>
    <mergeCell ref="N252:P252"/>
    <mergeCell ref="N247:P247"/>
    <mergeCell ref="N220:P220"/>
    <mergeCell ref="N221:P221"/>
    <mergeCell ref="N222:P222"/>
    <mergeCell ref="N223:P223"/>
    <mergeCell ref="N228:P228"/>
    <mergeCell ref="N240:P240"/>
    <mergeCell ref="N235:P235"/>
    <mergeCell ref="N230:P230"/>
    <mergeCell ref="N226:P226"/>
    <mergeCell ref="N233:P233"/>
    <mergeCell ref="N236:P236"/>
    <mergeCell ref="N225:P225"/>
    <mergeCell ref="N242:P242"/>
  </mergeCells>
  <printOptions horizontalCentered="1" verticalCentered="1"/>
  <pageMargins left="0" right="0" top="0" bottom="0" header="0" footer="0"/>
  <pageSetup paperSize="8" scale="56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Adatbázis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</dc:creator>
  <cp:lastModifiedBy>Holvay Csaba</cp:lastModifiedBy>
  <cp:lastPrinted>2023-02-17T10:26:24Z</cp:lastPrinted>
  <dcterms:created xsi:type="dcterms:W3CDTF">2014-08-27T18:25:17Z</dcterms:created>
  <dcterms:modified xsi:type="dcterms:W3CDTF">2025-04-30T12:33:49Z</dcterms:modified>
</cp:coreProperties>
</file>