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vvrhomes01\gvvrhomes01\HolvayCs\Dokumentumok\"/>
    </mc:Choice>
  </mc:AlternateContent>
  <bookViews>
    <workbookView xWindow="240" yWindow="195" windowWidth="15990" windowHeight="7875"/>
  </bookViews>
  <sheets>
    <sheet name="KALKULÁTOR" sheetId="1" r:id="rId1"/>
  </sheets>
  <definedNames>
    <definedName name="_xlnm._FilterDatabase" localSheetId="0" hidden="1">KALKULÁTOR!$M$31:$M$377</definedName>
  </definedNames>
  <calcPr calcId="162913"/>
</workbook>
</file>

<file path=xl/calcChain.xml><?xml version="1.0" encoding="utf-8"?>
<calcChain xmlns="http://schemas.openxmlformats.org/spreadsheetml/2006/main">
  <c r="A3" i="1" l="1"/>
  <c r="T3" i="1"/>
  <c r="N3" i="1" s="1"/>
  <c r="U3" i="1"/>
  <c r="V3" i="1"/>
  <c r="W3" i="1"/>
  <c r="X3" i="1"/>
  <c r="Y3" i="1"/>
  <c r="AB3" i="1"/>
  <c r="AC3" i="1"/>
  <c r="A4" i="1"/>
  <c r="N4" i="1"/>
  <c r="U4" i="1"/>
  <c r="W4" i="1"/>
  <c r="T5" i="1"/>
  <c r="W5" i="1" s="1"/>
  <c r="U5" i="1"/>
  <c r="V5" i="1"/>
  <c r="AC5" i="1"/>
  <c r="C32" i="1"/>
  <c r="AC32" i="1" s="1"/>
  <c r="E32" i="1"/>
  <c r="F32" i="1"/>
  <c r="G32" i="1"/>
  <c r="H32" i="1"/>
  <c r="I32" i="1"/>
  <c r="J32" i="1"/>
  <c r="K32" i="1"/>
  <c r="L32" i="1"/>
  <c r="N32" i="1"/>
  <c r="U32" i="1"/>
  <c r="C33" i="1"/>
  <c r="AC33" i="1" s="1"/>
  <c r="E33" i="1"/>
  <c r="F33" i="1"/>
  <c r="G33" i="1"/>
  <c r="H33" i="1"/>
  <c r="I33" i="1"/>
  <c r="J33" i="1"/>
  <c r="K33" i="1"/>
  <c r="L33" i="1"/>
  <c r="N33" i="1"/>
  <c r="U33" i="1"/>
  <c r="AB5" i="1" l="1"/>
  <c r="A5" i="1"/>
  <c r="X5" i="1"/>
  <c r="AA3" i="1"/>
  <c r="P3" i="1"/>
  <c r="AA5" i="1"/>
  <c r="N5" i="1"/>
  <c r="Z5" i="1"/>
  <c r="Y5" i="1"/>
  <c r="Z3" i="1"/>
  <c r="Q375" i="1"/>
  <c r="Q2" i="1" s="1"/>
  <c r="S192" i="1"/>
  <c r="T192" i="1"/>
  <c r="U192" i="1"/>
  <c r="AC192" i="1"/>
  <c r="T326" i="1"/>
  <c r="S326" i="1"/>
  <c r="AD326" i="1" s="1"/>
  <c r="U326" i="1"/>
  <c r="AC326" i="1"/>
  <c r="T330" i="1"/>
  <c r="S330" i="1"/>
  <c r="U330" i="1"/>
  <c r="AC330" i="1"/>
  <c r="S222" i="1"/>
  <c r="T222" i="1"/>
  <c r="U222" i="1"/>
  <c r="AC222" i="1"/>
  <c r="S319" i="1"/>
  <c r="T319" i="1"/>
  <c r="U319" i="1"/>
  <c r="AC319" i="1"/>
  <c r="S336" i="1"/>
  <c r="T336" i="1"/>
  <c r="U336" i="1"/>
  <c r="AC336" i="1"/>
  <c r="S197" i="1"/>
  <c r="T197" i="1"/>
  <c r="AD197" i="1" s="1"/>
  <c r="U197" i="1"/>
  <c r="AC197" i="1"/>
  <c r="T155" i="1"/>
  <c r="AD155" i="1" s="1"/>
  <c r="T154" i="1"/>
  <c r="AD154" i="1" s="1"/>
  <c r="T153" i="1"/>
  <c r="AD153" i="1" s="1"/>
  <c r="T152" i="1"/>
  <c r="AD152" i="1" s="1"/>
  <c r="T151" i="1"/>
  <c r="AD151" i="1" s="1"/>
  <c r="S155" i="1"/>
  <c r="U155" i="1"/>
  <c r="AC155" i="1"/>
  <c r="S151" i="1"/>
  <c r="U151" i="1"/>
  <c r="AC151" i="1"/>
  <c r="S152" i="1"/>
  <c r="U152" i="1"/>
  <c r="AC152" i="1"/>
  <c r="S154" i="1"/>
  <c r="U154" i="1"/>
  <c r="AC154" i="1"/>
  <c r="S153" i="1"/>
  <c r="U153" i="1"/>
  <c r="AC153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8" i="1"/>
  <c r="AD75" i="1"/>
  <c r="AD103" i="1"/>
  <c r="AD110" i="1"/>
  <c r="AD111" i="1"/>
  <c r="AD113" i="1"/>
  <c r="S278" i="1"/>
  <c r="T278" i="1"/>
  <c r="U278" i="1"/>
  <c r="AC278" i="1"/>
  <c r="S276" i="1"/>
  <c r="T276" i="1"/>
  <c r="U276" i="1"/>
  <c r="AC276" i="1"/>
  <c r="T237" i="1"/>
  <c r="S237" i="1"/>
  <c r="T236" i="1"/>
  <c r="S236" i="1"/>
  <c r="T235" i="1"/>
  <c r="S235" i="1"/>
  <c r="U232" i="1"/>
  <c r="AC232" i="1"/>
  <c r="U233" i="1"/>
  <c r="AC233" i="1"/>
  <c r="U234" i="1"/>
  <c r="AC234" i="1"/>
  <c r="U235" i="1"/>
  <c r="AC235" i="1"/>
  <c r="U236" i="1"/>
  <c r="AC236" i="1"/>
  <c r="U237" i="1"/>
  <c r="AC237" i="1"/>
  <c r="T233" i="1"/>
  <c r="S233" i="1"/>
  <c r="T232" i="1"/>
  <c r="S232" i="1"/>
  <c r="S234" i="1"/>
  <c r="T234" i="1"/>
  <c r="S239" i="1"/>
  <c r="T239" i="1"/>
  <c r="U239" i="1"/>
  <c r="AC239" i="1"/>
  <c r="T229" i="1"/>
  <c r="S229" i="1"/>
  <c r="U229" i="1"/>
  <c r="AC229" i="1"/>
  <c r="S228" i="1"/>
  <c r="T228" i="1"/>
  <c r="T325" i="1"/>
  <c r="S261" i="1"/>
  <c r="T261" i="1"/>
  <c r="U261" i="1"/>
  <c r="AC261" i="1"/>
  <c r="S260" i="1"/>
  <c r="T260" i="1"/>
  <c r="U260" i="1"/>
  <c r="AC260" i="1"/>
  <c r="S259" i="1"/>
  <c r="T245" i="1"/>
  <c r="S245" i="1"/>
  <c r="U245" i="1"/>
  <c r="AC245" i="1"/>
  <c r="T238" i="1"/>
  <c r="S238" i="1"/>
  <c r="T320" i="1"/>
  <c r="S320" i="1"/>
  <c r="U318" i="1"/>
  <c r="AC318" i="1"/>
  <c r="U320" i="1"/>
  <c r="AC320" i="1"/>
  <c r="U321" i="1"/>
  <c r="AC321" i="1"/>
  <c r="T318" i="1"/>
  <c r="S318" i="1"/>
  <c r="T332" i="1"/>
  <c r="S332" i="1"/>
  <c r="U332" i="1"/>
  <c r="AC332" i="1"/>
  <c r="S127" i="1"/>
  <c r="T127" i="1"/>
  <c r="AD127" i="1" s="1"/>
  <c r="U127" i="1"/>
  <c r="AC127" i="1"/>
  <c r="T334" i="1"/>
  <c r="S334" i="1"/>
  <c r="U334" i="1"/>
  <c r="AC334" i="1"/>
  <c r="U228" i="1"/>
  <c r="AC228" i="1"/>
  <c r="S227" i="1"/>
  <c r="T227" i="1"/>
  <c r="U227" i="1"/>
  <c r="AC227" i="1"/>
  <c r="S207" i="1"/>
  <c r="T207" i="1"/>
  <c r="AD207" i="1" s="1"/>
  <c r="U207" i="1"/>
  <c r="AC207" i="1"/>
  <c r="T345" i="1"/>
  <c r="S345" i="1"/>
  <c r="U345" i="1"/>
  <c r="AC345" i="1"/>
  <c r="S173" i="1"/>
  <c r="T173" i="1"/>
  <c r="AD173" i="1" s="1"/>
  <c r="U173" i="1"/>
  <c r="AC173" i="1"/>
  <c r="T141" i="1"/>
  <c r="AD141" i="1" s="1"/>
  <c r="S141" i="1"/>
  <c r="U141" i="1"/>
  <c r="AC141" i="1"/>
  <c r="S208" i="1"/>
  <c r="T208" i="1"/>
  <c r="AD208" i="1" s="1"/>
  <c r="U208" i="1"/>
  <c r="AC208" i="1"/>
  <c r="T230" i="1"/>
  <c r="S230" i="1"/>
  <c r="T363" i="1"/>
  <c r="T362" i="1"/>
  <c r="S362" i="1"/>
  <c r="S363" i="1"/>
  <c r="T249" i="1"/>
  <c r="S249" i="1"/>
  <c r="S70" i="1"/>
  <c r="T70" i="1"/>
  <c r="AD70" i="1" s="1"/>
  <c r="S71" i="1"/>
  <c r="T71" i="1"/>
  <c r="AD71" i="1" s="1"/>
  <c r="S72" i="1"/>
  <c r="T72" i="1"/>
  <c r="AD72" i="1" s="1"/>
  <c r="S243" i="1"/>
  <c r="S220" i="1"/>
  <c r="S216" i="1"/>
  <c r="T244" i="1"/>
  <c r="T144" i="1"/>
  <c r="AD144" i="1" s="1"/>
  <c r="S144" i="1"/>
  <c r="S143" i="1"/>
  <c r="T143" i="1"/>
  <c r="AD143" i="1" s="1"/>
  <c r="S97" i="1"/>
  <c r="T97" i="1"/>
  <c r="AD97" i="1" s="1"/>
  <c r="AC97" i="1"/>
  <c r="U97" i="1"/>
  <c r="AA32" i="1" l="1"/>
  <c r="AB32" i="1"/>
  <c r="Z33" i="1"/>
  <c r="V32" i="1"/>
  <c r="W32" i="1"/>
  <c r="AB33" i="1"/>
  <c r="X32" i="1"/>
  <c r="V33" i="1"/>
  <c r="W33" i="1"/>
  <c r="X33" i="1"/>
  <c r="Y33" i="1"/>
  <c r="AA33" i="1"/>
  <c r="Z32" i="1"/>
  <c r="Y32" i="1"/>
  <c r="AD319" i="1"/>
  <c r="AD235" i="1"/>
  <c r="AD276" i="1"/>
  <c r="AD336" i="1"/>
  <c r="AD261" i="1"/>
  <c r="AD318" i="1"/>
  <c r="AD278" i="1"/>
  <c r="AD260" i="1"/>
  <c r="AD232" i="1"/>
  <c r="AD234" i="1"/>
  <c r="AD239" i="1"/>
  <c r="AD237" i="1"/>
  <c r="AD236" i="1"/>
  <c r="AD233" i="1"/>
  <c r="AD229" i="1"/>
  <c r="AD332" i="1"/>
  <c r="AD245" i="1"/>
  <c r="AD320" i="1"/>
  <c r="AD334" i="1"/>
  <c r="AD227" i="1"/>
  <c r="AD228" i="1"/>
  <c r="AD345" i="1"/>
  <c r="S193" i="1"/>
  <c r="T193" i="1"/>
  <c r="AD193" i="1" s="1"/>
  <c r="U193" i="1"/>
  <c r="AC193" i="1"/>
  <c r="S181" i="1"/>
  <c r="T181" i="1"/>
  <c r="AD181" i="1" s="1"/>
  <c r="U181" i="1"/>
  <c r="AC181" i="1"/>
  <c r="S164" i="1"/>
  <c r="T164" i="1"/>
  <c r="AD164" i="1" s="1"/>
  <c r="U164" i="1"/>
  <c r="AC164" i="1"/>
  <c r="T248" i="1"/>
  <c r="S248" i="1"/>
  <c r="U248" i="1"/>
  <c r="AC248" i="1"/>
  <c r="T308" i="1"/>
  <c r="S308" i="1"/>
  <c r="U308" i="1"/>
  <c r="AC308" i="1"/>
  <c r="T191" i="1"/>
  <c r="AD191" i="1" s="1"/>
  <c r="S191" i="1"/>
  <c r="U191" i="1"/>
  <c r="AC191" i="1"/>
  <c r="S329" i="1"/>
  <c r="T329" i="1"/>
  <c r="U329" i="1"/>
  <c r="AC329" i="1"/>
  <c r="S157" i="1"/>
  <c r="T157" i="1"/>
  <c r="AD157" i="1" s="1"/>
  <c r="U157" i="1"/>
  <c r="AC157" i="1"/>
  <c r="AD248" i="1" l="1"/>
  <c r="AD308" i="1"/>
  <c r="T371" i="1"/>
  <c r="S371" i="1"/>
  <c r="T112" i="1"/>
  <c r="AD112" i="1" s="1"/>
  <c r="S112" i="1"/>
  <c r="U112" i="1"/>
  <c r="AC112" i="1"/>
  <c r="S175" i="1"/>
  <c r="T175" i="1"/>
  <c r="AD175" i="1" s="1"/>
  <c r="U175" i="1"/>
  <c r="AC175" i="1"/>
  <c r="U56" i="1"/>
  <c r="AC56" i="1"/>
  <c r="T348" i="1"/>
  <c r="S348" i="1"/>
  <c r="U348" i="1"/>
  <c r="AC348" i="1"/>
  <c r="S183" i="1"/>
  <c r="T183" i="1"/>
  <c r="AD183" i="1" s="1"/>
  <c r="U183" i="1"/>
  <c r="AC183" i="1"/>
  <c r="T337" i="1"/>
  <c r="S337" i="1"/>
  <c r="U337" i="1"/>
  <c r="AC337" i="1"/>
  <c r="S221" i="1"/>
  <c r="T221" i="1"/>
  <c r="U221" i="1"/>
  <c r="AC221" i="1"/>
  <c r="S182" i="1"/>
  <c r="T182" i="1"/>
  <c r="AD182" i="1" s="1"/>
  <c r="U182" i="1"/>
  <c r="AC182" i="1"/>
  <c r="S344" i="1"/>
  <c r="T344" i="1"/>
  <c r="U344" i="1"/>
  <c r="AC344" i="1"/>
  <c r="AE64" i="1"/>
  <c r="AE65" i="1"/>
  <c r="T347" i="1"/>
  <c r="S347" i="1"/>
  <c r="U347" i="1"/>
  <c r="AC347" i="1"/>
  <c r="S126" i="1"/>
  <c r="T126" i="1"/>
  <c r="AD126" i="1" s="1"/>
  <c r="U126" i="1"/>
  <c r="AC126" i="1"/>
  <c r="S137" i="1"/>
  <c r="T137" i="1"/>
  <c r="AD137" i="1" s="1"/>
  <c r="U137" i="1"/>
  <c r="AC137" i="1"/>
  <c r="T176" i="1"/>
  <c r="AD176" i="1" s="1"/>
  <c r="S176" i="1"/>
  <c r="U176" i="1"/>
  <c r="AC176" i="1"/>
  <c r="S341" i="1"/>
  <c r="T341" i="1"/>
  <c r="U341" i="1"/>
  <c r="AC341" i="1"/>
  <c r="T339" i="1"/>
  <c r="S339" i="1"/>
  <c r="U339" i="1"/>
  <c r="AC339" i="1"/>
  <c r="S323" i="1"/>
  <c r="T323" i="1"/>
  <c r="U323" i="1"/>
  <c r="AC323" i="1"/>
  <c r="S149" i="1"/>
  <c r="T149" i="1"/>
  <c r="AD149" i="1" s="1"/>
  <c r="U149" i="1"/>
  <c r="AC149" i="1"/>
  <c r="T281" i="1"/>
  <c r="S281" i="1"/>
  <c r="U281" i="1"/>
  <c r="AC281" i="1"/>
  <c r="T351" i="1"/>
  <c r="S351" i="1"/>
  <c r="U351" i="1"/>
  <c r="AC351" i="1"/>
  <c r="S350" i="1"/>
  <c r="T350" i="1"/>
  <c r="U350" i="1"/>
  <c r="AC350" i="1"/>
  <c r="S142" i="1"/>
  <c r="S354" i="1"/>
  <c r="T354" i="1"/>
  <c r="T214" i="1"/>
  <c r="AD214" i="1" s="1"/>
  <c r="T361" i="1"/>
  <c r="S361" i="1"/>
  <c r="U361" i="1"/>
  <c r="AC361" i="1"/>
  <c r="T360" i="1"/>
  <c r="S360" i="1"/>
  <c r="U360" i="1"/>
  <c r="AC360" i="1"/>
  <c r="T369" i="1"/>
  <c r="S369" i="1"/>
  <c r="U369" i="1"/>
  <c r="AC369" i="1"/>
  <c r="AD348" i="1" l="1"/>
  <c r="AD360" i="1"/>
  <c r="AD361" i="1"/>
  <c r="AD281" i="1"/>
  <c r="AD371" i="1"/>
  <c r="AD341" i="1"/>
  <c r="AD350" i="1"/>
  <c r="AD323" i="1"/>
  <c r="AD339" i="1"/>
  <c r="AD347" i="1"/>
  <c r="AD344" i="1"/>
  <c r="AD221" i="1"/>
  <c r="AD337" i="1"/>
  <c r="AE66" i="1"/>
  <c r="S171" i="1"/>
  <c r="T171" i="1"/>
  <c r="AD171" i="1" s="1"/>
  <c r="U171" i="1"/>
  <c r="AC171" i="1"/>
  <c r="S165" i="1"/>
  <c r="T165" i="1"/>
  <c r="AD165" i="1" s="1"/>
  <c r="U165" i="1"/>
  <c r="AC165" i="1"/>
  <c r="S190" i="1"/>
  <c r="T190" i="1"/>
  <c r="AD190" i="1" s="1"/>
  <c r="U190" i="1"/>
  <c r="AC190" i="1"/>
  <c r="S180" i="1"/>
  <c r="T180" i="1"/>
  <c r="AD180" i="1" s="1"/>
  <c r="U180" i="1"/>
  <c r="AC180" i="1"/>
  <c r="U111" i="1"/>
  <c r="AC111" i="1"/>
  <c r="T263" i="1"/>
  <c r="S263" i="1"/>
  <c r="U263" i="1"/>
  <c r="AC263" i="1"/>
  <c r="S162" i="1"/>
  <c r="T162" i="1"/>
  <c r="AD162" i="1" s="1"/>
  <c r="U162" i="1"/>
  <c r="AC162" i="1"/>
  <c r="AD263" i="1" l="1"/>
  <c r="S214" i="1"/>
  <c r="U214" i="1"/>
  <c r="AC214" i="1"/>
  <c r="S258" i="1" l="1"/>
  <c r="T258" i="1"/>
  <c r="U258" i="1"/>
  <c r="AC258" i="1"/>
  <c r="S132" i="1"/>
  <c r="T132" i="1"/>
  <c r="AD132" i="1" s="1"/>
  <c r="U132" i="1"/>
  <c r="AC132" i="1"/>
  <c r="S78" i="1"/>
  <c r="T78" i="1"/>
  <c r="AD78" i="1" s="1"/>
  <c r="S79" i="1"/>
  <c r="T79" i="1"/>
  <c r="AD79" i="1" s="1"/>
  <c r="T218" i="1"/>
  <c r="S218" i="1"/>
  <c r="U218" i="1"/>
  <c r="AC218" i="1"/>
  <c r="S199" i="1"/>
  <c r="T199" i="1"/>
  <c r="AD199" i="1" s="1"/>
  <c r="U199" i="1"/>
  <c r="AC199" i="1"/>
  <c r="T105" i="1"/>
  <c r="AD105" i="1" s="1"/>
  <c r="S105" i="1"/>
  <c r="S167" i="1"/>
  <c r="T167" i="1"/>
  <c r="AD167" i="1" s="1"/>
  <c r="U167" i="1"/>
  <c r="AC167" i="1"/>
  <c r="S158" i="1"/>
  <c r="T158" i="1"/>
  <c r="AD158" i="1" s="1"/>
  <c r="U158" i="1"/>
  <c r="AC158" i="1"/>
  <c r="S285" i="1"/>
  <c r="T285" i="1"/>
  <c r="U285" i="1"/>
  <c r="AC285" i="1"/>
  <c r="S174" i="1"/>
  <c r="T174" i="1"/>
  <c r="AD174" i="1" s="1"/>
  <c r="U174" i="1"/>
  <c r="AC174" i="1"/>
  <c r="T328" i="1"/>
  <c r="S328" i="1"/>
  <c r="U328" i="1"/>
  <c r="AC328" i="1"/>
  <c r="S195" i="1"/>
  <c r="T195" i="1"/>
  <c r="AD195" i="1" s="1"/>
  <c r="U195" i="1"/>
  <c r="AC195" i="1"/>
  <c r="S367" i="1"/>
  <c r="U367" i="1"/>
  <c r="AC367" i="1"/>
  <c r="S213" i="1"/>
  <c r="T213" i="1"/>
  <c r="AD213" i="1" s="1"/>
  <c r="U213" i="1"/>
  <c r="AC213" i="1"/>
  <c r="T223" i="1"/>
  <c r="S223" i="1"/>
  <c r="U354" i="1"/>
  <c r="AC354" i="1"/>
  <c r="S177" i="1"/>
  <c r="T177" i="1"/>
  <c r="AD177" i="1" s="1"/>
  <c r="U177" i="1"/>
  <c r="AC177" i="1"/>
  <c r="S188" i="1"/>
  <c r="T188" i="1"/>
  <c r="AD188" i="1" s="1"/>
  <c r="U188" i="1"/>
  <c r="AC188" i="1"/>
  <c r="T184" i="1"/>
  <c r="AD184" i="1" s="1"/>
  <c r="T179" i="1"/>
  <c r="AD179" i="1" s="1"/>
  <c r="T178" i="1"/>
  <c r="AD178" i="1" s="1"/>
  <c r="S184" i="1"/>
  <c r="U184" i="1"/>
  <c r="AC184" i="1"/>
  <c r="AD285" i="1" l="1"/>
  <c r="AD218" i="1"/>
  <c r="AD258" i="1"/>
  <c r="AD223" i="1"/>
  <c r="T315" i="1"/>
  <c r="S315" i="1"/>
  <c r="S316" i="1"/>
  <c r="T316" i="1"/>
  <c r="U316" i="1"/>
  <c r="AC316" i="1"/>
  <c r="T322" i="1"/>
  <c r="S322" i="1"/>
  <c r="T321" i="1"/>
  <c r="S321" i="1"/>
  <c r="U322" i="1"/>
  <c r="AC322" i="1"/>
  <c r="U349" i="1"/>
  <c r="AC349" i="1"/>
  <c r="T139" i="1"/>
  <c r="AD139" i="1" s="1"/>
  <c r="S139" i="1"/>
  <c r="T118" i="1"/>
  <c r="AD118" i="1" s="1"/>
  <c r="S118" i="1"/>
  <c r="S122" i="1"/>
  <c r="T122" i="1"/>
  <c r="AD122" i="1" s="1"/>
  <c r="S123" i="1"/>
  <c r="T123" i="1"/>
  <c r="AD123" i="1" s="1"/>
  <c r="T96" i="1"/>
  <c r="AD96" i="1" s="1"/>
  <c r="T95" i="1"/>
  <c r="AD95" i="1" s="1"/>
  <c r="T106" i="1"/>
  <c r="AD106" i="1" s="1"/>
  <c r="S106" i="1"/>
  <c r="S96" i="1"/>
  <c r="S95" i="1"/>
  <c r="T92" i="1"/>
  <c r="AD92" i="1" s="1"/>
  <c r="S92" i="1"/>
  <c r="S163" i="1"/>
  <c r="T163" i="1"/>
  <c r="AD163" i="1" s="1"/>
  <c r="U163" i="1"/>
  <c r="AC163" i="1"/>
  <c r="S103" i="1"/>
  <c r="U103" i="1"/>
  <c r="AC103" i="1"/>
  <c r="T217" i="1"/>
  <c r="S217" i="1"/>
  <c r="T216" i="1"/>
  <c r="AD216" i="1" s="1"/>
  <c r="T327" i="1"/>
  <c r="S327" i="1"/>
  <c r="S325" i="1"/>
  <c r="S324" i="1"/>
  <c r="T324" i="1"/>
  <c r="U325" i="1"/>
  <c r="AC325" i="1"/>
  <c r="U324" i="1"/>
  <c r="AC324" i="1"/>
  <c r="U327" i="1"/>
  <c r="AC327" i="1"/>
  <c r="T309" i="1"/>
  <c r="S309" i="1"/>
  <c r="U309" i="1"/>
  <c r="AC309" i="1"/>
  <c r="T310" i="1"/>
  <c r="S310" i="1"/>
  <c r="U310" i="1"/>
  <c r="AC310" i="1"/>
  <c r="S340" i="1"/>
  <c r="T340" i="1"/>
  <c r="U340" i="1"/>
  <c r="AC340" i="1"/>
  <c r="S206" i="1"/>
  <c r="T206" i="1"/>
  <c r="AD206" i="1" s="1"/>
  <c r="U206" i="1"/>
  <c r="AC206" i="1"/>
  <c r="U353" i="1"/>
  <c r="AC353" i="1"/>
  <c r="T353" i="1"/>
  <c r="S353" i="1"/>
  <c r="S67" i="1"/>
  <c r="T67" i="1"/>
  <c r="AD67" i="1" s="1"/>
  <c r="U67" i="1"/>
  <c r="T312" i="1"/>
  <c r="S312" i="1"/>
  <c r="U312" i="1"/>
  <c r="AC312" i="1"/>
  <c r="T265" i="1"/>
  <c r="S265" i="1"/>
  <c r="U265" i="1"/>
  <c r="AC265" i="1"/>
  <c r="S247" i="1"/>
  <c r="T247" i="1"/>
  <c r="U247" i="1"/>
  <c r="AC247" i="1"/>
  <c r="S215" i="1"/>
  <c r="T215" i="1"/>
  <c r="AD215" i="1" s="1"/>
  <c r="U215" i="1"/>
  <c r="AC215" i="1"/>
  <c r="S196" i="1"/>
  <c r="T196" i="1"/>
  <c r="AD196" i="1" s="1"/>
  <c r="U196" i="1"/>
  <c r="AC196" i="1"/>
  <c r="U343" i="1"/>
  <c r="AC343" i="1"/>
  <c r="T343" i="1"/>
  <c r="S343" i="1"/>
  <c r="T333" i="1"/>
  <c r="S333" i="1"/>
  <c r="U333" i="1"/>
  <c r="AC333" i="1"/>
  <c r="S303" i="1"/>
  <c r="T303" i="1"/>
  <c r="T257" i="1"/>
  <c r="S257" i="1"/>
  <c r="U257" i="1"/>
  <c r="AC257" i="1"/>
  <c r="S189" i="1"/>
  <c r="T189" i="1"/>
  <c r="AD189" i="1" s="1"/>
  <c r="U189" i="1"/>
  <c r="AC189" i="1"/>
  <c r="U110" i="1"/>
  <c r="AC110" i="1"/>
  <c r="U113" i="1"/>
  <c r="AC113" i="1"/>
  <c r="S244" i="1"/>
  <c r="AD244" i="1" s="1"/>
  <c r="U244" i="1"/>
  <c r="AC244" i="1"/>
  <c r="S172" i="1"/>
  <c r="T172" i="1"/>
  <c r="AD172" i="1" s="1"/>
  <c r="U172" i="1"/>
  <c r="AC172" i="1"/>
  <c r="U338" i="1"/>
  <c r="AC338" i="1"/>
  <c r="T338" i="1"/>
  <c r="S338" i="1"/>
  <c r="U85" i="1"/>
  <c r="AC85" i="1"/>
  <c r="T85" i="1"/>
  <c r="AD85" i="1" s="1"/>
  <c r="S85" i="1"/>
  <c r="U81" i="1"/>
  <c r="AC81" i="1"/>
  <c r="U82" i="1"/>
  <c r="AC82" i="1"/>
  <c r="T82" i="1"/>
  <c r="AD82" i="1" s="1"/>
  <c r="S82" i="1"/>
  <c r="T81" i="1"/>
  <c r="AD81" i="1" s="1"/>
  <c r="S81" i="1"/>
  <c r="S74" i="1"/>
  <c r="T74" i="1"/>
  <c r="AD74" i="1" s="1"/>
  <c r="U74" i="1"/>
  <c r="AC74" i="1"/>
  <c r="U72" i="1"/>
  <c r="AC72" i="1"/>
  <c r="V192" i="1" l="1"/>
  <c r="Z192" i="1"/>
  <c r="Y192" i="1"/>
  <c r="X192" i="1"/>
  <c r="AB192" i="1"/>
  <c r="W192" i="1"/>
  <c r="AA192" i="1"/>
  <c r="V326" i="1"/>
  <c r="Z326" i="1"/>
  <c r="Y326" i="1"/>
  <c r="X326" i="1"/>
  <c r="AB326" i="1"/>
  <c r="W326" i="1"/>
  <c r="AA326" i="1"/>
  <c r="V330" i="1"/>
  <c r="Z330" i="1"/>
  <c r="Y330" i="1"/>
  <c r="X330" i="1"/>
  <c r="AB330" i="1"/>
  <c r="W330" i="1"/>
  <c r="AA330" i="1"/>
  <c r="V222" i="1"/>
  <c r="Z222" i="1"/>
  <c r="Y222" i="1"/>
  <c r="X222" i="1"/>
  <c r="AB222" i="1"/>
  <c r="W222" i="1"/>
  <c r="AA222" i="1"/>
  <c r="V319" i="1"/>
  <c r="X319" i="1"/>
  <c r="Z319" i="1"/>
  <c r="AB319" i="1"/>
  <c r="W319" i="1"/>
  <c r="Y319" i="1"/>
  <c r="AA319" i="1"/>
  <c r="V336" i="1"/>
  <c r="X336" i="1"/>
  <c r="Z336" i="1"/>
  <c r="AB336" i="1"/>
  <c r="W336" i="1"/>
  <c r="Y336" i="1"/>
  <c r="AA336" i="1"/>
  <c r="V197" i="1"/>
  <c r="X197" i="1"/>
  <c r="Z197" i="1"/>
  <c r="AB197" i="1"/>
  <c r="W197" i="1"/>
  <c r="Y197" i="1"/>
  <c r="AA197" i="1"/>
  <c r="W155" i="1"/>
  <c r="Y155" i="1"/>
  <c r="AA155" i="1"/>
  <c r="V155" i="1"/>
  <c r="X155" i="1"/>
  <c r="Z155" i="1"/>
  <c r="AB155" i="1"/>
  <c r="W151" i="1"/>
  <c r="Y151" i="1"/>
  <c r="AA151" i="1"/>
  <c r="V151" i="1"/>
  <c r="X151" i="1"/>
  <c r="Z151" i="1"/>
  <c r="AB151" i="1"/>
  <c r="W152" i="1"/>
  <c r="Y152" i="1"/>
  <c r="AA152" i="1"/>
  <c r="V152" i="1"/>
  <c r="X152" i="1"/>
  <c r="Z152" i="1"/>
  <c r="AB152" i="1"/>
  <c r="W154" i="1"/>
  <c r="Y154" i="1"/>
  <c r="AA154" i="1"/>
  <c r="V154" i="1"/>
  <c r="X154" i="1"/>
  <c r="Z154" i="1"/>
  <c r="AB154" i="1"/>
  <c r="V153" i="1"/>
  <c r="X153" i="1"/>
  <c r="Z153" i="1"/>
  <c r="AB153" i="1"/>
  <c r="W153" i="1"/>
  <c r="Y153" i="1"/>
  <c r="AA153" i="1"/>
  <c r="V278" i="1"/>
  <c r="X278" i="1"/>
  <c r="Z278" i="1"/>
  <c r="AB278" i="1"/>
  <c r="W278" i="1"/>
  <c r="Y278" i="1"/>
  <c r="AA278" i="1"/>
  <c r="V276" i="1"/>
  <c r="X276" i="1"/>
  <c r="Z276" i="1"/>
  <c r="AB276" i="1"/>
  <c r="V232" i="1"/>
  <c r="X232" i="1"/>
  <c r="Z232" i="1"/>
  <c r="AB232" i="1"/>
  <c r="W233" i="1"/>
  <c r="Y233" i="1"/>
  <c r="AA233" i="1"/>
  <c r="V234" i="1"/>
  <c r="X234" i="1"/>
  <c r="Z234" i="1"/>
  <c r="AB234" i="1"/>
  <c r="W235" i="1"/>
  <c r="Y235" i="1"/>
  <c r="AA235" i="1"/>
  <c r="V236" i="1"/>
  <c r="X236" i="1"/>
  <c r="Z236" i="1"/>
  <c r="AB236" i="1"/>
  <c r="W237" i="1"/>
  <c r="Y237" i="1"/>
  <c r="AA237" i="1"/>
  <c r="W276" i="1"/>
  <c r="Y276" i="1"/>
  <c r="AA276" i="1"/>
  <c r="W232" i="1"/>
  <c r="Y232" i="1"/>
  <c r="AA232" i="1"/>
  <c r="V233" i="1"/>
  <c r="X233" i="1"/>
  <c r="Z233" i="1"/>
  <c r="AB233" i="1"/>
  <c r="W234" i="1"/>
  <c r="Y234" i="1"/>
  <c r="AA234" i="1"/>
  <c r="V235" i="1"/>
  <c r="X235" i="1"/>
  <c r="Z235" i="1"/>
  <c r="AB235" i="1"/>
  <c r="W236" i="1"/>
  <c r="Y236" i="1"/>
  <c r="AA236" i="1"/>
  <c r="V237" i="1"/>
  <c r="X237" i="1"/>
  <c r="Z237" i="1"/>
  <c r="AB237" i="1"/>
  <c r="V239" i="1"/>
  <c r="X239" i="1"/>
  <c r="Z239" i="1"/>
  <c r="AB239" i="1"/>
  <c r="W239" i="1"/>
  <c r="Y239" i="1"/>
  <c r="AA239" i="1"/>
  <c r="V229" i="1"/>
  <c r="X229" i="1"/>
  <c r="Z229" i="1"/>
  <c r="AB229" i="1"/>
  <c r="W229" i="1"/>
  <c r="Y229" i="1"/>
  <c r="AA229" i="1"/>
  <c r="V261" i="1"/>
  <c r="X261" i="1"/>
  <c r="Z261" i="1"/>
  <c r="AB261" i="1"/>
  <c r="W261" i="1"/>
  <c r="Y261" i="1"/>
  <c r="AA261" i="1"/>
  <c r="V260" i="1"/>
  <c r="X260" i="1"/>
  <c r="Z260" i="1"/>
  <c r="AB260" i="1"/>
  <c r="W260" i="1"/>
  <c r="Y260" i="1"/>
  <c r="AA260" i="1"/>
  <c r="V245" i="1"/>
  <c r="X245" i="1"/>
  <c r="Z245" i="1"/>
  <c r="AB245" i="1"/>
  <c r="W245" i="1"/>
  <c r="Y245" i="1"/>
  <c r="AA245" i="1"/>
  <c r="V318" i="1"/>
  <c r="X318" i="1"/>
  <c r="Z318" i="1"/>
  <c r="AB318" i="1"/>
  <c r="W320" i="1"/>
  <c r="Y320" i="1"/>
  <c r="AA320" i="1"/>
  <c r="V321" i="1"/>
  <c r="X321" i="1"/>
  <c r="Z321" i="1"/>
  <c r="AB321" i="1"/>
  <c r="W318" i="1"/>
  <c r="Y318" i="1"/>
  <c r="AA318" i="1"/>
  <c r="V320" i="1"/>
  <c r="X320" i="1"/>
  <c r="Z320" i="1"/>
  <c r="AB320" i="1"/>
  <c r="W321" i="1"/>
  <c r="Y321" i="1"/>
  <c r="AA321" i="1"/>
  <c r="V332" i="1"/>
  <c r="X332" i="1"/>
  <c r="Z332" i="1"/>
  <c r="AB332" i="1"/>
  <c r="Y332" i="1"/>
  <c r="AA332" i="1"/>
  <c r="W332" i="1"/>
  <c r="V127" i="1"/>
  <c r="X127" i="1"/>
  <c r="Z127" i="1"/>
  <c r="AB127" i="1"/>
  <c r="Y127" i="1"/>
  <c r="AA127" i="1"/>
  <c r="W127" i="1"/>
  <c r="V334" i="1"/>
  <c r="X334" i="1"/>
  <c r="Z334" i="1"/>
  <c r="AB334" i="1"/>
  <c r="Y334" i="1"/>
  <c r="AA334" i="1"/>
  <c r="W334" i="1"/>
  <c r="V228" i="1"/>
  <c r="X228" i="1"/>
  <c r="Z228" i="1"/>
  <c r="AB228" i="1"/>
  <c r="W228" i="1"/>
  <c r="Y228" i="1"/>
  <c r="AA228" i="1"/>
  <c r="V227" i="1"/>
  <c r="X227" i="1"/>
  <c r="Z227" i="1"/>
  <c r="AB227" i="1"/>
  <c r="W227" i="1"/>
  <c r="Y227" i="1"/>
  <c r="AA227" i="1"/>
  <c r="AD321" i="1"/>
  <c r="AD322" i="1"/>
  <c r="AD315" i="1"/>
  <c r="V207" i="1"/>
  <c r="X207" i="1"/>
  <c r="Z207" i="1"/>
  <c r="AB207" i="1"/>
  <c r="W207" i="1"/>
  <c r="Y207" i="1"/>
  <c r="AA207" i="1"/>
  <c r="V345" i="1"/>
  <c r="X345" i="1"/>
  <c r="Z345" i="1"/>
  <c r="AB345" i="1"/>
  <c r="W345" i="1"/>
  <c r="Y345" i="1"/>
  <c r="AA345" i="1"/>
  <c r="V173" i="1"/>
  <c r="X173" i="1"/>
  <c r="Z173" i="1"/>
  <c r="AB173" i="1"/>
  <c r="Y173" i="1"/>
  <c r="AA173" i="1"/>
  <c r="W173" i="1"/>
  <c r="AD303" i="1"/>
  <c r="AD333" i="1"/>
  <c r="AD343" i="1"/>
  <c r="AD265" i="1"/>
  <c r="AD312" i="1"/>
  <c r="AD310" i="1"/>
  <c r="AD309" i="1"/>
  <c r="AD327" i="1"/>
  <c r="V141" i="1"/>
  <c r="X141" i="1"/>
  <c r="Z141" i="1"/>
  <c r="AB141" i="1"/>
  <c r="W141" i="1"/>
  <c r="Y141" i="1"/>
  <c r="AA141" i="1"/>
  <c r="V208" i="1"/>
  <c r="X208" i="1"/>
  <c r="Z208" i="1"/>
  <c r="AB208" i="1"/>
  <c r="Y208" i="1"/>
  <c r="AA208" i="1"/>
  <c r="W208" i="1"/>
  <c r="AD325" i="1"/>
  <c r="AD217" i="1"/>
  <c r="AD338" i="1"/>
  <c r="AD257" i="1"/>
  <c r="AD247" i="1"/>
  <c r="AD340" i="1"/>
  <c r="AD324" i="1"/>
  <c r="AD316" i="1"/>
  <c r="AB97" i="1"/>
  <c r="Z97" i="1"/>
  <c r="X97" i="1"/>
  <c r="V97" i="1"/>
  <c r="AA97" i="1"/>
  <c r="Y97" i="1"/>
  <c r="W97" i="1"/>
  <c r="V193" i="1"/>
  <c r="X193" i="1"/>
  <c r="Z193" i="1"/>
  <c r="AB193" i="1"/>
  <c r="W193" i="1"/>
  <c r="Y193" i="1"/>
  <c r="AA193" i="1"/>
  <c r="V181" i="1"/>
  <c r="X181" i="1"/>
  <c r="Z181" i="1"/>
  <c r="AB181" i="1"/>
  <c r="W181" i="1"/>
  <c r="Y181" i="1"/>
  <c r="AA181" i="1"/>
  <c r="V164" i="1"/>
  <c r="X164" i="1"/>
  <c r="Z164" i="1"/>
  <c r="AB164" i="1"/>
  <c r="Y164" i="1"/>
  <c r="AA164" i="1"/>
  <c r="W164" i="1"/>
  <c r="V248" i="1"/>
  <c r="X248" i="1"/>
  <c r="Z248" i="1"/>
  <c r="AB248" i="1"/>
  <c r="Y248" i="1"/>
  <c r="AA248" i="1"/>
  <c r="W248" i="1"/>
  <c r="V308" i="1"/>
  <c r="X308" i="1"/>
  <c r="Z308" i="1"/>
  <c r="AB308" i="1"/>
  <c r="Y308" i="1"/>
  <c r="AA308" i="1"/>
  <c r="W308" i="1"/>
  <c r="V191" i="1"/>
  <c r="X191" i="1"/>
  <c r="Z191" i="1"/>
  <c r="AB191" i="1"/>
  <c r="W191" i="1"/>
  <c r="Y191" i="1"/>
  <c r="AA191" i="1"/>
  <c r="V329" i="1"/>
  <c r="X329" i="1"/>
  <c r="Z329" i="1"/>
  <c r="AB329" i="1"/>
  <c r="W329" i="1"/>
  <c r="Y329" i="1"/>
  <c r="AA329" i="1"/>
  <c r="V157" i="1"/>
  <c r="X157" i="1"/>
  <c r="Z157" i="1"/>
  <c r="AB157" i="1"/>
  <c r="Y157" i="1"/>
  <c r="AA157" i="1"/>
  <c r="W157" i="1"/>
  <c r="V112" i="1"/>
  <c r="X112" i="1"/>
  <c r="Z112" i="1"/>
  <c r="AB112" i="1"/>
  <c r="W112" i="1"/>
  <c r="Y112" i="1"/>
  <c r="AA112" i="1"/>
  <c r="V175" i="1"/>
  <c r="X175" i="1"/>
  <c r="Z175" i="1"/>
  <c r="AB175" i="1"/>
  <c r="W175" i="1"/>
  <c r="Y175" i="1"/>
  <c r="AA175" i="1"/>
  <c r="V56" i="1"/>
  <c r="X56" i="1"/>
  <c r="Z56" i="1"/>
  <c r="AB56" i="1"/>
  <c r="W56" i="1"/>
  <c r="Y56" i="1"/>
  <c r="AA56" i="1"/>
  <c r="V348" i="1"/>
  <c r="X348" i="1"/>
  <c r="Z348" i="1"/>
  <c r="AB348" i="1"/>
  <c r="W348" i="1"/>
  <c r="Y348" i="1"/>
  <c r="AA348" i="1"/>
  <c r="V183" i="1"/>
  <c r="X183" i="1"/>
  <c r="Z183" i="1"/>
  <c r="AB183" i="1"/>
  <c r="AA183" i="1"/>
  <c r="W183" i="1"/>
  <c r="Y183" i="1"/>
  <c r="V337" i="1"/>
  <c r="X337" i="1"/>
  <c r="Z337" i="1"/>
  <c r="AB337" i="1"/>
  <c r="W337" i="1"/>
  <c r="Y337" i="1"/>
  <c r="AA337" i="1"/>
  <c r="W221" i="1"/>
  <c r="Y221" i="1"/>
  <c r="AA221" i="1"/>
  <c r="V221" i="1"/>
  <c r="X221" i="1"/>
  <c r="Z221" i="1"/>
  <c r="AB221" i="1"/>
  <c r="V182" i="1"/>
  <c r="X182" i="1"/>
  <c r="Z182" i="1"/>
  <c r="AB182" i="1"/>
  <c r="W182" i="1"/>
  <c r="Y182" i="1"/>
  <c r="AA182" i="1"/>
  <c r="V344" i="1"/>
  <c r="X344" i="1"/>
  <c r="Z344" i="1"/>
  <c r="AB344" i="1"/>
  <c r="W344" i="1"/>
  <c r="Y344" i="1"/>
  <c r="AA344" i="1"/>
  <c r="V347" i="1"/>
  <c r="X347" i="1"/>
  <c r="Z347" i="1"/>
  <c r="AB347" i="1"/>
  <c r="W347" i="1"/>
  <c r="Y347" i="1"/>
  <c r="AA347" i="1"/>
  <c r="V126" i="1"/>
  <c r="X126" i="1"/>
  <c r="Z126" i="1"/>
  <c r="AB126" i="1"/>
  <c r="W126" i="1"/>
  <c r="Y126" i="1"/>
  <c r="AA126" i="1"/>
  <c r="V137" i="1"/>
  <c r="X137" i="1"/>
  <c r="Z137" i="1"/>
  <c r="AB137" i="1"/>
  <c r="W137" i="1"/>
  <c r="Y137" i="1"/>
  <c r="AA137" i="1"/>
  <c r="V176" i="1"/>
  <c r="X176" i="1"/>
  <c r="Z176" i="1"/>
  <c r="AB176" i="1"/>
  <c r="W176" i="1"/>
  <c r="Y176" i="1"/>
  <c r="AA176" i="1"/>
  <c r="V341" i="1"/>
  <c r="X341" i="1"/>
  <c r="Z341" i="1"/>
  <c r="AB341" i="1"/>
  <c r="W341" i="1"/>
  <c r="Y341" i="1"/>
  <c r="AA341" i="1"/>
  <c r="V339" i="1"/>
  <c r="X339" i="1"/>
  <c r="Z339" i="1"/>
  <c r="AB339" i="1"/>
  <c r="W339" i="1"/>
  <c r="Y339" i="1"/>
  <c r="AA339" i="1"/>
  <c r="V323" i="1"/>
  <c r="X323" i="1"/>
  <c r="Z323" i="1"/>
  <c r="AB323" i="1"/>
  <c r="Y323" i="1"/>
  <c r="AA323" i="1"/>
  <c r="W323" i="1"/>
  <c r="V149" i="1"/>
  <c r="X149" i="1"/>
  <c r="Z149" i="1"/>
  <c r="AB149" i="1"/>
  <c r="Y149" i="1"/>
  <c r="AA149" i="1"/>
  <c r="W149" i="1"/>
  <c r="V281" i="1"/>
  <c r="X281" i="1"/>
  <c r="Z281" i="1"/>
  <c r="AB281" i="1"/>
  <c r="Y281" i="1"/>
  <c r="AA281" i="1"/>
  <c r="W281" i="1"/>
  <c r="V351" i="1"/>
  <c r="X351" i="1"/>
  <c r="Z351" i="1"/>
  <c r="AB351" i="1"/>
  <c r="W351" i="1"/>
  <c r="Y351" i="1"/>
  <c r="AA351" i="1"/>
  <c r="V350" i="1"/>
  <c r="X350" i="1"/>
  <c r="Z350" i="1"/>
  <c r="AB350" i="1"/>
  <c r="Y350" i="1"/>
  <c r="AA350" i="1"/>
  <c r="W350" i="1"/>
  <c r="V361" i="1"/>
  <c r="X361" i="1"/>
  <c r="Z361" i="1"/>
  <c r="AB361" i="1"/>
  <c r="W361" i="1"/>
  <c r="Y361" i="1"/>
  <c r="AA361" i="1"/>
  <c r="V360" i="1"/>
  <c r="X360" i="1"/>
  <c r="Z360" i="1"/>
  <c r="AB360" i="1"/>
  <c r="Y360" i="1"/>
  <c r="AA360" i="1"/>
  <c r="W360" i="1"/>
  <c r="V369" i="1"/>
  <c r="X369" i="1"/>
  <c r="Z369" i="1"/>
  <c r="AB369" i="1"/>
  <c r="W369" i="1"/>
  <c r="Y369" i="1"/>
  <c r="AA369" i="1"/>
  <c r="V171" i="1"/>
  <c r="X171" i="1"/>
  <c r="Z171" i="1"/>
  <c r="AB171" i="1"/>
  <c r="Y171" i="1"/>
  <c r="AA171" i="1"/>
  <c r="W171" i="1"/>
  <c r="V165" i="1"/>
  <c r="X165" i="1"/>
  <c r="Z165" i="1"/>
  <c r="AB165" i="1"/>
  <c r="W165" i="1"/>
  <c r="Y165" i="1"/>
  <c r="AA165" i="1"/>
  <c r="V190" i="1"/>
  <c r="X190" i="1"/>
  <c r="Z190" i="1"/>
  <c r="AB190" i="1"/>
  <c r="Y190" i="1"/>
  <c r="AA190" i="1"/>
  <c r="W190" i="1"/>
  <c r="V180" i="1"/>
  <c r="X180" i="1"/>
  <c r="Z180" i="1"/>
  <c r="AB180" i="1"/>
  <c r="Y180" i="1"/>
  <c r="AA180" i="1"/>
  <c r="W180" i="1"/>
  <c r="V111" i="1"/>
  <c r="X111" i="1"/>
  <c r="Z111" i="1"/>
  <c r="AB111" i="1"/>
  <c r="W111" i="1"/>
  <c r="Y111" i="1"/>
  <c r="AA111" i="1"/>
  <c r="V263" i="1"/>
  <c r="X263" i="1"/>
  <c r="Z263" i="1"/>
  <c r="AB263" i="1"/>
  <c r="W263" i="1"/>
  <c r="Y263" i="1"/>
  <c r="AA263" i="1"/>
  <c r="V162" i="1"/>
  <c r="X162" i="1"/>
  <c r="Z162" i="1"/>
  <c r="AB162" i="1"/>
  <c r="W162" i="1"/>
  <c r="Y162" i="1"/>
  <c r="AA162" i="1"/>
  <c r="V214" i="1"/>
  <c r="X214" i="1"/>
  <c r="Z214" i="1"/>
  <c r="AB214" i="1"/>
  <c r="W214" i="1"/>
  <c r="Y214" i="1"/>
  <c r="AA214" i="1"/>
  <c r="V258" i="1"/>
  <c r="X258" i="1"/>
  <c r="Z258" i="1"/>
  <c r="AB258" i="1"/>
  <c r="W258" i="1"/>
  <c r="Y258" i="1"/>
  <c r="AA258" i="1"/>
  <c r="V132" i="1"/>
  <c r="X132" i="1"/>
  <c r="Z132" i="1"/>
  <c r="AB132" i="1"/>
  <c r="W132" i="1"/>
  <c r="Y132" i="1"/>
  <c r="AA132" i="1"/>
  <c r="V218" i="1"/>
  <c r="X218" i="1"/>
  <c r="Z218" i="1"/>
  <c r="AB218" i="1"/>
  <c r="W218" i="1"/>
  <c r="Y218" i="1"/>
  <c r="AA218" i="1"/>
  <c r="V199" i="1"/>
  <c r="X199" i="1"/>
  <c r="Z199" i="1"/>
  <c r="AB199" i="1"/>
  <c r="W199" i="1"/>
  <c r="Y199" i="1"/>
  <c r="AA199" i="1"/>
  <c r="V167" i="1"/>
  <c r="X167" i="1"/>
  <c r="Z167" i="1"/>
  <c r="AB167" i="1"/>
  <c r="W167" i="1"/>
  <c r="Y167" i="1"/>
  <c r="AA167" i="1"/>
  <c r="V158" i="1"/>
  <c r="X158" i="1"/>
  <c r="Z158" i="1"/>
  <c r="AB158" i="1"/>
  <c r="W158" i="1"/>
  <c r="Y158" i="1"/>
  <c r="AA158" i="1"/>
  <c r="V285" i="1"/>
  <c r="X285" i="1"/>
  <c r="Z285" i="1"/>
  <c r="AB285" i="1"/>
  <c r="W285" i="1"/>
  <c r="Y285" i="1"/>
  <c r="AA285" i="1"/>
  <c r="V174" i="1"/>
  <c r="X174" i="1"/>
  <c r="Z174" i="1"/>
  <c r="AB174" i="1"/>
  <c r="W174" i="1"/>
  <c r="Y174" i="1"/>
  <c r="AA174" i="1"/>
  <c r="V328" i="1"/>
  <c r="X328" i="1"/>
  <c r="Z328" i="1"/>
  <c r="AB328" i="1"/>
  <c r="W328" i="1"/>
  <c r="Y328" i="1"/>
  <c r="AA328" i="1"/>
  <c r="V195" i="1"/>
  <c r="X195" i="1"/>
  <c r="Z195" i="1"/>
  <c r="AB195" i="1"/>
  <c r="Y195" i="1"/>
  <c r="W195" i="1"/>
  <c r="AA195" i="1"/>
  <c r="V367" i="1"/>
  <c r="X367" i="1"/>
  <c r="Z367" i="1"/>
  <c r="AB367" i="1"/>
  <c r="W367" i="1"/>
  <c r="Y367" i="1"/>
  <c r="AA367" i="1"/>
  <c r="V213" i="1"/>
  <c r="X213" i="1"/>
  <c r="Z213" i="1"/>
  <c r="AB213" i="1"/>
  <c r="W213" i="1"/>
  <c r="Y213" i="1"/>
  <c r="AA213" i="1"/>
  <c r="V354" i="1"/>
  <c r="X354" i="1"/>
  <c r="Z354" i="1"/>
  <c r="AB354" i="1"/>
  <c r="W354" i="1"/>
  <c r="Y354" i="1"/>
  <c r="AA354" i="1"/>
  <c r="V177" i="1"/>
  <c r="X177" i="1"/>
  <c r="Z177" i="1"/>
  <c r="AB177" i="1"/>
  <c r="W177" i="1"/>
  <c r="Y177" i="1"/>
  <c r="AA177" i="1"/>
  <c r="V188" i="1"/>
  <c r="X188" i="1"/>
  <c r="Z188" i="1"/>
  <c r="AB188" i="1"/>
  <c r="W188" i="1"/>
  <c r="Y188" i="1"/>
  <c r="AA188" i="1"/>
  <c r="V184" i="1"/>
  <c r="X184" i="1"/>
  <c r="Z184" i="1"/>
  <c r="AB184" i="1"/>
  <c r="W184" i="1"/>
  <c r="Y184" i="1"/>
  <c r="AA184" i="1"/>
  <c r="AA166" i="1"/>
  <c r="AA316" i="1"/>
  <c r="Y316" i="1"/>
  <c r="W316" i="1"/>
  <c r="AB316" i="1"/>
  <c r="Z316" i="1"/>
  <c r="X316" i="1"/>
  <c r="V316" i="1"/>
  <c r="AB322" i="1"/>
  <c r="Z322" i="1"/>
  <c r="X322" i="1"/>
  <c r="V322" i="1"/>
  <c r="AA322" i="1"/>
  <c r="Y322" i="1"/>
  <c r="W322" i="1"/>
  <c r="AA349" i="1"/>
  <c r="Y349" i="1"/>
  <c r="W349" i="1"/>
  <c r="AB349" i="1"/>
  <c r="Z349" i="1"/>
  <c r="X349" i="1"/>
  <c r="V349" i="1"/>
  <c r="AA163" i="1"/>
  <c r="Y163" i="1"/>
  <c r="W163" i="1"/>
  <c r="AB163" i="1"/>
  <c r="Z163" i="1"/>
  <c r="X163" i="1"/>
  <c r="V163" i="1"/>
  <c r="AA103" i="1"/>
  <c r="Y103" i="1"/>
  <c r="W103" i="1"/>
  <c r="AB103" i="1"/>
  <c r="Z103" i="1"/>
  <c r="X103" i="1"/>
  <c r="V103" i="1"/>
  <c r="T346" i="1"/>
  <c r="S346" i="1"/>
  <c r="U346" i="1"/>
  <c r="AC346" i="1"/>
  <c r="S147" i="1"/>
  <c r="T147" i="1"/>
  <c r="AD147" i="1" s="1"/>
  <c r="U147" i="1"/>
  <c r="AC147" i="1"/>
  <c r="T302" i="1"/>
  <c r="S302" i="1"/>
  <c r="T301" i="1"/>
  <c r="S301" i="1"/>
  <c r="T298" i="1"/>
  <c r="S298" i="1"/>
  <c r="T297" i="1"/>
  <c r="S297" i="1"/>
  <c r="T296" i="1"/>
  <c r="S296" i="1"/>
  <c r="T295" i="1"/>
  <c r="S295" i="1"/>
  <c r="T294" i="1"/>
  <c r="S294" i="1"/>
  <c r="AD294" i="1" l="1"/>
  <c r="AD295" i="1"/>
  <c r="AD296" i="1"/>
  <c r="AD297" i="1"/>
  <c r="AD298" i="1"/>
  <c r="AD301" i="1"/>
  <c r="AD302" i="1"/>
  <c r="AD346" i="1"/>
  <c r="T293" i="1"/>
  <c r="S293" i="1"/>
  <c r="T292" i="1"/>
  <c r="S292" i="1"/>
  <c r="T291" i="1"/>
  <c r="S291" i="1"/>
  <c r="U303" i="1"/>
  <c r="AC303" i="1"/>
  <c r="U291" i="1"/>
  <c r="AC291" i="1"/>
  <c r="U292" i="1"/>
  <c r="AC292" i="1"/>
  <c r="U293" i="1"/>
  <c r="AC293" i="1"/>
  <c r="U294" i="1"/>
  <c r="AC294" i="1"/>
  <c r="U295" i="1"/>
  <c r="AC295" i="1"/>
  <c r="U296" i="1"/>
  <c r="AC296" i="1"/>
  <c r="U297" i="1"/>
  <c r="AC297" i="1"/>
  <c r="U298" i="1"/>
  <c r="AC298" i="1"/>
  <c r="S299" i="1"/>
  <c r="T299" i="1"/>
  <c r="U299" i="1"/>
  <c r="AC299" i="1"/>
  <c r="S300" i="1"/>
  <c r="T300" i="1"/>
  <c r="U300" i="1"/>
  <c r="AC300" i="1"/>
  <c r="U301" i="1"/>
  <c r="AC301" i="1"/>
  <c r="U302" i="1"/>
  <c r="AC302" i="1"/>
  <c r="T290" i="1"/>
  <c r="S290" i="1"/>
  <c r="T289" i="1"/>
  <c r="S289" i="1"/>
  <c r="T287" i="1"/>
  <c r="S287" i="1"/>
  <c r="T286" i="1"/>
  <c r="S286" i="1"/>
  <c r="T284" i="1"/>
  <c r="S284" i="1"/>
  <c r="T283" i="1"/>
  <c r="S283" i="1"/>
  <c r="U283" i="1"/>
  <c r="AC283" i="1"/>
  <c r="U284" i="1"/>
  <c r="AC284" i="1"/>
  <c r="U286" i="1"/>
  <c r="AC286" i="1"/>
  <c r="U287" i="1"/>
  <c r="AC287" i="1"/>
  <c r="S288" i="1"/>
  <c r="T288" i="1"/>
  <c r="U288" i="1"/>
  <c r="AC288" i="1"/>
  <c r="U289" i="1"/>
  <c r="AC289" i="1"/>
  <c r="U290" i="1"/>
  <c r="AC290" i="1"/>
  <c r="T317" i="1"/>
  <c r="S317" i="1"/>
  <c r="U317" i="1"/>
  <c r="AC317" i="1"/>
  <c r="S212" i="1"/>
  <c r="T212" i="1"/>
  <c r="AD212" i="1" s="1"/>
  <c r="U212" i="1"/>
  <c r="AC212" i="1"/>
  <c r="T311" i="1"/>
  <c r="S311" i="1"/>
  <c r="U311" i="1"/>
  <c r="AC311" i="1"/>
  <c r="S359" i="1"/>
  <c r="T359" i="1"/>
  <c r="U359" i="1"/>
  <c r="AC359" i="1"/>
  <c r="T205" i="1"/>
  <c r="AD205" i="1" s="1"/>
  <c r="T170" i="1"/>
  <c r="AD170" i="1" s="1"/>
  <c r="T187" i="1"/>
  <c r="AD187" i="1" s="1"/>
  <c r="T186" i="1"/>
  <c r="AD186" i="1" s="1"/>
  <c r="T185" i="1"/>
  <c r="AD185" i="1" s="1"/>
  <c r="T129" i="1"/>
  <c r="AD129" i="1" s="1"/>
  <c r="T128" i="1"/>
  <c r="AD128" i="1" s="1"/>
  <c r="S128" i="1"/>
  <c r="S129" i="1"/>
  <c r="T138" i="1"/>
  <c r="AD138" i="1" s="1"/>
  <c r="T140" i="1"/>
  <c r="AD140" i="1" s="1"/>
  <c r="S156" i="1"/>
  <c r="T121" i="1"/>
  <c r="AD121" i="1" s="1"/>
  <c r="S121" i="1"/>
  <c r="T114" i="1"/>
  <c r="AD114" i="1" s="1"/>
  <c r="S114" i="1"/>
  <c r="T119" i="1"/>
  <c r="AD119" i="1" s="1"/>
  <c r="S119" i="1"/>
  <c r="T120" i="1"/>
  <c r="AD120" i="1" s="1"/>
  <c r="S120" i="1"/>
  <c r="T116" i="1"/>
  <c r="AD116" i="1" s="1"/>
  <c r="S116" i="1"/>
  <c r="T115" i="1"/>
  <c r="AD115" i="1" s="1"/>
  <c r="S115" i="1"/>
  <c r="T198" i="1"/>
  <c r="AD198" i="1" s="1"/>
  <c r="S198" i="1"/>
  <c r="S370" i="1"/>
  <c r="T368" i="1"/>
  <c r="T370" i="1"/>
  <c r="S368" i="1"/>
  <c r="T156" i="1"/>
  <c r="AD156" i="1" s="1"/>
  <c r="T104" i="1"/>
  <c r="AD104" i="1" s="1"/>
  <c r="S98" i="1"/>
  <c r="T98" i="1"/>
  <c r="AD98" i="1" s="1"/>
  <c r="T101" i="1"/>
  <c r="AD101" i="1" s="1"/>
  <c r="S168" i="1"/>
  <c r="T168" i="1"/>
  <c r="AD168" i="1" s="1"/>
  <c r="U168" i="1"/>
  <c r="AC168" i="1"/>
  <c r="T169" i="1"/>
  <c r="AD169" i="1" s="1"/>
  <c r="T166" i="1"/>
  <c r="AD166" i="1" s="1"/>
  <c r="T161" i="1"/>
  <c r="AD161" i="1" s="1"/>
  <c r="T160" i="1"/>
  <c r="AD160" i="1" s="1"/>
  <c r="T159" i="1"/>
  <c r="AD159" i="1" s="1"/>
  <c r="T94" i="1"/>
  <c r="AD94" i="1" s="1"/>
  <c r="S94" i="1"/>
  <c r="T93" i="1"/>
  <c r="AD93" i="1" s="1"/>
  <c r="S89" i="1"/>
  <c r="S88" i="1"/>
  <c r="S87" i="1"/>
  <c r="T142" i="1"/>
  <c r="AD142" i="1" s="1"/>
  <c r="U142" i="1"/>
  <c r="AC142" i="1"/>
  <c r="T107" i="1"/>
  <c r="AD107" i="1" s="1"/>
  <c r="S107" i="1"/>
  <c r="U107" i="1"/>
  <c r="AC107" i="1"/>
  <c r="U315" i="1"/>
  <c r="AC315" i="1"/>
  <c r="T331" i="1"/>
  <c r="S331" i="1"/>
  <c r="U331" i="1"/>
  <c r="AC331" i="1"/>
  <c r="S185" i="1"/>
  <c r="U185" i="1"/>
  <c r="AC185" i="1"/>
  <c r="S186" i="1"/>
  <c r="U186" i="1"/>
  <c r="AC186" i="1"/>
  <c r="T366" i="1"/>
  <c r="T365" i="1"/>
  <c r="T364" i="1"/>
  <c r="S366" i="1"/>
  <c r="S365" i="1"/>
  <c r="S364" i="1"/>
  <c r="U366" i="1"/>
  <c r="AC366" i="1"/>
  <c r="U365" i="1"/>
  <c r="AC365" i="1"/>
  <c r="U364" i="1"/>
  <c r="AC364" i="1"/>
  <c r="AD331" i="1" l="1"/>
  <c r="AD311" i="1"/>
  <c r="AD283" i="1"/>
  <c r="AD284" i="1"/>
  <c r="AD286" i="1"/>
  <c r="AD287" i="1"/>
  <c r="AD289" i="1"/>
  <c r="AD290" i="1"/>
  <c r="AD291" i="1"/>
  <c r="AD292" i="1"/>
  <c r="AD293" i="1"/>
  <c r="AD359" i="1"/>
  <c r="AD317" i="1"/>
  <c r="AD288" i="1"/>
  <c r="AD300" i="1"/>
  <c r="AD299" i="1"/>
  <c r="T274" i="1"/>
  <c r="S274" i="1"/>
  <c r="T273" i="1"/>
  <c r="S273" i="1"/>
  <c r="T259" i="1"/>
  <c r="T246" i="1"/>
  <c r="S246" i="1"/>
  <c r="S150" i="1"/>
  <c r="S146" i="1"/>
  <c r="S117" i="1"/>
  <c r="U273" i="1"/>
  <c r="AC273" i="1"/>
  <c r="U274" i="1"/>
  <c r="AC274" i="1"/>
  <c r="U352" i="1"/>
  <c r="AC352" i="1"/>
  <c r="T342" i="1"/>
  <c r="S342" i="1"/>
  <c r="U342" i="1"/>
  <c r="AC342" i="1"/>
  <c r="T280" i="1"/>
  <c r="S280" i="1"/>
  <c r="U280" i="1"/>
  <c r="AC280" i="1"/>
  <c r="T219" i="1"/>
  <c r="S219" i="1"/>
  <c r="T305" i="1"/>
  <c r="S305" i="1"/>
  <c r="T304" i="1"/>
  <c r="S304" i="1"/>
  <c r="U304" i="1"/>
  <c r="AC304" i="1"/>
  <c r="U305" i="1"/>
  <c r="AC305" i="1"/>
  <c r="U307" i="1"/>
  <c r="AC307" i="1"/>
  <c r="T307" i="1"/>
  <c r="S307" i="1"/>
  <c r="U306" i="1"/>
  <c r="AC306" i="1"/>
  <c r="T306" i="1"/>
  <c r="S306" i="1"/>
  <c r="U256" i="1"/>
  <c r="AC256" i="1"/>
  <c r="T256" i="1"/>
  <c r="S256" i="1"/>
  <c r="S355" i="1"/>
  <c r="T89" i="1"/>
  <c r="AD89" i="1" s="1"/>
  <c r="T88" i="1"/>
  <c r="AD88" i="1" s="1"/>
  <c r="T87" i="1"/>
  <c r="AD87" i="1" s="1"/>
  <c r="T355" i="1"/>
  <c r="U355" i="1"/>
  <c r="AC355" i="1"/>
  <c r="U47" i="1"/>
  <c r="T313" i="1"/>
  <c r="S313" i="1"/>
  <c r="U313" i="1"/>
  <c r="AC313" i="1"/>
  <c r="U314" i="1"/>
  <c r="AC314" i="1"/>
  <c r="S39" i="1"/>
  <c r="T39" i="1"/>
  <c r="AD39" i="1" s="1"/>
  <c r="U39" i="1"/>
  <c r="AC39" i="1"/>
  <c r="U40" i="1"/>
  <c r="AC40" i="1"/>
  <c r="U41" i="1"/>
  <c r="AC41" i="1"/>
  <c r="U42" i="1"/>
  <c r="AC42" i="1"/>
  <c r="U43" i="1"/>
  <c r="AC43" i="1"/>
  <c r="U44" i="1"/>
  <c r="AC44" i="1"/>
  <c r="U45" i="1"/>
  <c r="AC45" i="1"/>
  <c r="U46" i="1"/>
  <c r="AC46" i="1"/>
  <c r="AC47" i="1"/>
  <c r="U48" i="1"/>
  <c r="AC48" i="1"/>
  <c r="U49" i="1"/>
  <c r="AC49" i="1"/>
  <c r="U50" i="1"/>
  <c r="AC50" i="1"/>
  <c r="U51" i="1"/>
  <c r="AC51" i="1"/>
  <c r="U52" i="1"/>
  <c r="AC52" i="1"/>
  <c r="U53" i="1"/>
  <c r="AC53" i="1"/>
  <c r="U54" i="1"/>
  <c r="AC54" i="1"/>
  <c r="U55" i="1"/>
  <c r="AC55" i="1"/>
  <c r="U57" i="1"/>
  <c r="AC57" i="1"/>
  <c r="U58" i="1"/>
  <c r="AC58" i="1"/>
  <c r="U59" i="1"/>
  <c r="AC59" i="1"/>
  <c r="U60" i="1"/>
  <c r="AC60" i="1"/>
  <c r="U61" i="1"/>
  <c r="AC61" i="1"/>
  <c r="U62" i="1"/>
  <c r="AC62" i="1"/>
  <c r="U63" i="1"/>
  <c r="AC63" i="1"/>
  <c r="AD313" i="1" l="1"/>
  <c r="AD256" i="1"/>
  <c r="AD306" i="1"/>
  <c r="AD307" i="1"/>
  <c r="AD304" i="1"/>
  <c r="AD305" i="1"/>
  <c r="AD219" i="1"/>
  <c r="AD280" i="1"/>
  <c r="AD246" i="1"/>
  <c r="AD259" i="1"/>
  <c r="AD273" i="1"/>
  <c r="AD274" i="1"/>
  <c r="AD342" i="1"/>
  <c r="U357" i="1"/>
  <c r="AC357" i="1"/>
  <c r="U358" i="1"/>
  <c r="AC358" i="1"/>
  <c r="U268" i="1"/>
  <c r="AC268" i="1"/>
  <c r="U269" i="1"/>
  <c r="AC269" i="1"/>
  <c r="U270" i="1"/>
  <c r="AC270" i="1"/>
  <c r="U271" i="1"/>
  <c r="AC271" i="1"/>
  <c r="U272" i="1"/>
  <c r="AC272" i="1"/>
  <c r="T335" i="1"/>
  <c r="S335" i="1"/>
  <c r="S357" i="1"/>
  <c r="T357" i="1"/>
  <c r="S358" i="1"/>
  <c r="T358" i="1"/>
  <c r="T356" i="1"/>
  <c r="S356" i="1"/>
  <c r="AC246" i="1"/>
  <c r="U246" i="1"/>
  <c r="AC243" i="1"/>
  <c r="U243" i="1"/>
  <c r="T243" i="1"/>
  <c r="AD243" i="1" s="1"/>
  <c r="AC242" i="1"/>
  <c r="U242" i="1"/>
  <c r="S242" i="1"/>
  <c r="AD242" i="1" s="1"/>
  <c r="AC259" i="1"/>
  <c r="U259" i="1"/>
  <c r="T267" i="1"/>
  <c r="T272" i="1"/>
  <c r="T271" i="1"/>
  <c r="S272" i="1"/>
  <c r="S271" i="1"/>
  <c r="S269" i="1"/>
  <c r="T269" i="1"/>
  <c r="T270" i="1"/>
  <c r="S270" i="1"/>
  <c r="T268" i="1"/>
  <c r="S268" i="1"/>
  <c r="S267" i="1"/>
  <c r="S266" i="1"/>
  <c r="T266" i="1"/>
  <c r="U266" i="1"/>
  <c r="AC266" i="1"/>
  <c r="U267" i="1"/>
  <c r="AC267" i="1"/>
  <c r="T34" i="1"/>
  <c r="AD34" i="1" s="1"/>
  <c r="AD271" i="1" l="1"/>
  <c r="AD272" i="1"/>
  <c r="AD356" i="1"/>
  <c r="AD335" i="1"/>
  <c r="AD267" i="1"/>
  <c r="AD266" i="1"/>
  <c r="AD268" i="1"/>
  <c r="AD270" i="1"/>
  <c r="AD358" i="1"/>
  <c r="AD357" i="1"/>
  <c r="AD269" i="1"/>
  <c r="S169" i="1"/>
  <c r="U169" i="1"/>
  <c r="AC169" i="1"/>
  <c r="U368" i="1" l="1"/>
  <c r="AC368" i="1"/>
  <c r="U370" i="1"/>
  <c r="AC370" i="1"/>
  <c r="S194" i="1"/>
  <c r="T194" i="1"/>
  <c r="AD194" i="1" s="1"/>
  <c r="U194" i="1"/>
  <c r="AC194" i="1"/>
  <c r="T109" i="1"/>
  <c r="AD109" i="1" s="1"/>
  <c r="S109" i="1"/>
  <c r="T108" i="1"/>
  <c r="AD108" i="1" s="1"/>
  <c r="S108" i="1"/>
  <c r="U108" i="1"/>
  <c r="AC108" i="1"/>
  <c r="U109" i="1"/>
  <c r="AC109" i="1"/>
  <c r="U372" i="1"/>
  <c r="U371" i="1"/>
  <c r="AC371" i="1"/>
  <c r="V325" i="1" l="1"/>
  <c r="X325" i="1"/>
  <c r="Z325" i="1"/>
  <c r="AB325" i="1"/>
  <c r="W325" i="1"/>
  <c r="Y325" i="1"/>
  <c r="AA325" i="1"/>
  <c r="V324" i="1"/>
  <c r="X324" i="1"/>
  <c r="Z324" i="1"/>
  <c r="AB324" i="1"/>
  <c r="W327" i="1"/>
  <c r="Y327" i="1"/>
  <c r="AA327" i="1"/>
  <c r="W324" i="1"/>
  <c r="Y324" i="1"/>
  <c r="AA324" i="1"/>
  <c r="V327" i="1"/>
  <c r="X327" i="1"/>
  <c r="Z327" i="1"/>
  <c r="AB327" i="1"/>
  <c r="V309" i="1"/>
  <c r="X309" i="1"/>
  <c r="Z309" i="1"/>
  <c r="AB309" i="1"/>
  <c r="W309" i="1"/>
  <c r="Y309" i="1"/>
  <c r="AA309" i="1"/>
  <c r="V310" i="1"/>
  <c r="X310" i="1"/>
  <c r="Z310" i="1"/>
  <c r="AB310" i="1"/>
  <c r="W310" i="1"/>
  <c r="Y310" i="1"/>
  <c r="AA310" i="1"/>
  <c r="V340" i="1"/>
  <c r="X340" i="1"/>
  <c r="Z340" i="1"/>
  <c r="AB340" i="1"/>
  <c r="W340" i="1"/>
  <c r="Y340" i="1"/>
  <c r="AA340" i="1"/>
  <c r="V206" i="1"/>
  <c r="X206" i="1"/>
  <c r="Z206" i="1"/>
  <c r="AB206" i="1"/>
  <c r="W206" i="1"/>
  <c r="Y206" i="1"/>
  <c r="AA206" i="1"/>
  <c r="V353" i="1"/>
  <c r="X353" i="1"/>
  <c r="Z353" i="1"/>
  <c r="AB353" i="1"/>
  <c r="W353" i="1"/>
  <c r="Y353" i="1"/>
  <c r="AA353" i="1"/>
  <c r="V312" i="1"/>
  <c r="X312" i="1"/>
  <c r="Z312" i="1"/>
  <c r="AB312" i="1"/>
  <c r="W312" i="1"/>
  <c r="Y312" i="1"/>
  <c r="AA312" i="1"/>
  <c r="V265" i="1"/>
  <c r="X265" i="1"/>
  <c r="Z265" i="1"/>
  <c r="AB265" i="1"/>
  <c r="W265" i="1"/>
  <c r="Y265" i="1"/>
  <c r="AA265" i="1"/>
  <c r="V247" i="1"/>
  <c r="X247" i="1"/>
  <c r="Z247" i="1"/>
  <c r="AB247" i="1"/>
  <c r="W247" i="1"/>
  <c r="Y247" i="1"/>
  <c r="AA247" i="1"/>
  <c r="V215" i="1"/>
  <c r="X215" i="1"/>
  <c r="Z215" i="1"/>
  <c r="AB215" i="1"/>
  <c r="W215" i="1"/>
  <c r="Y215" i="1"/>
  <c r="AA215" i="1"/>
  <c r="V196" i="1"/>
  <c r="X196" i="1"/>
  <c r="Z196" i="1"/>
  <c r="AB196" i="1"/>
  <c r="W196" i="1"/>
  <c r="Y196" i="1"/>
  <c r="AA196" i="1"/>
  <c r="V343" i="1"/>
  <c r="X343" i="1"/>
  <c r="Z343" i="1"/>
  <c r="AB343" i="1"/>
  <c r="W343" i="1"/>
  <c r="Y343" i="1"/>
  <c r="AA343" i="1"/>
  <c r="V333" i="1"/>
  <c r="X333" i="1"/>
  <c r="Z333" i="1"/>
  <c r="AB333" i="1"/>
  <c r="W333" i="1"/>
  <c r="Y333" i="1"/>
  <c r="AA333" i="1"/>
  <c r="V257" i="1"/>
  <c r="X257" i="1"/>
  <c r="Z257" i="1"/>
  <c r="AB257" i="1"/>
  <c r="W257" i="1"/>
  <c r="Y257" i="1"/>
  <c r="AA257" i="1"/>
  <c r="V189" i="1"/>
  <c r="X189" i="1"/>
  <c r="Z189" i="1"/>
  <c r="AB189" i="1"/>
  <c r="W189" i="1"/>
  <c r="Y189" i="1"/>
  <c r="AA189" i="1"/>
  <c r="V110" i="1"/>
  <c r="X110" i="1"/>
  <c r="Z110" i="1"/>
  <c r="AB110" i="1"/>
  <c r="W113" i="1"/>
  <c r="Y113" i="1"/>
  <c r="AA113" i="1"/>
  <c r="Y110" i="1"/>
  <c r="AA110" i="1"/>
  <c r="V113" i="1"/>
  <c r="X113" i="1"/>
  <c r="Z113" i="1"/>
  <c r="AB113" i="1"/>
  <c r="W110" i="1"/>
  <c r="V244" i="1"/>
  <c r="X244" i="1"/>
  <c r="Z244" i="1"/>
  <c r="AB244" i="1"/>
  <c r="W244" i="1"/>
  <c r="Y244" i="1"/>
  <c r="AA244" i="1"/>
  <c r="V172" i="1"/>
  <c r="X172" i="1"/>
  <c r="Z172" i="1"/>
  <c r="AB172" i="1"/>
  <c r="W172" i="1"/>
  <c r="Y172" i="1"/>
  <c r="AA172" i="1"/>
  <c r="V338" i="1"/>
  <c r="X338" i="1"/>
  <c r="Z338" i="1"/>
  <c r="AB338" i="1"/>
  <c r="W338" i="1"/>
  <c r="Y338" i="1"/>
  <c r="AA338" i="1"/>
  <c r="V85" i="1"/>
  <c r="X85" i="1"/>
  <c r="Z85" i="1"/>
  <c r="AB85" i="1"/>
  <c r="W85" i="1"/>
  <c r="Y85" i="1"/>
  <c r="AA85" i="1"/>
  <c r="V81" i="1"/>
  <c r="X81" i="1"/>
  <c r="Z81" i="1"/>
  <c r="AB81" i="1"/>
  <c r="W82" i="1"/>
  <c r="Y82" i="1"/>
  <c r="AA82" i="1"/>
  <c r="V74" i="1"/>
  <c r="X74" i="1"/>
  <c r="Z74" i="1"/>
  <c r="AB74" i="1"/>
  <c r="W72" i="1"/>
  <c r="Y72" i="1"/>
  <c r="AA72" i="1"/>
  <c r="Y81" i="1"/>
  <c r="AA81" i="1"/>
  <c r="V82" i="1"/>
  <c r="Z82" i="1"/>
  <c r="W74" i="1"/>
  <c r="AA74" i="1"/>
  <c r="X72" i="1"/>
  <c r="AB72" i="1"/>
  <c r="W81" i="1"/>
  <c r="X82" i="1"/>
  <c r="AB82" i="1"/>
  <c r="Y74" i="1"/>
  <c r="V72" i="1"/>
  <c r="Z72" i="1"/>
  <c r="V346" i="1"/>
  <c r="X346" i="1"/>
  <c r="Z346" i="1"/>
  <c r="AB346" i="1"/>
  <c r="W346" i="1"/>
  <c r="Y346" i="1"/>
  <c r="AA346" i="1"/>
  <c r="V147" i="1"/>
  <c r="X147" i="1"/>
  <c r="Z147" i="1"/>
  <c r="AB147" i="1"/>
  <c r="Y147" i="1"/>
  <c r="AA147" i="1"/>
  <c r="W147" i="1"/>
  <c r="W303" i="1"/>
  <c r="Y303" i="1"/>
  <c r="AA303" i="1"/>
  <c r="V303" i="1"/>
  <c r="X303" i="1"/>
  <c r="Z303" i="1"/>
  <c r="AB303" i="1"/>
  <c r="V291" i="1"/>
  <c r="X291" i="1"/>
  <c r="Z291" i="1"/>
  <c r="AB291" i="1"/>
  <c r="W292" i="1"/>
  <c r="Y292" i="1"/>
  <c r="AA292" i="1"/>
  <c r="V293" i="1"/>
  <c r="X293" i="1"/>
  <c r="Z293" i="1"/>
  <c r="AB293" i="1"/>
  <c r="W294" i="1"/>
  <c r="Y294" i="1"/>
  <c r="AA294" i="1"/>
  <c r="V295" i="1"/>
  <c r="X295" i="1"/>
  <c r="Z295" i="1"/>
  <c r="AB295" i="1"/>
  <c r="W296" i="1"/>
  <c r="Y296" i="1"/>
  <c r="AA296" i="1"/>
  <c r="V297" i="1"/>
  <c r="X297" i="1"/>
  <c r="Z297" i="1"/>
  <c r="AB297" i="1"/>
  <c r="W298" i="1"/>
  <c r="Y298" i="1"/>
  <c r="AA298" i="1"/>
  <c r="V299" i="1"/>
  <c r="X299" i="1"/>
  <c r="Z299" i="1"/>
  <c r="AB299" i="1"/>
  <c r="W300" i="1"/>
  <c r="Y300" i="1"/>
  <c r="AA300" i="1"/>
  <c r="V301" i="1"/>
  <c r="X301" i="1"/>
  <c r="Z301" i="1"/>
  <c r="AB301" i="1"/>
  <c r="W302" i="1"/>
  <c r="Y302" i="1"/>
  <c r="AA302" i="1"/>
  <c r="W291" i="1"/>
  <c r="Y291" i="1"/>
  <c r="AA291" i="1"/>
  <c r="V292" i="1"/>
  <c r="X292" i="1"/>
  <c r="Z292" i="1"/>
  <c r="AB292" i="1"/>
  <c r="W293" i="1"/>
  <c r="Y293" i="1"/>
  <c r="AA293" i="1"/>
  <c r="V294" i="1"/>
  <c r="X294" i="1"/>
  <c r="Z294" i="1"/>
  <c r="AB294" i="1"/>
  <c r="W295" i="1"/>
  <c r="Y295" i="1"/>
  <c r="AA295" i="1"/>
  <c r="V296" i="1"/>
  <c r="X296" i="1"/>
  <c r="Z296" i="1"/>
  <c r="AB296" i="1"/>
  <c r="W297" i="1"/>
  <c r="Y297" i="1"/>
  <c r="AA297" i="1"/>
  <c r="V298" i="1"/>
  <c r="X298" i="1"/>
  <c r="Z298" i="1"/>
  <c r="AB298" i="1"/>
  <c r="W299" i="1"/>
  <c r="Y299" i="1"/>
  <c r="AA299" i="1"/>
  <c r="V300" i="1"/>
  <c r="X300" i="1"/>
  <c r="Z300" i="1"/>
  <c r="AB300" i="1"/>
  <c r="W301" i="1"/>
  <c r="Y301" i="1"/>
  <c r="AA301" i="1"/>
  <c r="V302" i="1"/>
  <c r="X302" i="1"/>
  <c r="Z302" i="1"/>
  <c r="AB302" i="1"/>
  <c r="V283" i="1"/>
  <c r="X283" i="1"/>
  <c r="Z283" i="1"/>
  <c r="AB283" i="1"/>
  <c r="W284" i="1"/>
  <c r="Y284" i="1"/>
  <c r="AA284" i="1"/>
  <c r="V286" i="1"/>
  <c r="X286" i="1"/>
  <c r="Z286" i="1"/>
  <c r="AB286" i="1"/>
  <c r="W287" i="1"/>
  <c r="Y287" i="1"/>
  <c r="AA287" i="1"/>
  <c r="V288" i="1"/>
  <c r="X288" i="1"/>
  <c r="Z288" i="1"/>
  <c r="AB288" i="1"/>
  <c r="W289" i="1"/>
  <c r="Y289" i="1"/>
  <c r="AA289" i="1"/>
  <c r="V290" i="1"/>
  <c r="X290" i="1"/>
  <c r="Z290" i="1"/>
  <c r="AB290" i="1"/>
  <c r="W283" i="1"/>
  <c r="Y283" i="1"/>
  <c r="AA283" i="1"/>
  <c r="V284" i="1"/>
  <c r="X284" i="1"/>
  <c r="Z284" i="1"/>
  <c r="AB284" i="1"/>
  <c r="W286" i="1"/>
  <c r="Y286" i="1"/>
  <c r="AA286" i="1"/>
  <c r="V287" i="1"/>
  <c r="X287" i="1"/>
  <c r="Z287" i="1"/>
  <c r="AB287" i="1"/>
  <c r="W288" i="1"/>
  <c r="Y288" i="1"/>
  <c r="AA288" i="1"/>
  <c r="V289" i="1"/>
  <c r="X289" i="1"/>
  <c r="Z289" i="1"/>
  <c r="AB289" i="1"/>
  <c r="W290" i="1"/>
  <c r="Y290" i="1"/>
  <c r="AA290" i="1"/>
  <c r="V317" i="1"/>
  <c r="X317" i="1"/>
  <c r="Z317" i="1"/>
  <c r="AB317" i="1"/>
  <c r="W317" i="1"/>
  <c r="Y317" i="1"/>
  <c r="AA317" i="1"/>
  <c r="V212" i="1"/>
  <c r="X212" i="1"/>
  <c r="Z212" i="1"/>
  <c r="AB212" i="1"/>
  <c r="W212" i="1"/>
  <c r="Y212" i="1"/>
  <c r="AA212" i="1"/>
  <c r="V311" i="1"/>
  <c r="X311" i="1"/>
  <c r="Z311" i="1"/>
  <c r="AB311" i="1"/>
  <c r="W311" i="1"/>
  <c r="Y311" i="1"/>
  <c r="AA311" i="1"/>
  <c r="V359" i="1"/>
  <c r="X359" i="1"/>
  <c r="Z359" i="1"/>
  <c r="AB359" i="1"/>
  <c r="W359" i="1"/>
  <c r="Y359" i="1"/>
  <c r="AA359" i="1"/>
  <c r="V168" i="1"/>
  <c r="X168" i="1"/>
  <c r="Z168" i="1"/>
  <c r="AB168" i="1"/>
  <c r="Y168" i="1"/>
  <c r="AA168" i="1"/>
  <c r="W168" i="1"/>
  <c r="V142" i="1"/>
  <c r="X142" i="1"/>
  <c r="Z142" i="1"/>
  <c r="AB142" i="1"/>
  <c r="Y142" i="1"/>
  <c r="AA142" i="1"/>
  <c r="W142" i="1"/>
  <c r="V107" i="1"/>
  <c r="X107" i="1"/>
  <c r="Z107" i="1"/>
  <c r="AB107" i="1"/>
  <c r="W107" i="1"/>
  <c r="Y107" i="1"/>
  <c r="AA107" i="1"/>
  <c r="V315" i="1"/>
  <c r="X315" i="1"/>
  <c r="Z315" i="1"/>
  <c r="AB315" i="1"/>
  <c r="Y315" i="1"/>
  <c r="AA315" i="1"/>
  <c r="W315" i="1"/>
  <c r="V331" i="1"/>
  <c r="X331" i="1"/>
  <c r="Z331" i="1"/>
  <c r="AB331" i="1"/>
  <c r="W331" i="1"/>
  <c r="Y331" i="1"/>
  <c r="AA331" i="1"/>
  <c r="V185" i="1"/>
  <c r="X185" i="1"/>
  <c r="Z185" i="1"/>
  <c r="AB185" i="1"/>
  <c r="W186" i="1"/>
  <c r="Y186" i="1"/>
  <c r="AA186" i="1"/>
  <c r="W185" i="1"/>
  <c r="Y185" i="1"/>
  <c r="AA185" i="1"/>
  <c r="V186" i="1"/>
  <c r="X186" i="1"/>
  <c r="Z186" i="1"/>
  <c r="AB186" i="1"/>
  <c r="V366" i="1"/>
  <c r="X366" i="1"/>
  <c r="Z366" i="1"/>
  <c r="AB366" i="1"/>
  <c r="W366" i="1"/>
  <c r="Y366" i="1"/>
  <c r="AA366" i="1"/>
  <c r="V365" i="1"/>
  <c r="X365" i="1"/>
  <c r="Z365" i="1"/>
  <c r="AB365" i="1"/>
  <c r="W365" i="1"/>
  <c r="Y365" i="1"/>
  <c r="AA365" i="1"/>
  <c r="V364" i="1"/>
  <c r="X364" i="1"/>
  <c r="Z364" i="1"/>
  <c r="AB364" i="1"/>
  <c r="W364" i="1"/>
  <c r="Y364" i="1"/>
  <c r="AA364" i="1"/>
  <c r="V273" i="1"/>
  <c r="X273" i="1"/>
  <c r="Z273" i="1"/>
  <c r="AB273" i="1"/>
  <c r="W274" i="1"/>
  <c r="Y274" i="1"/>
  <c r="AA274" i="1"/>
  <c r="W273" i="1"/>
  <c r="Y273" i="1"/>
  <c r="AA273" i="1"/>
  <c r="V274" i="1"/>
  <c r="X274" i="1"/>
  <c r="Z274" i="1"/>
  <c r="AB274" i="1"/>
  <c r="V352" i="1"/>
  <c r="X352" i="1"/>
  <c r="Z352" i="1"/>
  <c r="AB352" i="1"/>
  <c r="W352" i="1"/>
  <c r="Y352" i="1"/>
  <c r="AA352" i="1"/>
  <c r="V342" i="1"/>
  <c r="X342" i="1"/>
  <c r="Z342" i="1"/>
  <c r="AB342" i="1"/>
  <c r="W342" i="1"/>
  <c r="Y342" i="1"/>
  <c r="AA342" i="1"/>
  <c r="V280" i="1"/>
  <c r="X280" i="1"/>
  <c r="Z280" i="1"/>
  <c r="AB280" i="1"/>
  <c r="W280" i="1"/>
  <c r="Y280" i="1"/>
  <c r="AA280" i="1"/>
  <c r="V304" i="1"/>
  <c r="X304" i="1"/>
  <c r="Z304" i="1"/>
  <c r="AB304" i="1"/>
  <c r="W305" i="1"/>
  <c r="Y305" i="1"/>
  <c r="AA305" i="1"/>
  <c r="W304" i="1"/>
  <c r="Y304" i="1"/>
  <c r="AA304" i="1"/>
  <c r="V305" i="1"/>
  <c r="X305" i="1"/>
  <c r="Z305" i="1"/>
  <c r="AB305" i="1"/>
  <c r="V307" i="1"/>
  <c r="X307" i="1"/>
  <c r="Z307" i="1"/>
  <c r="AB307" i="1"/>
  <c r="W306" i="1"/>
  <c r="Y306" i="1"/>
  <c r="AA306" i="1"/>
  <c r="W307" i="1"/>
  <c r="Y307" i="1"/>
  <c r="AA307" i="1"/>
  <c r="V306" i="1"/>
  <c r="X306" i="1"/>
  <c r="Z306" i="1"/>
  <c r="AB306" i="1"/>
  <c r="V256" i="1"/>
  <c r="X256" i="1"/>
  <c r="Z256" i="1"/>
  <c r="AB256" i="1"/>
  <c r="W256" i="1"/>
  <c r="Y256" i="1"/>
  <c r="AA256" i="1"/>
  <c r="V355" i="1"/>
  <c r="X355" i="1"/>
  <c r="Z355" i="1"/>
  <c r="AB355" i="1"/>
  <c r="W355" i="1"/>
  <c r="Y355" i="1"/>
  <c r="AA355" i="1"/>
  <c r="V313" i="1"/>
  <c r="X313" i="1"/>
  <c r="Z313" i="1"/>
  <c r="AB313" i="1"/>
  <c r="W314" i="1"/>
  <c r="Y314" i="1"/>
  <c r="AA314" i="1"/>
  <c r="W313" i="1"/>
  <c r="Y313" i="1"/>
  <c r="AA313" i="1"/>
  <c r="V314" i="1"/>
  <c r="X314" i="1"/>
  <c r="Z314" i="1"/>
  <c r="AB314" i="1"/>
  <c r="V77" i="1"/>
  <c r="W39" i="1"/>
  <c r="Y39" i="1"/>
  <c r="AA39" i="1"/>
  <c r="V40" i="1"/>
  <c r="X40" i="1"/>
  <c r="Z40" i="1"/>
  <c r="AB40" i="1"/>
  <c r="W41" i="1"/>
  <c r="Y41" i="1"/>
  <c r="AA41" i="1"/>
  <c r="V42" i="1"/>
  <c r="X42" i="1"/>
  <c r="Z42" i="1"/>
  <c r="AB42" i="1"/>
  <c r="W43" i="1"/>
  <c r="Y43" i="1"/>
  <c r="AA43" i="1"/>
  <c r="V44" i="1"/>
  <c r="X44" i="1"/>
  <c r="Z44" i="1"/>
  <c r="AB44" i="1"/>
  <c r="W45" i="1"/>
  <c r="Y45" i="1"/>
  <c r="AA45" i="1"/>
  <c r="V46" i="1"/>
  <c r="X46" i="1"/>
  <c r="Z46" i="1"/>
  <c r="AB46" i="1"/>
  <c r="W47" i="1"/>
  <c r="Y47" i="1"/>
  <c r="AA47" i="1"/>
  <c r="V48" i="1"/>
  <c r="X48" i="1"/>
  <c r="Z48" i="1"/>
  <c r="AB48" i="1"/>
  <c r="W49" i="1"/>
  <c r="Y49" i="1"/>
  <c r="AA49" i="1"/>
  <c r="V50" i="1"/>
  <c r="X50" i="1"/>
  <c r="Z50" i="1"/>
  <c r="AB50" i="1"/>
  <c r="W51" i="1"/>
  <c r="Y51" i="1"/>
  <c r="AA51" i="1"/>
  <c r="V52" i="1"/>
  <c r="X52" i="1"/>
  <c r="Z52" i="1"/>
  <c r="AB52" i="1"/>
  <c r="W53" i="1"/>
  <c r="Y53" i="1"/>
  <c r="AA53" i="1"/>
  <c r="V54" i="1"/>
  <c r="X54" i="1"/>
  <c r="Z54" i="1"/>
  <c r="AB54" i="1"/>
  <c r="W55" i="1"/>
  <c r="Y55" i="1"/>
  <c r="AA55" i="1"/>
  <c r="V57" i="1"/>
  <c r="X57" i="1"/>
  <c r="Z57" i="1"/>
  <c r="AB57" i="1"/>
  <c r="W58" i="1"/>
  <c r="Y58" i="1"/>
  <c r="AA58" i="1"/>
  <c r="V59" i="1"/>
  <c r="X59" i="1"/>
  <c r="Z59" i="1"/>
  <c r="AB59" i="1"/>
  <c r="W60" i="1"/>
  <c r="Y60" i="1"/>
  <c r="AA60" i="1"/>
  <c r="V61" i="1"/>
  <c r="X61" i="1"/>
  <c r="Z61" i="1"/>
  <c r="AB61" i="1"/>
  <c r="W62" i="1"/>
  <c r="Y62" i="1"/>
  <c r="AA62" i="1"/>
  <c r="V63" i="1"/>
  <c r="X63" i="1"/>
  <c r="Z63" i="1"/>
  <c r="AB63" i="1"/>
  <c r="V39" i="1"/>
  <c r="X39" i="1"/>
  <c r="Z39" i="1"/>
  <c r="AB39" i="1"/>
  <c r="W40" i="1"/>
  <c r="Y40" i="1"/>
  <c r="AA40" i="1"/>
  <c r="V41" i="1"/>
  <c r="X41" i="1"/>
  <c r="Z41" i="1"/>
  <c r="AB41" i="1"/>
  <c r="W42" i="1"/>
  <c r="Y42" i="1"/>
  <c r="AA42" i="1"/>
  <c r="V43" i="1"/>
  <c r="X43" i="1"/>
  <c r="Z43" i="1"/>
  <c r="AB43" i="1"/>
  <c r="W44" i="1"/>
  <c r="Y44" i="1"/>
  <c r="AA44" i="1"/>
  <c r="V45" i="1"/>
  <c r="X45" i="1"/>
  <c r="Z45" i="1"/>
  <c r="AB45" i="1"/>
  <c r="W46" i="1"/>
  <c r="Y46" i="1"/>
  <c r="AA46" i="1"/>
  <c r="V47" i="1"/>
  <c r="X47" i="1"/>
  <c r="Z47" i="1"/>
  <c r="AB47" i="1"/>
  <c r="W48" i="1"/>
  <c r="Y48" i="1"/>
  <c r="AA48" i="1"/>
  <c r="V49" i="1"/>
  <c r="X49" i="1"/>
  <c r="Z49" i="1"/>
  <c r="AB49" i="1"/>
  <c r="W50" i="1"/>
  <c r="Y50" i="1"/>
  <c r="AA50" i="1"/>
  <c r="V51" i="1"/>
  <c r="X51" i="1"/>
  <c r="Z51" i="1"/>
  <c r="AB51" i="1"/>
  <c r="W52" i="1"/>
  <c r="Y52" i="1"/>
  <c r="AA52" i="1"/>
  <c r="V53" i="1"/>
  <c r="X53" i="1"/>
  <c r="Z53" i="1"/>
  <c r="AB53" i="1"/>
  <c r="W54" i="1"/>
  <c r="Y54" i="1"/>
  <c r="AA54" i="1"/>
  <c r="V55" i="1"/>
  <c r="X55" i="1"/>
  <c r="Z55" i="1"/>
  <c r="AB55" i="1"/>
  <c r="W57" i="1"/>
  <c r="Y57" i="1"/>
  <c r="AA57" i="1"/>
  <c r="V58" i="1"/>
  <c r="X58" i="1"/>
  <c r="Z58" i="1"/>
  <c r="AB58" i="1"/>
  <c r="W59" i="1"/>
  <c r="Y59" i="1"/>
  <c r="AA59" i="1"/>
  <c r="V60" i="1"/>
  <c r="X60" i="1"/>
  <c r="Z60" i="1"/>
  <c r="AB60" i="1"/>
  <c r="W61" i="1"/>
  <c r="Y61" i="1"/>
  <c r="AA61" i="1"/>
  <c r="V62" i="1"/>
  <c r="X62" i="1"/>
  <c r="Z62" i="1"/>
  <c r="AB62" i="1"/>
  <c r="W63" i="1"/>
  <c r="Y63" i="1"/>
  <c r="AA63" i="1"/>
  <c r="V357" i="1"/>
  <c r="X357" i="1"/>
  <c r="Z357" i="1"/>
  <c r="AB357" i="1"/>
  <c r="W358" i="1"/>
  <c r="Y358" i="1"/>
  <c r="AA358" i="1"/>
  <c r="V268" i="1"/>
  <c r="X268" i="1"/>
  <c r="Z268" i="1"/>
  <c r="AB268" i="1"/>
  <c r="W269" i="1"/>
  <c r="Y269" i="1"/>
  <c r="AA269" i="1"/>
  <c r="V270" i="1"/>
  <c r="X270" i="1"/>
  <c r="Z270" i="1"/>
  <c r="AB270" i="1"/>
  <c r="W271" i="1"/>
  <c r="Y271" i="1"/>
  <c r="AA271" i="1"/>
  <c r="V272" i="1"/>
  <c r="X272" i="1"/>
  <c r="Z272" i="1"/>
  <c r="AB272" i="1"/>
  <c r="W357" i="1"/>
  <c r="Y357" i="1"/>
  <c r="AA357" i="1"/>
  <c r="V358" i="1"/>
  <c r="X358" i="1"/>
  <c r="Z358" i="1"/>
  <c r="AB358" i="1"/>
  <c r="W268" i="1"/>
  <c r="Y268" i="1"/>
  <c r="AA268" i="1"/>
  <c r="V269" i="1"/>
  <c r="X269" i="1"/>
  <c r="Z269" i="1"/>
  <c r="AB269" i="1"/>
  <c r="W270" i="1"/>
  <c r="Y270" i="1"/>
  <c r="AA270" i="1"/>
  <c r="V271" i="1"/>
  <c r="X271" i="1"/>
  <c r="Z271" i="1"/>
  <c r="AB271" i="1"/>
  <c r="W272" i="1"/>
  <c r="Y272" i="1"/>
  <c r="AA272" i="1"/>
  <c r="AB246" i="1"/>
  <c r="Z246" i="1"/>
  <c r="X246" i="1"/>
  <c r="V246" i="1"/>
  <c r="AA246" i="1"/>
  <c r="Y246" i="1"/>
  <c r="W246" i="1"/>
  <c r="AB243" i="1"/>
  <c r="Z243" i="1"/>
  <c r="X243" i="1"/>
  <c r="V243" i="1"/>
  <c r="AA242" i="1"/>
  <c r="Y242" i="1"/>
  <c r="W242" i="1"/>
  <c r="AA243" i="1"/>
  <c r="Y243" i="1"/>
  <c r="W243" i="1"/>
  <c r="AB242" i="1"/>
  <c r="Z242" i="1"/>
  <c r="X242" i="1"/>
  <c r="V242" i="1"/>
  <c r="AB259" i="1"/>
  <c r="Z259" i="1"/>
  <c r="X259" i="1"/>
  <c r="V259" i="1"/>
  <c r="Y259" i="1"/>
  <c r="W259" i="1"/>
  <c r="AA259" i="1"/>
  <c r="V266" i="1"/>
  <c r="X266" i="1"/>
  <c r="Z266" i="1"/>
  <c r="AB266" i="1"/>
  <c r="W267" i="1"/>
  <c r="Y267" i="1"/>
  <c r="AA267" i="1"/>
  <c r="Y266" i="1"/>
  <c r="AA266" i="1"/>
  <c r="V267" i="1"/>
  <c r="X267" i="1"/>
  <c r="Z267" i="1"/>
  <c r="AB267" i="1"/>
  <c r="W266" i="1"/>
  <c r="Y169" i="1"/>
  <c r="V169" i="1"/>
  <c r="X169" i="1"/>
  <c r="Z169" i="1"/>
  <c r="AB169" i="1"/>
  <c r="W169" i="1"/>
  <c r="AA169" i="1"/>
  <c r="V368" i="1"/>
  <c r="X368" i="1"/>
  <c r="Z368" i="1"/>
  <c r="AB368" i="1"/>
  <c r="W370" i="1"/>
  <c r="Y370" i="1"/>
  <c r="AA370" i="1"/>
  <c r="W368" i="1"/>
  <c r="Y368" i="1"/>
  <c r="AA368" i="1"/>
  <c r="V370" i="1"/>
  <c r="X370" i="1"/>
  <c r="Z370" i="1"/>
  <c r="AB370" i="1"/>
  <c r="T150" i="1"/>
  <c r="AD150" i="1" s="1"/>
  <c r="U150" i="1"/>
  <c r="AC150" i="1"/>
  <c r="U121" i="1"/>
  <c r="AC121" i="1"/>
  <c r="T99" i="1"/>
  <c r="AD99" i="1" s="1"/>
  <c r="S99" i="1"/>
  <c r="U99" i="1"/>
  <c r="AC99" i="1"/>
  <c r="U148" i="1" l="1"/>
  <c r="AC148" i="1"/>
  <c r="S148" i="1"/>
  <c r="T148" i="1"/>
  <c r="AD148" i="1" s="1"/>
  <c r="T145" i="1" l="1"/>
  <c r="AD145" i="1" s="1"/>
  <c r="S145" i="1"/>
  <c r="U209" i="1"/>
  <c r="AC209" i="1"/>
  <c r="U210" i="1"/>
  <c r="AC210" i="1"/>
  <c r="S209" i="1"/>
  <c r="T209" i="1"/>
  <c r="AD209" i="1" s="1"/>
  <c r="S210" i="1"/>
  <c r="T210" i="1"/>
  <c r="AD210" i="1" s="1"/>
  <c r="S275" i="1"/>
  <c r="T275" i="1"/>
  <c r="S277" i="1"/>
  <c r="T277" i="1"/>
  <c r="U275" i="1"/>
  <c r="AC275" i="1"/>
  <c r="U277" i="1"/>
  <c r="AC277" i="1"/>
  <c r="S204" i="1"/>
  <c r="T204" i="1"/>
  <c r="AD204" i="1" s="1"/>
  <c r="U204" i="1"/>
  <c r="AC204" i="1"/>
  <c r="S38" i="1"/>
  <c r="T38" i="1"/>
  <c r="AD38" i="1" s="1"/>
  <c r="S37" i="1"/>
  <c r="T37" i="1"/>
  <c r="AD37" i="1" s="1"/>
  <c r="U37" i="1"/>
  <c r="AC37" i="1"/>
  <c r="U38" i="1"/>
  <c r="AC38" i="1"/>
  <c r="T282" i="1"/>
  <c r="S282" i="1"/>
  <c r="T279" i="1"/>
  <c r="S279" i="1"/>
  <c r="U279" i="1"/>
  <c r="AC279" i="1"/>
  <c r="U282" i="1"/>
  <c r="AC282" i="1"/>
  <c r="AD279" i="1" l="1"/>
  <c r="AD282" i="1"/>
  <c r="AD277" i="1"/>
  <c r="AD275" i="1"/>
  <c r="U249" i="1"/>
  <c r="AC249" i="1"/>
  <c r="S374" i="1"/>
  <c r="U362" i="1"/>
  <c r="AC362" i="1"/>
  <c r="T374" i="1"/>
  <c r="T372" i="1"/>
  <c r="S372" i="1"/>
  <c r="S373" i="1"/>
  <c r="AC372" i="1"/>
  <c r="T373" i="1"/>
  <c r="U373" i="1"/>
  <c r="AC373" i="1"/>
  <c r="AD374" i="1" l="1"/>
  <c r="AD372" i="1"/>
  <c r="AD373" i="1"/>
  <c r="T146" i="1"/>
  <c r="AD146" i="1" s="1"/>
  <c r="T200" i="1"/>
  <c r="AD200" i="1" s="1"/>
  <c r="S200" i="1"/>
  <c r="T203" i="1"/>
  <c r="AD203" i="1" s="1"/>
  <c r="T202" i="1"/>
  <c r="AD202" i="1" s="1"/>
  <c r="T201" i="1"/>
  <c r="AD201" i="1" s="1"/>
  <c r="S201" i="1"/>
  <c r="S202" i="1"/>
  <c r="S203" i="1"/>
  <c r="S205" i="1"/>
  <c r="S35" i="1"/>
  <c r="T35" i="1"/>
  <c r="AD35" i="1" s="1"/>
  <c r="S36" i="1"/>
  <c r="T36" i="1"/>
  <c r="AD36" i="1" s="1"/>
  <c r="S34" i="1"/>
  <c r="T117" i="1"/>
  <c r="AD117" i="1" s="1"/>
  <c r="U363" i="1"/>
  <c r="AC363" i="1"/>
  <c r="U106" i="1"/>
  <c r="AC106" i="1"/>
  <c r="S170" i="1"/>
  <c r="U170" i="1"/>
  <c r="AC170" i="1"/>
  <c r="U105" i="1"/>
  <c r="AC105" i="1"/>
  <c r="U79" i="1"/>
  <c r="AC79" i="1"/>
  <c r="U101" i="1"/>
  <c r="AC101" i="1"/>
  <c r="S101" i="1"/>
  <c r="U102" i="1"/>
  <c r="AC102" i="1"/>
  <c r="S102" i="1"/>
  <c r="T102" i="1"/>
  <c r="AD102" i="1" s="1"/>
  <c r="U92" i="1"/>
  <c r="AC92" i="1"/>
  <c r="U98" i="1"/>
  <c r="AC98" i="1"/>
  <c r="U76" i="1"/>
  <c r="AC76" i="1"/>
  <c r="S76" i="1"/>
  <c r="T76" i="1"/>
  <c r="AD76" i="1" s="1"/>
  <c r="U77" i="1"/>
  <c r="AC77" i="1"/>
  <c r="S77" i="1"/>
  <c r="T77" i="1"/>
  <c r="AD77" i="1" s="1"/>
  <c r="U73" i="1"/>
  <c r="AC73" i="1"/>
  <c r="U71" i="1"/>
  <c r="AC71" i="1"/>
  <c r="U70" i="1"/>
  <c r="AC70" i="1"/>
  <c r="U96" i="1"/>
  <c r="AC96" i="1"/>
  <c r="U95" i="1"/>
  <c r="AC95" i="1"/>
  <c r="T90" i="1"/>
  <c r="AD90" i="1" s="1"/>
  <c r="U90" i="1"/>
  <c r="AC90" i="1"/>
  <c r="S90" i="1"/>
  <c r="U88" i="1"/>
  <c r="AC88" i="1"/>
  <c r="U89" i="1"/>
  <c r="AC89" i="1"/>
  <c r="S86" i="1"/>
  <c r="T86" i="1"/>
  <c r="AD86" i="1" s="1"/>
  <c r="U86" i="1"/>
  <c r="AC86" i="1"/>
  <c r="S66" i="1"/>
  <c r="T66" i="1"/>
  <c r="AD66" i="1" s="1"/>
  <c r="U66" i="1"/>
  <c r="AC66" i="1"/>
  <c r="T264" i="1"/>
  <c r="S264" i="1"/>
  <c r="T262" i="1"/>
  <c r="S262" i="1"/>
  <c r="S224" i="1"/>
  <c r="T255" i="1"/>
  <c r="S255" i="1"/>
  <c r="T254" i="1"/>
  <c r="S254" i="1"/>
  <c r="T253" i="1"/>
  <c r="S253" i="1"/>
  <c r="T251" i="1"/>
  <c r="S251" i="1"/>
  <c r="T250" i="1"/>
  <c r="S250" i="1"/>
  <c r="S241" i="1"/>
  <c r="T241" i="1"/>
  <c r="S252" i="1"/>
  <c r="T252" i="1"/>
  <c r="S240" i="1"/>
  <c r="T240" i="1"/>
  <c r="S231" i="1"/>
  <c r="T231" i="1"/>
  <c r="S226" i="1"/>
  <c r="T226" i="1"/>
  <c r="T225" i="1"/>
  <c r="S225" i="1"/>
  <c r="T224" i="1"/>
  <c r="S211" i="1"/>
  <c r="T220" i="1"/>
  <c r="AD220" i="1" s="1"/>
  <c r="T211" i="1"/>
  <c r="AD211" i="1" s="1"/>
  <c r="S187" i="1"/>
  <c r="S166" i="1"/>
  <c r="S161" i="1"/>
  <c r="S160" i="1"/>
  <c r="S159" i="1"/>
  <c r="S179" i="1"/>
  <c r="S178" i="1"/>
  <c r="S136" i="1"/>
  <c r="T136" i="1"/>
  <c r="AD136" i="1" s="1"/>
  <c r="S140" i="1"/>
  <c r="S138" i="1"/>
  <c r="S131" i="1"/>
  <c r="T131" i="1"/>
  <c r="AD131" i="1" s="1"/>
  <c r="S133" i="1"/>
  <c r="T133" i="1"/>
  <c r="AD133" i="1" s="1"/>
  <c r="S134" i="1"/>
  <c r="T134" i="1"/>
  <c r="AD134" i="1" s="1"/>
  <c r="S135" i="1"/>
  <c r="T135" i="1"/>
  <c r="AD135" i="1" s="1"/>
  <c r="T130" i="1"/>
  <c r="AD130" i="1" s="1"/>
  <c r="S130" i="1"/>
  <c r="T125" i="1"/>
  <c r="AD125" i="1" s="1"/>
  <c r="T124" i="1"/>
  <c r="AD124" i="1" s="1"/>
  <c r="S124" i="1"/>
  <c r="S104" i="1"/>
  <c r="T100" i="1"/>
  <c r="AD100" i="1" s="1"/>
  <c r="S100" i="1"/>
  <c r="S93" i="1"/>
  <c r="T91" i="1"/>
  <c r="AD91" i="1" s="1"/>
  <c r="S91" i="1"/>
  <c r="T84" i="1"/>
  <c r="AD84" i="1" s="1"/>
  <c r="S84" i="1"/>
  <c r="T83" i="1"/>
  <c r="AD83" i="1" s="1"/>
  <c r="T80" i="1"/>
  <c r="AD80" i="1" s="1"/>
  <c r="S80" i="1"/>
  <c r="S75" i="1"/>
  <c r="T73" i="1"/>
  <c r="AD73" i="1" s="1"/>
  <c r="S73" i="1"/>
  <c r="T69" i="1"/>
  <c r="AD69" i="1" s="1"/>
  <c r="S68" i="1"/>
  <c r="S65" i="1"/>
  <c r="T65" i="1"/>
  <c r="AD65" i="1" s="1"/>
  <c r="S69" i="1"/>
  <c r="S83" i="1"/>
  <c r="S125" i="1"/>
  <c r="S64" i="1"/>
  <c r="T64" i="1"/>
  <c r="AD64" i="1" s="1"/>
  <c r="Y4" i="1" l="1"/>
  <c r="X4" i="1"/>
  <c r="AD226" i="1"/>
  <c r="AD231" i="1"/>
  <c r="AD238" i="1"/>
  <c r="AD240" i="1"/>
  <c r="AD252" i="1"/>
  <c r="AD262" i="1"/>
  <c r="AD264" i="1"/>
  <c r="AD250" i="1"/>
  <c r="AD241" i="1"/>
  <c r="AD225" i="1"/>
  <c r="AD230" i="1"/>
  <c r="AD251" i="1"/>
  <c r="AD253" i="1"/>
  <c r="AD254" i="1"/>
  <c r="AD255" i="1"/>
  <c r="AD224" i="1"/>
  <c r="V4" i="1" s="1"/>
  <c r="U35" i="1"/>
  <c r="U36" i="1"/>
  <c r="U64" i="1"/>
  <c r="U65" i="1"/>
  <c r="U68" i="1"/>
  <c r="U69" i="1"/>
  <c r="U75" i="1"/>
  <c r="U78" i="1"/>
  <c r="U80" i="1"/>
  <c r="U83" i="1"/>
  <c r="U84" i="1"/>
  <c r="U87" i="1"/>
  <c r="U91" i="1"/>
  <c r="U93" i="1"/>
  <c r="U94" i="1"/>
  <c r="U100" i="1"/>
  <c r="U104" i="1"/>
  <c r="U114" i="1"/>
  <c r="U115" i="1"/>
  <c r="U116" i="1"/>
  <c r="U117" i="1"/>
  <c r="U119" i="1"/>
  <c r="U120" i="1"/>
  <c r="U122" i="1"/>
  <c r="U123" i="1"/>
  <c r="U124" i="1"/>
  <c r="U125" i="1"/>
  <c r="U128" i="1"/>
  <c r="U129" i="1"/>
  <c r="U130" i="1"/>
  <c r="U131" i="1"/>
  <c r="U133" i="1"/>
  <c r="U134" i="1"/>
  <c r="U135" i="1"/>
  <c r="U138" i="1"/>
  <c r="U140" i="1"/>
  <c r="U136" i="1"/>
  <c r="U143" i="1"/>
  <c r="U144" i="1"/>
  <c r="U145" i="1"/>
  <c r="U118" i="1"/>
  <c r="U139" i="1"/>
  <c r="U178" i="1"/>
  <c r="U179" i="1"/>
  <c r="U156" i="1"/>
  <c r="U159" i="1"/>
  <c r="U160" i="1"/>
  <c r="U161" i="1"/>
  <c r="U166" i="1"/>
  <c r="U146" i="1"/>
  <c r="U187" i="1"/>
  <c r="U198" i="1"/>
  <c r="U200" i="1"/>
  <c r="U201" i="1"/>
  <c r="U202" i="1"/>
  <c r="U203" i="1"/>
  <c r="U205" i="1"/>
  <c r="U211" i="1"/>
  <c r="U216" i="1"/>
  <c r="U217" i="1"/>
  <c r="U219" i="1"/>
  <c r="U220" i="1"/>
  <c r="U223" i="1"/>
  <c r="U224" i="1"/>
  <c r="U225" i="1"/>
  <c r="U226" i="1"/>
  <c r="U230" i="1"/>
  <c r="U231" i="1"/>
  <c r="U238" i="1"/>
  <c r="U240" i="1"/>
  <c r="U241" i="1"/>
  <c r="U250" i="1"/>
  <c r="U251" i="1"/>
  <c r="U252" i="1"/>
  <c r="U253" i="1"/>
  <c r="U254" i="1"/>
  <c r="U255" i="1"/>
  <c r="U262" i="1"/>
  <c r="U264" i="1"/>
  <c r="U335" i="1"/>
  <c r="U356" i="1"/>
  <c r="U374" i="1"/>
  <c r="U34" i="1"/>
  <c r="AC35" i="1"/>
  <c r="AC36" i="1"/>
  <c r="AC64" i="1"/>
  <c r="AC65" i="1"/>
  <c r="AC67" i="1"/>
  <c r="AC68" i="1"/>
  <c r="AC69" i="1"/>
  <c r="AC75" i="1"/>
  <c r="AC78" i="1"/>
  <c r="AC80" i="1"/>
  <c r="AC83" i="1"/>
  <c r="AC84" i="1"/>
  <c r="AC87" i="1"/>
  <c r="AC91" i="1"/>
  <c r="AC93" i="1"/>
  <c r="AC94" i="1"/>
  <c r="AC100" i="1"/>
  <c r="AC104" i="1"/>
  <c r="AC114" i="1"/>
  <c r="AC115" i="1"/>
  <c r="AC116" i="1"/>
  <c r="AC117" i="1"/>
  <c r="AC119" i="1"/>
  <c r="AC120" i="1"/>
  <c r="AC122" i="1"/>
  <c r="AC123" i="1"/>
  <c r="AC124" i="1"/>
  <c r="AC125" i="1"/>
  <c r="AC128" i="1"/>
  <c r="AC129" i="1"/>
  <c r="AC130" i="1"/>
  <c r="AC131" i="1"/>
  <c r="AC133" i="1"/>
  <c r="AC134" i="1"/>
  <c r="AC135" i="1"/>
  <c r="AC138" i="1"/>
  <c r="AC140" i="1"/>
  <c r="AC136" i="1"/>
  <c r="AC143" i="1"/>
  <c r="AC144" i="1"/>
  <c r="AC145" i="1"/>
  <c r="AC118" i="1"/>
  <c r="AC139" i="1"/>
  <c r="AC178" i="1"/>
  <c r="AC179" i="1"/>
  <c r="AC156" i="1"/>
  <c r="AC159" i="1"/>
  <c r="AC160" i="1"/>
  <c r="AC161" i="1"/>
  <c r="AC166" i="1"/>
  <c r="AC146" i="1"/>
  <c r="AC187" i="1"/>
  <c r="AC198" i="1"/>
  <c r="AC200" i="1"/>
  <c r="AC201" i="1"/>
  <c r="AC202" i="1"/>
  <c r="AC203" i="1"/>
  <c r="AC205" i="1"/>
  <c r="AC211" i="1"/>
  <c r="AC216" i="1"/>
  <c r="AC217" i="1"/>
  <c r="AC219" i="1"/>
  <c r="AC220" i="1"/>
  <c r="AC223" i="1"/>
  <c r="AC224" i="1"/>
  <c r="AC225" i="1"/>
  <c r="AC226" i="1"/>
  <c r="AC230" i="1"/>
  <c r="AC231" i="1"/>
  <c r="AC238" i="1"/>
  <c r="AC240" i="1"/>
  <c r="AC241" i="1"/>
  <c r="AC250" i="1"/>
  <c r="AC251" i="1"/>
  <c r="AC252" i="1"/>
  <c r="AC253" i="1"/>
  <c r="AC254" i="1"/>
  <c r="AC255" i="1"/>
  <c r="AC262" i="1"/>
  <c r="AC264" i="1"/>
  <c r="AC335" i="1"/>
  <c r="AC356" i="1"/>
  <c r="AC374" i="1"/>
  <c r="AC34" i="1"/>
  <c r="AC375" i="1" l="1"/>
  <c r="U375" i="1"/>
  <c r="U2" i="1" s="1"/>
  <c r="V194" i="1"/>
  <c r="X194" i="1"/>
  <c r="Z194" i="1"/>
  <c r="AB194" i="1"/>
  <c r="W108" i="1"/>
  <c r="Y108" i="1"/>
  <c r="AA108" i="1"/>
  <c r="V109" i="1"/>
  <c r="X109" i="1"/>
  <c r="Z109" i="1"/>
  <c r="AB109" i="1"/>
  <c r="W194" i="1"/>
  <c r="Y194" i="1"/>
  <c r="AA194" i="1"/>
  <c r="V108" i="1"/>
  <c r="X108" i="1"/>
  <c r="Z108" i="1"/>
  <c r="AB108" i="1"/>
  <c r="W109" i="1"/>
  <c r="Y109" i="1"/>
  <c r="AA109" i="1"/>
  <c r="W371" i="1"/>
  <c r="Y371" i="1"/>
  <c r="AA371" i="1"/>
  <c r="V371" i="1"/>
  <c r="X371" i="1"/>
  <c r="Z371" i="1"/>
  <c r="AB371" i="1"/>
  <c r="W150" i="1"/>
  <c r="V150" i="1"/>
  <c r="X150" i="1"/>
  <c r="Z150" i="1"/>
  <c r="AB150" i="1"/>
  <c r="W121" i="1"/>
  <c r="Y121" i="1"/>
  <c r="AA121" i="1"/>
  <c r="V99" i="1"/>
  <c r="X99" i="1"/>
  <c r="Z99" i="1"/>
  <c r="AB99" i="1"/>
  <c r="Y150" i="1"/>
  <c r="AA150" i="1"/>
  <c r="V121" i="1"/>
  <c r="X121" i="1"/>
  <c r="Z121" i="1"/>
  <c r="AB121" i="1"/>
  <c r="W99" i="1"/>
  <c r="Y99" i="1"/>
  <c r="AA99" i="1"/>
  <c r="V148" i="1"/>
  <c r="X148" i="1"/>
  <c r="Z148" i="1"/>
  <c r="AB148" i="1"/>
  <c r="Y148" i="1"/>
  <c r="AA148" i="1"/>
  <c r="W148" i="1"/>
  <c r="V209" i="1"/>
  <c r="X209" i="1"/>
  <c r="Z209" i="1"/>
  <c r="AB209" i="1"/>
  <c r="W210" i="1"/>
  <c r="Y210" i="1"/>
  <c r="AA210" i="1"/>
  <c r="W209" i="1"/>
  <c r="Y209" i="1"/>
  <c r="AA209" i="1"/>
  <c r="V210" i="1"/>
  <c r="X210" i="1"/>
  <c r="Z210" i="1"/>
  <c r="AB210" i="1"/>
  <c r="V275" i="1"/>
  <c r="X275" i="1"/>
  <c r="Z275" i="1"/>
  <c r="AB275" i="1"/>
  <c r="W277" i="1"/>
  <c r="Y277" i="1"/>
  <c r="AA277" i="1"/>
  <c r="W275" i="1"/>
  <c r="Y275" i="1"/>
  <c r="AA275" i="1"/>
  <c r="V277" i="1"/>
  <c r="X277" i="1"/>
  <c r="Z277" i="1"/>
  <c r="AB277" i="1"/>
  <c r="V204" i="1"/>
  <c r="X204" i="1"/>
  <c r="Z204" i="1"/>
  <c r="AB204" i="1"/>
  <c r="W204" i="1"/>
  <c r="Y204" i="1"/>
  <c r="AA204" i="1"/>
  <c r="W37" i="1"/>
  <c r="Y37" i="1"/>
  <c r="AA37" i="1"/>
  <c r="V38" i="1"/>
  <c r="X38" i="1"/>
  <c r="Z38" i="1"/>
  <c r="AB38" i="1"/>
  <c r="V37" i="1"/>
  <c r="X37" i="1"/>
  <c r="Z37" i="1"/>
  <c r="AB37" i="1"/>
  <c r="W38" i="1"/>
  <c r="Y38" i="1"/>
  <c r="AA38" i="1"/>
  <c r="V279" i="1"/>
  <c r="X279" i="1"/>
  <c r="Z279" i="1"/>
  <c r="AB279" i="1"/>
  <c r="W282" i="1"/>
  <c r="Y282" i="1"/>
  <c r="AA282" i="1"/>
  <c r="W279" i="1"/>
  <c r="Y279" i="1"/>
  <c r="AA279" i="1"/>
  <c r="V282" i="1"/>
  <c r="X282" i="1"/>
  <c r="Z282" i="1"/>
  <c r="AB282" i="1"/>
  <c r="V249" i="1"/>
  <c r="X249" i="1"/>
  <c r="Z249" i="1"/>
  <c r="AB249" i="1"/>
  <c r="W249" i="1"/>
  <c r="Y249" i="1"/>
  <c r="AA249" i="1"/>
  <c r="V362" i="1"/>
  <c r="Y362" i="1"/>
  <c r="AA362" i="1"/>
  <c r="W362" i="1"/>
  <c r="X362" i="1"/>
  <c r="Z362" i="1"/>
  <c r="AB362" i="1"/>
  <c r="W372" i="1"/>
  <c r="V372" i="1"/>
  <c r="Y372" i="1"/>
  <c r="AA372" i="1"/>
  <c r="X372" i="1"/>
  <c r="Z372" i="1"/>
  <c r="AB372" i="1"/>
  <c r="V373" i="1"/>
  <c r="Y373" i="1"/>
  <c r="AA373" i="1"/>
  <c r="W373" i="1"/>
  <c r="X373" i="1"/>
  <c r="Z373" i="1"/>
  <c r="AB373" i="1"/>
  <c r="V363" i="1"/>
  <c r="Y363" i="1"/>
  <c r="AA363" i="1"/>
  <c r="V106" i="1"/>
  <c r="Y106" i="1"/>
  <c r="AA106" i="1"/>
  <c r="V170" i="1"/>
  <c r="Y170" i="1"/>
  <c r="AA170" i="1"/>
  <c r="V105" i="1"/>
  <c r="Y105" i="1"/>
  <c r="AA105" i="1"/>
  <c r="V79" i="1"/>
  <c r="Y79" i="1"/>
  <c r="AA79" i="1"/>
  <c r="V101" i="1"/>
  <c r="Y101" i="1"/>
  <c r="AA101" i="1"/>
  <c r="V102" i="1"/>
  <c r="Y102" i="1"/>
  <c r="AA102" i="1"/>
  <c r="W363" i="1"/>
  <c r="X363" i="1"/>
  <c r="Z363" i="1"/>
  <c r="AB363" i="1"/>
  <c r="W106" i="1"/>
  <c r="X106" i="1"/>
  <c r="Z106" i="1"/>
  <c r="AB106" i="1"/>
  <c r="W170" i="1"/>
  <c r="X170" i="1"/>
  <c r="Z170" i="1"/>
  <c r="AB170" i="1"/>
  <c r="W105" i="1"/>
  <c r="X105" i="1"/>
  <c r="Z105" i="1"/>
  <c r="AB105" i="1"/>
  <c r="W79" i="1"/>
  <c r="X79" i="1"/>
  <c r="Z79" i="1"/>
  <c r="AB79" i="1"/>
  <c r="W101" i="1"/>
  <c r="X101" i="1"/>
  <c r="Z101" i="1"/>
  <c r="AB101" i="1"/>
  <c r="W102" i="1"/>
  <c r="X102" i="1"/>
  <c r="Z102" i="1"/>
  <c r="AB102" i="1"/>
  <c r="V92" i="1"/>
  <c r="Y92" i="1"/>
  <c r="AA92" i="1"/>
  <c r="V98" i="1"/>
  <c r="Y98" i="1"/>
  <c r="AA98" i="1"/>
  <c r="W92" i="1"/>
  <c r="X92" i="1"/>
  <c r="Z92" i="1"/>
  <c r="AB92" i="1"/>
  <c r="W98" i="1"/>
  <c r="X98" i="1"/>
  <c r="Z98" i="1"/>
  <c r="AB98" i="1"/>
  <c r="W76" i="1"/>
  <c r="X76" i="1"/>
  <c r="Z76" i="1"/>
  <c r="AB76" i="1"/>
  <c r="Y77" i="1"/>
  <c r="AA77" i="1"/>
  <c r="W73" i="1"/>
  <c r="X73" i="1"/>
  <c r="Z73" i="1"/>
  <c r="AB73" i="1"/>
  <c r="V71" i="1"/>
  <c r="Y71" i="1"/>
  <c r="AA71" i="1"/>
  <c r="W70" i="1"/>
  <c r="X70" i="1"/>
  <c r="Z70" i="1"/>
  <c r="AB70" i="1"/>
  <c r="V96" i="1"/>
  <c r="Y96" i="1"/>
  <c r="AA96" i="1"/>
  <c r="W95" i="1"/>
  <c r="X95" i="1"/>
  <c r="Z95" i="1"/>
  <c r="AB95" i="1"/>
  <c r="W90" i="1"/>
  <c r="X90" i="1"/>
  <c r="Z90" i="1"/>
  <c r="AB90" i="1"/>
  <c r="V76" i="1"/>
  <c r="Y76" i="1"/>
  <c r="AA76" i="1"/>
  <c r="W77" i="1"/>
  <c r="X77" i="1"/>
  <c r="Z77" i="1"/>
  <c r="AB77" i="1"/>
  <c r="V73" i="1"/>
  <c r="Y73" i="1"/>
  <c r="AA73" i="1"/>
  <c r="W71" i="1"/>
  <c r="X71" i="1"/>
  <c r="Z71" i="1"/>
  <c r="AB71" i="1"/>
  <c r="V70" i="1"/>
  <c r="Y70" i="1"/>
  <c r="AA70" i="1"/>
  <c r="W96" i="1"/>
  <c r="X96" i="1"/>
  <c r="Z96" i="1"/>
  <c r="AB96" i="1"/>
  <c r="V95" i="1"/>
  <c r="Y95" i="1"/>
  <c r="AA95" i="1"/>
  <c r="V90" i="1"/>
  <c r="Y90" i="1"/>
  <c r="AA90" i="1"/>
  <c r="V88" i="1"/>
  <c r="Y88" i="1"/>
  <c r="AA88" i="1"/>
  <c r="W89" i="1"/>
  <c r="X89" i="1"/>
  <c r="Z89" i="1"/>
  <c r="AB89" i="1"/>
  <c r="V86" i="1"/>
  <c r="Y86" i="1"/>
  <c r="AA86" i="1"/>
  <c r="W88" i="1"/>
  <c r="X88" i="1"/>
  <c r="Z88" i="1"/>
  <c r="AB88" i="1"/>
  <c r="V89" i="1"/>
  <c r="Y89" i="1"/>
  <c r="AA89" i="1"/>
  <c r="W86" i="1"/>
  <c r="X86" i="1"/>
  <c r="Z86" i="1"/>
  <c r="AB86" i="1"/>
  <c r="W66" i="1"/>
  <c r="X66" i="1"/>
  <c r="Z66" i="1"/>
  <c r="AB66" i="1"/>
  <c r="V66" i="1"/>
  <c r="Y66" i="1"/>
  <c r="AA66" i="1"/>
  <c r="V35" i="1"/>
  <c r="Y35" i="1"/>
  <c r="AA35" i="1"/>
  <c r="W36" i="1"/>
  <c r="X36" i="1"/>
  <c r="Z36" i="1"/>
  <c r="AB36" i="1"/>
  <c r="V64" i="1"/>
  <c r="Y64" i="1"/>
  <c r="AA64" i="1"/>
  <c r="W65" i="1"/>
  <c r="X65" i="1"/>
  <c r="Z65" i="1"/>
  <c r="AB65" i="1"/>
  <c r="W67" i="1"/>
  <c r="X67" i="1"/>
  <c r="Z67" i="1"/>
  <c r="AB67" i="1"/>
  <c r="V68" i="1"/>
  <c r="Y68" i="1"/>
  <c r="AA68" i="1"/>
  <c r="V69" i="1"/>
  <c r="Y69" i="1"/>
  <c r="AA69" i="1"/>
  <c r="V75" i="1"/>
  <c r="Y75" i="1"/>
  <c r="AA75" i="1"/>
  <c r="W78" i="1"/>
  <c r="X78" i="1"/>
  <c r="Z78" i="1"/>
  <c r="AB78" i="1"/>
  <c r="V80" i="1"/>
  <c r="Y80" i="1"/>
  <c r="AA80" i="1"/>
  <c r="W83" i="1"/>
  <c r="X83" i="1"/>
  <c r="Z83" i="1"/>
  <c r="AB83" i="1"/>
  <c r="V84" i="1"/>
  <c r="Y84" i="1"/>
  <c r="AA84" i="1"/>
  <c r="W87" i="1"/>
  <c r="X87" i="1"/>
  <c r="Z87" i="1"/>
  <c r="AB87" i="1"/>
  <c r="V91" i="1"/>
  <c r="Y91" i="1"/>
  <c r="AA91" i="1"/>
  <c r="W93" i="1"/>
  <c r="X93" i="1"/>
  <c r="Z93" i="1"/>
  <c r="AB93" i="1"/>
  <c r="V94" i="1"/>
  <c r="Y94" i="1"/>
  <c r="AA94" i="1"/>
  <c r="W100" i="1"/>
  <c r="X100" i="1"/>
  <c r="Z100" i="1"/>
  <c r="AB100" i="1"/>
  <c r="V104" i="1"/>
  <c r="Y104" i="1"/>
  <c r="AA104" i="1"/>
  <c r="W114" i="1"/>
  <c r="X114" i="1"/>
  <c r="Z114" i="1"/>
  <c r="AB114" i="1"/>
  <c r="V115" i="1"/>
  <c r="Y115" i="1"/>
  <c r="AA115" i="1"/>
  <c r="W116" i="1"/>
  <c r="X116" i="1"/>
  <c r="Z116" i="1"/>
  <c r="AB116" i="1"/>
  <c r="V117" i="1"/>
  <c r="Y117" i="1"/>
  <c r="AA117" i="1"/>
  <c r="W119" i="1"/>
  <c r="X119" i="1"/>
  <c r="Z119" i="1"/>
  <c r="AB119" i="1"/>
  <c r="V120" i="1"/>
  <c r="Y120" i="1"/>
  <c r="AA120" i="1"/>
  <c r="W122" i="1"/>
  <c r="X122" i="1"/>
  <c r="Z122" i="1"/>
  <c r="AB122" i="1"/>
  <c r="V123" i="1"/>
  <c r="Y123" i="1"/>
  <c r="AA123" i="1"/>
  <c r="W124" i="1"/>
  <c r="X124" i="1"/>
  <c r="Z124" i="1"/>
  <c r="AB124" i="1"/>
  <c r="V125" i="1"/>
  <c r="Y125" i="1"/>
  <c r="AA125" i="1"/>
  <c r="W128" i="1"/>
  <c r="X128" i="1"/>
  <c r="Z128" i="1"/>
  <c r="AB128" i="1"/>
  <c r="V129" i="1"/>
  <c r="Y129" i="1"/>
  <c r="AA129" i="1"/>
  <c r="W130" i="1"/>
  <c r="X130" i="1"/>
  <c r="Z130" i="1"/>
  <c r="AB130" i="1"/>
  <c r="V131" i="1"/>
  <c r="Y131" i="1"/>
  <c r="AA131" i="1"/>
  <c r="W133" i="1"/>
  <c r="X133" i="1"/>
  <c r="Z133" i="1"/>
  <c r="AB133" i="1"/>
  <c r="V134" i="1"/>
  <c r="Y134" i="1"/>
  <c r="AA134" i="1"/>
  <c r="W135" i="1"/>
  <c r="X135" i="1"/>
  <c r="Z135" i="1"/>
  <c r="AB135" i="1"/>
  <c r="V138" i="1"/>
  <c r="Y138" i="1"/>
  <c r="AA138" i="1"/>
  <c r="W140" i="1"/>
  <c r="X140" i="1"/>
  <c r="Z140" i="1"/>
  <c r="AB140" i="1"/>
  <c r="V136" i="1"/>
  <c r="Y136" i="1"/>
  <c r="AA136" i="1"/>
  <c r="W143" i="1"/>
  <c r="X143" i="1"/>
  <c r="Z143" i="1"/>
  <c r="AB143" i="1"/>
  <c r="V144" i="1"/>
  <c r="Y144" i="1"/>
  <c r="AA144" i="1"/>
  <c r="W145" i="1"/>
  <c r="X145" i="1"/>
  <c r="Z145" i="1"/>
  <c r="AB145" i="1"/>
  <c r="V118" i="1"/>
  <c r="Y118" i="1"/>
  <c r="AA118" i="1"/>
  <c r="W139" i="1"/>
  <c r="X139" i="1"/>
  <c r="Z139" i="1"/>
  <c r="AB139" i="1"/>
  <c r="V178" i="1"/>
  <c r="Y178" i="1"/>
  <c r="AA178" i="1"/>
  <c r="W179" i="1"/>
  <c r="X179" i="1"/>
  <c r="Z179" i="1"/>
  <c r="AB179" i="1"/>
  <c r="V156" i="1"/>
  <c r="Y156" i="1"/>
  <c r="AA156" i="1"/>
  <c r="W159" i="1"/>
  <c r="X159" i="1"/>
  <c r="Z159" i="1"/>
  <c r="AB159" i="1"/>
  <c r="V160" i="1"/>
  <c r="Y160" i="1"/>
  <c r="AA160" i="1"/>
  <c r="W161" i="1"/>
  <c r="X161" i="1"/>
  <c r="Z161" i="1"/>
  <c r="AB161" i="1"/>
  <c r="V166" i="1"/>
  <c r="Y166" i="1"/>
  <c r="W146" i="1"/>
  <c r="X146" i="1"/>
  <c r="Z146" i="1"/>
  <c r="AB146" i="1"/>
  <c r="V187" i="1"/>
  <c r="Y187" i="1"/>
  <c r="AA187" i="1"/>
  <c r="W198" i="1"/>
  <c r="X198" i="1"/>
  <c r="Z198" i="1"/>
  <c r="W35" i="1"/>
  <c r="Z35" i="1"/>
  <c r="V36" i="1"/>
  <c r="Y36" i="1"/>
  <c r="X64" i="1"/>
  <c r="AB64" i="1"/>
  <c r="AA65" i="1"/>
  <c r="V67" i="1"/>
  <c r="Y67" i="1"/>
  <c r="X68" i="1"/>
  <c r="AB68" i="1"/>
  <c r="W69" i="1"/>
  <c r="Z69" i="1"/>
  <c r="X75" i="1"/>
  <c r="AB75" i="1"/>
  <c r="AA78" i="1"/>
  <c r="W80" i="1"/>
  <c r="Z80" i="1"/>
  <c r="V83" i="1"/>
  <c r="Y83" i="1"/>
  <c r="X84" i="1"/>
  <c r="AB84" i="1"/>
  <c r="AA87" i="1"/>
  <c r="W91" i="1"/>
  <c r="Z91" i="1"/>
  <c r="V93" i="1"/>
  <c r="Y93" i="1"/>
  <c r="X94" i="1"/>
  <c r="AB94" i="1"/>
  <c r="AA100" i="1"/>
  <c r="W104" i="1"/>
  <c r="Z104" i="1"/>
  <c r="V114" i="1"/>
  <c r="Y114" i="1"/>
  <c r="X115" i="1"/>
  <c r="AB115" i="1"/>
  <c r="AA116" i="1"/>
  <c r="W117" i="1"/>
  <c r="Z117" i="1"/>
  <c r="V119" i="1"/>
  <c r="Y119" i="1"/>
  <c r="X120" i="1"/>
  <c r="AB120" i="1"/>
  <c r="AA122" i="1"/>
  <c r="W123" i="1"/>
  <c r="Z123" i="1"/>
  <c r="V124" i="1"/>
  <c r="Y124" i="1"/>
  <c r="X125" i="1"/>
  <c r="AB125" i="1"/>
  <c r="AA128" i="1"/>
  <c r="W129" i="1"/>
  <c r="Z129" i="1"/>
  <c r="V130" i="1"/>
  <c r="Y130" i="1"/>
  <c r="X131" i="1"/>
  <c r="AB131" i="1"/>
  <c r="AA133" i="1"/>
  <c r="W134" i="1"/>
  <c r="Z134" i="1"/>
  <c r="V135" i="1"/>
  <c r="Y135" i="1"/>
  <c r="X138" i="1"/>
  <c r="AB138" i="1"/>
  <c r="AA140" i="1"/>
  <c r="W136" i="1"/>
  <c r="Z136" i="1"/>
  <c r="V143" i="1"/>
  <c r="Y143" i="1"/>
  <c r="X144" i="1"/>
  <c r="AB144" i="1"/>
  <c r="AA145" i="1"/>
  <c r="W118" i="1"/>
  <c r="Z118" i="1"/>
  <c r="V139" i="1"/>
  <c r="Y139" i="1"/>
  <c r="X178" i="1"/>
  <c r="AB178" i="1"/>
  <c r="AA179" i="1"/>
  <c r="W156" i="1"/>
  <c r="Z156" i="1"/>
  <c r="V159" i="1"/>
  <c r="Y159" i="1"/>
  <c r="X160" i="1"/>
  <c r="AB160" i="1"/>
  <c r="AA161" i="1"/>
  <c r="W166" i="1"/>
  <c r="Z166" i="1"/>
  <c r="V146" i="1"/>
  <c r="Y146" i="1"/>
  <c r="X187" i="1"/>
  <c r="AB187" i="1"/>
  <c r="AA198" i="1"/>
  <c r="W200" i="1"/>
  <c r="X200" i="1"/>
  <c r="Z200" i="1"/>
  <c r="AB200" i="1"/>
  <c r="V201" i="1"/>
  <c r="Y201" i="1"/>
  <c r="AA201" i="1"/>
  <c r="W202" i="1"/>
  <c r="X202" i="1"/>
  <c r="Z202" i="1"/>
  <c r="AB202" i="1"/>
  <c r="V203" i="1"/>
  <c r="Y203" i="1"/>
  <c r="AA203" i="1"/>
  <c r="W205" i="1"/>
  <c r="X205" i="1"/>
  <c r="Z205" i="1"/>
  <c r="AB205" i="1"/>
  <c r="V211" i="1"/>
  <c r="Y211" i="1"/>
  <c r="AA211" i="1"/>
  <c r="W216" i="1"/>
  <c r="X216" i="1"/>
  <c r="Z216" i="1"/>
  <c r="AB216" i="1"/>
  <c r="V217" i="1"/>
  <c r="Y217" i="1"/>
  <c r="AA217" i="1"/>
  <c r="W219" i="1"/>
  <c r="X219" i="1"/>
  <c r="Z219" i="1"/>
  <c r="AB219" i="1"/>
  <c r="V220" i="1"/>
  <c r="Y220" i="1"/>
  <c r="AA220" i="1"/>
  <c r="W223" i="1"/>
  <c r="X223" i="1"/>
  <c r="Z223" i="1"/>
  <c r="AB223" i="1"/>
  <c r="V224" i="1"/>
  <c r="Y224" i="1"/>
  <c r="AA224" i="1"/>
  <c r="W225" i="1"/>
  <c r="X225" i="1"/>
  <c r="Z225" i="1"/>
  <c r="AB225" i="1"/>
  <c r="V226" i="1"/>
  <c r="Y226" i="1"/>
  <c r="AA226" i="1"/>
  <c r="W230" i="1"/>
  <c r="X230" i="1"/>
  <c r="Z230" i="1"/>
  <c r="AB230" i="1"/>
  <c r="V231" i="1"/>
  <c r="Y231" i="1"/>
  <c r="AA231" i="1"/>
  <c r="W238" i="1"/>
  <c r="X238" i="1"/>
  <c r="Z238" i="1"/>
  <c r="AB238" i="1"/>
  <c r="V240" i="1"/>
  <c r="Y240" i="1"/>
  <c r="AA240" i="1"/>
  <c r="W241" i="1"/>
  <c r="X241" i="1"/>
  <c r="Z241" i="1"/>
  <c r="AB241" i="1"/>
  <c r="V250" i="1"/>
  <c r="Y250" i="1"/>
  <c r="AA250" i="1"/>
  <c r="W251" i="1"/>
  <c r="X251" i="1"/>
  <c r="Z251" i="1"/>
  <c r="AB251" i="1"/>
  <c r="V252" i="1"/>
  <c r="Y252" i="1"/>
  <c r="AA252" i="1"/>
  <c r="W253" i="1"/>
  <c r="X253" i="1"/>
  <c r="Z253" i="1"/>
  <c r="AB253" i="1"/>
  <c r="V254" i="1"/>
  <c r="Y254" i="1"/>
  <c r="AA254" i="1"/>
  <c r="W255" i="1"/>
  <c r="X255" i="1"/>
  <c r="Z255" i="1"/>
  <c r="AB255" i="1"/>
  <c r="V262" i="1"/>
  <c r="Y262" i="1"/>
  <c r="AA262" i="1"/>
  <c r="W264" i="1"/>
  <c r="X264" i="1"/>
  <c r="Z264" i="1"/>
  <c r="AB264" i="1"/>
  <c r="V335" i="1"/>
  <c r="Y335" i="1"/>
  <c r="AA335" i="1"/>
  <c r="X35" i="1"/>
  <c r="W64" i="1"/>
  <c r="V65" i="1"/>
  <c r="AA67" i="1"/>
  <c r="Z68" i="1"/>
  <c r="X69" i="1"/>
  <c r="W75" i="1"/>
  <c r="V78" i="1"/>
  <c r="AB80" i="1"/>
  <c r="AA83" i="1"/>
  <c r="Z84" i="1"/>
  <c r="Y87" i="1"/>
  <c r="X91" i="1"/>
  <c r="W94" i="1"/>
  <c r="V100" i="1"/>
  <c r="AB104" i="1"/>
  <c r="AA114" i="1"/>
  <c r="Z115" i="1"/>
  <c r="Y116" i="1"/>
  <c r="X117" i="1"/>
  <c r="W120" i="1"/>
  <c r="V122" i="1"/>
  <c r="AB123" i="1"/>
  <c r="AA124" i="1"/>
  <c r="Z125" i="1"/>
  <c r="Y128" i="1"/>
  <c r="X129" i="1"/>
  <c r="W131" i="1"/>
  <c r="V133" i="1"/>
  <c r="AB134" i="1"/>
  <c r="AA135" i="1"/>
  <c r="Z138" i="1"/>
  <c r="Y140" i="1"/>
  <c r="X136" i="1"/>
  <c r="W144" i="1"/>
  <c r="V145" i="1"/>
  <c r="AB118" i="1"/>
  <c r="AA139" i="1"/>
  <c r="Z178" i="1"/>
  <c r="Y179" i="1"/>
  <c r="X156" i="1"/>
  <c r="W160" i="1"/>
  <c r="V161" i="1"/>
  <c r="AB166" i="1"/>
  <c r="AA146" i="1"/>
  <c r="Z187" i="1"/>
  <c r="Y198" i="1"/>
  <c r="V200" i="1"/>
  <c r="Y200" i="1"/>
  <c r="X201" i="1"/>
  <c r="AB201" i="1"/>
  <c r="AA202" i="1"/>
  <c r="W203" i="1"/>
  <c r="Z203" i="1"/>
  <c r="V205" i="1"/>
  <c r="Y205" i="1"/>
  <c r="X211" i="1"/>
  <c r="AB211" i="1"/>
  <c r="AA216" i="1"/>
  <c r="W217" i="1"/>
  <c r="Z217" i="1"/>
  <c r="V219" i="1"/>
  <c r="Y219" i="1"/>
  <c r="X220" i="1"/>
  <c r="AB220" i="1"/>
  <c r="AA223" i="1"/>
  <c r="W224" i="1"/>
  <c r="Z224" i="1"/>
  <c r="V225" i="1"/>
  <c r="Y225" i="1"/>
  <c r="X226" i="1"/>
  <c r="AB226" i="1"/>
  <c r="AA230" i="1"/>
  <c r="W231" i="1"/>
  <c r="Z231" i="1"/>
  <c r="V238" i="1"/>
  <c r="Y238" i="1"/>
  <c r="X240" i="1"/>
  <c r="AB240" i="1"/>
  <c r="AA241" i="1"/>
  <c r="W250" i="1"/>
  <c r="Z250" i="1"/>
  <c r="V251" i="1"/>
  <c r="Y251" i="1"/>
  <c r="X252" i="1"/>
  <c r="AB252" i="1"/>
  <c r="AA253" i="1"/>
  <c r="W254" i="1"/>
  <c r="Z254" i="1"/>
  <c r="V255" i="1"/>
  <c r="Y255" i="1"/>
  <c r="X262" i="1"/>
  <c r="AB262" i="1"/>
  <c r="AA264" i="1"/>
  <c r="W335" i="1"/>
  <c r="Z335" i="1"/>
  <c r="W356" i="1"/>
  <c r="X356" i="1"/>
  <c r="Z356" i="1"/>
  <c r="AB356" i="1"/>
  <c r="V374" i="1"/>
  <c r="Y374" i="1"/>
  <c r="AA374" i="1"/>
  <c r="V34" i="1"/>
  <c r="Y34" i="1"/>
  <c r="AA34" i="1"/>
  <c r="AB35" i="1"/>
  <c r="AA36" i="1"/>
  <c r="Z64" i="1"/>
  <c r="Y65" i="1"/>
  <c r="W68" i="1"/>
  <c r="AB69" i="1"/>
  <c r="Z75" i="1"/>
  <c r="Y78" i="1"/>
  <c r="X80" i="1"/>
  <c r="W84" i="1"/>
  <c r="V87" i="1"/>
  <c r="AB91" i="1"/>
  <c r="AA93" i="1"/>
  <c r="Z94" i="1"/>
  <c r="Y100" i="1"/>
  <c r="X104" i="1"/>
  <c r="W115" i="1"/>
  <c r="V116" i="1"/>
  <c r="AB117" i="1"/>
  <c r="AA119" i="1"/>
  <c r="Z120" i="1"/>
  <c r="Y122" i="1"/>
  <c r="X123" i="1"/>
  <c r="W125" i="1"/>
  <c r="V128" i="1"/>
  <c r="AB129" i="1"/>
  <c r="AA130" i="1"/>
  <c r="Z131" i="1"/>
  <c r="Y133" i="1"/>
  <c r="X134" i="1"/>
  <c r="W138" i="1"/>
  <c r="V140" i="1"/>
  <c r="AB136" i="1"/>
  <c r="AA143" i="1"/>
  <c r="Z144" i="1"/>
  <c r="Y145" i="1"/>
  <c r="X118" i="1"/>
  <c r="W178" i="1"/>
  <c r="V179" i="1"/>
  <c r="AB156" i="1"/>
  <c r="AA159" i="1"/>
  <c r="Z160" i="1"/>
  <c r="Y161" i="1"/>
  <c r="X166" i="1"/>
  <c r="W187" i="1"/>
  <c r="V198" i="1"/>
  <c r="AB198" i="1"/>
  <c r="AA200" i="1"/>
  <c r="W201" i="1"/>
  <c r="Z201" i="1"/>
  <c r="V202" i="1"/>
  <c r="Y202" i="1"/>
  <c r="X203" i="1"/>
  <c r="AB203" i="1"/>
  <c r="AA205" i="1"/>
  <c r="W211" i="1"/>
  <c r="Z211" i="1"/>
  <c r="V216" i="1"/>
  <c r="Y216" i="1"/>
  <c r="X217" i="1"/>
  <c r="AB217" i="1"/>
  <c r="AA219" i="1"/>
  <c r="W220" i="1"/>
  <c r="Z220" i="1"/>
  <c r="V223" i="1"/>
  <c r="Y223" i="1"/>
  <c r="X224" i="1"/>
  <c r="AB224" i="1"/>
  <c r="AA225" i="1"/>
  <c r="W226" i="1"/>
  <c r="Z226" i="1"/>
  <c r="V230" i="1"/>
  <c r="Y230" i="1"/>
  <c r="X231" i="1"/>
  <c r="AB231" i="1"/>
  <c r="AA238" i="1"/>
  <c r="W240" i="1"/>
  <c r="Z240" i="1"/>
  <c r="V241" i="1"/>
  <c r="Y241" i="1"/>
  <c r="X250" i="1"/>
  <c r="AB250" i="1"/>
  <c r="AA251" i="1"/>
  <c r="W252" i="1"/>
  <c r="Z252" i="1"/>
  <c r="V253" i="1"/>
  <c r="Y253" i="1"/>
  <c r="X254" i="1"/>
  <c r="AB254" i="1"/>
  <c r="AA255" i="1"/>
  <c r="W262" i="1"/>
  <c r="Z262" i="1"/>
  <c r="V264" i="1"/>
  <c r="Y264" i="1"/>
  <c r="X335" i="1"/>
  <c r="AB335" i="1"/>
  <c r="V356" i="1"/>
  <c r="Y356" i="1"/>
  <c r="AA356" i="1"/>
  <c r="W374" i="1"/>
  <c r="X374" i="1"/>
  <c r="Z374" i="1"/>
  <c r="AB374" i="1"/>
  <c r="W34" i="1"/>
  <c r="X34" i="1"/>
  <c r="Z34" i="1"/>
  <c r="AB34" i="1"/>
  <c r="V375" i="1" l="1"/>
  <c r="V2" i="1" s="1"/>
  <c r="Z375" i="1"/>
  <c r="Z2" i="1" s="1"/>
  <c r="W375" i="1"/>
  <c r="W2" i="1" s="1"/>
  <c r="AA375" i="1"/>
  <c r="AA2" i="1" s="1"/>
  <c r="X375" i="1"/>
  <c r="X2" i="1" s="1"/>
  <c r="AB375" i="1"/>
  <c r="AB2" i="1" s="1"/>
  <c r="Y375" i="1"/>
  <c r="Y2" i="1" s="1"/>
  <c r="AC377" i="1"/>
  <c r="AC2" i="1" s="1"/>
</calcChain>
</file>

<file path=xl/sharedStrings.xml><?xml version="1.0" encoding="utf-8"?>
<sst xmlns="http://schemas.openxmlformats.org/spreadsheetml/2006/main" count="1273" uniqueCount="498">
  <si>
    <t>Fajta</t>
  </si>
  <si>
    <t>Árpa</t>
  </si>
  <si>
    <t>Zab</t>
  </si>
  <si>
    <t>Összesen:</t>
  </si>
  <si>
    <t>Durum búza</t>
  </si>
  <si>
    <t>Tritikálé</t>
  </si>
  <si>
    <t>Árpa (hántolt)</t>
  </si>
  <si>
    <t>Rozs</t>
  </si>
  <si>
    <t>Ár</t>
  </si>
  <si>
    <t>Kg</t>
  </si>
  <si>
    <t>Ca</t>
  </si>
  <si>
    <t>P</t>
  </si>
  <si>
    <t>Rizs (hántolatlan)</t>
  </si>
  <si>
    <t>Só</t>
  </si>
  <si>
    <t>Komfort mix</t>
  </si>
  <si>
    <t>Ft/Kg</t>
  </si>
  <si>
    <t>Ft</t>
  </si>
  <si>
    <t>%</t>
  </si>
  <si>
    <t>Tyúk</t>
  </si>
  <si>
    <t>Fürj</t>
  </si>
  <si>
    <t>Fácán</t>
  </si>
  <si>
    <t>Pulyka</t>
  </si>
  <si>
    <t>Fogoly</t>
  </si>
  <si>
    <t>Kacsa</t>
  </si>
  <si>
    <t>Liba</t>
  </si>
  <si>
    <t>Táp típus</t>
  </si>
  <si>
    <t>Állat</t>
  </si>
  <si>
    <t>indító</t>
  </si>
  <si>
    <t>nevelő</t>
  </si>
  <si>
    <t>befejező</t>
  </si>
  <si>
    <t>hízlaló</t>
  </si>
  <si>
    <t>Lucerna (liszt) I.o.</t>
  </si>
  <si>
    <t>Lucerna (liszt) II.o.</t>
  </si>
  <si>
    <t>Lucerna pellet</t>
  </si>
  <si>
    <t>ME MJ/kg</t>
  </si>
  <si>
    <t>Nyers fehérje</t>
  </si>
  <si>
    <t>Ners zsír</t>
  </si>
  <si>
    <t>Nyers rost</t>
  </si>
  <si>
    <t>Lóbab</t>
  </si>
  <si>
    <t>Repce</t>
  </si>
  <si>
    <t>Gabonamagvak</t>
  </si>
  <si>
    <t>Csillagfürt édes</t>
  </si>
  <si>
    <t>Hüvelyes magvak</t>
  </si>
  <si>
    <t>Olajos magvak</t>
  </si>
  <si>
    <t>Magvak és termések</t>
  </si>
  <si>
    <t>Búzacsíra</t>
  </si>
  <si>
    <t>Búzakorpa</t>
  </si>
  <si>
    <t>Búza takarmány liszt</t>
  </si>
  <si>
    <t>Kukoricacsíra</t>
  </si>
  <si>
    <t>kukorica korpa</t>
  </si>
  <si>
    <t>Kukorica takarmányliszt</t>
  </si>
  <si>
    <t>Malomipari takarmányok</t>
  </si>
  <si>
    <t>Lizin</t>
  </si>
  <si>
    <t>Metionin</t>
  </si>
  <si>
    <t>Extrahált gyapotmagdara</t>
  </si>
  <si>
    <t>Melasz</t>
  </si>
  <si>
    <t xml:space="preserve">Sör és szeszipari </t>
  </si>
  <si>
    <t>Keményítőgyári</t>
  </si>
  <si>
    <t>Olajipari</t>
  </si>
  <si>
    <t>Cukor ip.</t>
  </si>
  <si>
    <t>Baromfi ipari húspép</t>
  </si>
  <si>
    <t xml:space="preserve">Dán halliszt </t>
  </si>
  <si>
    <t>Északi tengeri halliszt (és FR)</t>
  </si>
  <si>
    <t>Sertés hemoglobin</t>
  </si>
  <si>
    <t>Lengyel halliszt (spanyol)</t>
  </si>
  <si>
    <t xml:space="preserve">Állati eredetű </t>
  </si>
  <si>
    <t>Növényi</t>
  </si>
  <si>
    <t>Ipari termékek vagy melléktermékek</t>
  </si>
  <si>
    <t>Ásványi anyag kiegészítés</t>
  </si>
  <si>
    <t>Befejező koncentrátum 30%</t>
  </si>
  <si>
    <t>Nevelő koncentrátum 30%</t>
  </si>
  <si>
    <t>Indító koncentrátum 35%</t>
  </si>
  <si>
    <t>Bábolna</t>
  </si>
  <si>
    <t>Brojler Indító koncentrátum 35%</t>
  </si>
  <si>
    <t>Brojler nevelő koncentrátum 30%</t>
  </si>
  <si>
    <t>Brojler befejező koncentrátum 25%</t>
  </si>
  <si>
    <t>Tojó extra premix 5%</t>
  </si>
  <si>
    <t>Tojó extra premix 1,25%</t>
  </si>
  <si>
    <t>Purina</t>
  </si>
  <si>
    <t>Takarmány kiegészítők</t>
  </si>
  <si>
    <t>MJ/kg</t>
  </si>
  <si>
    <t>indító 0%</t>
  </si>
  <si>
    <t>nevelő 2-10%</t>
  </si>
  <si>
    <t>tojó 10%</t>
  </si>
  <si>
    <t>Pulyka 10%</t>
  </si>
  <si>
    <t>brojler 10%</t>
  </si>
  <si>
    <t>tojó 15%</t>
  </si>
  <si>
    <t>pulyka 10%</t>
  </si>
  <si>
    <t>Árpa (sör)</t>
  </si>
  <si>
    <t>Bab (apró fehér)</t>
  </si>
  <si>
    <t>Borsó (zöld)</t>
  </si>
  <si>
    <t>Borsó (sárga)</t>
  </si>
  <si>
    <t>Bükköny</t>
  </si>
  <si>
    <t>Dió bél</t>
  </si>
  <si>
    <t>Fenyőmag</t>
  </si>
  <si>
    <t>Fény mag</t>
  </si>
  <si>
    <t>Hajdina</t>
  </si>
  <si>
    <t>Kendermag</t>
  </si>
  <si>
    <t>Kukorica (átlag)</t>
  </si>
  <si>
    <t>Kukoprica (csemege)</t>
  </si>
  <si>
    <t>Kukorica (pattogtatni való)</t>
  </si>
  <si>
    <t>Len mag</t>
  </si>
  <si>
    <t>Napraforgó (hántolt)</t>
  </si>
  <si>
    <t>Napraforgó (csíkos)</t>
  </si>
  <si>
    <t>Napraforgó (fekete átl.)</t>
  </si>
  <si>
    <t>Rizs (hántolt)</t>
  </si>
  <si>
    <t>Sáfrányos szeklice</t>
  </si>
  <si>
    <t>Szezám mag</t>
  </si>
  <si>
    <t>Tojás (főtt)</t>
  </si>
  <si>
    <t>Szódabikarbóna</t>
  </si>
  <si>
    <t>Aszkorbinsav</t>
  </si>
  <si>
    <t>A só egy részét helyettesíti ha teszünk bele</t>
  </si>
  <si>
    <t xml:space="preserve">  </t>
  </si>
  <si>
    <t>Túró</t>
  </si>
  <si>
    <t>Agrifirm</t>
  </si>
  <si>
    <t>Nyáron ez eltérhet a minimum mennyiségtől</t>
  </si>
  <si>
    <t>Brojler indító premix 4%</t>
  </si>
  <si>
    <t>Brojler nevelő premix 3,5%</t>
  </si>
  <si>
    <t>Brojler befejező premix 3%</t>
  </si>
  <si>
    <t>Vitafort</t>
  </si>
  <si>
    <t>Emu</t>
  </si>
  <si>
    <t>Strucc</t>
  </si>
  <si>
    <t>Nandu</t>
  </si>
  <si>
    <t>tenyész</t>
  </si>
  <si>
    <t>Csontliszt</t>
  </si>
  <si>
    <t>Saját beltartalom:</t>
  </si>
  <si>
    <t>Ners zsír min.</t>
  </si>
  <si>
    <t>Katona légy lárva nyers (BSFL)</t>
  </si>
  <si>
    <t>Katona légy lárva liszt (BSFL)</t>
  </si>
  <si>
    <t>Réti széna pellet</t>
  </si>
  <si>
    <t>Mák kék</t>
  </si>
  <si>
    <t>Zabpehely</t>
  </si>
  <si>
    <t>Búza (átlag)</t>
  </si>
  <si>
    <t>Kokcifos</t>
  </si>
  <si>
    <t>Ennyit akarok keverni:</t>
  </si>
  <si>
    <t>Gyógy. adalék</t>
  </si>
  <si>
    <t>Adalék típus</t>
  </si>
  <si>
    <t>Súly</t>
  </si>
  <si>
    <t>Tökmag</t>
  </si>
  <si>
    <t>Tökmag héj nélküli</t>
  </si>
  <si>
    <t>Főtt cukorrépa</t>
  </si>
  <si>
    <t>Borsó (átlag)</t>
  </si>
  <si>
    <t>Extrahált szójadara (53,9%)</t>
  </si>
  <si>
    <t>Extrahált szójadara (51,8%)</t>
  </si>
  <si>
    <t>Extrahált szójadara (45%)</t>
  </si>
  <si>
    <t>Sörélesztő I.o. (53,9%)</t>
  </si>
  <si>
    <t>Szeszipari élesztő (45%)</t>
  </si>
  <si>
    <t>Extrahált földimogyoró közepes</t>
  </si>
  <si>
    <t>Extrahált földimogyoró jó</t>
  </si>
  <si>
    <t>kg</t>
  </si>
  <si>
    <t>Min</t>
  </si>
  <si>
    <t>Max</t>
  </si>
  <si>
    <t>Tojást zöldre színezheti, szagosíthatja ezért inkább viziszárnyasoknak ajánlják.</t>
  </si>
  <si>
    <t>Ügyeljünk arra, hogy a baromfi tápban 10%-ot, míg a sertés tápban 20%-ot ne haladja meg a hüvelyesek összessége, ami ezekben a sorokban vannak. Ha édes csillagfürtöt tartalmaz a hüvelyes, akkor plusz 5%-al számolhatunk, tehát brmfi 15%.</t>
  </si>
  <si>
    <r>
      <t>Szójabab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rgb="FFFF0000"/>
        <rFont val="Calibri"/>
        <family val="2"/>
        <charset val="238"/>
        <scheme val="minor"/>
      </rPr>
      <t>(csak hőkezelés után etethető)</t>
    </r>
  </si>
  <si>
    <t>Takarmány mész (liszt, gríz, gritt)</t>
  </si>
  <si>
    <t>ZOOLIT / ZEOLIT ásványi takarmány</t>
  </si>
  <si>
    <t>Receptúra a csomagoláson.</t>
  </si>
  <si>
    <t>Sano</t>
  </si>
  <si>
    <t>QQRQ tojó koncentrátum 30%</t>
  </si>
  <si>
    <t>Big egg 1,25% tojó premix</t>
  </si>
  <si>
    <t>Broiler premix 1,5% (indító/nevelőhöz)</t>
  </si>
  <si>
    <t>Broiler premix 3,5% (indító/nevelőhöz)</t>
  </si>
  <si>
    <t>Poultry premix 1,5% (befejező/hízlaló)</t>
  </si>
  <si>
    <t>Poultry premix 3% (befejező/hízlaló)</t>
  </si>
  <si>
    <t>Nádudvari</t>
  </si>
  <si>
    <t>Napraforgó olaj</t>
  </si>
  <si>
    <t>Szójaolaj</t>
  </si>
  <si>
    <t>Repceolaj</t>
  </si>
  <si>
    <t>Premix</t>
  </si>
  <si>
    <t>Gyógynövények és fűszerek</t>
  </si>
  <si>
    <t>Zöldtakarmányok</t>
  </si>
  <si>
    <t>Szárított növények</t>
  </si>
  <si>
    <t>Bazsalikom</t>
  </si>
  <si>
    <t>Borsmenta</t>
  </si>
  <si>
    <t>Csalán</t>
  </si>
  <si>
    <t>Cickafark</t>
  </si>
  <si>
    <t>Csipkebogyó</t>
  </si>
  <si>
    <t>Echinacea (kasvirág)</t>
  </si>
  <si>
    <t>Édeskömény</t>
  </si>
  <si>
    <t>Fahéj</t>
  </si>
  <si>
    <t>Fokhagymapor</t>
  </si>
  <si>
    <t>Gyermekláncfű</t>
  </si>
  <si>
    <t>Kakukkfű</t>
  </si>
  <si>
    <t>Kapor mag</t>
  </si>
  <si>
    <t>Kapor levél</t>
  </si>
  <si>
    <t>Koriander</t>
  </si>
  <si>
    <t>Levendula</t>
  </si>
  <si>
    <t>Majoranna</t>
  </si>
  <si>
    <t>Máriatövis</t>
  </si>
  <si>
    <t>Oregánó</t>
  </si>
  <si>
    <t>Petrezselyem</t>
  </si>
  <si>
    <t>Rozmaring</t>
  </si>
  <si>
    <t>Szegfűszeg</t>
  </si>
  <si>
    <t>Szurokfű</t>
  </si>
  <si>
    <t>Tárkony</t>
  </si>
  <si>
    <t>Zsálya</t>
  </si>
  <si>
    <t>nem</t>
  </si>
  <si>
    <t>ismert</t>
  </si>
  <si>
    <t>Napraforgó, borsó koncentrátum</t>
  </si>
  <si>
    <t>30% mellett borsó napraforgó már nem kell</t>
  </si>
  <si>
    <t>Purimix tojó szuperkoncentrátum 10%</t>
  </si>
  <si>
    <t>ENERGYS</t>
  </si>
  <si>
    <t>PIG UNI 15 sertés koncentrátum</t>
  </si>
  <si>
    <t>Sertés 35 kg-ig -&gt; 16% PIG UNI 15, 25% árpa, 59% búza/Sertés 35 - 65 kg-ig 14% PIG UNI 15, 46% árpa, 40% búza/Sertés 65 kg felett 11% PIG UNI 15, 60% árpa, 29% búza</t>
  </si>
  <si>
    <t>Baromfi UNI 30 univerzális koncentrátum</t>
  </si>
  <si>
    <t>Monokalcium foszfát (MCP)</t>
  </si>
  <si>
    <t>Takarmánysó</t>
  </si>
  <si>
    <t>Tojó koncentrátum 30%</t>
  </si>
  <si>
    <t>Farmer mix prémium tojó konc 30-35%</t>
  </si>
  <si>
    <t>Koncent.</t>
  </si>
  <si>
    <t>Gyöngytyúk</t>
  </si>
  <si>
    <t>Extrahált repcedara (37,8%)</t>
  </si>
  <si>
    <t>Extrahált lenmagdara (32,9%)</t>
  </si>
  <si>
    <t>Borsós takarmánykeverék granulátum</t>
  </si>
  <si>
    <t>Nyúl</t>
  </si>
  <si>
    <t>Tojássárgája por</t>
  </si>
  <si>
    <t>Tojás fehérje por</t>
  </si>
  <si>
    <t>Tojás egész por</t>
  </si>
  <si>
    <t>Ovo-Stim Immuno</t>
  </si>
  <si>
    <t>magmix</t>
  </si>
  <si>
    <t>Szőlőmag pellet</t>
  </si>
  <si>
    <t>Hántolt formában nagyobb mennyiség is mehet a keverékbe.</t>
  </si>
  <si>
    <t>20% fölötti bekeverésnél NSP enzim használata javasolt.</t>
  </si>
  <si>
    <t>25% fölötti bekeverésnél XILÁZ enzim használata javasolt.</t>
  </si>
  <si>
    <t>15% fölötti bekeverésnél GLÜKANÁZ enzim használata javasolt.</t>
  </si>
  <si>
    <t>A kukorica egy részét helyettesíti 5-10% ig.</t>
  </si>
  <si>
    <t>Tanninszegény lóbabból 25% is lehet.</t>
  </si>
  <si>
    <t>Proteáz enzim hozzáadásával 36-38% ig felmehet.</t>
  </si>
  <si>
    <t>Extrahált szójadara (43%)</t>
  </si>
  <si>
    <t>A tollképződésre jó hatással van tollváltáskor.</t>
  </si>
  <si>
    <t>Tojó előkészítő és tojótápokba ajánlott csak.</t>
  </si>
  <si>
    <t>Aflatoxin tartalma miatt, baromfival főleg kacsával nem etethető.</t>
  </si>
  <si>
    <t>Brojler takarmányokba max 2-3% mehet.</t>
  </si>
  <si>
    <t>Sertészsír</t>
  </si>
  <si>
    <t>Korcsoporttól függően a kukoricát helyettesíti 20-50%-ban. Kukoricával ellentétben nincs benne színező anyag</t>
  </si>
  <si>
    <t>tojó 1</t>
  </si>
  <si>
    <t>tojó 2</t>
  </si>
  <si>
    <t>tojó 3</t>
  </si>
  <si>
    <t>IntraPro .</t>
  </si>
  <si>
    <t>Vita-Pro 68 vagy PL-68 feh. Konc.</t>
  </si>
  <si>
    <t>Qualifeed</t>
  </si>
  <si>
    <t xml:space="preserve">Árutojó kpr. 3% + színező </t>
  </si>
  <si>
    <t>Árutojó koncentrátum 30%</t>
  </si>
  <si>
    <t>Pulyka indító kpr. 5%</t>
  </si>
  <si>
    <t>Pulyka nevelő-befejező kpr. 4%</t>
  </si>
  <si>
    <t>Víziszárnyas indító-nevelő pr. 2,5%</t>
  </si>
  <si>
    <t>Víziszárnyas tojó pr. 2%</t>
  </si>
  <si>
    <t>Strucc indító-nevelő kpr. 4%</t>
  </si>
  <si>
    <t>Malac starter supplement 10% probio</t>
  </si>
  <si>
    <t>Malac nevelő kpr. 3,5%</t>
  </si>
  <si>
    <t>Hízósertés kpr. 3% (cikksz: 420-500)</t>
  </si>
  <si>
    <t>Hízósertés kpr. 3% (cikksz: 420-502)</t>
  </si>
  <si>
    <t>Hízó kpr. 3% (cikksz: 420-503)</t>
  </si>
  <si>
    <t>Hízósertés kpr. 3% (cikksz: 420-508)</t>
  </si>
  <si>
    <t>Szoptatókoca kpr. 3,5% (cikksz: 420-201)</t>
  </si>
  <si>
    <t>Vemheskoca kpr. 3,5% (cikksz: 420-100)</t>
  </si>
  <si>
    <t>Hízómarha kpr. 4% + aroma</t>
  </si>
  <si>
    <t>Tejelőtehén kpr. 4% + aroma</t>
  </si>
  <si>
    <t>Szárazonálló tehén pr. 2%</t>
  </si>
  <si>
    <t>Üsző pr. 1,5%</t>
  </si>
  <si>
    <t>Polmass KM tejelőtehén premix</t>
  </si>
  <si>
    <t>Szászi MEGA tojó koncentrátum</t>
  </si>
  <si>
    <t>Gyógynövény</t>
  </si>
  <si>
    <t>Gyógyszer</t>
  </si>
  <si>
    <t>Hajdina (hántolt)</t>
  </si>
  <si>
    <t>Köles (hántolt)</t>
  </si>
  <si>
    <t>Tönköly búza</t>
  </si>
  <si>
    <t>Tönkölybúza (hántolt)</t>
  </si>
  <si>
    <t>25% fölötti bekeverésnél XILÁZ és GLÜKANÁZ enzim használata javasolt.</t>
  </si>
  <si>
    <t>Zab (hántolt)</t>
  </si>
  <si>
    <t>Salvana Tojó premix 2%</t>
  </si>
  <si>
    <t>Van</t>
  </si>
  <si>
    <t>kondícionáló</t>
  </si>
  <si>
    <t>Szójapehely (33%)</t>
  </si>
  <si>
    <t>OVOCOLOR 1%</t>
  </si>
  <si>
    <t>Magkeverékek</t>
  </si>
  <si>
    <t>Csőrike magmix</t>
  </si>
  <si>
    <t>6 magos galamb mix</t>
  </si>
  <si>
    <t>Borsót már nem szabad hozzá tenni!</t>
  </si>
  <si>
    <t>Purimix tojó plusz koncentrátum 26%</t>
  </si>
  <si>
    <t>ASF trade Tojó intenzív előkeverék 30%</t>
  </si>
  <si>
    <t>Extrahált szójadara (48%)</t>
  </si>
  <si>
    <t>0,2% fölött tartalmaz anyanyrozst az rontja a termékenységet, sőt meddőséget is okozhat.</t>
  </si>
  <si>
    <t>Diamond 78 baktérium fehérjeliszt</t>
  </si>
  <si>
    <t>KSP-631 Hízó sertés premix 3%</t>
  </si>
  <si>
    <t>Sertés extra hízlaló komplett premix 3%</t>
  </si>
  <si>
    <t>Galamb</t>
  </si>
  <si>
    <t>Borsós napraforgós keverék</t>
  </si>
  <si>
    <t>Lisztkukac szárított</t>
  </si>
  <si>
    <t>Feed SAEFETY FS broiler indító px 2%</t>
  </si>
  <si>
    <t>ISV</t>
  </si>
  <si>
    <t>Broiler starter KPR. +szalinomicin 3,5%</t>
  </si>
  <si>
    <t>Tenyésztojó KPR. +színező 4%</t>
  </si>
  <si>
    <t>RoBIOmix</t>
  </si>
  <si>
    <t>Broiler előkeverék 2%</t>
  </si>
  <si>
    <t>Tojótyúk premix 5%</t>
  </si>
  <si>
    <t>Keszőhidegkúti</t>
  </si>
  <si>
    <t>Baromfi koncentrátum</t>
  </si>
  <si>
    <t>Fehérje-energia koncentrátum</t>
  </si>
  <si>
    <t>Külföldi</t>
  </si>
  <si>
    <t>Egyéb alapanyag</t>
  </si>
  <si>
    <t>Egyéb kiegészítők</t>
  </si>
  <si>
    <t>Univit-B (enzimek nélküli premix)</t>
  </si>
  <si>
    <t>Gyengébb, mint a Nutrifort3 vagy az UnivetB</t>
  </si>
  <si>
    <t>Nosnice vitaminos (enzimek nélküli kpr.)</t>
  </si>
  <si>
    <t>Mineral (ásványi kiegészítő)</t>
  </si>
  <si>
    <t>Mészkő őrlemény</t>
  </si>
  <si>
    <t>Mikros (Cseh)</t>
  </si>
  <si>
    <t>Páva</t>
  </si>
  <si>
    <t>Díszmadár</t>
  </si>
  <si>
    <t>Sertés</t>
  </si>
  <si>
    <t>Itt kell kiválasztani a megfelelő paramétereket!</t>
  </si>
  <si>
    <t>Ehhez a táphoz szeretném hasonlítani a sajátomat (tápok beltartalma fülről a táp sorszáma):</t>
  </si>
  <si>
    <r>
      <t>Jó számolást!</t>
    </r>
    <r>
      <rPr>
        <b/>
        <sz val="8"/>
        <color theme="1"/>
        <rFont val="Calibri"/>
        <family val="2"/>
        <charset val="238"/>
        <scheme val="minor"/>
      </rPr>
      <t xml:space="preserve"> (amennyiben nem boldogulsz, kérd a segítségemet!)</t>
    </r>
  </si>
  <si>
    <t>Cirok szemes (fehér és vörös)</t>
  </si>
  <si>
    <t>nincs</t>
  </si>
  <si>
    <t>Négermag</t>
  </si>
  <si>
    <t>Szójabab hőkezelt (38%)</t>
  </si>
  <si>
    <t>Nagyhegyesi szójásdara kieg. Tak.</t>
  </si>
  <si>
    <t>Zala cerália</t>
  </si>
  <si>
    <t>Árutojó koncentrátum</t>
  </si>
  <si>
    <t>ÁT-10 intenzív tojó koncentrátum</t>
  </si>
  <si>
    <t>Csirke nevelő koncentrátum 27%</t>
  </si>
  <si>
    <t>Intenzív árutojó II. konc. 35%</t>
  </si>
  <si>
    <t>Tojó premix 5%</t>
  </si>
  <si>
    <t>Napraforgó pogácsa/pellet/dara (38%)</t>
  </si>
  <si>
    <t>Napraforgó pogácsa/pellet/dara (36%)</t>
  </si>
  <si>
    <t>Napraforgó pogácsa/pellet/dara (34%)</t>
  </si>
  <si>
    <r>
      <t xml:space="preserve">Extrahált napraforgódara (34%) 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</si>
  <si>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Ners zsír (max 6%)</t>
  </si>
  <si>
    <t>Nyers rost (max 8%)</t>
  </si>
  <si>
    <t>Megnevezés</t>
  </si>
  <si>
    <t>A táblázatban nem fellelhető saját bekeverendő alapanyag(aim)  -------&gt;</t>
  </si>
  <si>
    <t>Napraforgó pogácsa/pellet/dara (32%)</t>
  </si>
  <si>
    <r>
      <t>Héjtalanított napraf. pellet (44%)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</si>
  <si>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Borsós (90%) napraforgós keverék</t>
  </si>
  <si>
    <t>Gaztatáp koncentrátum 20-30%</t>
  </si>
  <si>
    <t>Nutrafort-3 (enzimek nélküli premix)</t>
  </si>
  <si>
    <t>Extrahált napraforgódara (40%)</t>
  </si>
  <si>
    <t>NT70 növényi fehérje liszt</t>
  </si>
  <si>
    <t>Tojáshéj</t>
  </si>
  <si>
    <t>húshibrid</t>
  </si>
  <si>
    <t>tojóhibrid</t>
  </si>
  <si>
    <t>kistestű</t>
  </si>
  <si>
    <t>egyedi igényű</t>
  </si>
  <si>
    <t>Típus</t>
  </si>
  <si>
    <t>Nyomtatható recept fejléc adatok</t>
  </si>
  <si>
    <t>Héjtalanított napraf. pellet (52%)</t>
  </si>
  <si>
    <t>Fürj koncentrátum 25-30%</t>
  </si>
  <si>
    <r>
      <t xml:space="preserve">Extrahált szójadara (46%)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</si>
  <si>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r>
      <t xml:space="preserve">Sörélesztő II.o. (40%)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</si>
  <si>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Extrahált szójadara (44%)</t>
  </si>
  <si>
    <t>MEGSZŰNT!!!</t>
  </si>
  <si>
    <t>Lenmag liszt (32,5%)</t>
  </si>
  <si>
    <t>Tökmag pogácsa/pellet/Liszt (58%)</t>
  </si>
  <si>
    <t>Tökmag pogácsa/pellet/Liszt (56,5%)</t>
  </si>
  <si>
    <t>Tökmag pogácsa/pellet/Liszt (42%)</t>
  </si>
  <si>
    <t>Kukoricaglutén(búza hasonló) (60%)</t>
  </si>
  <si>
    <t>Extrahált kukoricacsíra dara (25,7%)</t>
  </si>
  <si>
    <t>CGF (22,5%)</t>
  </si>
  <si>
    <t>DDGS búza (17%)</t>
  </si>
  <si>
    <t>DDGS kukorica (23,3%)</t>
  </si>
  <si>
    <t>Búzacsíra pogácsa (33%)</t>
  </si>
  <si>
    <t>Kukoricacsíra pogácsa (22%)</t>
  </si>
  <si>
    <t>Takarmányélesztő (48,9%)</t>
  </si>
  <si>
    <t>Malátacsíra pellet (20%)</t>
  </si>
  <si>
    <t>Kukorica moslék (29%)</t>
  </si>
  <si>
    <t>Kukorica törköly (21,3%)</t>
  </si>
  <si>
    <t>Malátacsíra (28,5%)</t>
  </si>
  <si>
    <t>Sörtörköly szárított (26,7%)</t>
  </si>
  <si>
    <t>Kukoricacsíra dara</t>
  </si>
  <si>
    <t>Méz (vagy méz melléktermék)</t>
  </si>
  <si>
    <t>AP-17</t>
  </si>
  <si>
    <t>Kafocit (DOVIT)</t>
  </si>
  <si>
    <t>Köles (fehér, sárga, vörös)</t>
  </si>
  <si>
    <t>Broilereknek nem ajánlott</t>
  </si>
  <si>
    <t>Lencse (Vörös, zöld)</t>
  </si>
  <si>
    <t>Lizin és metionin aránya 2:1.</t>
  </si>
  <si>
    <t>Sörélesztő I.o. (45%)</t>
  </si>
  <si>
    <t>Purimix tojó extra koncentrátum 26%</t>
  </si>
  <si>
    <t>Másik táp</t>
  </si>
  <si>
    <t>Kukoricakeményítő (0,7%)</t>
  </si>
  <si>
    <r>
      <t xml:space="preserve">Extrahált repcedara (min. 31%)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</si>
  <si>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Diamond 75 baktérium fehérjeliszt</t>
  </si>
  <si>
    <r>
      <t xml:space="preserve">Extrahált szójadara (46,45%) </t>
    </r>
    <r>
      <rPr>
        <b/>
        <sz val="11"/>
        <color rgb="FFFF0000"/>
        <rFont val="Calibri"/>
        <family val="2"/>
        <charset val="238"/>
        <scheme val="minor"/>
      </rPr>
      <t>(PURINA)</t>
    </r>
  </si>
  <si>
    <t>Cargil etalon extra tojó premix 4%</t>
  </si>
  <si>
    <t>Broiler Clinacox (indító/nevelőhöz)(GY)</t>
  </si>
  <si>
    <t>Baromfi fajta sorszáma a fajták lapfülről:</t>
  </si>
  <si>
    <t>Agrogold roppantott takarmány keverék</t>
  </si>
  <si>
    <t>&lt;- extra infó!</t>
  </si>
  <si>
    <t>Ny. fehérje</t>
  </si>
  <si>
    <t>Napraforgó pogácsa/pellet/dara (23%)</t>
  </si>
  <si>
    <r>
      <t xml:space="preserve">Extrahált szójadara (45,5%) 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</si>
  <si>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házi tojó</t>
  </si>
  <si>
    <t>Szójabab hőkezelt (36%)</t>
  </si>
  <si>
    <t>Zöld</t>
  </si>
  <si>
    <t>Száraz pékárú (kenyérfélék)</t>
  </si>
  <si>
    <t>HIBÁS</t>
  </si>
  <si>
    <t>Növényi zsírpor</t>
  </si>
  <si>
    <t>Állati zsírpor</t>
  </si>
  <si>
    <t>Vitapol Pulvis (huminsavas kieg.)</t>
  </si>
  <si>
    <t>Szárított almatörköly</t>
  </si>
  <si>
    <r>
      <t xml:space="preserve">Burgonya fehérje (80%)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</si>
  <si>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Réti here (lóhere/vörös here) szénája</t>
  </si>
  <si>
    <t>Tojó premix (211-889) több színező 2,5%</t>
  </si>
  <si>
    <t>Tojó premix (211-893) színező 2,5%</t>
  </si>
  <si>
    <t>Hidegen sajtolt lenmagdara (18%)</t>
  </si>
  <si>
    <t>Versele</t>
  </si>
  <si>
    <t>Versele Laga tojó koncentrátum 40%</t>
  </si>
  <si>
    <r>
      <t>Extrahált napraforgódara (36%)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</si>
  <si>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Extrahált szójadara (34%)</t>
  </si>
  <si>
    <t>KRN 3045-0/XXEFi árutojó premix 3%</t>
  </si>
  <si>
    <t>Feed SAEFETY NP árutojó B/R14 kp 2%</t>
  </si>
  <si>
    <t>Sunpro46 extrahált napraforgódara (46%)</t>
  </si>
  <si>
    <t>0-7 napos kor között maximum 10% adagolható.</t>
  </si>
  <si>
    <r>
      <t xml:space="preserve">Kukoricaglutén (58,5%)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</si>
  <si>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r>
      <t xml:space="preserve">DDGS kukorica (30%)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</si>
  <si>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t>B&amp;T árutojó koncentrátum  35-40%</t>
  </si>
  <si>
    <t>HUNLAND Top tojó koncentrátum 25-30%</t>
  </si>
  <si>
    <t>Extrahált napraforgódara (35,5%)</t>
  </si>
  <si>
    <t>SoyFree</t>
  </si>
  <si>
    <t>Feedlab árutojó premix 3%</t>
  </si>
  <si>
    <t>kettősh.-2,5kg</t>
  </si>
  <si>
    <t>kettősh.+2,5kg</t>
  </si>
  <si>
    <t>Extrahált napraforgódara (35%)</t>
  </si>
  <si>
    <t>Nagyhegyesi tojótyúk koncentrátum I.</t>
  </si>
  <si>
    <t>Medvehagyma</t>
  </si>
  <si>
    <t>Héjtalanított napraf. pellet (50%)</t>
  </si>
  <si>
    <t>Versele-Laga Gra mix</t>
  </si>
  <si>
    <t>Extrahált repcedara (34%)</t>
  </si>
  <si>
    <t>Sunpro20 extrahált napraforgódara (21%)</t>
  </si>
  <si>
    <t>Fúúdejó brojler ind-nev koncentr. 35%</t>
  </si>
  <si>
    <t>Fúúdejó árútojó koncentrátum 40%</t>
  </si>
  <si>
    <t>Fúúdejó süldő-hízó koncentrátum 20-15%</t>
  </si>
  <si>
    <t>Platino Malac-koca konc. 15-20%</t>
  </si>
  <si>
    <r>
      <t xml:space="preserve">Extrahált szójadara (46%)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</si>
  <si>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r>
      <t xml:space="preserve">Extrahált napraforgódara (35,5%)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</si>
  <si>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t>Tökmag pogácsa/pellet/Liszt (61,76%)</t>
  </si>
  <si>
    <t>Alföldi zabos-borsós darakeverék</t>
  </si>
  <si>
    <t>Ebben az adagolási ajánlásban nem működik</t>
  </si>
  <si>
    <t>Puffasztott lárva (BSF SYSTEMS Kft.)</t>
  </si>
  <si>
    <r>
      <t xml:space="preserve">Burgonya fehérje (76,5%) </t>
    </r>
    <r>
      <rPr>
        <b/>
        <sz val="11"/>
        <color rgb="FFFF0000"/>
        <rFont val="Calibri"/>
        <family val="2"/>
        <charset val="238"/>
        <scheme val="minor"/>
      </rPr>
      <t>(PROFEED)</t>
    </r>
  </si>
  <si>
    <t>Napraforgó púder (52%)</t>
  </si>
  <si>
    <t>Mester &amp; Major csirke SUPPLEMENT</t>
  </si>
  <si>
    <t>Általános rovarliszt</t>
  </si>
  <si>
    <t>Napraforgó pogácsa/pellet/dara (25%)</t>
  </si>
  <si>
    <t>Extrahált napraforgódara (42%)</t>
  </si>
  <si>
    <t>Bandrino árutojó koncentrátum 35%</t>
  </si>
  <si>
    <t>Árutojó koncentrátum 28%</t>
  </si>
  <si>
    <t>Protamino Fino konc. (ind.-nev.-bef.)</t>
  </si>
  <si>
    <t>Protamino Classico konc. (ind.-nev.)(GY)</t>
  </si>
  <si>
    <t>afeed mix DBK-HYD (nev.- bef.) konc. 25-30%</t>
  </si>
  <si>
    <t>afeed mix DBK-N tojó koncentrátum 25%</t>
  </si>
  <si>
    <t>hibás</t>
  </si>
  <si>
    <r>
      <t>DDGS kukorica (32%)</t>
    </r>
    <r>
      <rPr>
        <sz val="11"/>
        <color theme="8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499984740745262"/>
        <rFont val="Calibri"/>
        <family val="2"/>
        <charset val="238"/>
        <scheme val="minor"/>
      </rPr>
      <t>(DÉLIFARM)</t>
    </r>
  </si>
  <si>
    <t>Energomix 1%</t>
  </si>
  <si>
    <t>Agrofeed</t>
  </si>
  <si>
    <t>Fit háztáji baromfi komplett premix 2,5%</t>
  </si>
  <si>
    <t>Fit árutojó komplett premix 1%</t>
  </si>
  <si>
    <t>COCCIFORT (broiler csirkék és nyulaknak kokcidi.)</t>
  </si>
  <si>
    <t>Univit-B KOLOR (enzimek nélküli premix)</t>
  </si>
  <si>
    <t>Univit-P (pulyka (blackhead megelőzés) premix)</t>
  </si>
  <si>
    <t>KBP-113 árutojó csibe premix (indító)</t>
  </si>
  <si>
    <t>KBP-114 árutojó jérce premix (nevelő)</t>
  </si>
  <si>
    <t>KBP-117 árutójó premix</t>
  </si>
  <si>
    <t>KBP-118 TOP árutojó premix</t>
  </si>
  <si>
    <t>KBP-110 Brojler Indító-nevelő premix</t>
  </si>
  <si>
    <t>KBP-112 Brojler befejező premix</t>
  </si>
  <si>
    <t>KBP-150 Brojler indító premix</t>
  </si>
  <si>
    <t>KBP-151 Brojler nevelő premix</t>
  </si>
  <si>
    <t>KBP-152 Brojler befejező premix</t>
  </si>
  <si>
    <t>KBP-155 TOP Brojler indító premix</t>
  </si>
  <si>
    <t>KBP-156 TOP Brojler nevelő premix</t>
  </si>
  <si>
    <t>KBP-157 TOP Brojler befejező premix</t>
  </si>
  <si>
    <t>Tojó premix Bábolna 1,25% (volt KBP-115)</t>
  </si>
  <si>
    <t>Broiler indító premix (211-187) 3%</t>
  </si>
  <si>
    <t>Broiler indító premix (211-188) 3%</t>
  </si>
  <si>
    <t>Broiler nevelő premix (211-387) 3%</t>
  </si>
  <si>
    <t>Broiler nevelő premix (211-388) 3%</t>
  </si>
  <si>
    <t>Brojler befejező premix (211-481) 3%</t>
  </si>
  <si>
    <r>
      <t>Kendermag pellet (32%)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92D050"/>
        <rFont val="Calibri"/>
        <family val="2"/>
        <charset val="238"/>
        <scheme val="minor"/>
      </rPr>
      <t>(Magtárház)</t>
    </r>
  </si>
  <si>
    <t>Kendermag pellet (30%)</t>
  </si>
  <si>
    <r>
      <t>Kendermag pellet (61,76%)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FFC000"/>
        <rFont val="Calibri"/>
        <family val="2"/>
        <charset val="238"/>
        <scheme val="minor"/>
      </rPr>
      <t>(Csalibázis)</t>
    </r>
  </si>
  <si>
    <r>
      <t>Kendermag pellet (32,19%)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249977111117893"/>
        <rFont val="Calibri"/>
        <family val="2"/>
        <charset val="238"/>
        <scheme val="minor"/>
      </rPr>
      <t>(TTMBIO)</t>
    </r>
  </si>
  <si>
    <t>Kendermag pellet (28%)</t>
  </si>
  <si>
    <t>Tökmag pogácsa/pellet/Liszt (40%)</t>
  </si>
  <si>
    <t>UBM Árutojó PA 2% OM</t>
  </si>
  <si>
    <t>Broiler indító-nevelő komplett premix 2,5%</t>
  </si>
  <si>
    <t>Tojó koncentrátum 30% sárga címkés</t>
  </si>
  <si>
    <t>Likra</t>
  </si>
  <si>
    <t>Likracid Dry</t>
  </si>
  <si>
    <t>BR 2-0 broiler premix</t>
  </si>
  <si>
    <t>G 2-HU Tojó premix</t>
  </si>
  <si>
    <t>szintentartó</t>
  </si>
  <si>
    <t>Nosnice BK koncentrátum tojótyúkoknak</t>
  </si>
  <si>
    <t>Tökmag pogácsa/pellet/Liszt (65%)</t>
  </si>
  <si>
    <t>mindkettő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</si>
</sst>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\ &quot;Ft&quot;"/>
  </numFmts>
  <fonts count="31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4" tint="-0.499984740745262"/>
      <name val="Calibri"/>
      <family val="2"/>
      <charset val="238"/>
      <scheme val="minor"/>
    </font>
    <font>
      <b/>
      <sz val="11"/>
      <color theme="6" tint="-0.499984740745262"/>
      <name val="Calibri"/>
      <family val="2"/>
      <charset val="238"/>
      <scheme val="minor"/>
    </font>
    <font>
      <b/>
      <sz val="9"/>
      <color theme="4" tint="-0.499984740745262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66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" fontId="0" fillId="0" borderId="4" xfId="0" applyNumberFormat="1" applyFill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3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3" xfId="0" applyBorder="1" applyProtection="1">
      <protection hidden="1"/>
    </xf>
    <xf numFmtId="2" fontId="0" fillId="0" borderId="3" xfId="0" applyNumberFormat="1" applyFill="1" applyBorder="1" applyAlignment="1" applyProtection="1">
      <alignment horizontal="center"/>
      <protection hidden="1"/>
    </xf>
    <xf numFmtId="2" fontId="0" fillId="0" borderId="0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165" fontId="0" fillId="0" borderId="21" xfId="0" applyNumberFormat="1" applyFill="1" applyBorder="1" applyProtection="1">
      <protection hidden="1"/>
    </xf>
    <xf numFmtId="2" fontId="0" fillId="0" borderId="21" xfId="0" applyNumberFormat="1" applyFill="1" applyBorder="1" applyProtection="1">
      <protection hidden="1"/>
    </xf>
    <xf numFmtId="165" fontId="0" fillId="0" borderId="1" xfId="0" applyNumberFormat="1" applyFill="1" applyBorder="1" applyProtection="1">
      <protection hidden="1"/>
    </xf>
    <xf numFmtId="2" fontId="0" fillId="0" borderId="1" xfId="0" applyNumberFormat="1" applyFill="1" applyBorder="1" applyProtection="1">
      <protection hidden="1"/>
    </xf>
    <xf numFmtId="165" fontId="0" fillId="0" borderId="13" xfId="0" applyNumberFormat="1" applyFill="1" applyBorder="1" applyProtection="1">
      <protection hidden="1"/>
    </xf>
    <xf numFmtId="0" fontId="0" fillId="0" borderId="21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1" xfId="0" applyNumberFormat="1" applyFill="1" applyBorder="1" applyAlignment="1" applyProtection="1">
      <alignment horizontal="center"/>
      <protection hidden="1"/>
    </xf>
    <xf numFmtId="2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2" fontId="0" fillId="0" borderId="19" xfId="0" applyNumberFormat="1" applyFill="1" applyBorder="1" applyProtection="1">
      <protection hidden="1"/>
    </xf>
    <xf numFmtId="2" fontId="0" fillId="0" borderId="11" xfId="0" applyNumberFormat="1" applyFill="1" applyBorder="1" applyProtection="1"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2" fontId="0" fillId="0" borderId="3" xfId="0" applyNumberFormat="1" applyFill="1" applyBorder="1" applyProtection="1">
      <protection hidden="1"/>
    </xf>
    <xf numFmtId="2" fontId="0" fillId="0" borderId="10" xfId="0" applyNumberFormat="1" applyFill="1" applyBorder="1" applyProtection="1">
      <protection hidden="1"/>
    </xf>
    <xf numFmtId="2" fontId="0" fillId="0" borderId="9" xfId="0" applyNumberFormat="1" applyFill="1" applyBorder="1" applyProtection="1">
      <protection hidden="1"/>
    </xf>
    <xf numFmtId="0" fontId="0" fillId="0" borderId="13" xfId="0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" fillId="0" borderId="0" xfId="0" applyFont="1" applyFill="1" applyBorder="1" applyAlignment="1" applyProtection="1">
      <alignment horizontal="right" wrapText="1"/>
      <protection hidden="1"/>
    </xf>
    <xf numFmtId="2" fontId="2" fillId="0" borderId="0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2" fillId="0" borderId="29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3" borderId="31" xfId="0" applyFill="1" applyBorder="1" applyAlignment="1" applyProtection="1">
      <alignment horizontal="right" vertical="center" wrapText="1"/>
      <protection hidden="1"/>
    </xf>
    <xf numFmtId="2" fontId="0" fillId="0" borderId="36" xfId="0" applyNumberFormat="1" applyBorder="1" applyAlignment="1" applyProtection="1">
      <alignment horizontal="center"/>
      <protection hidden="1"/>
    </xf>
    <xf numFmtId="1" fontId="5" fillId="0" borderId="0" xfId="0" applyNumberFormat="1" applyFont="1" applyFill="1" applyBorder="1" applyAlignment="1" applyProtection="1">
      <alignment horizontal="center" wrapText="1"/>
      <protection hidden="1"/>
    </xf>
    <xf numFmtId="165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65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Protection="1">
      <protection hidden="1"/>
    </xf>
    <xf numFmtId="2" fontId="0" fillId="0" borderId="20" xfId="0" applyNumberFormat="1" applyFill="1" applyBorder="1" applyProtection="1"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4" borderId="35" xfId="0" applyFont="1" applyFill="1" applyBorder="1" applyAlignment="1" applyProtection="1">
      <alignment horizontal="center" vertical="center" wrapText="1"/>
      <protection hidden="1"/>
    </xf>
    <xf numFmtId="0" fontId="2" fillId="5" borderId="35" xfId="0" applyFont="1" applyFill="1" applyBorder="1" applyAlignment="1" applyProtection="1">
      <alignment horizontal="center"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left"/>
      <protection hidden="1"/>
    </xf>
    <xf numFmtId="0" fontId="6" fillId="3" borderId="28" xfId="0" applyFont="1" applyFill="1" applyBorder="1" applyAlignment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165" fontId="0" fillId="0" borderId="4" xfId="0" applyNumberFormat="1" applyFill="1" applyBorder="1" applyProtection="1">
      <protection hidden="1"/>
    </xf>
    <xf numFmtId="165" fontId="0" fillId="0" borderId="1" xfId="0" applyNumberFormat="1" applyFill="1" applyBorder="1" applyAlignment="1" applyProtection="1">
      <alignment horizontal="center"/>
      <protection hidden="1"/>
    </xf>
    <xf numFmtId="165" fontId="0" fillId="2" borderId="1" xfId="0" applyNumberFormat="1" applyFill="1" applyBorder="1" applyAlignment="1" applyProtection="1">
      <alignment horizontal="center"/>
      <protection hidden="1"/>
    </xf>
    <xf numFmtId="0" fontId="0" fillId="12" borderId="8" xfId="0" applyFill="1" applyBorder="1" applyProtection="1">
      <protection locked="0"/>
    </xf>
    <xf numFmtId="0" fontId="0" fillId="12" borderId="12" xfId="0" applyFill="1" applyBorder="1" applyProtection="1">
      <protection locked="0"/>
    </xf>
    <xf numFmtId="165" fontId="0" fillId="0" borderId="13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Protection="1">
      <protection hidden="1"/>
    </xf>
    <xf numFmtId="2" fontId="0" fillId="0" borderId="25" xfId="0" applyNumberFormat="1" applyFill="1" applyBorder="1" applyProtection="1">
      <protection hidden="1"/>
    </xf>
    <xf numFmtId="0" fontId="0" fillId="12" borderId="16" xfId="0" applyFill="1" applyBorder="1" applyProtection="1">
      <protection locked="0"/>
    </xf>
    <xf numFmtId="0" fontId="0" fillId="12" borderId="18" xfId="0" applyFill="1" applyBorder="1" applyProtection="1"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hidden="1"/>
    </xf>
    <xf numFmtId="0" fontId="0" fillId="5" borderId="4" xfId="0" applyFont="1" applyFill="1" applyBorder="1" applyAlignment="1" applyProtection="1">
      <alignment horizontal="center" vertical="center" wrapText="1"/>
      <protection hidden="1"/>
    </xf>
    <xf numFmtId="165" fontId="0" fillId="2" borderId="13" xfId="0" applyNumberFormat="1" applyFill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0" fillId="12" borderId="23" xfId="0" applyFill="1" applyBorder="1" applyProtection="1">
      <protection locked="0"/>
    </xf>
    <xf numFmtId="165" fontId="0" fillId="0" borderId="3" xfId="0" applyNumberFormat="1" applyFill="1" applyBorder="1" applyProtection="1">
      <protection hidden="1"/>
    </xf>
    <xf numFmtId="165" fontId="0" fillId="0" borderId="3" xfId="0" applyNumberFormat="1" applyFill="1" applyBorder="1" applyAlignment="1" applyProtection="1">
      <alignment horizontal="center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47" xfId="0" applyFont="1" applyFill="1" applyBorder="1" applyAlignment="1" applyProtection="1">
      <alignment horizontal="center" vertical="center" wrapText="1"/>
      <protection hidden="1"/>
    </xf>
    <xf numFmtId="0" fontId="0" fillId="5" borderId="47" xfId="0" applyFont="1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5" fontId="0" fillId="5" borderId="1" xfId="0" applyNumberFormat="1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Protection="1">
      <protection hidden="1"/>
    </xf>
    <xf numFmtId="164" fontId="0" fillId="2" borderId="34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164" fontId="0" fillId="2" borderId="7" xfId="0" applyNumberFormat="1" applyFill="1" applyBorder="1" applyAlignment="1" applyProtection="1">
      <alignment horizontal="center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164" fontId="0" fillId="2" borderId="34" xfId="0" applyNumberFormat="1" applyFill="1" applyBorder="1" applyAlignment="1" applyProtection="1">
      <alignment horizontal="left"/>
      <protection hidden="1"/>
    </xf>
    <xf numFmtId="0" fontId="0" fillId="2" borderId="34" xfId="0" applyFill="1" applyBorder="1" applyAlignment="1" applyProtection="1">
      <alignment horizontal="center" vertical="center"/>
      <protection hidden="1"/>
    </xf>
    <xf numFmtId="0" fontId="0" fillId="2" borderId="34" xfId="0" applyFill="1" applyBorder="1" applyAlignment="1" applyProtection="1">
      <protection hidden="1"/>
    </xf>
    <xf numFmtId="0" fontId="0" fillId="2" borderId="7" xfId="0" applyFill="1" applyBorder="1" applyAlignment="1" applyProtection="1"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3" xfId="0" applyFill="1" applyBorder="1" applyProtection="1">
      <protection hidden="1"/>
    </xf>
    <xf numFmtId="165" fontId="0" fillId="2" borderId="4" xfId="0" applyNumberFormat="1" applyFill="1" applyBorder="1" applyAlignment="1" applyProtection="1">
      <alignment horizontal="center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0" fillId="2" borderId="39" xfId="0" applyFill="1" applyBorder="1" applyProtection="1">
      <protection hidden="1"/>
    </xf>
    <xf numFmtId="164" fontId="0" fillId="0" borderId="0" xfId="0" applyNumberFormat="1" applyFill="1" applyBorder="1" applyAlignment="1" applyProtection="1">
      <alignment vertical="center" wrapText="1"/>
      <protection hidden="1"/>
    </xf>
    <xf numFmtId="164" fontId="0" fillId="2" borderId="34" xfId="0" applyNumberFormat="1" applyFill="1" applyBorder="1" applyAlignment="1" applyProtection="1">
      <alignment vertical="center"/>
      <protection hidden="1"/>
    </xf>
    <xf numFmtId="164" fontId="0" fillId="2" borderId="34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Alignment="1" applyProtection="1">
      <alignment horizontal="center"/>
      <protection hidden="1"/>
    </xf>
    <xf numFmtId="2" fontId="0" fillId="3" borderId="4" xfId="0" applyNumberFormat="1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Alignment="1" applyProtection="1">
      <alignment horizontal="left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2" borderId="3" xfId="0" applyNumberFormat="1" applyFill="1" applyBorder="1" applyAlignment="1" applyProtection="1">
      <alignment horizontal="center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Protection="1"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0" borderId="6" xfId="0" applyNumberFormat="1" applyFill="1" applyBorder="1" applyProtection="1">
      <protection hidden="1"/>
    </xf>
    <xf numFmtId="165" fontId="0" fillId="0" borderId="47" xfId="0" applyNumberFormat="1" applyFill="1" applyBorder="1" applyProtection="1">
      <protection hidden="1"/>
    </xf>
    <xf numFmtId="2" fontId="0" fillId="0" borderId="47" xfId="0" applyNumberForma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165" fontId="0" fillId="0" borderId="47" xfId="0" applyNumberFormat="1" applyFill="1" applyBorder="1" applyAlignment="1" applyProtection="1">
      <alignment horizontal="center"/>
      <protection hidden="1"/>
    </xf>
    <xf numFmtId="2" fontId="0" fillId="0" borderId="47" xfId="0" applyNumberFormat="1" applyFill="1" applyBorder="1" applyProtection="1">
      <protection hidden="1"/>
    </xf>
    <xf numFmtId="2" fontId="0" fillId="0" borderId="57" xfId="0" applyNumberFormat="1" applyFill="1" applyBorder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15" borderId="0" xfId="0" applyFont="1" applyFill="1" applyBorder="1" applyAlignment="1" applyProtection="1">
      <alignment horizontal="left" vertical="center"/>
      <protection hidden="1"/>
    </xf>
    <xf numFmtId="0" fontId="0" fillId="10" borderId="15" xfId="0" applyFill="1" applyBorder="1" applyAlignment="1" applyProtection="1">
      <alignment horizontal="right" vertical="center"/>
      <protection hidden="1"/>
    </xf>
    <xf numFmtId="0" fontId="10" fillId="9" borderId="36" xfId="0" applyFont="1" applyFill="1" applyBorder="1" applyAlignment="1" applyProtection="1">
      <alignment horizontal="center" vertical="center"/>
      <protection locked="0"/>
    </xf>
    <xf numFmtId="0" fontId="10" fillId="7" borderId="48" xfId="0" applyFont="1" applyFill="1" applyBorder="1" applyAlignment="1" applyProtection="1">
      <alignment horizontal="center" vertical="center" wrapText="1"/>
      <protection locked="0"/>
    </xf>
    <xf numFmtId="0" fontId="2" fillId="16" borderId="24" xfId="0" applyFont="1" applyFill="1" applyBorder="1" applyAlignment="1" applyProtection="1">
      <alignment horizontal="center" vertical="center" wrapText="1"/>
      <protection hidden="1"/>
    </xf>
    <xf numFmtId="0" fontId="7" fillId="16" borderId="24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4" borderId="22" xfId="0" applyFont="1" applyFill="1" applyBorder="1" applyAlignment="1" applyProtection="1">
      <alignment horizontal="center"/>
      <protection hidden="1"/>
    </xf>
    <xf numFmtId="0" fontId="6" fillId="4" borderId="27" xfId="0" applyFont="1" applyFill="1" applyBorder="1" applyAlignment="1" applyProtection="1">
      <protection hidden="1"/>
    </xf>
    <xf numFmtId="0" fontId="6" fillId="10" borderId="22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protection hidden="1"/>
    </xf>
    <xf numFmtId="0" fontId="6" fillId="10" borderId="27" xfId="0" applyFont="1" applyFill="1" applyBorder="1" applyAlignment="1" applyProtection="1">
      <protection hidden="1"/>
    </xf>
    <xf numFmtId="0" fontId="6" fillId="0" borderId="0" xfId="0" applyFont="1" applyBorder="1" applyAlignment="1" applyProtection="1">
      <alignment wrapText="1"/>
      <protection hidden="1"/>
    </xf>
    <xf numFmtId="0" fontId="6" fillId="6" borderId="22" xfId="0" applyFont="1" applyFill="1" applyBorder="1" applyAlignment="1" applyProtection="1">
      <alignment horizontal="center"/>
      <protection hidden="1"/>
    </xf>
    <xf numFmtId="0" fontId="6" fillId="8" borderId="22" xfId="0" applyFont="1" applyFill="1" applyBorder="1" applyAlignment="1" applyProtection="1">
      <alignment horizontal="center"/>
      <protection hidden="1"/>
    </xf>
    <xf numFmtId="0" fontId="6" fillId="8" borderId="27" xfId="0" applyFont="1" applyFill="1" applyBorder="1" applyAlignment="1" applyProtection="1"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0" fontId="6" fillId="6" borderId="15" xfId="0" applyFont="1" applyFill="1" applyBorder="1" applyAlignment="1" applyProtection="1">
      <alignment horizontal="center"/>
      <protection hidden="1"/>
    </xf>
    <xf numFmtId="0" fontId="6" fillId="6" borderId="28" xfId="0" applyFont="1" applyFill="1" applyBorder="1" applyAlignment="1" applyProtection="1">
      <alignment horizontal="left"/>
      <protection hidden="1"/>
    </xf>
    <xf numFmtId="0" fontId="6" fillId="3" borderId="15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wrapText="1"/>
      <protection hidden="1"/>
    </xf>
    <xf numFmtId="2" fontId="7" fillId="0" borderId="0" xfId="0" applyNumberFormat="1" applyFont="1" applyFill="1" applyBorder="1" applyAlignment="1" applyProtection="1">
      <alignment horizontal="center" wrapText="1"/>
      <protection hidden="1"/>
    </xf>
    <xf numFmtId="0" fontId="6" fillId="0" borderId="0" xfId="0" applyFont="1" applyFill="1" applyAlignment="1" applyProtection="1">
      <protection hidden="1"/>
    </xf>
    <xf numFmtId="0" fontId="6" fillId="8" borderId="15" xfId="0" applyFont="1" applyFill="1" applyBorder="1" applyAlignment="1" applyProtection="1">
      <alignment horizontal="center"/>
      <protection hidden="1"/>
    </xf>
    <xf numFmtId="0" fontId="6" fillId="8" borderId="28" xfId="0" applyFont="1" applyFill="1" applyBorder="1" applyAlignment="1" applyProtection="1">
      <protection hidden="1"/>
    </xf>
    <xf numFmtId="0" fontId="6" fillId="4" borderId="27" xfId="0" applyFont="1" applyFill="1" applyBorder="1" applyAlignment="1" applyProtection="1">
      <alignment wrapText="1"/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6" fillId="4" borderId="15" xfId="0" applyFont="1" applyFill="1" applyBorder="1" applyAlignment="1" applyProtection="1">
      <alignment horizontal="center"/>
      <protection hidden="1"/>
    </xf>
    <xf numFmtId="0" fontId="6" fillId="4" borderId="28" xfId="0" applyFont="1" applyFill="1" applyBorder="1" applyAlignment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13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Alignment="1" applyProtection="1">
      <alignment horizontal="center"/>
      <protection hidden="1"/>
    </xf>
    <xf numFmtId="0" fontId="0" fillId="4" borderId="6" xfId="0" applyFont="1" applyFill="1" applyBorder="1" applyAlignment="1" applyProtection="1">
      <alignment horizontal="center" vertical="center" wrapText="1"/>
      <protection hidden="1"/>
    </xf>
    <xf numFmtId="0" fontId="0" fillId="5" borderId="6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Protection="1">
      <protection hidden="1"/>
    </xf>
    <xf numFmtId="2" fontId="0" fillId="0" borderId="60" xfId="0" applyNumberFormat="1" applyFill="1" applyBorder="1" applyProtection="1">
      <protection hidden="1"/>
    </xf>
    <xf numFmtId="165" fontId="0" fillId="2" borderId="6" xfId="0" applyNumberForma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15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2" fillId="16" borderId="37" xfId="0" applyFont="1" applyFill="1" applyBorder="1" applyAlignment="1" applyProtection="1">
      <alignment horizontal="center" vertical="center" wrapText="1"/>
      <protection hidden="1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2" fontId="2" fillId="8" borderId="5" xfId="0" applyNumberFormat="1" applyFont="1" applyFill="1" applyBorder="1" applyAlignment="1" applyProtection="1">
      <alignment horizontal="center" vertical="center" wrapText="1"/>
      <protection locked="0"/>
    </xf>
    <xf numFmtId="2" fontId="2" fillId="8" borderId="33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1" xfId="0" applyNumberFormat="1" applyBorder="1" applyAlignment="1" applyProtection="1">
      <alignment vertical="center" wrapText="1"/>
      <protection hidden="1"/>
    </xf>
    <xf numFmtId="2" fontId="0" fillId="3" borderId="21" xfId="0" applyNumberFormat="1" applyFill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vertical="center" wrapText="1"/>
      <protection hidden="1"/>
    </xf>
    <xf numFmtId="0" fontId="2" fillId="2" borderId="60" xfId="0" applyFont="1" applyFill="1" applyBorder="1" applyAlignment="1" applyProtection="1">
      <alignment horizontal="center" vertical="center" wrapText="1"/>
      <protection hidden="1"/>
    </xf>
    <xf numFmtId="0" fontId="2" fillId="17" borderId="38" xfId="0" applyFont="1" applyFill="1" applyBorder="1" applyAlignment="1" applyProtection="1">
      <alignment horizontal="center" vertical="center" wrapText="1"/>
      <protection hidden="1"/>
    </xf>
    <xf numFmtId="0" fontId="2" fillId="17" borderId="5" xfId="0" applyFont="1" applyFill="1" applyBorder="1" applyAlignment="1" applyProtection="1">
      <alignment horizontal="center" vertical="center" wrapText="1"/>
      <protection hidden="1"/>
    </xf>
    <xf numFmtId="2" fontId="2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14" xfId="0" applyFont="1" applyFill="1" applyBorder="1" applyAlignment="1" applyProtection="1">
      <alignment horizontal="center"/>
      <protection hidden="1"/>
    </xf>
    <xf numFmtId="0" fontId="6" fillId="10" borderId="30" xfId="0" applyFont="1" applyFill="1" applyBorder="1" applyAlignment="1" applyProtection="1">
      <protection hidden="1"/>
    </xf>
    <xf numFmtId="0" fontId="6" fillId="10" borderId="26" xfId="0" applyFont="1" applyFill="1" applyBorder="1" applyAlignment="1" applyProtection="1">
      <protection hidden="1"/>
    </xf>
    <xf numFmtId="0" fontId="6" fillId="10" borderId="0" xfId="0" applyFont="1" applyFill="1" applyBorder="1" applyAlignment="1" applyProtection="1">
      <alignment wrapText="1"/>
      <protection hidden="1"/>
    </xf>
    <xf numFmtId="0" fontId="6" fillId="10" borderId="22" xfId="0" applyFont="1" applyFill="1" applyBorder="1" applyAlignment="1" applyProtection="1">
      <alignment horizontal="center" wrapText="1"/>
      <protection hidden="1"/>
    </xf>
    <xf numFmtId="0" fontId="6" fillId="8" borderId="14" xfId="0" applyFont="1" applyFill="1" applyBorder="1" applyAlignment="1" applyProtection="1">
      <alignment horizontal="center"/>
      <protection hidden="1"/>
    </xf>
    <xf numFmtId="0" fontId="6" fillId="8" borderId="26" xfId="0" applyFont="1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12" borderId="53" xfId="0" applyFill="1" applyBorder="1" applyProtection="1">
      <protection locked="0"/>
    </xf>
    <xf numFmtId="0" fontId="0" fillId="12" borderId="54" xfId="0" applyFill="1" applyBorder="1" applyProtection="1">
      <protection locked="0"/>
    </xf>
    <xf numFmtId="0" fontId="0" fillId="12" borderId="39" xfId="0" applyFill="1" applyBorder="1" applyProtection="1">
      <protection locked="0"/>
    </xf>
    <xf numFmtId="0" fontId="0" fillId="12" borderId="52" xfId="0" applyFill="1" applyBorder="1" applyProtection="1">
      <protection locked="0"/>
    </xf>
    <xf numFmtId="0" fontId="0" fillId="12" borderId="51" xfId="0" applyFill="1" applyBorder="1" applyProtection="1">
      <protection locked="0"/>
    </xf>
    <xf numFmtId="0" fontId="0" fillId="12" borderId="59" xfId="0" applyFill="1" applyBorder="1" applyProtection="1">
      <protection locked="0"/>
    </xf>
    <xf numFmtId="165" fontId="0" fillId="5" borderId="21" xfId="0" applyNumberFormat="1" applyFill="1" applyBorder="1" applyAlignment="1" applyProtection="1">
      <alignment horizontal="center"/>
      <protection hidden="1"/>
    </xf>
    <xf numFmtId="0" fontId="0" fillId="5" borderId="21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2" borderId="40" xfId="0" applyFill="1" applyBorder="1" applyProtection="1"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164" fontId="0" fillId="5" borderId="2" xfId="0" applyNumberFormat="1" applyFill="1" applyBorder="1" applyAlignment="1" applyProtection="1">
      <alignment vertical="center" wrapText="1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2" fontId="0" fillId="8" borderId="18" xfId="0" applyNumberFormat="1" applyFill="1" applyBorder="1" applyAlignment="1" applyProtection="1">
      <alignment vertical="center" wrapText="1"/>
      <protection locked="0"/>
    </xf>
    <xf numFmtId="2" fontId="0" fillId="8" borderId="12" xfId="0" applyNumberFormat="1" applyFill="1" applyBorder="1" applyAlignment="1" applyProtection="1">
      <alignment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6" fillId="6" borderId="14" xfId="0" applyFont="1" applyFill="1" applyBorder="1" applyAlignment="1" applyProtection="1">
      <alignment horizontal="center"/>
      <protection hidden="1"/>
    </xf>
    <xf numFmtId="0" fontId="6" fillId="6" borderId="26" xfId="0" applyFont="1" applyFill="1" applyBorder="1" applyAlignment="1" applyProtection="1">
      <protection hidden="1"/>
    </xf>
    <xf numFmtId="0" fontId="6" fillId="6" borderId="27" xfId="0" applyFont="1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2" borderId="29" xfId="0" applyFill="1" applyBorder="1" applyAlignment="1" applyProtection="1">
      <alignment vertical="center" wrapText="1"/>
      <protection hidden="1"/>
    </xf>
    <xf numFmtId="2" fontId="2" fillId="2" borderId="24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0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wrapText="1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6" fillId="10" borderId="17" xfId="0" applyFont="1" applyFill="1" applyBorder="1" applyAlignment="1" applyProtection="1">
      <alignment horizontal="center"/>
      <protection hidden="1"/>
    </xf>
    <xf numFmtId="2" fontId="7" fillId="19" borderId="2" xfId="0" applyNumberFormat="1" applyFont="1" applyFill="1" applyBorder="1" applyAlignment="1" applyProtection="1">
      <alignment vertical="center" wrapText="1"/>
      <protection hidden="1"/>
    </xf>
    <xf numFmtId="1" fontId="19" fillId="7" borderId="65" xfId="0" applyNumberFormat="1" applyFont="1" applyFill="1" applyBorder="1" applyAlignment="1" applyProtection="1">
      <alignment horizontal="center" vertical="center" wrapText="1"/>
      <protection hidden="1"/>
    </xf>
    <xf numFmtId="2" fontId="19" fillId="7" borderId="47" xfId="0" applyNumberFormat="1" applyFont="1" applyFill="1" applyBorder="1" applyAlignment="1" applyProtection="1">
      <alignment horizontal="center" vertical="center" wrapText="1"/>
      <protection hidden="1"/>
    </xf>
    <xf numFmtId="2" fontId="19" fillId="7" borderId="57" xfId="0" applyNumberFormat="1" applyFont="1" applyFill="1" applyBorder="1" applyAlignment="1" applyProtection="1">
      <alignment horizontal="center" vertical="center" wrapText="1"/>
      <protection hidden="1"/>
    </xf>
    <xf numFmtId="0" fontId="19" fillId="7" borderId="36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vertical="center" wrapText="1"/>
      <protection hidden="1"/>
    </xf>
    <xf numFmtId="0" fontId="21" fillId="18" borderId="2" xfId="0" applyFont="1" applyFill="1" applyBorder="1" applyAlignment="1" applyProtection="1">
      <alignment horizontal="center" vertical="center"/>
      <protection hidden="1"/>
    </xf>
    <xf numFmtId="2" fontId="21" fillId="18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27" xfId="0" applyFont="1" applyFill="1" applyBorder="1" applyAlignment="1" applyProtection="1">
      <alignment wrapText="1"/>
      <protection hidden="1"/>
    </xf>
    <xf numFmtId="2" fontId="2" fillId="8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6" borderId="2" xfId="0" applyFill="1" applyBorder="1" applyAlignment="1" applyProtection="1">
      <alignment horizontal="right" vertical="center" wrapText="1"/>
      <protection hidden="1"/>
    </xf>
    <xf numFmtId="0" fontId="0" fillId="11" borderId="2" xfId="0" applyFill="1" applyBorder="1" applyAlignment="1" applyProtection="1">
      <alignment horizontal="right" vertical="center"/>
      <protection hidden="1"/>
    </xf>
    <xf numFmtId="2" fontId="23" fillId="18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2" xfId="0" applyFill="1" applyBorder="1" applyAlignment="1" applyProtection="1">
      <alignment horizontal="center" vertical="center" wrapText="1"/>
      <protection hidden="1"/>
    </xf>
    <xf numFmtId="0" fontId="0" fillId="12" borderId="32" xfId="0" applyFill="1" applyBorder="1" applyProtection="1">
      <protection locked="0"/>
    </xf>
    <xf numFmtId="165" fontId="0" fillId="0" borderId="5" xfId="0" applyNumberFormat="1" applyFill="1" applyBorder="1" applyProtection="1">
      <protection hidden="1"/>
    </xf>
    <xf numFmtId="2" fontId="0" fillId="0" borderId="5" xfId="0" applyNumberFormat="1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5" xfId="0" applyFill="1" applyBorder="1" applyAlignment="1" applyProtection="1">
      <alignment horizontal="center"/>
      <protection hidden="1"/>
    </xf>
    <xf numFmtId="165" fontId="0" fillId="0" borderId="5" xfId="0" applyNumberFormat="1" applyFill="1" applyBorder="1" applyAlignment="1" applyProtection="1">
      <alignment horizontal="center"/>
      <protection hidden="1"/>
    </xf>
    <xf numFmtId="0" fontId="0" fillId="4" borderId="5" xfId="0" applyFont="1" applyFill="1" applyBorder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 wrapText="1"/>
      <protection hidden="1"/>
    </xf>
    <xf numFmtId="2" fontId="0" fillId="0" borderId="5" xfId="0" applyNumberFormat="1" applyFill="1" applyBorder="1" applyProtection="1">
      <protection hidden="1"/>
    </xf>
    <xf numFmtId="2" fontId="0" fillId="0" borderId="33" xfId="0" applyNumberFormat="1" applyFill="1" applyBorder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7" xfId="0" applyNumberFormat="1" applyFill="1" applyBorder="1" applyAlignment="1" applyProtection="1">
      <alignment horizontal="center"/>
      <protection hidden="1"/>
    </xf>
    <xf numFmtId="2" fontId="0" fillId="0" borderId="42" xfId="0" applyNumberFormat="1" applyFill="1" applyBorder="1" applyAlignment="1" applyProtection="1">
      <alignment horizontal="center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6" fillId="8" borderId="22" xfId="0" applyFont="1" applyFill="1" applyBorder="1" applyAlignment="1" applyProtection="1">
      <alignment horizont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21" fillId="18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1" xfId="0" applyBorder="1"/>
    <xf numFmtId="0" fontId="21" fillId="18" borderId="31" xfId="0" applyFont="1" applyFill="1" applyBorder="1" applyAlignment="1" applyProtection="1">
      <alignment horizontal="center" vertical="center"/>
      <protection hidden="1"/>
    </xf>
    <xf numFmtId="2" fontId="21" fillId="18" borderId="59" xfId="0" applyNumberFormat="1" applyFont="1" applyFill="1" applyBorder="1" applyAlignment="1" applyProtection="1">
      <alignment horizontal="center" vertical="center" wrapText="1"/>
      <protection hidden="1"/>
    </xf>
    <xf numFmtId="2" fontId="21" fillId="18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19" borderId="0" xfId="0" applyNumberFormat="1" applyFont="1" applyFill="1" applyBorder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19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3" fillId="2" borderId="0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0" xfId="0" applyNumberFormat="1" applyFont="1" applyBorder="1" applyAlignment="1" applyProtection="1">
      <alignment horizontal="center" vertical="center" wrapText="1"/>
      <protection hidden="1"/>
    </xf>
    <xf numFmtId="2" fontId="10" fillId="4" borderId="0" xfId="0" applyNumberFormat="1" applyFont="1" applyFill="1" applyBorder="1" applyAlignment="1" applyProtection="1">
      <alignment horizontal="center" wrapText="1"/>
      <protection hidden="1"/>
    </xf>
    <xf numFmtId="2" fontId="3" fillId="0" borderId="0" xfId="0" applyNumberFormat="1" applyFont="1" applyBorder="1" applyAlignment="1" applyProtection="1">
      <alignment horizontal="center"/>
      <protection locked="0"/>
    </xf>
    <xf numFmtId="2" fontId="6" fillId="3" borderId="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2" fontId="2" fillId="0" borderId="0" xfId="0" applyNumberFormat="1" applyFont="1" applyBorder="1" applyAlignment="1" applyProtection="1">
      <alignment horizontal="center" vertical="center" wrapText="1"/>
      <protection hidden="1"/>
    </xf>
    <xf numFmtId="165" fontId="0" fillId="2" borderId="21" xfId="0" applyNumberFormat="1" applyFill="1" applyBorder="1" applyAlignment="1" applyProtection="1">
      <alignment horizontal="center"/>
      <protection hidden="1"/>
    </xf>
    <xf numFmtId="2" fontId="0" fillId="18" borderId="22" xfId="0" applyNumberFormat="1" applyFill="1" applyBorder="1" applyAlignment="1" applyProtection="1">
      <alignment horizontal="center" vertical="center"/>
      <protection hidden="1"/>
    </xf>
    <xf numFmtId="2" fontId="0" fillId="18" borderId="0" xfId="0" applyNumberFormat="1" applyFill="1" applyAlignment="1" applyProtection="1">
      <alignment horizontal="center"/>
      <protection hidden="1"/>
    </xf>
    <xf numFmtId="0" fontId="6" fillId="8" borderId="17" xfId="0" applyFont="1" applyFill="1" applyBorder="1" applyAlignment="1" applyProtection="1">
      <alignment horizontal="center"/>
      <protection hidden="1"/>
    </xf>
    <xf numFmtId="0" fontId="6" fillId="8" borderId="7" xfId="0" applyFont="1" applyFill="1" applyBorder="1" applyAlignment="1" applyProtection="1">
      <protection hidden="1"/>
    </xf>
    <xf numFmtId="0" fontId="6" fillId="4" borderId="17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5" borderId="1" xfId="0" applyNumberFormat="1" applyFill="1" applyBorder="1" applyAlignment="1" applyProtection="1">
      <alignment horizontal="left"/>
      <protection hidden="1"/>
    </xf>
    <xf numFmtId="0" fontId="0" fillId="12" borderId="1" xfId="0" applyFill="1" applyBorder="1" applyProtection="1"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6" fillId="6" borderId="17" xfId="0" applyFont="1" applyFill="1" applyBorder="1" applyAlignment="1" applyProtection="1">
      <protection hidden="1"/>
    </xf>
    <xf numFmtId="0" fontId="6" fillId="6" borderId="7" xfId="0" applyFont="1" applyFill="1" applyBorder="1" applyAlignment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0" fillId="2" borderId="0" xfId="0" applyNumberFormat="1" applyFill="1" applyAlignment="1" applyProtection="1">
      <alignment horizontal="center"/>
      <protection hidden="1"/>
    </xf>
    <xf numFmtId="2" fontId="19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12" borderId="70" xfId="0" applyFill="1" applyBorder="1" applyProtection="1">
      <protection locked="0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Border="1" applyProtection="1">
      <protection hidden="1"/>
    </xf>
    <xf numFmtId="165" fontId="0" fillId="0" borderId="6" xfId="0" applyNumberFormat="1" applyFill="1" applyBorder="1" applyAlignment="1" applyProtection="1">
      <alignment horizontal="center"/>
      <protection hidden="1"/>
    </xf>
    <xf numFmtId="0" fontId="0" fillId="12" borderId="21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2" fontId="0" fillId="0" borderId="0" xfId="0" applyNumberFormat="1" applyFill="1" applyAlignment="1" applyProtection="1">
      <alignment horizontal="center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0" borderId="47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Alignment="1" applyProtection="1">
      <alignment horizontal="left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165" fontId="0" fillId="5" borderId="3" xfId="0" applyNumberFormat="1" applyFill="1" applyBorder="1" applyAlignment="1" applyProtection="1">
      <alignment horizontal="center"/>
      <protection hidden="1"/>
    </xf>
    <xf numFmtId="0" fontId="6" fillId="10" borderId="31" xfId="0" applyFont="1" applyFill="1" applyBorder="1" applyAlignment="1" applyProtection="1">
      <alignment wrapText="1"/>
      <protection hidden="1"/>
    </xf>
    <xf numFmtId="0" fontId="6" fillId="10" borderId="28" xfId="0" applyFont="1" applyFill="1" applyBorder="1" applyAlignment="1" applyProtection="1">
      <alignment wrapText="1"/>
      <protection hidden="1"/>
    </xf>
    <xf numFmtId="0" fontId="6" fillId="10" borderId="15" xfId="0" applyFont="1" applyFill="1" applyBorder="1" applyAlignment="1" applyProtection="1">
      <alignment horizontal="center" wrapText="1"/>
      <protection hidden="1"/>
    </xf>
    <xf numFmtId="0" fontId="6" fillId="10" borderId="31" xfId="0" applyFont="1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0" borderId="40" xfId="0" applyFill="1" applyBorder="1" applyAlignment="1" applyProtection="1">
      <alignment horizontal="left"/>
      <protection hidden="1"/>
    </xf>
    <xf numFmtId="0" fontId="0" fillId="0" borderId="42" xfId="0" applyFill="1" applyBorder="1" applyAlignment="1" applyProtection="1">
      <alignment horizontal="left"/>
      <protection hidden="1"/>
    </xf>
    <xf numFmtId="0" fontId="0" fillId="0" borderId="39" xfId="0" applyFill="1" applyBorder="1" applyAlignment="1" applyProtection="1">
      <alignment horizontal="left"/>
      <protection hidden="1"/>
    </xf>
    <xf numFmtId="0" fontId="0" fillId="0" borderId="3" xfId="0" applyFill="1" applyBorder="1" applyAlignment="1" applyProtection="1">
      <protection hidden="1"/>
    </xf>
    <xf numFmtId="0" fontId="0" fillId="0" borderId="21" xfId="0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2" borderId="39" xfId="0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 applyProtection="1">
      <alignment horizontal="left" vertical="center" wrapText="1"/>
      <protection hidden="1"/>
    </xf>
    <xf numFmtId="0" fontId="0" fillId="0" borderId="4" xfId="0" applyFill="1" applyBorder="1" applyAlignment="1" applyProtection="1">
      <protection hidden="1"/>
    </xf>
    <xf numFmtId="0" fontId="0" fillId="0" borderId="61" xfId="0" applyFont="1" applyFill="1" applyBorder="1" applyAlignment="1" applyProtection="1">
      <alignment horizontal="center" vertical="center" wrapText="1"/>
      <protection hidden="1"/>
    </xf>
    <xf numFmtId="0" fontId="0" fillId="0" borderId="58" xfId="0" applyFont="1" applyFill="1" applyBorder="1" applyAlignment="1" applyProtection="1">
      <alignment horizontal="center" vertical="center" wrapText="1"/>
      <protection hidden="1"/>
    </xf>
    <xf numFmtId="0" fontId="0" fillId="0" borderId="63" xfId="0" applyFont="1" applyFill="1" applyBorder="1" applyAlignment="1" applyProtection="1">
      <alignment horizontal="center" vertical="center" wrapText="1"/>
      <protection hidden="1"/>
    </xf>
    <xf numFmtId="0" fontId="0" fillId="0" borderId="64" xfId="0" applyFont="1" applyFill="1" applyBorder="1" applyAlignment="1" applyProtection="1">
      <alignment horizontal="center" vertical="center" wrapText="1"/>
      <protection hidden="1"/>
    </xf>
    <xf numFmtId="0" fontId="0" fillId="0" borderId="62" xfId="0" applyFont="1" applyFill="1" applyBorder="1" applyAlignment="1" applyProtection="1">
      <alignment horizontal="center" vertical="center" wrapText="1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62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protection hidden="1"/>
    </xf>
    <xf numFmtId="0" fontId="0" fillId="0" borderId="41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horizontal="center" vertical="center" wrapText="1"/>
      <protection hidden="1"/>
    </xf>
    <xf numFmtId="0" fontId="0" fillId="0" borderId="46" xfId="0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2" borderId="40" xfId="0" applyFill="1" applyBorder="1" applyAlignment="1" applyProtection="1">
      <alignment horizontal="left" vertical="center" wrapText="1"/>
      <protection hidden="1"/>
    </xf>
    <xf numFmtId="0" fontId="0" fillId="2" borderId="42" xfId="0" applyFill="1" applyBorder="1" applyAlignment="1" applyProtection="1">
      <alignment horizontal="left" vertical="center" wrapText="1"/>
      <protection hidden="1"/>
    </xf>
    <xf numFmtId="0" fontId="0" fillId="0" borderId="47" xfId="0" applyFill="1" applyBorder="1" applyAlignment="1" applyProtection="1">
      <protection hidden="1"/>
    </xf>
    <xf numFmtId="0" fontId="0" fillId="14" borderId="3" xfId="0" applyFill="1" applyBorder="1" applyAlignment="1" applyProtection="1">
      <protection hidden="1"/>
    </xf>
    <xf numFmtId="0" fontId="0" fillId="0" borderId="43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wrapText="1"/>
      <protection hidden="1"/>
    </xf>
    <xf numFmtId="0" fontId="0" fillId="0" borderId="1" xfId="0" applyFill="1" applyBorder="1" applyAlignment="1" applyProtection="1">
      <alignment horizontal="left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wrapText="1"/>
      <protection hidden="1"/>
    </xf>
    <xf numFmtId="0" fontId="0" fillId="0" borderId="22" xfId="0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0" fillId="0" borderId="26" xfId="0" applyBorder="1" applyAlignment="1">
      <alignment vertical="center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2" xfId="0" applyFill="1" applyBorder="1" applyAlignment="1" applyProtection="1">
      <alignment horizontal="center" vertical="center" textRotation="90" wrapText="1"/>
      <protection hidden="1"/>
    </xf>
    <xf numFmtId="0" fontId="0" fillId="0" borderId="22" xfId="0" applyFill="1" applyBorder="1" applyAlignment="1" applyProtection="1">
      <alignment horizontal="center" textRotation="90" wrapText="1"/>
      <protection hidden="1"/>
    </xf>
    <xf numFmtId="0" fontId="0" fillId="0" borderId="48" xfId="0" applyFill="1" applyBorder="1" applyAlignment="1" applyProtection="1">
      <alignment horizontal="center" vertical="center" textRotation="90"/>
      <protection hidden="1"/>
    </xf>
    <xf numFmtId="0" fontId="0" fillId="0" borderId="22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textRotation="90"/>
      <protection hidden="1"/>
    </xf>
    <xf numFmtId="0" fontId="0" fillId="0" borderId="61" xfId="0" applyFill="1" applyBorder="1" applyAlignment="1" applyProtection="1">
      <alignment horizontal="center" vertical="center" wrapText="1"/>
      <protection hidden="1"/>
    </xf>
    <xf numFmtId="0" fontId="0" fillId="0" borderId="63" xfId="0" applyFill="1" applyBorder="1" applyAlignment="1" applyProtection="1">
      <alignment horizontal="center" vertical="center" wrapText="1"/>
      <protection hidden="1"/>
    </xf>
    <xf numFmtId="0" fontId="0" fillId="0" borderId="64" xfId="0" applyFill="1" applyBorder="1" applyAlignment="1" applyProtection="1">
      <alignment horizontal="center" vertical="center" wrapText="1"/>
      <protection hidden="1"/>
    </xf>
    <xf numFmtId="0" fontId="0" fillId="0" borderId="62" xfId="0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 applyProtection="1">
      <protection hidden="1"/>
    </xf>
    <xf numFmtId="0" fontId="0" fillId="13" borderId="69" xfId="0" applyFill="1" applyBorder="1" applyAlignment="1" applyProtection="1">
      <protection hidden="1"/>
    </xf>
    <xf numFmtId="0" fontId="0" fillId="0" borderId="67" xfId="0" applyBorder="1"/>
    <xf numFmtId="0" fontId="0" fillId="5" borderId="21" xfId="0" applyFill="1" applyBorder="1" applyAlignment="1" applyProtection="1">
      <protection hidden="1"/>
    </xf>
    <xf numFmtId="0" fontId="2" fillId="17" borderId="66" xfId="0" applyFont="1" applyFill="1" applyBorder="1" applyAlignment="1" applyProtection="1">
      <alignment horizontal="center" vertical="center" wrapText="1"/>
      <protection hidden="1"/>
    </xf>
    <xf numFmtId="0" fontId="2" fillId="8" borderId="14" xfId="0" applyFont="1" applyFill="1" applyBorder="1" applyAlignment="1" applyProtection="1">
      <alignment horizontal="center" vertical="center" wrapText="1"/>
      <protection hidden="1"/>
    </xf>
    <xf numFmtId="0" fontId="2" fillId="8" borderId="30" xfId="0" applyFont="1" applyFill="1" applyBorder="1" applyAlignment="1" applyProtection="1">
      <alignment horizontal="center" vertical="center" wrapText="1"/>
      <protection hidden="1"/>
    </xf>
    <xf numFmtId="0" fontId="2" fillId="8" borderId="22" xfId="0" applyFont="1" applyFill="1" applyBorder="1" applyAlignment="1" applyProtection="1">
      <alignment horizontal="center" vertical="center" wrapText="1"/>
      <protection hidden="1"/>
    </xf>
    <xf numFmtId="0" fontId="2" fillId="8" borderId="0" xfId="0" applyFont="1" applyFill="1" applyBorder="1" applyAlignment="1" applyProtection="1">
      <alignment horizontal="center" vertical="center" wrapText="1"/>
      <protection hidden="1"/>
    </xf>
    <xf numFmtId="0" fontId="2" fillId="8" borderId="15" xfId="0" applyFont="1" applyFill="1" applyBorder="1" applyAlignment="1" applyProtection="1">
      <alignment horizontal="center" vertical="center" wrapText="1"/>
      <protection hidden="1"/>
    </xf>
    <xf numFmtId="0" fontId="2" fillId="8" borderId="31" xfId="0" applyFont="1" applyFill="1" applyBorder="1" applyAlignment="1" applyProtection="1">
      <alignment horizontal="center" vertical="center" wrapText="1"/>
      <protection hidden="1"/>
    </xf>
    <xf numFmtId="2" fontId="21" fillId="18" borderId="17" xfId="0" applyNumberFormat="1" applyFont="1" applyFill="1" applyBorder="1" applyAlignment="1" applyProtection="1">
      <alignment horizontal="center" vertical="center" wrapText="1"/>
      <protection hidden="1"/>
    </xf>
    <xf numFmtId="2" fontId="21" fillId="18" borderId="34" xfId="0" applyNumberFormat="1" applyFont="1" applyFill="1" applyBorder="1" applyAlignment="1" applyProtection="1">
      <alignment horizontal="center" vertical="center" wrapText="1"/>
      <protection hidden="1"/>
    </xf>
    <xf numFmtId="2" fontId="21" fillId="18" borderId="7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4" xfId="0" applyFont="1" applyFill="1" applyBorder="1" applyAlignment="1" applyProtection="1">
      <alignment horizontal="right" vertical="center" wrapText="1"/>
      <protection hidden="1"/>
    </xf>
    <xf numFmtId="0" fontId="6" fillId="0" borderId="17" xfId="0" applyFont="1" applyFill="1" applyBorder="1" applyAlignment="1" applyProtection="1">
      <alignment horizontal="right" vertical="center" wrapText="1"/>
      <protection hidden="1"/>
    </xf>
    <xf numFmtId="0" fontId="6" fillId="0" borderId="7" xfId="0" applyFont="1" applyFill="1" applyBorder="1" applyAlignment="1" applyProtection="1">
      <alignment horizontal="right" vertical="center" wrapText="1"/>
      <protection hidden="1"/>
    </xf>
    <xf numFmtId="0" fontId="10" fillId="16" borderId="17" xfId="0" applyFont="1" applyFill="1" applyBorder="1" applyAlignment="1" applyProtection="1">
      <alignment horizontal="center" vertical="center" wrapText="1"/>
      <protection hidden="1"/>
    </xf>
    <xf numFmtId="0" fontId="10" fillId="16" borderId="34" xfId="0" applyFont="1" applyFill="1" applyBorder="1" applyAlignment="1" applyProtection="1">
      <alignment horizontal="center" vertical="center" wrapText="1"/>
      <protection hidden="1"/>
    </xf>
    <xf numFmtId="0" fontId="10" fillId="16" borderId="7" xfId="0" applyFont="1" applyFill="1" applyBorder="1" applyAlignment="1" applyProtection="1">
      <alignment horizontal="center" vertical="center" wrapText="1"/>
      <protection hidden="1"/>
    </xf>
    <xf numFmtId="0" fontId="16" fillId="4" borderId="17" xfId="0" applyFont="1" applyFill="1" applyBorder="1" applyAlignment="1" applyProtection="1">
      <alignment horizontal="center" vertical="center"/>
      <protection locked="0"/>
    </xf>
    <xf numFmtId="0" fontId="2" fillId="16" borderId="34" xfId="0" applyFont="1" applyFill="1" applyBorder="1" applyAlignment="1" applyProtection="1">
      <alignment horizontal="center" vertical="center" wrapText="1"/>
      <protection hidden="1"/>
    </xf>
    <xf numFmtId="0" fontId="2" fillId="16" borderId="32" xfId="0" applyFont="1" applyFill="1" applyBorder="1" applyAlignment="1" applyProtection="1">
      <alignment horizontal="center" vertical="center" wrapText="1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13" fillId="4" borderId="17" xfId="0" applyFont="1" applyFill="1" applyBorder="1" applyAlignment="1" applyProtection="1">
      <alignment horizontal="center" vertical="center" wrapText="1"/>
      <protection hidden="1"/>
    </xf>
    <xf numFmtId="0" fontId="13" fillId="4" borderId="7" xfId="0" applyFont="1" applyFill="1" applyBorder="1" applyAlignment="1" applyProtection="1">
      <alignment horizontal="center" vertical="center" wrapText="1"/>
      <protection hidden="1"/>
    </xf>
    <xf numFmtId="0" fontId="0" fillId="2" borderId="39" xfId="0" applyFill="1" applyBorder="1" applyAlignment="1" applyProtection="1">
      <alignment horizontal="left" wrapText="1"/>
      <protection hidden="1"/>
    </xf>
    <xf numFmtId="0" fontId="0" fillId="2" borderId="1" xfId="0" applyFill="1" applyBorder="1" applyAlignment="1" applyProtection="1">
      <alignment horizontal="left" wrapText="1"/>
      <protection hidden="1"/>
    </xf>
    <xf numFmtId="164" fontId="0" fillId="2" borderId="39" xfId="0" applyNumberFormat="1" applyFill="1" applyBorder="1" applyAlignment="1" applyProtection="1">
      <alignment horizontal="left" vertical="center" wrapText="1"/>
      <protection hidden="1"/>
    </xf>
    <xf numFmtId="164" fontId="0" fillId="2" borderId="1" xfId="0" applyNumberFormat="1" applyFill="1" applyBorder="1" applyAlignment="1" applyProtection="1">
      <alignment horizontal="left" vertical="center" wrapText="1"/>
      <protection hidden="1"/>
    </xf>
    <xf numFmtId="0" fontId="0" fillId="2" borderId="49" xfId="0" applyFill="1" applyBorder="1" applyAlignment="1" applyProtection="1">
      <alignment horizontal="left"/>
      <protection hidden="1"/>
    </xf>
    <xf numFmtId="0" fontId="0" fillId="2" borderId="50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14" borderId="1" xfId="0" applyFill="1" applyBorder="1" applyAlignment="1" applyProtection="1">
      <protection hidden="1"/>
    </xf>
    <xf numFmtId="0" fontId="0" fillId="0" borderId="21" xfId="0" applyBorder="1" applyAlignment="1" applyProtection="1">
      <alignment horizontal="left" vertical="center"/>
      <protection hidden="1"/>
    </xf>
    <xf numFmtId="0" fontId="0" fillId="2" borderId="4" xfId="0" applyFill="1" applyBorder="1" applyAlignment="1" applyProtection="1">
      <alignment horizontal="left" vertical="center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164" fontId="0" fillId="2" borderId="39" xfId="0" applyNumberFormat="1" applyFill="1" applyBorder="1" applyAlignment="1" applyProtection="1">
      <alignment horizontal="center" wrapText="1"/>
      <protection hidden="1"/>
    </xf>
    <xf numFmtId="164" fontId="0" fillId="2" borderId="1" xfId="0" applyNumberFormat="1" applyFill="1" applyBorder="1" applyAlignment="1" applyProtection="1">
      <alignment horizontal="center" wrapText="1"/>
      <protection hidden="1"/>
    </xf>
    <xf numFmtId="0" fontId="0" fillId="0" borderId="42" xfId="0" applyBorder="1"/>
    <xf numFmtId="0" fontId="0" fillId="0" borderId="39" xfId="0" applyBorder="1"/>
    <xf numFmtId="0" fontId="0" fillId="0" borderId="6" xfId="0" applyFill="1" applyBorder="1" applyAlignment="1" applyProtection="1">
      <protection hidden="1"/>
    </xf>
    <xf numFmtId="0" fontId="0" fillId="0" borderId="5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31" xfId="0" applyFill="1" applyBorder="1" applyAlignment="1" applyProtection="1">
      <alignment horizontal="right"/>
      <protection hidden="1"/>
    </xf>
    <xf numFmtId="0" fontId="0" fillId="0" borderId="55" xfId="0" applyFill="1" applyBorder="1" applyAlignment="1" applyProtection="1">
      <alignment horizontal="left"/>
      <protection hidden="1"/>
    </xf>
    <xf numFmtId="0" fontId="0" fillId="0" borderId="56" xfId="0" applyFill="1" applyBorder="1" applyAlignment="1" applyProtection="1">
      <alignment horizontal="left"/>
      <protection hidden="1"/>
    </xf>
    <xf numFmtId="0" fontId="0" fillId="0" borderId="54" xfId="0" applyFill="1" applyBorder="1" applyAlignment="1" applyProtection="1">
      <alignment horizontal="left"/>
      <protection hidden="1"/>
    </xf>
    <xf numFmtId="0" fontId="0" fillId="0" borderId="35" xfId="0" applyFill="1" applyBorder="1" applyAlignment="1" applyProtection="1">
      <alignment horizontal="center" vertical="center" wrapText="1"/>
      <protection hidden="1"/>
    </xf>
    <xf numFmtId="0" fontId="0" fillId="0" borderId="48" xfId="0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left"/>
      <protection hidden="1"/>
    </xf>
    <xf numFmtId="0" fontId="0" fillId="0" borderId="13" xfId="0" applyFill="1" applyBorder="1" applyAlignment="1" applyProtection="1">
      <alignment horizontal="left"/>
      <protection hidden="1"/>
    </xf>
    <xf numFmtId="0" fontId="0" fillId="0" borderId="44" xfId="0" applyFill="1" applyBorder="1" applyAlignment="1" applyProtection="1">
      <alignment horizontal="center" vertical="center" textRotation="90"/>
      <protection hidden="1"/>
    </xf>
    <xf numFmtId="0" fontId="0" fillId="0" borderId="45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wrapText="1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6" fillId="10" borderId="34" xfId="0" applyFont="1" applyFill="1" applyBorder="1" applyAlignment="1" applyProtection="1">
      <alignment horizontal="left"/>
      <protection hidden="1"/>
    </xf>
    <xf numFmtId="0" fontId="6" fillId="10" borderId="7" xfId="0" applyFont="1" applyFill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68" xfId="0" applyFill="1" applyBorder="1" applyAlignment="1" applyProtection="1">
      <protection hidden="1"/>
    </xf>
    <xf numFmtId="0" fontId="0" fillId="0" borderId="49" xfId="0" applyFill="1" applyBorder="1" applyAlignment="1" applyProtection="1">
      <protection hidden="1"/>
    </xf>
    <xf numFmtId="0" fontId="0" fillId="0" borderId="53" xfId="0" applyFill="1" applyBorder="1" applyAlignment="1" applyProtection="1">
      <protection hidden="1"/>
    </xf>
    <xf numFmtId="0" fontId="0" fillId="2" borderId="42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left" vertical="center"/>
      <protection hidden="1"/>
    </xf>
    <xf numFmtId="0" fontId="0" fillId="2" borderId="51" xfId="0" applyFill="1" applyBorder="1" applyAlignment="1" applyProtection="1">
      <alignment horizontal="left" vertical="center"/>
      <protection hidden="1"/>
    </xf>
    <xf numFmtId="0" fontId="0" fillId="2" borderId="3" xfId="0" applyFill="1" applyBorder="1" applyAlignment="1" applyProtection="1">
      <alignment horizontal="left" vertical="center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2" borderId="51" xfId="0" applyFill="1" applyBorder="1" applyAlignment="1" applyProtection="1">
      <alignment horizontal="left" wrapText="1"/>
      <protection hidden="1"/>
    </xf>
    <xf numFmtId="0" fontId="0" fillId="2" borderId="3" xfId="0" applyFill="1" applyBorder="1" applyAlignment="1" applyProtection="1">
      <alignment horizontal="left" wrapText="1"/>
      <protection hidden="1"/>
    </xf>
    <xf numFmtId="0" fontId="2" fillId="0" borderId="30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center" vertical="center" textRotation="90"/>
      <protection hidden="1"/>
    </xf>
    <xf numFmtId="0" fontId="0" fillId="0" borderId="44" xfId="0" applyBorder="1" applyAlignment="1" applyProtection="1">
      <alignment horizontal="center" vertical="center" textRotation="90"/>
      <protection hidden="1"/>
    </xf>
    <xf numFmtId="0" fontId="0" fillId="0" borderId="48" xfId="0" applyBorder="1"/>
    <xf numFmtId="0" fontId="0" fillId="0" borderId="61" xfId="0" applyBorder="1" applyAlignment="1" applyProtection="1">
      <alignment horizontal="center" vertical="center" wrapText="1"/>
      <protection hidden="1"/>
    </xf>
    <xf numFmtId="0" fontId="0" fillId="0" borderId="63" xfId="0" applyBorder="1"/>
    <xf numFmtId="0" fontId="0" fillId="0" borderId="64" xfId="0" applyBorder="1"/>
    <xf numFmtId="0" fontId="0" fillId="0" borderId="1" xfId="0" applyFill="1" applyBorder="1" applyAlignment="1" applyProtection="1">
      <alignment horizontal="left" vertical="center"/>
      <protection hidden="1"/>
    </xf>
    <xf numFmtId="0" fontId="0" fillId="14" borderId="1" xfId="0" applyFill="1" applyBorder="1" applyAlignment="1" applyProtection="1">
      <alignment horizontal="left"/>
      <protection hidden="1"/>
    </xf>
    <xf numFmtId="0" fontId="0" fillId="2" borderId="17" xfId="0" applyFill="1" applyBorder="1" applyAlignment="1" applyProtection="1">
      <alignment horizontal="left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8" borderId="55" xfId="0" applyFill="1" applyBorder="1" applyAlignment="1" applyProtection="1">
      <alignment horizontal="left"/>
      <protection hidden="1"/>
    </xf>
    <xf numFmtId="0" fontId="0" fillId="8" borderId="56" xfId="0" applyFill="1" applyBorder="1" applyAlignment="1" applyProtection="1">
      <alignment horizontal="left"/>
      <protection hidden="1"/>
    </xf>
    <xf numFmtId="0" fontId="0" fillId="8" borderId="54" xfId="0" applyFill="1" applyBorder="1" applyAlignment="1" applyProtection="1">
      <alignment horizontal="left"/>
      <protection hidden="1"/>
    </xf>
    <xf numFmtId="0" fontId="0" fillId="8" borderId="68" xfId="0" applyFill="1" applyBorder="1" applyAlignment="1" applyProtection="1">
      <alignment horizontal="left"/>
      <protection hidden="1"/>
    </xf>
    <xf numFmtId="0" fontId="0" fillId="8" borderId="49" xfId="0" applyFill="1" applyBorder="1" applyAlignment="1" applyProtection="1">
      <alignment horizontal="left"/>
      <protection hidden="1"/>
    </xf>
    <xf numFmtId="0" fontId="0" fillId="8" borderId="53" xfId="0" applyFill="1" applyBorder="1" applyAlignment="1" applyProtection="1">
      <alignment horizontal="left"/>
      <protection hidden="1"/>
    </xf>
    <xf numFmtId="0" fontId="16" fillId="3" borderId="17" xfId="0" applyFont="1" applyFill="1" applyBorder="1" applyAlignment="1" applyProtection="1">
      <alignment horizontal="center" vertical="center" wrapText="1"/>
      <protection locked="0"/>
    </xf>
    <xf numFmtId="0" fontId="16" fillId="3" borderId="7" xfId="0" applyFont="1" applyFill="1" applyBorder="1" applyAlignment="1" applyProtection="1">
      <alignment horizontal="center" vertical="center" wrapText="1"/>
      <protection locked="0"/>
    </xf>
    <xf numFmtId="0" fontId="16" fillId="8" borderId="17" xfId="0" applyFont="1" applyFill="1" applyBorder="1" applyAlignment="1" applyProtection="1">
      <alignment horizontal="center" vertical="center"/>
      <protection locked="0"/>
    </xf>
    <xf numFmtId="0" fontId="16" fillId="8" borderId="7" xfId="0" applyFont="1" applyFill="1" applyBorder="1" applyAlignment="1" applyProtection="1">
      <alignment horizontal="center" vertical="center"/>
      <protection locked="0"/>
    </xf>
    <xf numFmtId="1" fontId="16" fillId="6" borderId="17" xfId="0" applyNumberFormat="1" applyFont="1" applyFill="1" applyBorder="1" applyAlignment="1" applyProtection="1">
      <alignment horizontal="center" vertical="center"/>
      <protection locked="0"/>
    </xf>
    <xf numFmtId="1" fontId="16" fillId="6" borderId="7" xfId="0" applyNumberFormat="1" applyFont="1" applyFill="1" applyBorder="1" applyAlignment="1" applyProtection="1">
      <alignment horizontal="center" vertical="center"/>
      <protection locked="0"/>
    </xf>
    <xf numFmtId="0" fontId="16" fillId="10" borderId="17" xfId="0" applyFont="1" applyFill="1" applyBorder="1" applyAlignment="1" applyProtection="1">
      <alignment horizontal="center" vertical="center"/>
      <protection locked="0"/>
    </xf>
    <xf numFmtId="0" fontId="16" fillId="10" borderId="34" xfId="0" applyFont="1" applyFill="1" applyBorder="1" applyAlignment="1" applyProtection="1">
      <alignment horizontal="center" vertical="center"/>
      <protection locked="0"/>
    </xf>
    <xf numFmtId="0" fontId="16" fillId="10" borderId="7" xfId="0" applyFont="1" applyFill="1" applyBorder="1" applyAlignment="1" applyProtection="1">
      <alignment horizontal="center" vertical="center"/>
      <protection locked="0"/>
    </xf>
    <xf numFmtId="0" fontId="16" fillId="4" borderId="7" xfId="0" applyFont="1" applyFill="1" applyBorder="1" applyAlignment="1" applyProtection="1">
      <alignment horizontal="center" vertical="center"/>
      <protection locked="0"/>
    </xf>
    <xf numFmtId="0" fontId="0" fillId="4" borderId="34" xfId="0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horizontal="center" vertical="center"/>
      <protection hidden="1"/>
    </xf>
    <xf numFmtId="0" fontId="9" fillId="0" borderId="17" xfId="0" applyFont="1" applyFill="1" applyBorder="1" applyAlignment="1" applyProtection="1">
      <alignment horizontal="right" vertical="center"/>
      <protection hidden="1"/>
    </xf>
    <xf numFmtId="0" fontId="9" fillId="0" borderId="34" xfId="0" applyFont="1" applyFill="1" applyBorder="1" applyAlignment="1" applyProtection="1">
      <alignment horizontal="right" vertical="center"/>
      <protection hidden="1"/>
    </xf>
    <xf numFmtId="0" fontId="9" fillId="0" borderId="7" xfId="0" applyFont="1" applyFill="1" applyBorder="1" applyAlignment="1" applyProtection="1">
      <alignment horizontal="right" vertical="center"/>
      <protection hidden="1"/>
    </xf>
    <xf numFmtId="0" fontId="2" fillId="8" borderId="17" xfId="0" applyFont="1" applyFill="1" applyBorder="1" applyAlignment="1" applyProtection="1">
      <alignment horizontal="center" vertical="center" wrapText="1"/>
      <protection hidden="1"/>
    </xf>
    <xf numFmtId="0" fontId="2" fillId="8" borderId="34" xfId="0" applyFont="1" applyFill="1" applyBorder="1" applyAlignment="1" applyProtection="1">
      <alignment horizontal="center" vertical="center" wrapText="1"/>
      <protection hidden="1"/>
    </xf>
    <xf numFmtId="0" fontId="2" fillId="8" borderId="32" xfId="0" applyFont="1" applyFill="1" applyBorder="1" applyAlignment="1" applyProtection="1">
      <alignment horizontal="center" vertical="center" wrapText="1"/>
      <protection hidden="1"/>
    </xf>
    <xf numFmtId="0" fontId="2" fillId="15" borderId="34" xfId="0" applyFont="1" applyFill="1" applyBorder="1" applyAlignment="1" applyProtection="1">
      <alignment horizontal="center" vertical="center" wrapText="1"/>
      <protection hidden="1"/>
    </xf>
    <xf numFmtId="0" fontId="2" fillId="15" borderId="32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3" fillId="2" borderId="34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2" fontId="19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19" fillId="7" borderId="34" xfId="0" applyNumberFormat="1" applyFont="1" applyFill="1" applyBorder="1" applyAlignment="1" applyProtection="1">
      <alignment horizontal="center" vertical="center" wrapText="1"/>
      <protection hidden="1"/>
    </xf>
    <xf numFmtId="2" fontId="19" fillId="7" borderId="32" xfId="0" applyNumberFormat="1" applyFont="1" applyFill="1" applyBorder="1" applyAlignment="1" applyProtection="1">
      <alignment horizontal="center" vertical="center" wrapText="1"/>
      <protection hidden="1"/>
    </xf>
    <xf numFmtId="2" fontId="19" fillId="7" borderId="7" xfId="0" applyNumberFormat="1" applyFont="1" applyFill="1" applyBorder="1" applyAlignment="1" applyProtection="1">
      <alignment horizontal="center" vertical="center" wrapText="1"/>
      <protection hidden="1"/>
    </xf>
    <xf numFmtId="2" fontId="11" fillId="9" borderId="17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34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7" xfId="0" applyNumberFormat="1" applyFont="1" applyFill="1" applyBorder="1" applyAlignment="1" applyProtection="1">
      <alignment horizontal="right" vertical="center" wrapText="1"/>
      <protection hidden="1"/>
    </xf>
    <xf numFmtId="0" fontId="11" fillId="2" borderId="17" xfId="0" applyFont="1" applyFill="1" applyBorder="1" applyAlignment="1" applyProtection="1">
      <alignment horizontal="right" vertical="center" wrapText="1"/>
      <protection hidden="1"/>
    </xf>
    <xf numFmtId="0" fontId="11" fillId="2" borderId="34" xfId="0" applyFont="1" applyFill="1" applyBorder="1" applyAlignment="1" applyProtection="1">
      <alignment horizontal="right" vertical="center" wrapText="1"/>
      <protection hidden="1"/>
    </xf>
    <xf numFmtId="0" fontId="11" fillId="2" borderId="7" xfId="0" applyFont="1" applyFill="1" applyBorder="1" applyAlignment="1" applyProtection="1">
      <alignment horizontal="right" vertical="center" wrapText="1"/>
      <protection hidden="1"/>
    </xf>
    <xf numFmtId="0" fontId="2" fillId="17" borderId="34" xfId="0" applyFont="1" applyFill="1" applyBorder="1" applyAlignment="1" applyProtection="1">
      <alignment horizontal="center" vertical="center" wrapText="1"/>
      <protection hidden="1"/>
    </xf>
    <xf numFmtId="0" fontId="2" fillId="17" borderId="7" xfId="0" applyFont="1" applyFill="1" applyBorder="1" applyAlignment="1" applyProtection="1">
      <alignment horizontal="center" vertical="center" wrapText="1"/>
      <protection hidden="1"/>
    </xf>
    <xf numFmtId="0" fontId="2" fillId="16" borderId="17" xfId="0" applyFont="1" applyFill="1" applyBorder="1" applyAlignment="1" applyProtection="1">
      <alignment horizontal="center" vertical="center" wrapText="1"/>
      <protection hidden="1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colors>
    <mruColors>
      <color rgb="FFCCFF99"/>
      <color rgb="FFFFCCFF"/>
      <color rgb="FFFF6600"/>
      <color rgb="FFFFFF99"/>
      <color rgb="FFCCFF33"/>
      <color rgb="FFCCFF66"/>
      <color rgb="FFFF6699"/>
      <color rgb="FF000000"/>
      <color rgb="FFFF5050"/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>
    <pageSetUpPr fitToPage="1"/>
  </sheetPr>
  <dimension ref="A1:BB380"/>
  <sheetViews>
    <sheetView tabSelected="1" workbookViewId="0">
      <pane ySplit="6" topLeftCell="A7" activePane="bottomLeft" state="frozen"/>
      <selection pane="bottomLeft" activeCell="A29" sqref="A1:XFD29"/>
    </sheetView>
  </sheetViews>
  <sheetFormatPr defaultRowHeight="15" x14ac:dyDescent="0.25"/>
  <cols>
    <col min="1" max="1" width="3.7109375" style="1" bestFit="1" customWidth="1"/>
    <col min="2" max="2" width="8.5703125" style="1" customWidth="1"/>
    <col min="3" max="3" width="5.7109375" style="1" customWidth="1"/>
    <col min="4" max="4" width="2.7109375" style="1" customWidth="1"/>
    <col min="5" max="12" width="9" style="1" customWidth="1"/>
    <col min="13" max="13" width="4" style="7" customWidth="1"/>
    <col min="14" max="16" width="14.7109375" style="1" customWidth="1"/>
    <col min="17" max="17" width="7.7109375" style="1" customWidth="1"/>
    <col min="18" max="18" width="2.7109375" style="1" customWidth="1"/>
    <col min="19" max="20" width="5.7109375" style="1" customWidth="1"/>
    <col min="21" max="21" width="9.42578125" style="7" customWidth="1"/>
    <col min="22" max="25" width="9.42578125" style="1" customWidth="1"/>
    <col min="26" max="26" width="11.5703125" style="1" bestFit="1" customWidth="1"/>
    <col min="27" max="28" width="9.42578125" style="1" customWidth="1"/>
    <col min="29" max="29" width="14.140625" style="1" customWidth="1"/>
    <col min="30" max="31" width="17.28515625" style="378" hidden="1" customWidth="1"/>
    <col min="32" max="33" width="12.7109375" style="1" customWidth="1"/>
    <col min="34" max="34" width="12.7109375" style="8" customWidth="1"/>
    <col min="35" max="35" width="10.85546875" style="7" bestFit="1" customWidth="1"/>
    <col min="36" max="36" width="10.42578125" style="7" bestFit="1" customWidth="1"/>
    <col min="37" max="38" width="9.42578125" style="1" customWidth="1"/>
    <col min="39" max="39" width="10" style="1" customWidth="1"/>
    <col min="40" max="40" width="9.42578125" style="1" customWidth="1"/>
    <col min="41" max="16384" width="9.140625" style="1"/>
  </cols>
  <sheetData>
    <row r="1" spans="1:39" s="14" customFormat="1" ht="30.75" customHeight="1" thickBot="1" x14ac:dyDescent="0.3">
      <c r="A1" s="540" t="s">
        <v>314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2"/>
      <c r="Q1" s="664" t="s">
        <v>137</v>
      </c>
      <c r="R1" s="544"/>
      <c r="S1" s="544"/>
      <c r="T1" s="545"/>
      <c r="U1" s="178" t="s">
        <v>34</v>
      </c>
      <c r="V1" s="178" t="s">
        <v>35</v>
      </c>
      <c r="W1" s="179" t="s">
        <v>330</v>
      </c>
      <c r="X1" s="179" t="s">
        <v>331</v>
      </c>
      <c r="Y1" s="178" t="s">
        <v>10</v>
      </c>
      <c r="Z1" s="228" t="s">
        <v>11</v>
      </c>
      <c r="AA1" s="236" t="s">
        <v>52</v>
      </c>
      <c r="AB1" s="237" t="s">
        <v>53</v>
      </c>
      <c r="AC1" s="527" t="s">
        <v>378</v>
      </c>
      <c r="AD1" s="662"/>
      <c r="AE1" s="662"/>
      <c r="AF1" s="663"/>
    </row>
    <row r="2" spans="1:39" s="14" customFormat="1" ht="20.100000000000001" customHeight="1" thickBot="1" x14ac:dyDescent="0.3">
      <c r="A2" s="659" t="s">
        <v>125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1"/>
      <c r="Q2" s="656">
        <f>Q375</f>
        <v>1E-70</v>
      </c>
      <c r="R2" s="657"/>
      <c r="S2" s="658"/>
      <c r="T2" s="288" t="s">
        <v>9</v>
      </c>
      <c r="U2" s="289">
        <f t="shared" ref="U2:AB2" si="0">U375</f>
        <v>0</v>
      </c>
      <c r="V2" s="289">
        <f t="shared" si="0"/>
        <v>0</v>
      </c>
      <c r="W2" s="289">
        <f t="shared" si="0"/>
        <v>0</v>
      </c>
      <c r="X2" s="289">
        <f t="shared" si="0"/>
        <v>0</v>
      </c>
      <c r="Y2" s="289">
        <f t="shared" si="0"/>
        <v>0</v>
      </c>
      <c r="Z2" s="289">
        <f t="shared" si="0"/>
        <v>0</v>
      </c>
      <c r="AA2" s="290">
        <f t="shared" si="0"/>
        <v>0</v>
      </c>
      <c r="AB2" s="290">
        <f t="shared" si="0"/>
        <v>0</v>
      </c>
      <c r="AC2" s="291">
        <f>AC377</f>
        <v>0</v>
      </c>
      <c r="AD2" s="291"/>
      <c r="AE2" s="291"/>
      <c r="AF2" s="235" t="s">
        <v>15</v>
      </c>
      <c r="AG2" s="243"/>
    </row>
    <row r="3" spans="1:39" s="293" customFormat="1" ht="20.100000000000001" customHeight="1" thickBot="1" x14ac:dyDescent="0.3">
      <c r="A3" s="534" t="str">
        <f>IF($T$3&gt;0,VLOOKUP($T$3,#REF!,10),IF($T$3=0,"",""))</f>
        <v/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6"/>
      <c r="N3" s="534" t="str">
        <f>IF($T$3&gt;0,VLOOKUP($T$3,#REF!,11),IF($T$3=0,"",""))</f>
        <v/>
      </c>
      <c r="O3" s="536"/>
      <c r="P3" s="534" t="str">
        <f>IF($T$3&gt;0,VLOOKUP($T$3,#REF!,12),IF($T$3=0,"",""))</f>
        <v/>
      </c>
      <c r="Q3" s="535"/>
      <c r="R3" s="535"/>
      <c r="S3" s="536"/>
      <c r="T3" s="301">
        <f>AC11</f>
        <v>0</v>
      </c>
      <c r="U3" s="317" t="str">
        <f>IF($T$3&gt;0,VLOOKUP($T$3,#REF!,2),IF($T$3=0,"",""))</f>
        <v/>
      </c>
      <c r="V3" s="302" t="str">
        <f>IF($T$3&gt;0,VLOOKUP($T$3,#REF!,3),IF($T$3=0,"",""))</f>
        <v/>
      </c>
      <c r="W3" s="302" t="str">
        <f>IF($T$3&gt;0,VLOOKUP($T$3,#REF!,4),IF($T$3=0,"",""))</f>
        <v/>
      </c>
      <c r="X3" s="302" t="str">
        <f>IF($T$3&gt;0,VLOOKUP($T$3,#REF!,5),IF($T$3=0,"",""))</f>
        <v/>
      </c>
      <c r="Y3" s="302" t="str">
        <f>IF($T$3&gt;0,VLOOKUP($T$3,#REF!,6),IF($T$3=0,"",""))</f>
        <v/>
      </c>
      <c r="Z3" s="302" t="str">
        <f>IF($T$3&gt;0,VLOOKUP($T$3,#REF!,7),IF($T$3=0,"",""))</f>
        <v/>
      </c>
      <c r="AA3" s="302" t="str">
        <f>IF($T$3&gt;0,VLOOKUP($T$3,#REF!,8),IF($T$3=0,"",""))</f>
        <v/>
      </c>
      <c r="AB3" s="302" t="str">
        <f>IF($T$3&gt;0,VLOOKUP($T$3,#REF!,9),IF($T$3=0,"",""))</f>
        <v/>
      </c>
      <c r="AC3" s="534" t="str">
        <f>IF($T$3&gt;0,VLOOKUP($T$3,#REF!,13),IF($T$3=0,"",""))</f>
        <v/>
      </c>
      <c r="AD3" s="535"/>
      <c r="AE3" s="535"/>
      <c r="AF3" s="535"/>
      <c r="AG3" s="536"/>
      <c r="AH3" s="295" t="s">
        <v>390</v>
      </c>
    </row>
    <row r="4" spans="1:39" s="293" customFormat="1" ht="20.100000000000001" hidden="1" customHeight="1" thickBot="1" x14ac:dyDescent="0.3">
      <c r="A4" s="534" t="str">
        <f>IF($T$3&gt;0,VLOOKUP($T$3,#REF!,13),IF($T$3=0,"",""))</f>
        <v/>
      </c>
      <c r="B4" s="535"/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6"/>
      <c r="N4" s="534" t="str">
        <f>IF($T$3&gt;0,VLOOKUP($T$3,#REF!,14),IF($T$3=0,"",""))</f>
        <v/>
      </c>
      <c r="O4" s="535"/>
      <c r="P4" s="354"/>
      <c r="Q4" s="355"/>
      <c r="R4" s="355"/>
      <c r="S4" s="355"/>
      <c r="T4" s="356"/>
      <c r="U4" s="387">
        <f>SUM(Q221:Q348)-(Q243+Q244+Q245+Q314+Q325+Q327)</f>
        <v>0</v>
      </c>
      <c r="V4" s="388">
        <f>SUM(AD221:AD348)-AD243-AD244-AD245-AD314-AD325-AD327</f>
        <v>0</v>
      </c>
      <c r="W4" s="357">
        <f>Q216+Q217+Q218+Q219+Q220+Q243+Q244+Q245+Q325+Q327+Q350+Q356+Q357+Q358+Q359+Q360+Q361+Q371+Q372+Q373+Q374</f>
        <v>0</v>
      </c>
      <c r="X4" s="357">
        <f>AD216+AD217+AD218+AD219+AD220+AD243+AD244+AD245+AD325+AD327+AD350+AD356+AD357+AD358+AD359+AD360+AD361+AD371+AD372+AD373+AD374</f>
        <v>0</v>
      </c>
      <c r="Y4" s="357">
        <f>SUM(AD34:AD215)</f>
        <v>0</v>
      </c>
      <c r="Z4" s="357"/>
      <c r="AA4" s="357"/>
      <c r="AB4" s="357"/>
      <c r="AC4" s="354"/>
      <c r="AD4" s="354"/>
      <c r="AE4" s="354"/>
      <c r="AF4" s="354"/>
      <c r="AG4" s="358"/>
      <c r="AH4" s="359"/>
    </row>
    <row r="5" spans="1:39" s="300" customFormat="1" ht="20.100000000000001" customHeight="1" thickBot="1" x14ac:dyDescent="0.3">
      <c r="A5" s="652" t="str">
        <f>IF($T$5&gt;0,VLOOKUP($T$5,#REF!,12),IF($T$5=0,"",""))</f>
        <v/>
      </c>
      <c r="B5" s="653"/>
      <c r="C5" s="653"/>
      <c r="D5" s="653"/>
      <c r="E5" s="653"/>
      <c r="F5" s="653"/>
      <c r="G5" s="653"/>
      <c r="H5" s="653"/>
      <c r="I5" s="653"/>
      <c r="J5" s="653"/>
      <c r="K5" s="653"/>
      <c r="L5" s="653"/>
      <c r="M5" s="655"/>
      <c r="N5" s="652" t="str">
        <f>IF($T$5&gt;0,VLOOKUP($T$5,#REF!,13),IF($T$5=0,"",""))</f>
        <v/>
      </c>
      <c r="O5" s="653"/>
      <c r="P5" s="653"/>
      <c r="Q5" s="653"/>
      <c r="R5" s="653"/>
      <c r="S5" s="654"/>
      <c r="T5" s="296">
        <f>Y11</f>
        <v>0</v>
      </c>
      <c r="U5" s="297" t="str">
        <f>IF($T$5&gt;0,VLOOKUP($T$5,#REF!,2),IF($T$5=0,"",""))</f>
        <v/>
      </c>
      <c r="V5" s="297" t="str">
        <f>IF($T$5&gt;0,VLOOKUP($T$5,#REF!,3),IF($T$5=0,"",""))</f>
        <v/>
      </c>
      <c r="W5" s="297" t="str">
        <f>IF($T$5&gt;0,VLOOKUP($T$5,#REF!,4),IF($T$5=0,"",""))</f>
        <v/>
      </c>
      <c r="X5" s="297" t="str">
        <f>IF($T$5&gt;0,VLOOKUP($T$5,#REF!,5),IF($T$5=0,"",""))</f>
        <v/>
      </c>
      <c r="Y5" s="297" t="str">
        <f>IF($T$5&gt;0,VLOOKUP($T$5,#REF!,6),IF($T$5=0,"",""))</f>
        <v/>
      </c>
      <c r="Z5" s="297" t="str">
        <f>IF($T$5&gt;0,VLOOKUP($T$5,#REF!,7),IF($T$5=0,"",""))</f>
        <v/>
      </c>
      <c r="AA5" s="297" t="str">
        <f>IF($T$5&gt;0,VLOOKUP($T$5,#REF!,8),IF($T$5=0,"",""))</f>
        <v/>
      </c>
      <c r="AB5" s="297" t="str">
        <f>IF($T$5&gt;0,VLOOKUP($T$5,#REF!,9),IF($T$5=0,"",""))</f>
        <v/>
      </c>
      <c r="AC5" s="298" t="str">
        <f>IF($T$5&gt;0,VLOOKUP($T$5,#REF!,10),IF($T$5=0,"",""))</f>
        <v/>
      </c>
      <c r="AD5" s="370"/>
      <c r="AE5" s="435"/>
      <c r="AF5" s="299" t="s">
        <v>15</v>
      </c>
    </row>
    <row r="6" spans="1:39" s="54" customFormat="1" ht="15.75" thickBot="1" x14ac:dyDescent="0.3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</row>
    <row r="7" spans="1:39" s="55" customFormat="1" ht="24" customHeight="1" thickBot="1" x14ac:dyDescent="0.3">
      <c r="B7" s="649" t="s">
        <v>312</v>
      </c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  <c r="P7" s="650"/>
      <c r="Q7" s="650"/>
      <c r="R7" s="650"/>
      <c r="S7" s="650"/>
      <c r="T7" s="650"/>
      <c r="U7" s="650"/>
      <c r="V7" s="650"/>
      <c r="W7" s="650"/>
      <c r="X7" s="650"/>
      <c r="Y7" s="650"/>
      <c r="Z7" s="650"/>
      <c r="AA7" s="650"/>
      <c r="AB7" s="650"/>
      <c r="AC7" s="651"/>
      <c r="AD7" s="379"/>
      <c r="AE7" s="379"/>
      <c r="AF7" s="60"/>
      <c r="AG7" s="60"/>
    </row>
    <row r="8" spans="1:39" s="55" customFormat="1" ht="15.75" customHeight="1" thickBot="1" x14ac:dyDescent="0.3">
      <c r="B8" s="528" t="s">
        <v>333</v>
      </c>
      <c r="C8" s="529"/>
      <c r="D8" s="529"/>
      <c r="E8" s="529"/>
      <c r="F8" s="529"/>
      <c r="G8" s="529"/>
      <c r="H8" s="529"/>
      <c r="I8" s="529"/>
      <c r="J8" s="529"/>
      <c r="K8" s="529"/>
      <c r="L8" s="529"/>
      <c r="M8" s="529"/>
      <c r="N8" s="529"/>
      <c r="O8" s="529"/>
      <c r="P8" s="529"/>
      <c r="Q8" s="647" t="s">
        <v>332</v>
      </c>
      <c r="R8" s="647"/>
      <c r="S8" s="647"/>
      <c r="T8" s="648"/>
      <c r="U8" s="93" t="s">
        <v>34</v>
      </c>
      <c r="V8" s="93" t="s">
        <v>391</v>
      </c>
      <c r="W8" s="93" t="s">
        <v>36</v>
      </c>
      <c r="X8" s="93" t="s">
        <v>37</v>
      </c>
      <c r="Y8" s="93" t="s">
        <v>10</v>
      </c>
      <c r="Z8" s="93" t="s">
        <v>11</v>
      </c>
      <c r="AA8" s="93" t="s">
        <v>52</v>
      </c>
      <c r="AB8" s="93" t="s">
        <v>53</v>
      </c>
      <c r="AC8" s="229" t="s">
        <v>15</v>
      </c>
      <c r="AD8" s="380"/>
      <c r="AE8" s="380"/>
      <c r="AF8" s="60"/>
      <c r="AG8" s="60"/>
    </row>
    <row r="9" spans="1:39" s="55" customFormat="1" ht="15.75" customHeight="1" thickBot="1" x14ac:dyDescent="0.3">
      <c r="B9" s="530"/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644"/>
      <c r="R9" s="645"/>
      <c r="S9" s="645"/>
      <c r="T9" s="646"/>
      <c r="U9" s="238"/>
      <c r="V9" s="230"/>
      <c r="W9" s="230"/>
      <c r="X9" s="230"/>
      <c r="Y9" s="230"/>
      <c r="Z9" s="230"/>
      <c r="AA9" s="230"/>
      <c r="AB9" s="230"/>
      <c r="AC9" s="231"/>
      <c r="AD9" s="310"/>
      <c r="AE9" s="310"/>
      <c r="AF9" s="60"/>
      <c r="AG9" s="60"/>
    </row>
    <row r="10" spans="1:39" s="55" customFormat="1" ht="15.75" customHeight="1" thickBot="1" x14ac:dyDescent="0.3">
      <c r="B10" s="532"/>
      <c r="C10" s="533"/>
      <c r="D10" s="533"/>
      <c r="E10" s="533"/>
      <c r="F10" s="533"/>
      <c r="G10" s="533"/>
      <c r="H10" s="533"/>
      <c r="I10" s="533"/>
      <c r="J10" s="533"/>
      <c r="K10" s="533"/>
      <c r="L10" s="533"/>
      <c r="M10" s="533"/>
      <c r="N10" s="533"/>
      <c r="O10" s="533"/>
      <c r="P10" s="533"/>
      <c r="Q10" s="644"/>
      <c r="R10" s="645"/>
      <c r="S10" s="645"/>
      <c r="T10" s="646"/>
      <c r="U10" s="238"/>
      <c r="V10" s="230"/>
      <c r="W10" s="230"/>
      <c r="X10" s="230"/>
      <c r="Y10" s="230"/>
      <c r="Z10" s="230"/>
      <c r="AA10" s="230"/>
      <c r="AB10" s="230"/>
      <c r="AC10" s="231"/>
      <c r="AD10" s="310"/>
      <c r="AE10" s="310"/>
      <c r="AF10" s="60"/>
      <c r="AG10" s="60"/>
    </row>
    <row r="11" spans="1:39" s="55" customFormat="1" ht="27" customHeight="1" thickBot="1" x14ac:dyDescent="0.45">
      <c r="B11" s="641" t="s">
        <v>134</v>
      </c>
      <c r="C11" s="642"/>
      <c r="D11" s="642"/>
      <c r="E11" s="642"/>
      <c r="F11" s="642"/>
      <c r="G11" s="642"/>
      <c r="H11" s="642"/>
      <c r="I11" s="642"/>
      <c r="J11" s="642"/>
      <c r="K11" s="642"/>
      <c r="L11" s="642"/>
      <c r="M11" s="642"/>
      <c r="N11" s="642"/>
      <c r="O11" s="643"/>
      <c r="P11" s="176">
        <v>100</v>
      </c>
      <c r="Q11" s="174" t="s">
        <v>9</v>
      </c>
      <c r="R11" s="537" t="s">
        <v>313</v>
      </c>
      <c r="S11" s="537"/>
      <c r="T11" s="537"/>
      <c r="U11" s="537"/>
      <c r="V11" s="537"/>
      <c r="W11" s="537"/>
      <c r="X11" s="539"/>
      <c r="Y11" s="177"/>
      <c r="Z11" s="538" t="s">
        <v>388</v>
      </c>
      <c r="AA11" s="537"/>
      <c r="AB11" s="539"/>
      <c r="AC11" s="292"/>
      <c r="AD11" s="381"/>
      <c r="AE11" s="381"/>
      <c r="AF11" s="60"/>
      <c r="AG11" s="60"/>
    </row>
    <row r="12" spans="1:39" s="55" customFormat="1" ht="30.75" customHeight="1" thickBot="1" x14ac:dyDescent="0.4">
      <c r="B12" s="547" t="s">
        <v>347</v>
      </c>
      <c r="C12" s="548"/>
      <c r="D12" s="546" t="s">
        <v>26</v>
      </c>
      <c r="E12" s="639"/>
      <c r="F12" s="639"/>
      <c r="G12" s="639"/>
      <c r="H12" s="639"/>
      <c r="I12" s="639"/>
      <c r="J12" s="639"/>
      <c r="K12" s="639"/>
      <c r="L12" s="639"/>
      <c r="M12" s="640"/>
      <c r="N12" s="543">
        <v>1</v>
      </c>
      <c r="O12" s="638"/>
      <c r="P12" s="175" t="s">
        <v>25</v>
      </c>
      <c r="Q12" s="635">
        <v>5</v>
      </c>
      <c r="R12" s="636"/>
      <c r="S12" s="636"/>
      <c r="T12" s="637"/>
      <c r="U12" s="315" t="s">
        <v>136</v>
      </c>
      <c r="V12" s="633">
        <v>1</v>
      </c>
      <c r="W12" s="634"/>
      <c r="X12" s="316" t="s">
        <v>346</v>
      </c>
      <c r="Y12" s="631">
        <v>4</v>
      </c>
      <c r="Z12" s="632"/>
      <c r="AA12" s="61" t="s">
        <v>135</v>
      </c>
      <c r="AB12" s="629"/>
      <c r="AC12" s="630"/>
      <c r="AD12" s="382"/>
      <c r="AE12" s="382"/>
      <c r="AF12" s="60"/>
      <c r="AG12" s="60"/>
    </row>
    <row r="13" spans="1:39" s="180" customFormat="1" ht="12.75" x14ac:dyDescent="0.2">
      <c r="M13" s="181"/>
      <c r="N13" s="182">
        <v>1</v>
      </c>
      <c r="O13" s="183" t="s">
        <v>18</v>
      </c>
      <c r="Q13" s="248">
        <v>1</v>
      </c>
      <c r="R13" s="249" t="s">
        <v>27</v>
      </c>
      <c r="S13" s="249"/>
      <c r="T13" s="250"/>
      <c r="U13" s="187"/>
      <c r="V13" s="283">
        <v>1</v>
      </c>
      <c r="W13" s="284" t="s">
        <v>169</v>
      </c>
      <c r="Y13" s="253">
        <v>1</v>
      </c>
      <c r="Z13" s="254" t="s">
        <v>342</v>
      </c>
      <c r="AB13" s="191">
        <v>1</v>
      </c>
      <c r="AC13" s="74" t="s">
        <v>264</v>
      </c>
      <c r="AD13" s="383"/>
      <c r="AE13" s="383"/>
    </row>
    <row r="14" spans="1:39" s="180" customFormat="1" ht="13.5" thickBot="1" x14ac:dyDescent="0.25">
      <c r="M14" s="181"/>
      <c r="N14" s="182">
        <v>2</v>
      </c>
      <c r="O14" s="183" t="s">
        <v>211</v>
      </c>
      <c r="Q14" s="184">
        <v>2</v>
      </c>
      <c r="R14" s="185" t="s">
        <v>28</v>
      </c>
      <c r="S14" s="185"/>
      <c r="T14" s="186"/>
      <c r="U14" s="187"/>
      <c r="V14" s="188">
        <v>2</v>
      </c>
      <c r="W14" s="285" t="s">
        <v>210</v>
      </c>
      <c r="Y14" s="189">
        <v>2</v>
      </c>
      <c r="Z14" s="190" t="s">
        <v>343</v>
      </c>
      <c r="AB14" s="194">
        <v>2</v>
      </c>
      <c r="AC14" s="75" t="s">
        <v>263</v>
      </c>
      <c r="AD14" s="383"/>
      <c r="AE14" s="383"/>
    </row>
    <row r="15" spans="1:39" s="180" customFormat="1" ht="13.5" thickBot="1" x14ac:dyDescent="0.25">
      <c r="M15" s="181"/>
      <c r="N15" s="182">
        <v>3</v>
      </c>
      <c r="O15" s="183" t="s">
        <v>21</v>
      </c>
      <c r="Q15" s="184">
        <v>3</v>
      </c>
      <c r="R15" s="185" t="s">
        <v>29</v>
      </c>
      <c r="S15" s="185"/>
      <c r="T15" s="186"/>
      <c r="U15" s="195"/>
      <c r="V15" s="192">
        <v>3</v>
      </c>
      <c r="W15" s="193" t="s">
        <v>381</v>
      </c>
      <c r="Y15" s="189">
        <v>3</v>
      </c>
      <c r="Z15" s="190" t="s">
        <v>423</v>
      </c>
      <c r="AA15" s="196"/>
      <c r="AB15" s="196"/>
      <c r="AD15" s="384"/>
      <c r="AE15" s="384"/>
      <c r="AG15" s="197"/>
      <c r="AH15" s="197"/>
      <c r="AM15" s="196"/>
    </row>
    <row r="16" spans="1:39" s="180" customFormat="1" ht="12.75" x14ac:dyDescent="0.2">
      <c r="M16" s="181"/>
      <c r="N16" s="182">
        <v>4</v>
      </c>
      <c r="O16" s="183" t="s">
        <v>23</v>
      </c>
      <c r="Q16" s="252">
        <v>4</v>
      </c>
      <c r="R16" s="185" t="s">
        <v>394</v>
      </c>
      <c r="S16" s="251"/>
      <c r="T16" s="309"/>
      <c r="U16" s="195"/>
      <c r="Y16" s="345">
        <v>4</v>
      </c>
      <c r="Z16" s="190" t="s">
        <v>424</v>
      </c>
      <c r="AA16" s="196"/>
      <c r="AB16" s="196"/>
      <c r="AD16" s="384"/>
      <c r="AE16" s="384"/>
      <c r="AG16" s="197"/>
      <c r="AH16" s="197"/>
      <c r="AM16" s="196"/>
    </row>
    <row r="17" spans="1:39" s="180" customFormat="1" ht="12.75" x14ac:dyDescent="0.2">
      <c r="M17" s="181"/>
      <c r="N17" s="182">
        <v>5</v>
      </c>
      <c r="O17" s="183" t="s">
        <v>24</v>
      </c>
      <c r="Q17" s="184">
        <v>5</v>
      </c>
      <c r="R17" s="185" t="s">
        <v>236</v>
      </c>
      <c r="S17" s="185"/>
      <c r="T17" s="186"/>
      <c r="U17" s="195"/>
      <c r="Y17" s="189">
        <v>5</v>
      </c>
      <c r="Z17" s="190" t="s">
        <v>344</v>
      </c>
      <c r="AA17" s="196"/>
      <c r="AB17" s="196"/>
      <c r="AD17" s="384"/>
      <c r="AE17" s="384"/>
      <c r="AG17" s="197"/>
      <c r="AH17" s="197"/>
      <c r="AM17" s="196"/>
    </row>
    <row r="18" spans="1:39" s="180" customFormat="1" ht="12.75" x14ac:dyDescent="0.2">
      <c r="M18" s="181"/>
      <c r="N18" s="182">
        <v>6</v>
      </c>
      <c r="O18" s="183" t="s">
        <v>19</v>
      </c>
      <c r="Q18" s="252">
        <v>6</v>
      </c>
      <c r="R18" s="185" t="s">
        <v>237</v>
      </c>
      <c r="S18" s="251"/>
      <c r="T18" s="186"/>
      <c r="U18" s="195"/>
      <c r="Y18" s="189">
        <v>6</v>
      </c>
      <c r="Z18" s="190" t="s">
        <v>345</v>
      </c>
      <c r="AA18" s="196"/>
      <c r="AB18" s="196"/>
      <c r="AD18" s="384"/>
      <c r="AE18" s="384"/>
      <c r="AG18" s="197"/>
      <c r="AH18" s="197"/>
      <c r="AM18" s="196"/>
    </row>
    <row r="19" spans="1:39" s="180" customFormat="1" ht="13.5" thickBot="1" x14ac:dyDescent="0.25">
      <c r="M19" s="181"/>
      <c r="N19" s="182">
        <v>7</v>
      </c>
      <c r="O19" s="183" t="s">
        <v>22</v>
      </c>
      <c r="Q19" s="184">
        <v>7</v>
      </c>
      <c r="R19" s="185" t="s">
        <v>238</v>
      </c>
      <c r="S19" s="185"/>
      <c r="T19" s="186"/>
      <c r="U19" s="195"/>
      <c r="Y19" s="198">
        <v>7</v>
      </c>
      <c r="Z19" s="199" t="s">
        <v>497</v>
      </c>
      <c r="AA19" s="196"/>
      <c r="AB19" s="196"/>
      <c r="AD19" s="384"/>
      <c r="AE19" s="384"/>
      <c r="AG19" s="197"/>
      <c r="AH19" s="197"/>
      <c r="AM19" s="196"/>
    </row>
    <row r="20" spans="1:39" s="180" customFormat="1" ht="12.75" x14ac:dyDescent="0.2">
      <c r="M20" s="181"/>
      <c r="N20" s="182">
        <v>8</v>
      </c>
      <c r="O20" s="183" t="s">
        <v>20</v>
      </c>
      <c r="Q20" s="184">
        <v>8</v>
      </c>
      <c r="R20" s="185" t="s">
        <v>30</v>
      </c>
      <c r="S20" s="185"/>
      <c r="T20" s="186"/>
      <c r="U20" s="195"/>
      <c r="AA20" s="196"/>
      <c r="AB20" s="196"/>
      <c r="AD20" s="384"/>
      <c r="AE20" s="384"/>
      <c r="AG20" s="197"/>
      <c r="AH20" s="197"/>
      <c r="AM20" s="196"/>
    </row>
    <row r="21" spans="1:39" s="180" customFormat="1" ht="12.75" x14ac:dyDescent="0.2">
      <c r="M21" s="181"/>
      <c r="N21" s="182">
        <v>9</v>
      </c>
      <c r="O21" s="200" t="s">
        <v>309</v>
      </c>
      <c r="Q21" s="184">
        <v>9</v>
      </c>
      <c r="R21" s="185" t="s">
        <v>123</v>
      </c>
      <c r="S21" s="185"/>
      <c r="T21" s="186"/>
      <c r="U21" s="195"/>
      <c r="V21" s="201"/>
      <c r="W21" s="197"/>
      <c r="X21" s="202"/>
      <c r="Z21" s="196"/>
      <c r="AA21" s="196"/>
      <c r="AB21" s="196"/>
      <c r="AC21" s="196"/>
      <c r="AD21" s="196"/>
      <c r="AE21" s="196"/>
    </row>
    <row r="22" spans="1:39" s="180" customFormat="1" ht="12.75" x14ac:dyDescent="0.2">
      <c r="M22" s="181"/>
      <c r="N22" s="182">
        <v>10</v>
      </c>
      <c r="O22" s="183" t="s">
        <v>120</v>
      </c>
      <c r="Q22" s="184">
        <v>10</v>
      </c>
      <c r="R22" s="185" t="s">
        <v>494</v>
      </c>
      <c r="S22" s="185"/>
      <c r="T22" s="186"/>
      <c r="U22" s="195"/>
      <c r="V22" s="202"/>
      <c r="W22" s="202"/>
      <c r="X22" s="202"/>
      <c r="Z22" s="196"/>
      <c r="AA22" s="196"/>
      <c r="AB22" s="196"/>
      <c r="AC22" s="196"/>
      <c r="AD22" s="196"/>
      <c r="AE22" s="196"/>
    </row>
    <row r="23" spans="1:39" s="180" customFormat="1" ht="12.75" x14ac:dyDescent="0.2">
      <c r="M23" s="181"/>
      <c r="N23" s="182">
        <v>11</v>
      </c>
      <c r="O23" s="183" t="s">
        <v>121</v>
      </c>
      <c r="Q23" s="184">
        <v>11</v>
      </c>
      <c r="R23" s="185" t="s">
        <v>220</v>
      </c>
      <c r="S23" s="185"/>
      <c r="T23" s="186"/>
      <c r="U23" s="202"/>
      <c r="V23" s="202"/>
      <c r="W23" s="202"/>
      <c r="X23" s="202"/>
      <c r="Z23" s="196"/>
      <c r="AA23" s="196"/>
      <c r="AB23" s="196"/>
      <c r="AC23" s="196"/>
      <c r="AD23" s="196"/>
      <c r="AE23" s="196"/>
    </row>
    <row r="24" spans="1:39" s="180" customFormat="1" ht="13.5" customHeight="1" thickBot="1" x14ac:dyDescent="0.25">
      <c r="M24" s="181"/>
      <c r="N24" s="182">
        <v>12</v>
      </c>
      <c r="O24" s="183" t="s">
        <v>122</v>
      </c>
      <c r="Q24" s="470">
        <v>12</v>
      </c>
      <c r="R24" s="471" t="s">
        <v>273</v>
      </c>
      <c r="S24" s="468"/>
      <c r="T24" s="469"/>
      <c r="U24" s="202"/>
      <c r="V24" s="202"/>
      <c r="W24" s="202"/>
      <c r="X24" s="202"/>
      <c r="Z24" s="196"/>
      <c r="AA24" s="196"/>
      <c r="AB24" s="196"/>
      <c r="AC24" s="196"/>
      <c r="AD24" s="196"/>
      <c r="AE24" s="196"/>
    </row>
    <row r="25" spans="1:39" s="180" customFormat="1" ht="12.75" x14ac:dyDescent="0.2">
      <c r="M25" s="181"/>
      <c r="N25" s="182">
        <v>13</v>
      </c>
      <c r="O25" s="183" t="s">
        <v>287</v>
      </c>
      <c r="Q25" s="203"/>
      <c r="R25" s="201"/>
      <c r="S25" s="201"/>
      <c r="T25" s="201"/>
      <c r="U25" s="202"/>
      <c r="V25" s="202"/>
      <c r="W25" s="202"/>
      <c r="X25" s="202"/>
      <c r="Z25" s="196"/>
      <c r="AA25" s="196"/>
      <c r="AB25" s="196"/>
      <c r="AC25" s="196"/>
      <c r="AD25" s="196"/>
      <c r="AE25" s="196"/>
    </row>
    <row r="26" spans="1:39" s="180" customFormat="1" ht="12.75" x14ac:dyDescent="0.2">
      <c r="M26" s="181"/>
      <c r="N26" s="182">
        <v>14</v>
      </c>
      <c r="O26" s="183" t="s">
        <v>310</v>
      </c>
      <c r="Q26" s="203"/>
      <c r="R26" s="201"/>
      <c r="S26" s="201"/>
      <c r="T26" s="201"/>
      <c r="U26" s="202"/>
      <c r="V26" s="202"/>
      <c r="W26" s="202"/>
      <c r="X26" s="202"/>
      <c r="Z26" s="196"/>
      <c r="AA26" s="196"/>
      <c r="AB26" s="196"/>
      <c r="AC26" s="196"/>
      <c r="AD26" s="196"/>
      <c r="AE26" s="196"/>
    </row>
    <row r="27" spans="1:39" s="180" customFormat="1" ht="12.75" x14ac:dyDescent="0.2">
      <c r="M27" s="181"/>
      <c r="N27" s="182">
        <v>15</v>
      </c>
      <c r="O27" s="183" t="s">
        <v>311</v>
      </c>
      <c r="Q27" s="203"/>
      <c r="R27" s="201"/>
      <c r="S27" s="201"/>
      <c r="T27" s="201"/>
      <c r="U27" s="202"/>
      <c r="V27" s="202"/>
      <c r="W27" s="202"/>
      <c r="X27" s="202"/>
      <c r="Z27" s="196"/>
      <c r="AA27" s="196"/>
      <c r="AB27" s="196"/>
      <c r="AC27" s="196"/>
      <c r="AD27" s="196"/>
      <c r="AE27" s="196"/>
    </row>
    <row r="28" spans="1:39" s="180" customFormat="1" ht="15" customHeight="1" thickBot="1" x14ac:dyDescent="0.25">
      <c r="M28" s="181"/>
      <c r="N28" s="204">
        <v>16</v>
      </c>
      <c r="O28" s="205" t="s">
        <v>215</v>
      </c>
      <c r="Q28" s="206"/>
      <c r="R28" s="206"/>
      <c r="S28" s="206"/>
      <c r="T28" s="206"/>
      <c r="U28" s="202"/>
      <c r="V28" s="202"/>
      <c r="W28" s="202"/>
      <c r="X28" s="202"/>
      <c r="Z28" s="196"/>
      <c r="AA28" s="196"/>
      <c r="AB28" s="196"/>
      <c r="AC28" s="196"/>
      <c r="AD28" s="196"/>
      <c r="AE28" s="196"/>
    </row>
    <row r="29" spans="1:39" s="180" customFormat="1" ht="13.5" thickBot="1" x14ac:dyDescent="0.25">
      <c r="M29" s="181"/>
      <c r="N29" s="391">
        <v>17</v>
      </c>
      <c r="O29" s="392" t="s">
        <v>398</v>
      </c>
      <c r="Q29" s="294">
        <v>13</v>
      </c>
      <c r="R29" s="588" t="s">
        <v>398</v>
      </c>
      <c r="S29" s="588"/>
      <c r="T29" s="589"/>
      <c r="U29" s="202"/>
      <c r="V29" s="416">
        <v>4</v>
      </c>
      <c r="W29" s="417" t="s">
        <v>454</v>
      </c>
      <c r="X29" s="202"/>
      <c r="Y29" s="389">
        <v>8</v>
      </c>
      <c r="Z29" s="390" t="s">
        <v>398</v>
      </c>
      <c r="AA29" s="196"/>
      <c r="AB29" s="196"/>
      <c r="AC29" s="196"/>
      <c r="AD29" s="196"/>
      <c r="AE29" s="196"/>
    </row>
    <row r="30" spans="1:39" s="55" customFormat="1" ht="15" customHeight="1" thickBot="1" x14ac:dyDescent="0.4">
      <c r="M30" s="126"/>
      <c r="N30" s="56"/>
      <c r="O30" s="56"/>
      <c r="P30" s="56"/>
      <c r="Q30" s="63"/>
      <c r="R30" s="58"/>
      <c r="S30" s="58"/>
      <c r="T30" s="58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 spans="1:39" ht="30.75" thickBot="1" x14ac:dyDescent="0.3">
      <c r="A31" s="14"/>
      <c r="B31" s="14"/>
      <c r="C31" s="70" t="s">
        <v>15</v>
      </c>
      <c r="D31" s="59"/>
      <c r="E31" s="39" t="s">
        <v>34</v>
      </c>
      <c r="F31" s="39" t="s">
        <v>35</v>
      </c>
      <c r="G31" s="52" t="s">
        <v>126</v>
      </c>
      <c r="H31" s="39" t="s">
        <v>37</v>
      </c>
      <c r="I31" s="39" t="s">
        <v>10</v>
      </c>
      <c r="J31" s="39" t="s">
        <v>11</v>
      </c>
      <c r="K31" s="39" t="s">
        <v>52</v>
      </c>
      <c r="L31" s="39" t="s">
        <v>53</v>
      </c>
      <c r="M31" s="39" t="s">
        <v>272</v>
      </c>
      <c r="N31" s="608" t="s">
        <v>0</v>
      </c>
      <c r="O31" s="609"/>
      <c r="P31" s="610"/>
      <c r="Q31" s="39"/>
      <c r="R31" s="39"/>
      <c r="S31" s="71" t="s">
        <v>150</v>
      </c>
      <c r="T31" s="72" t="s">
        <v>151</v>
      </c>
      <c r="U31" s="39" t="s">
        <v>34</v>
      </c>
      <c r="V31" s="39" t="s">
        <v>35</v>
      </c>
      <c r="W31" s="39" t="s">
        <v>36</v>
      </c>
      <c r="X31" s="39" t="s">
        <v>37</v>
      </c>
      <c r="Y31" s="39" t="s">
        <v>10</v>
      </c>
      <c r="Z31" s="39" t="s">
        <v>11</v>
      </c>
      <c r="AA31" s="39" t="s">
        <v>52</v>
      </c>
      <c r="AB31" s="73" t="s">
        <v>53</v>
      </c>
      <c r="AC31" s="70" t="s">
        <v>8</v>
      </c>
      <c r="AD31" s="385"/>
      <c r="AE31" s="385"/>
      <c r="AH31" s="15"/>
      <c r="AI31" s="16"/>
      <c r="AJ31" s="16"/>
    </row>
    <row r="32" spans="1:39" x14ac:dyDescent="0.25">
      <c r="A32" s="14"/>
      <c r="B32" s="14"/>
      <c r="C32" s="278">
        <f>AC9</f>
        <v>0</v>
      </c>
      <c r="D32" s="25" t="s">
        <v>16</v>
      </c>
      <c r="E32" s="232">
        <f>U9</f>
        <v>0</v>
      </c>
      <c r="F32" s="232">
        <f>V9</f>
        <v>0</v>
      </c>
      <c r="G32" s="232">
        <f>W9</f>
        <v>0</v>
      </c>
      <c r="H32" s="232">
        <f>X9</f>
        <v>0</v>
      </c>
      <c r="I32" s="232">
        <f>Y9</f>
        <v>0</v>
      </c>
      <c r="J32" s="232">
        <f>Z9</f>
        <v>0</v>
      </c>
      <c r="K32" s="232">
        <f>AA9</f>
        <v>0</v>
      </c>
      <c r="L32" s="232">
        <f>AB9</f>
        <v>0</v>
      </c>
      <c r="M32" s="42"/>
      <c r="N32" s="626">
        <f>Q9</f>
        <v>0</v>
      </c>
      <c r="O32" s="627"/>
      <c r="P32" s="628"/>
      <c r="Q32" s="233"/>
      <c r="R32" s="66" t="s">
        <v>149</v>
      </c>
      <c r="S32" s="227"/>
      <c r="T32" s="226"/>
      <c r="U32" s="37">
        <f>U9*Q32</f>
        <v>0</v>
      </c>
      <c r="V32" s="26">
        <f>V9*$Q32/$Q$375</f>
        <v>0</v>
      </c>
      <c r="W32" s="26">
        <f>W9*$Q32/$Q$375</f>
        <v>0</v>
      </c>
      <c r="X32" s="26">
        <f>X9*$Q32/$Q$375</f>
        <v>0</v>
      </c>
      <c r="Y32" s="26">
        <f>Y9*$Q32/$Q$375</f>
        <v>0</v>
      </c>
      <c r="Z32" s="26">
        <f>Z9*$Q32/$Q$375</f>
        <v>0</v>
      </c>
      <c r="AA32" s="26">
        <f>AA9*$Q32/$Q$375</f>
        <v>0</v>
      </c>
      <c r="AB32" s="26">
        <f>AB9*$Q32/$Q$375</f>
        <v>0</v>
      </c>
      <c r="AC32" s="40">
        <f>KALKULÁTOR!C32*Q32</f>
        <v>0</v>
      </c>
      <c r="AD32" s="377"/>
      <c r="AE32" s="377"/>
      <c r="AH32" s="15"/>
      <c r="AI32" s="16"/>
      <c r="AJ32" s="16"/>
    </row>
    <row r="33" spans="1:36" ht="15.75" thickBot="1" x14ac:dyDescent="0.3">
      <c r="A33" s="14"/>
      <c r="B33" s="14"/>
      <c r="C33" s="279">
        <f>AC10</f>
        <v>0</v>
      </c>
      <c r="D33" s="29" t="s">
        <v>16</v>
      </c>
      <c r="E33" s="234">
        <f>U10</f>
        <v>0</v>
      </c>
      <c r="F33" s="234">
        <f>V10</f>
        <v>0</v>
      </c>
      <c r="G33" s="234">
        <f>W10</f>
        <v>0</v>
      </c>
      <c r="H33" s="234">
        <f>X10</f>
        <v>0</v>
      </c>
      <c r="I33" s="234">
        <f>Y10</f>
        <v>0</v>
      </c>
      <c r="J33" s="234">
        <f>Z10</f>
        <v>0</v>
      </c>
      <c r="K33" s="234">
        <f>AA10</f>
        <v>0</v>
      </c>
      <c r="L33" s="234">
        <f>AB10</f>
        <v>0</v>
      </c>
      <c r="M33" s="53"/>
      <c r="N33" s="623">
        <f>Q10</f>
        <v>0</v>
      </c>
      <c r="O33" s="624"/>
      <c r="P33" s="625"/>
      <c r="Q33" s="107"/>
      <c r="R33" s="83" t="s">
        <v>149</v>
      </c>
      <c r="S33" s="124"/>
      <c r="T33" s="122"/>
      <c r="U33" s="38">
        <f>U10*Q33</f>
        <v>0</v>
      </c>
      <c r="V33" s="67">
        <f>V10*$Q33/$Q$375</f>
        <v>0</v>
      </c>
      <c r="W33" s="67">
        <f>W10*$Q33/$Q$375</f>
        <v>0</v>
      </c>
      <c r="X33" s="67">
        <f>X10*$Q33/$Q$375</f>
        <v>0</v>
      </c>
      <c r="Y33" s="67">
        <f>Y10*$Q33/$Q$375</f>
        <v>0</v>
      </c>
      <c r="Z33" s="67">
        <f>Z10*$Q33/$Q$375</f>
        <v>0</v>
      </c>
      <c r="AA33" s="67">
        <f>AA10*$Q33/$Q$375</f>
        <v>0</v>
      </c>
      <c r="AB33" s="67">
        <f>AB10*$Q33/$Q$375</f>
        <v>0</v>
      </c>
      <c r="AC33" s="68">
        <f>KALKULÁTOR!C33*Q33</f>
        <v>0</v>
      </c>
      <c r="AD33" s="377"/>
      <c r="AE33" s="377"/>
      <c r="AH33" s="15"/>
      <c r="AI33" s="16"/>
      <c r="AJ33" s="16"/>
    </row>
    <row r="34" spans="1:36" ht="15" customHeight="1" x14ac:dyDescent="0.25">
      <c r="A34" s="611" t="s">
        <v>172</v>
      </c>
      <c r="B34" s="577" t="s">
        <v>171</v>
      </c>
      <c r="C34" s="87"/>
      <c r="D34" s="78" t="s">
        <v>16</v>
      </c>
      <c r="E34" s="32">
        <v>5.93</v>
      </c>
      <c r="F34" s="6">
        <v>23.4</v>
      </c>
      <c r="G34" s="6">
        <v>0.3</v>
      </c>
      <c r="H34" s="6">
        <v>22.1</v>
      </c>
      <c r="I34" s="6">
        <v>1.82</v>
      </c>
      <c r="J34" s="6">
        <v>0.33</v>
      </c>
      <c r="K34" s="6">
        <v>0.87</v>
      </c>
      <c r="L34" s="6">
        <v>0.3</v>
      </c>
      <c r="M34" s="144"/>
      <c r="N34" s="481" t="s">
        <v>31</v>
      </c>
      <c r="O34" s="481"/>
      <c r="P34" s="481"/>
      <c r="Q34" s="145"/>
      <c r="R34" s="120" t="s">
        <v>149</v>
      </c>
      <c r="S34" s="89">
        <f>$P$11*0.04</f>
        <v>4</v>
      </c>
      <c r="T34" s="90">
        <f>$P$11*0.06</f>
        <v>6</v>
      </c>
      <c r="U34" s="32">
        <f>KALKULÁTOR!E34*Q34</f>
        <v>0</v>
      </c>
      <c r="V34" s="6">
        <f>KALKULÁTOR!F34*$Q34/$Q$375</f>
        <v>0</v>
      </c>
      <c r="W34" s="6">
        <f>KALKULÁTOR!G34*$Q34/$Q$375</f>
        <v>0</v>
      </c>
      <c r="X34" s="6">
        <f>KALKULÁTOR!H34*$Q34/$Q$375</f>
        <v>0</v>
      </c>
      <c r="Y34" s="6">
        <f>KALKULÁTOR!I34*$Q34/$Q$375</f>
        <v>0</v>
      </c>
      <c r="Z34" s="6">
        <f>KALKULÁTOR!J34*$Q34/$Q$375</f>
        <v>0</v>
      </c>
      <c r="AA34" s="6">
        <f>KALKULÁTOR!K34*$Q34/$Q$375</f>
        <v>0</v>
      </c>
      <c r="AB34" s="6">
        <f>KALKULÁTOR!L34*$Q34/$Q$375</f>
        <v>0</v>
      </c>
      <c r="AC34" s="50">
        <f>KALKULÁTOR!C34*Q34</f>
        <v>0</v>
      </c>
      <c r="AD34" s="442">
        <f t="shared" ref="AD34:AD63" si="1">IF(AND(Q34&gt;T34),1,0)</f>
        <v>0</v>
      </c>
      <c r="AE34" s="442"/>
      <c r="AF34" s="497" t="s">
        <v>233</v>
      </c>
      <c r="AG34" s="568"/>
      <c r="AH34" s="569"/>
      <c r="AI34" s="16"/>
      <c r="AJ34" s="16"/>
    </row>
    <row r="35" spans="1:36" x14ac:dyDescent="0.25">
      <c r="A35" s="612"/>
      <c r="B35" s="613"/>
      <c r="C35" s="81"/>
      <c r="D35" s="27" t="s">
        <v>16</v>
      </c>
      <c r="E35" s="36">
        <v>4.8</v>
      </c>
      <c r="F35" s="28">
        <v>20.7</v>
      </c>
      <c r="G35" s="28">
        <v>0.27</v>
      </c>
      <c r="H35" s="28">
        <v>26</v>
      </c>
      <c r="I35" s="28">
        <v>1.7</v>
      </c>
      <c r="J35" s="28">
        <v>0.31</v>
      </c>
      <c r="K35" s="28">
        <v>0.8</v>
      </c>
      <c r="L35" s="28">
        <v>0.28000000000000003</v>
      </c>
      <c r="M35" s="43"/>
      <c r="N35" s="472" t="s">
        <v>32</v>
      </c>
      <c r="O35" s="472"/>
      <c r="P35" s="472"/>
      <c r="Q35" s="107"/>
      <c r="R35" s="80" t="s">
        <v>149</v>
      </c>
      <c r="S35" s="123">
        <f>$P$11*0.04</f>
        <v>4</v>
      </c>
      <c r="T35" s="121">
        <f>$P$11*0.06</f>
        <v>6</v>
      </c>
      <c r="U35" s="36">
        <f>KALKULÁTOR!E35*Q35</f>
        <v>0</v>
      </c>
      <c r="V35" s="28">
        <f>KALKULÁTOR!F35*$Q35/$Q$375</f>
        <v>0</v>
      </c>
      <c r="W35" s="28">
        <f>KALKULÁTOR!G35*$Q35/$Q$375</f>
        <v>0</v>
      </c>
      <c r="X35" s="28">
        <f>KALKULÁTOR!H35*$Q35/$Q$375</f>
        <v>0</v>
      </c>
      <c r="Y35" s="28">
        <f>KALKULÁTOR!I35*$Q35/$Q$375</f>
        <v>0</v>
      </c>
      <c r="Z35" s="28">
        <f>KALKULÁTOR!J35*$Q35/$Q$375</f>
        <v>0</v>
      </c>
      <c r="AA35" s="28">
        <f>KALKULÁTOR!K35*$Q35/$Q$375</f>
        <v>0</v>
      </c>
      <c r="AB35" s="28">
        <f>KALKULÁTOR!L35*$Q35/$Q$375</f>
        <v>0</v>
      </c>
      <c r="AC35" s="41">
        <f>KALKULÁTOR!C35*Q35</f>
        <v>0</v>
      </c>
      <c r="AD35" s="442">
        <f t="shared" si="1"/>
        <v>0</v>
      </c>
      <c r="AE35" s="442"/>
      <c r="AF35" s="479" t="s">
        <v>233</v>
      </c>
      <c r="AG35" s="480"/>
      <c r="AH35" s="480"/>
      <c r="AI35" s="16"/>
      <c r="AJ35" s="16"/>
    </row>
    <row r="36" spans="1:36" s="14" customFormat="1" x14ac:dyDescent="0.25">
      <c r="A36" s="612"/>
      <c r="B36" s="613"/>
      <c r="C36" s="81"/>
      <c r="D36" s="27" t="s">
        <v>16</v>
      </c>
      <c r="E36" s="36">
        <v>5</v>
      </c>
      <c r="F36" s="17">
        <v>18</v>
      </c>
      <c r="G36" s="17">
        <v>0.3</v>
      </c>
      <c r="H36" s="17">
        <v>26.5</v>
      </c>
      <c r="I36" s="17">
        <v>1.75</v>
      </c>
      <c r="J36" s="17">
        <v>0.32</v>
      </c>
      <c r="K36" s="17">
        <v>0.77</v>
      </c>
      <c r="L36" s="17">
        <v>0.26</v>
      </c>
      <c r="M36" s="43"/>
      <c r="N36" s="472" t="s">
        <v>33</v>
      </c>
      <c r="O36" s="472"/>
      <c r="P36" s="472"/>
      <c r="Q36" s="107"/>
      <c r="R36" s="80" t="s">
        <v>149</v>
      </c>
      <c r="S36" s="123">
        <f>$P$11*0.04</f>
        <v>4</v>
      </c>
      <c r="T36" s="121">
        <f>$P$11*0.06</f>
        <v>6</v>
      </c>
      <c r="U36" s="36">
        <f>KALKULÁTOR!E36*Q36</f>
        <v>0</v>
      </c>
      <c r="V36" s="28">
        <f>KALKULÁTOR!F36*$Q36/$Q$375</f>
        <v>0</v>
      </c>
      <c r="W36" s="28">
        <f>KALKULÁTOR!G36*$Q36/$Q$375</f>
        <v>0</v>
      </c>
      <c r="X36" s="28">
        <f>KALKULÁTOR!H36*$Q36/$Q$375</f>
        <v>0</v>
      </c>
      <c r="Y36" s="28">
        <f>KALKULÁTOR!I36*$Q36/$Q$375</f>
        <v>0</v>
      </c>
      <c r="Z36" s="28">
        <f>KALKULÁTOR!J36*$Q36/$Q$375</f>
        <v>0</v>
      </c>
      <c r="AA36" s="28">
        <f>KALKULÁTOR!K36*$Q36/$Q$375</f>
        <v>0</v>
      </c>
      <c r="AB36" s="28">
        <f>KALKULÁTOR!L36*$Q36/$Q$375</f>
        <v>0</v>
      </c>
      <c r="AC36" s="41">
        <f>KALKULÁTOR!C36*Q36</f>
        <v>0</v>
      </c>
      <c r="AD36" s="442">
        <f t="shared" si="1"/>
        <v>0</v>
      </c>
      <c r="AE36" s="442"/>
      <c r="AF36" s="479" t="s">
        <v>233</v>
      </c>
      <c r="AG36" s="480"/>
      <c r="AH36" s="480"/>
      <c r="AI36" s="16"/>
      <c r="AJ36" s="16"/>
    </row>
    <row r="37" spans="1:36" s="14" customFormat="1" x14ac:dyDescent="0.25">
      <c r="A37" s="612"/>
      <c r="B37" s="613"/>
      <c r="C37" s="81"/>
      <c r="D37" s="27" t="s">
        <v>16</v>
      </c>
      <c r="E37" s="36">
        <v>4</v>
      </c>
      <c r="F37" s="17">
        <v>10</v>
      </c>
      <c r="G37" s="17">
        <v>0.3</v>
      </c>
      <c r="H37" s="17">
        <v>28</v>
      </c>
      <c r="I37" s="17">
        <v>1</v>
      </c>
      <c r="J37" s="17">
        <v>0.2</v>
      </c>
      <c r="K37" s="17">
        <v>0.7</v>
      </c>
      <c r="L37" s="17">
        <v>0.25</v>
      </c>
      <c r="M37" s="43"/>
      <c r="N37" s="472" t="s">
        <v>404</v>
      </c>
      <c r="O37" s="472"/>
      <c r="P37" s="472"/>
      <c r="Q37" s="145"/>
      <c r="R37" s="80" t="s">
        <v>149</v>
      </c>
      <c r="S37" s="123">
        <f>$P$11*0.04</f>
        <v>4</v>
      </c>
      <c r="T37" s="121">
        <f>$P$11*0.06</f>
        <v>6</v>
      </c>
      <c r="U37" s="36">
        <f>KALKULÁTOR!E37*Q37</f>
        <v>0</v>
      </c>
      <c r="V37" s="28">
        <f>KALKULÁTOR!F37*$Q37/$Q$375</f>
        <v>0</v>
      </c>
      <c r="W37" s="28">
        <f>KALKULÁTOR!G37*$Q37/$Q$375</f>
        <v>0</v>
      </c>
      <c r="X37" s="28">
        <f>KALKULÁTOR!H37*$Q37/$Q$375</f>
        <v>0</v>
      </c>
      <c r="Y37" s="28">
        <f>KALKULÁTOR!I37*$Q37/$Q$375</f>
        <v>0</v>
      </c>
      <c r="Z37" s="28">
        <f>KALKULÁTOR!J37*$Q37/$Q$375</f>
        <v>0</v>
      </c>
      <c r="AA37" s="28">
        <f>KALKULÁTOR!K37*$Q37/$Q$375</f>
        <v>0</v>
      </c>
      <c r="AB37" s="28">
        <f>KALKULÁTOR!L37*$Q37/$Q$375</f>
        <v>0</v>
      </c>
      <c r="AC37" s="41">
        <f>KALKULÁTOR!C37*Q37</f>
        <v>0</v>
      </c>
      <c r="AD37" s="442">
        <f t="shared" si="1"/>
        <v>0</v>
      </c>
      <c r="AE37" s="442"/>
      <c r="AF37" s="479" t="s">
        <v>233</v>
      </c>
      <c r="AG37" s="480"/>
      <c r="AH37" s="480"/>
      <c r="AI37" s="16"/>
      <c r="AJ37" s="16"/>
    </row>
    <row r="38" spans="1:36" s="14" customFormat="1" ht="15.75" thickBot="1" x14ac:dyDescent="0.3">
      <c r="A38" s="612"/>
      <c r="B38" s="613"/>
      <c r="C38" s="94"/>
      <c r="D38" s="95" t="s">
        <v>16</v>
      </c>
      <c r="E38" s="22">
        <v>8.1</v>
      </c>
      <c r="F38" s="119">
        <v>4</v>
      </c>
      <c r="G38" s="119">
        <v>0.3</v>
      </c>
      <c r="H38" s="119">
        <v>33</v>
      </c>
      <c r="I38" s="119">
        <v>1</v>
      </c>
      <c r="J38" s="119">
        <v>0.125</v>
      </c>
      <c r="K38" s="119">
        <v>0.68</v>
      </c>
      <c r="L38" s="119">
        <v>0.24</v>
      </c>
      <c r="M38" s="118"/>
      <c r="N38" s="476" t="s">
        <v>129</v>
      </c>
      <c r="O38" s="476"/>
      <c r="P38" s="476"/>
      <c r="Q38" s="145"/>
      <c r="R38" s="151" t="s">
        <v>149</v>
      </c>
      <c r="S38" s="264">
        <f>$P$11*0.04</f>
        <v>4</v>
      </c>
      <c r="T38" s="261">
        <f>$P$11*0.06</f>
        <v>6</v>
      </c>
      <c r="U38" s="22">
        <f>KALKULÁTOR!E38*Q38</f>
        <v>0</v>
      </c>
      <c r="V38" s="48">
        <f>KALKULÁTOR!F38*$Q38/$Q$375</f>
        <v>0</v>
      </c>
      <c r="W38" s="48">
        <f>KALKULÁTOR!G38*$Q38/$Q$375</f>
        <v>0</v>
      </c>
      <c r="X38" s="48">
        <f>KALKULÁTOR!H38*$Q38/$Q$375</f>
        <v>0</v>
      </c>
      <c r="Y38" s="48">
        <f>KALKULÁTOR!I38*$Q38/$Q$375</f>
        <v>0</v>
      </c>
      <c r="Z38" s="48">
        <f>KALKULÁTOR!J38*$Q38/$Q$375</f>
        <v>0</v>
      </c>
      <c r="AA38" s="48">
        <f>KALKULÁTOR!K38*$Q38/$Q$375</f>
        <v>0</v>
      </c>
      <c r="AB38" s="48">
        <f>KALKULÁTOR!L38*$Q38/$Q$375</f>
        <v>0</v>
      </c>
      <c r="AC38" s="49">
        <f>KALKULÁTOR!C38*Q38</f>
        <v>0</v>
      </c>
      <c r="AD38" s="442">
        <f t="shared" si="1"/>
        <v>0</v>
      </c>
      <c r="AE38" s="442"/>
      <c r="AF38" s="479" t="s">
        <v>233</v>
      </c>
      <c r="AG38" s="480"/>
      <c r="AH38" s="480"/>
      <c r="AI38" s="16"/>
      <c r="AJ38" s="16"/>
    </row>
    <row r="39" spans="1:36" s="14" customFormat="1" ht="15" customHeight="1" x14ac:dyDescent="0.25">
      <c r="A39" s="612"/>
      <c r="B39" s="614" t="s">
        <v>170</v>
      </c>
      <c r="C39" s="265"/>
      <c r="D39" s="25" t="s">
        <v>16</v>
      </c>
      <c r="E39" s="37">
        <v>9.6999999999999993</v>
      </c>
      <c r="F39" s="30">
        <v>23</v>
      </c>
      <c r="G39" s="30">
        <v>4.0999999999999996</v>
      </c>
      <c r="H39" s="30">
        <v>37.700000000000003</v>
      </c>
      <c r="I39" s="30">
        <v>2.2400000000000002</v>
      </c>
      <c r="J39" s="30">
        <v>0.27400000000000002</v>
      </c>
      <c r="K39" s="30">
        <v>0.68</v>
      </c>
      <c r="L39" s="30">
        <v>0.24</v>
      </c>
      <c r="M39" s="277"/>
      <c r="N39" s="561" t="s">
        <v>173</v>
      </c>
      <c r="O39" s="561"/>
      <c r="P39" s="561"/>
      <c r="Q39" s="107"/>
      <c r="R39" s="66" t="s">
        <v>149</v>
      </c>
      <c r="S39" s="603">
        <f>$P$11*0.005</f>
        <v>0.5</v>
      </c>
      <c r="T39" s="600">
        <f>$P$11*0.01</f>
        <v>1</v>
      </c>
      <c r="U39" s="37">
        <f>KALKULÁTOR!E39*Q39</f>
        <v>0</v>
      </c>
      <c r="V39" s="26">
        <f>KALKULÁTOR!F39*$Q39/$Q$375</f>
        <v>0</v>
      </c>
      <c r="W39" s="26">
        <f>KALKULÁTOR!G39*$Q39/$Q$375</f>
        <v>0</v>
      </c>
      <c r="X39" s="26">
        <f>KALKULÁTOR!H39*$Q39/$Q$375</f>
        <v>0</v>
      </c>
      <c r="Y39" s="26">
        <f>KALKULÁTOR!I39*$Q39/$Q$375</f>
        <v>0</v>
      </c>
      <c r="Z39" s="26">
        <f>KALKULÁTOR!J39*$Q39/$Q$375</f>
        <v>0</v>
      </c>
      <c r="AA39" s="26">
        <f>KALKULÁTOR!K39*$Q39/$Q$375</f>
        <v>0</v>
      </c>
      <c r="AB39" s="26">
        <f>KALKULÁTOR!L39*$Q39/$Q$375</f>
        <v>0</v>
      </c>
      <c r="AC39" s="40">
        <f>KALKULÁTOR!C39*Q39</f>
        <v>0</v>
      </c>
      <c r="AD39" s="442">
        <f t="shared" si="1"/>
        <v>0</v>
      </c>
      <c r="AE39" s="377"/>
      <c r="AH39" s="15"/>
      <c r="AI39" s="16"/>
      <c r="AJ39" s="16"/>
    </row>
    <row r="40" spans="1:36" s="14" customFormat="1" x14ac:dyDescent="0.25">
      <c r="A40" s="612"/>
      <c r="B40" s="615"/>
      <c r="C40" s="267"/>
      <c r="D40" s="27" t="s">
        <v>16</v>
      </c>
      <c r="E40" s="36">
        <v>11.1</v>
      </c>
      <c r="F40" s="17">
        <v>6.7</v>
      </c>
      <c r="G40" s="17">
        <v>5.9</v>
      </c>
      <c r="H40" s="17">
        <v>45.7</v>
      </c>
      <c r="I40" s="17">
        <v>2.4300000000000002</v>
      </c>
      <c r="J40" s="17">
        <v>7.0000000000000007E-2</v>
      </c>
      <c r="K40" s="17">
        <v>0.68</v>
      </c>
      <c r="L40" s="17">
        <v>0.24</v>
      </c>
      <c r="M40" s="76"/>
      <c r="N40" s="617" t="s">
        <v>174</v>
      </c>
      <c r="O40" s="617"/>
      <c r="P40" s="617"/>
      <c r="Q40" s="107"/>
      <c r="R40" s="79" t="s">
        <v>149</v>
      </c>
      <c r="S40" s="604"/>
      <c r="T40" s="601"/>
      <c r="U40" s="36">
        <f>KALKULÁTOR!E40*Q40</f>
        <v>0</v>
      </c>
      <c r="V40" s="28">
        <f>KALKULÁTOR!F40*$Q40/$Q$375</f>
        <v>0</v>
      </c>
      <c r="W40" s="28">
        <f>KALKULÁTOR!G40*$Q40/$Q$375</f>
        <v>0</v>
      </c>
      <c r="X40" s="28">
        <f>KALKULÁTOR!H40*$Q40/$Q$375</f>
        <v>0</v>
      </c>
      <c r="Y40" s="28">
        <f>KALKULÁTOR!I40*$Q40/$Q$375</f>
        <v>0</v>
      </c>
      <c r="Z40" s="28">
        <f>KALKULÁTOR!J40*$Q40/$Q$375</f>
        <v>0</v>
      </c>
      <c r="AA40" s="28">
        <f>KALKULÁTOR!K40*$Q40/$Q$375</f>
        <v>0</v>
      </c>
      <c r="AB40" s="28">
        <f>KALKULÁTOR!L40*$Q40/$Q$375</f>
        <v>0</v>
      </c>
      <c r="AC40" s="41">
        <f>KALKULÁTOR!C40*Q40</f>
        <v>0</v>
      </c>
      <c r="AD40" s="442">
        <f t="shared" si="1"/>
        <v>0</v>
      </c>
      <c r="AE40" s="377"/>
      <c r="AH40" s="15"/>
      <c r="AI40" s="16"/>
      <c r="AJ40" s="16"/>
    </row>
    <row r="41" spans="1:36" s="14" customFormat="1" x14ac:dyDescent="0.25">
      <c r="A41" s="612"/>
      <c r="B41" s="615"/>
      <c r="C41" s="267"/>
      <c r="D41" s="27" t="s">
        <v>16</v>
      </c>
      <c r="E41" s="36"/>
      <c r="F41" s="17"/>
      <c r="G41" s="17"/>
      <c r="H41" s="17"/>
      <c r="I41" s="17"/>
      <c r="J41" s="17"/>
      <c r="K41" s="17">
        <v>0.68</v>
      </c>
      <c r="L41" s="17">
        <v>0.24</v>
      </c>
      <c r="M41" s="76"/>
      <c r="N41" s="617" t="s">
        <v>175</v>
      </c>
      <c r="O41" s="617"/>
      <c r="P41" s="617"/>
      <c r="Q41" s="145"/>
      <c r="R41" s="79" t="s">
        <v>149</v>
      </c>
      <c r="S41" s="604"/>
      <c r="T41" s="601"/>
      <c r="U41" s="36">
        <f>KALKULÁTOR!E41*Q41</f>
        <v>0</v>
      </c>
      <c r="V41" s="28">
        <f>KALKULÁTOR!F41*$Q41/$Q$375</f>
        <v>0</v>
      </c>
      <c r="W41" s="28">
        <f>KALKULÁTOR!G41*$Q41/$Q$375</f>
        <v>0</v>
      </c>
      <c r="X41" s="28">
        <f>KALKULÁTOR!H41*$Q41/$Q$375</f>
        <v>0</v>
      </c>
      <c r="Y41" s="28">
        <f>KALKULÁTOR!I41*$Q41/$Q$375</f>
        <v>0</v>
      </c>
      <c r="Z41" s="28">
        <f>KALKULÁTOR!J41*$Q41/$Q$375</f>
        <v>0</v>
      </c>
      <c r="AA41" s="28">
        <f>KALKULÁTOR!K41*$Q41/$Q$375</f>
        <v>0</v>
      </c>
      <c r="AB41" s="28">
        <f>KALKULÁTOR!L41*$Q41/$Q$375</f>
        <v>0</v>
      </c>
      <c r="AC41" s="41">
        <f>KALKULÁTOR!C41*Q41</f>
        <v>0</v>
      </c>
      <c r="AD41" s="442">
        <f t="shared" si="1"/>
        <v>0</v>
      </c>
      <c r="AE41" s="377"/>
      <c r="AH41" s="15"/>
      <c r="AI41" s="16"/>
      <c r="AJ41" s="16"/>
    </row>
    <row r="42" spans="1:36" s="14" customFormat="1" x14ac:dyDescent="0.25">
      <c r="A42" s="612"/>
      <c r="B42" s="615"/>
      <c r="C42" s="267"/>
      <c r="D42" s="27" t="s">
        <v>16</v>
      </c>
      <c r="E42" s="36"/>
      <c r="F42" s="17"/>
      <c r="G42" s="17"/>
      <c r="H42" s="17"/>
      <c r="I42" s="17"/>
      <c r="J42" s="17"/>
      <c r="K42" s="17">
        <v>0.68</v>
      </c>
      <c r="L42" s="17">
        <v>0.24</v>
      </c>
      <c r="M42" s="76"/>
      <c r="N42" s="617" t="s">
        <v>176</v>
      </c>
      <c r="O42" s="617"/>
      <c r="P42" s="617"/>
      <c r="Q42" s="145"/>
      <c r="R42" s="79" t="s">
        <v>149</v>
      </c>
      <c r="S42" s="604"/>
      <c r="T42" s="601"/>
      <c r="U42" s="36">
        <f>KALKULÁTOR!E42*Q42</f>
        <v>0</v>
      </c>
      <c r="V42" s="28">
        <f>KALKULÁTOR!F42*$Q42/$Q$375</f>
        <v>0</v>
      </c>
      <c r="W42" s="28">
        <f>KALKULÁTOR!G42*$Q42/$Q$375</f>
        <v>0</v>
      </c>
      <c r="X42" s="28">
        <f>KALKULÁTOR!H42*$Q42/$Q$375</f>
        <v>0</v>
      </c>
      <c r="Y42" s="28">
        <f>KALKULÁTOR!I42*$Q42/$Q$375</f>
        <v>0</v>
      </c>
      <c r="Z42" s="28">
        <f>KALKULÁTOR!J42*$Q42/$Q$375</f>
        <v>0</v>
      </c>
      <c r="AA42" s="28">
        <f>KALKULÁTOR!K42*$Q42/$Q$375</f>
        <v>0</v>
      </c>
      <c r="AB42" s="28">
        <f>KALKULÁTOR!L42*$Q42/$Q$375</f>
        <v>0</v>
      </c>
      <c r="AC42" s="41">
        <f>KALKULÁTOR!C42*Q42</f>
        <v>0</v>
      </c>
      <c r="AD42" s="442">
        <f t="shared" si="1"/>
        <v>0</v>
      </c>
      <c r="AE42" s="377"/>
      <c r="AH42" s="15"/>
      <c r="AI42" s="16"/>
      <c r="AJ42" s="16"/>
    </row>
    <row r="43" spans="1:36" s="14" customFormat="1" x14ac:dyDescent="0.25">
      <c r="A43" s="612"/>
      <c r="B43" s="615"/>
      <c r="C43" s="267"/>
      <c r="D43" s="27" t="s">
        <v>16</v>
      </c>
      <c r="E43" s="36"/>
      <c r="F43" s="17"/>
      <c r="G43" s="17"/>
      <c r="H43" s="17"/>
      <c r="I43" s="17"/>
      <c r="J43" s="17"/>
      <c r="K43" s="17">
        <v>0.68</v>
      </c>
      <c r="L43" s="17">
        <v>0.24</v>
      </c>
      <c r="M43" s="76"/>
      <c r="N43" s="617" t="s">
        <v>177</v>
      </c>
      <c r="O43" s="617"/>
      <c r="P43" s="617"/>
      <c r="Q43" s="107"/>
      <c r="R43" s="79" t="s">
        <v>149</v>
      </c>
      <c r="S43" s="604"/>
      <c r="T43" s="601"/>
      <c r="U43" s="36">
        <f>KALKULÁTOR!E43*Q43</f>
        <v>0</v>
      </c>
      <c r="V43" s="28">
        <f>KALKULÁTOR!F43*$Q43/$Q$375</f>
        <v>0</v>
      </c>
      <c r="W43" s="28">
        <f>KALKULÁTOR!G43*$Q43/$Q$375</f>
        <v>0</v>
      </c>
      <c r="X43" s="28">
        <f>KALKULÁTOR!H43*$Q43/$Q$375</f>
        <v>0</v>
      </c>
      <c r="Y43" s="28">
        <f>KALKULÁTOR!I43*$Q43/$Q$375</f>
        <v>0</v>
      </c>
      <c r="Z43" s="28">
        <f>KALKULÁTOR!J43*$Q43/$Q$375</f>
        <v>0</v>
      </c>
      <c r="AA43" s="28">
        <f>KALKULÁTOR!K43*$Q43/$Q$375</f>
        <v>0</v>
      </c>
      <c r="AB43" s="28">
        <f>KALKULÁTOR!L43*$Q43/$Q$375</f>
        <v>0</v>
      </c>
      <c r="AC43" s="41">
        <f>KALKULÁTOR!C43*Q43</f>
        <v>0</v>
      </c>
      <c r="AD43" s="442">
        <f t="shared" si="1"/>
        <v>0</v>
      </c>
      <c r="AE43" s="377"/>
      <c r="AH43" s="15"/>
      <c r="AI43" s="16"/>
      <c r="AJ43" s="16"/>
    </row>
    <row r="44" spans="1:36" s="14" customFormat="1" x14ac:dyDescent="0.25">
      <c r="A44" s="612"/>
      <c r="B44" s="615"/>
      <c r="C44" s="267"/>
      <c r="D44" s="27" t="s">
        <v>16</v>
      </c>
      <c r="E44" s="36"/>
      <c r="F44" s="17"/>
      <c r="G44" s="17"/>
      <c r="H44" s="17"/>
      <c r="I44" s="17"/>
      <c r="J44" s="17"/>
      <c r="K44" s="17">
        <v>0.68</v>
      </c>
      <c r="L44" s="17">
        <v>0.24</v>
      </c>
      <c r="M44" s="76"/>
      <c r="N44" s="617" t="s">
        <v>178</v>
      </c>
      <c r="O44" s="617"/>
      <c r="P44" s="617"/>
      <c r="Q44" s="107"/>
      <c r="R44" s="79" t="s">
        <v>149</v>
      </c>
      <c r="S44" s="604"/>
      <c r="T44" s="601"/>
      <c r="U44" s="36">
        <f>KALKULÁTOR!E44*Q44</f>
        <v>0</v>
      </c>
      <c r="V44" s="28">
        <f>KALKULÁTOR!F44*$Q44/$Q$375</f>
        <v>0</v>
      </c>
      <c r="W44" s="28">
        <f>KALKULÁTOR!G44*$Q44/$Q$375</f>
        <v>0</v>
      </c>
      <c r="X44" s="28">
        <f>KALKULÁTOR!H44*$Q44/$Q$375</f>
        <v>0</v>
      </c>
      <c r="Y44" s="28">
        <f>KALKULÁTOR!I44*$Q44/$Q$375</f>
        <v>0</v>
      </c>
      <c r="Z44" s="28">
        <f>KALKULÁTOR!J44*$Q44/$Q$375</f>
        <v>0</v>
      </c>
      <c r="AA44" s="28">
        <f>KALKULÁTOR!K44*$Q44/$Q$375</f>
        <v>0</v>
      </c>
      <c r="AB44" s="28">
        <f>KALKULÁTOR!L44*$Q44/$Q$375</f>
        <v>0</v>
      </c>
      <c r="AC44" s="41">
        <f>KALKULÁTOR!C44*Q44</f>
        <v>0</v>
      </c>
      <c r="AD44" s="442">
        <f t="shared" si="1"/>
        <v>0</v>
      </c>
      <c r="AE44" s="377"/>
      <c r="AH44" s="15"/>
      <c r="AI44" s="16"/>
      <c r="AJ44" s="16"/>
    </row>
    <row r="45" spans="1:36" s="14" customFormat="1" x14ac:dyDescent="0.25">
      <c r="A45" s="612"/>
      <c r="B45" s="615"/>
      <c r="C45" s="267"/>
      <c r="D45" s="27" t="s">
        <v>16</v>
      </c>
      <c r="E45" s="36">
        <v>14.4</v>
      </c>
      <c r="F45" s="17">
        <v>15.8</v>
      </c>
      <c r="G45" s="17">
        <v>14.9</v>
      </c>
      <c r="H45" s="17">
        <v>39.799999999999997</v>
      </c>
      <c r="I45" s="17">
        <v>1.2</v>
      </c>
      <c r="J45" s="17">
        <v>0.49</v>
      </c>
      <c r="K45" s="17">
        <v>0.68</v>
      </c>
      <c r="L45" s="17">
        <v>0.24</v>
      </c>
      <c r="M45" s="76"/>
      <c r="N45" s="617" t="s">
        <v>179</v>
      </c>
      <c r="O45" s="617"/>
      <c r="P45" s="617"/>
      <c r="Q45" s="145"/>
      <c r="R45" s="79" t="s">
        <v>149</v>
      </c>
      <c r="S45" s="604"/>
      <c r="T45" s="601"/>
      <c r="U45" s="36">
        <f>KALKULÁTOR!E45*Q45</f>
        <v>0</v>
      </c>
      <c r="V45" s="28">
        <f>KALKULÁTOR!F45*$Q45/$Q$375</f>
        <v>0</v>
      </c>
      <c r="W45" s="28">
        <f>KALKULÁTOR!G45*$Q45/$Q$375</f>
        <v>0</v>
      </c>
      <c r="X45" s="28">
        <f>KALKULÁTOR!H45*$Q45/$Q$375</f>
        <v>0</v>
      </c>
      <c r="Y45" s="28">
        <f>KALKULÁTOR!I45*$Q45/$Q$375</f>
        <v>0</v>
      </c>
      <c r="Z45" s="28">
        <f>KALKULÁTOR!J45*$Q45/$Q$375</f>
        <v>0</v>
      </c>
      <c r="AA45" s="28">
        <f>KALKULÁTOR!K45*$Q45/$Q$375</f>
        <v>0</v>
      </c>
      <c r="AB45" s="28">
        <f>KALKULÁTOR!L45*$Q45/$Q$375</f>
        <v>0</v>
      </c>
      <c r="AC45" s="41">
        <f>KALKULÁTOR!C45*Q45</f>
        <v>0</v>
      </c>
      <c r="AD45" s="442">
        <f t="shared" si="1"/>
        <v>0</v>
      </c>
      <c r="AE45" s="377"/>
      <c r="AH45" s="15"/>
      <c r="AI45" s="16"/>
      <c r="AJ45" s="16"/>
    </row>
    <row r="46" spans="1:36" s="14" customFormat="1" x14ac:dyDescent="0.25">
      <c r="A46" s="612"/>
      <c r="B46" s="615"/>
      <c r="C46" s="267"/>
      <c r="D46" s="27" t="s">
        <v>16</v>
      </c>
      <c r="E46" s="36">
        <v>10.34</v>
      </c>
      <c r="F46" s="17">
        <v>4</v>
      </c>
      <c r="G46" s="17">
        <v>1.2</v>
      </c>
      <c r="H46" s="17">
        <v>53.1</v>
      </c>
      <c r="I46" s="17">
        <v>1</v>
      </c>
      <c r="J46" s="17">
        <v>0.64</v>
      </c>
      <c r="K46" s="17">
        <v>0.68</v>
      </c>
      <c r="L46" s="17">
        <v>0.24</v>
      </c>
      <c r="M46" s="76"/>
      <c r="N46" s="617" t="s">
        <v>180</v>
      </c>
      <c r="O46" s="617"/>
      <c r="P46" s="617"/>
      <c r="Q46" s="145"/>
      <c r="R46" s="79" t="s">
        <v>149</v>
      </c>
      <c r="S46" s="604"/>
      <c r="T46" s="601"/>
      <c r="U46" s="36">
        <f>KALKULÁTOR!E46*Q46</f>
        <v>0</v>
      </c>
      <c r="V46" s="28">
        <f>KALKULÁTOR!F46*$Q46/$Q$375</f>
        <v>0</v>
      </c>
      <c r="W46" s="28">
        <f>KALKULÁTOR!G46*$Q46/$Q$375</f>
        <v>0</v>
      </c>
      <c r="X46" s="28">
        <f>KALKULÁTOR!H46*$Q46/$Q$375</f>
        <v>0</v>
      </c>
      <c r="Y46" s="28">
        <f>KALKULÁTOR!I46*$Q46/$Q$375</f>
        <v>0</v>
      </c>
      <c r="Z46" s="28">
        <f>KALKULÁTOR!J46*$Q46/$Q$375</f>
        <v>0</v>
      </c>
      <c r="AA46" s="28">
        <f>KALKULÁTOR!K46*$Q46/$Q$375</f>
        <v>0</v>
      </c>
      <c r="AB46" s="28">
        <f>KALKULÁTOR!L46*$Q46/$Q$375</f>
        <v>0</v>
      </c>
      <c r="AC46" s="41">
        <f>KALKULÁTOR!C46*Q46</f>
        <v>0</v>
      </c>
      <c r="AD46" s="442">
        <f t="shared" si="1"/>
        <v>0</v>
      </c>
      <c r="AE46" s="377"/>
      <c r="AH46" s="15"/>
      <c r="AI46" s="16"/>
      <c r="AJ46" s="16"/>
    </row>
    <row r="47" spans="1:36" s="14" customFormat="1" x14ac:dyDescent="0.25">
      <c r="A47" s="612"/>
      <c r="B47" s="615"/>
      <c r="C47" s="267"/>
      <c r="D47" s="27" t="s">
        <v>16</v>
      </c>
      <c r="E47" s="36">
        <v>13.86</v>
      </c>
      <c r="F47" s="17">
        <v>16.600000000000001</v>
      </c>
      <c r="G47" s="17">
        <v>0.7</v>
      </c>
      <c r="H47" s="17">
        <v>9</v>
      </c>
      <c r="I47" s="17">
        <v>0.79</v>
      </c>
      <c r="J47" s="17">
        <v>0.41399999999999998</v>
      </c>
      <c r="K47" s="17">
        <v>0.68</v>
      </c>
      <c r="L47" s="17">
        <v>0.24</v>
      </c>
      <c r="M47" s="43"/>
      <c r="N47" s="503" t="s">
        <v>181</v>
      </c>
      <c r="O47" s="503"/>
      <c r="P47" s="503"/>
      <c r="Q47" s="107"/>
      <c r="R47" s="79" t="s">
        <v>149</v>
      </c>
      <c r="S47" s="604"/>
      <c r="T47" s="601"/>
      <c r="U47" s="36">
        <f>KALKULÁTOR!E47*Q47</f>
        <v>0</v>
      </c>
      <c r="V47" s="28">
        <f>KALKULÁTOR!F47*$Q47/$Q$375</f>
        <v>0</v>
      </c>
      <c r="W47" s="28">
        <f>KALKULÁTOR!G47*$Q47/$Q$375</f>
        <v>0</v>
      </c>
      <c r="X47" s="28">
        <f>KALKULÁTOR!H47*$Q47/$Q$375</f>
        <v>0</v>
      </c>
      <c r="Y47" s="28">
        <f>KALKULÁTOR!I47*$Q47/$Q$375</f>
        <v>0</v>
      </c>
      <c r="Z47" s="28">
        <f>KALKULÁTOR!J47*$Q47/$Q$375</f>
        <v>0</v>
      </c>
      <c r="AA47" s="28">
        <f>KALKULÁTOR!K47*$Q47/$Q$375</f>
        <v>0</v>
      </c>
      <c r="AB47" s="28">
        <f>KALKULÁTOR!L47*$Q47/$Q$375</f>
        <v>0</v>
      </c>
      <c r="AC47" s="41">
        <f>KALKULÁTOR!C47*Q47</f>
        <v>0</v>
      </c>
      <c r="AD47" s="442">
        <f t="shared" si="1"/>
        <v>0</v>
      </c>
      <c r="AE47" s="377"/>
      <c r="AH47" s="15"/>
      <c r="AI47" s="16"/>
      <c r="AJ47" s="16"/>
    </row>
    <row r="48" spans="1:36" s="14" customFormat="1" x14ac:dyDescent="0.25">
      <c r="A48" s="612"/>
      <c r="B48" s="615"/>
      <c r="C48" s="267"/>
      <c r="D48" s="27" t="s">
        <v>16</v>
      </c>
      <c r="E48" s="36"/>
      <c r="F48" s="17"/>
      <c r="G48" s="17"/>
      <c r="H48" s="17"/>
      <c r="I48" s="17"/>
      <c r="J48" s="17"/>
      <c r="K48" s="17">
        <v>0.68</v>
      </c>
      <c r="L48" s="17">
        <v>0.24</v>
      </c>
      <c r="M48" s="43"/>
      <c r="N48" s="503" t="s">
        <v>182</v>
      </c>
      <c r="O48" s="503"/>
      <c r="P48" s="503"/>
      <c r="Q48" s="107"/>
      <c r="R48" s="79" t="s">
        <v>149</v>
      </c>
      <c r="S48" s="604"/>
      <c r="T48" s="601"/>
      <c r="U48" s="36">
        <f>KALKULÁTOR!E48*Q48</f>
        <v>0</v>
      </c>
      <c r="V48" s="28">
        <f>KALKULÁTOR!F48*$Q48/$Q$375</f>
        <v>0</v>
      </c>
      <c r="W48" s="28">
        <f>KALKULÁTOR!G48*$Q48/$Q$375</f>
        <v>0</v>
      </c>
      <c r="X48" s="28">
        <f>KALKULÁTOR!H48*$Q48/$Q$375</f>
        <v>0</v>
      </c>
      <c r="Y48" s="28">
        <f>KALKULÁTOR!I48*$Q48/$Q$375</f>
        <v>0</v>
      </c>
      <c r="Z48" s="28">
        <f>KALKULÁTOR!J48*$Q48/$Q$375</f>
        <v>0</v>
      </c>
      <c r="AA48" s="28">
        <f>KALKULÁTOR!K48*$Q48/$Q$375</f>
        <v>0</v>
      </c>
      <c r="AB48" s="28">
        <f>KALKULÁTOR!L48*$Q48/$Q$375</f>
        <v>0</v>
      </c>
      <c r="AC48" s="41">
        <f>KALKULÁTOR!C48*Q48</f>
        <v>0</v>
      </c>
      <c r="AD48" s="442">
        <f t="shared" si="1"/>
        <v>0</v>
      </c>
      <c r="AE48" s="377"/>
      <c r="AH48" s="15"/>
      <c r="AI48" s="16"/>
      <c r="AJ48" s="16"/>
    </row>
    <row r="49" spans="1:36" s="14" customFormat="1" x14ac:dyDescent="0.25">
      <c r="A49" s="612"/>
      <c r="B49" s="615"/>
      <c r="C49" s="267"/>
      <c r="D49" s="27" t="s">
        <v>16</v>
      </c>
      <c r="E49" s="36">
        <v>11.55</v>
      </c>
      <c r="F49" s="17">
        <v>9.1</v>
      </c>
      <c r="G49" s="17">
        <v>7.4</v>
      </c>
      <c r="H49" s="17">
        <v>37</v>
      </c>
      <c r="I49" s="17">
        <v>1.89</v>
      </c>
      <c r="J49" s="17">
        <v>0.20100000000000001</v>
      </c>
      <c r="K49" s="17">
        <v>0.68</v>
      </c>
      <c r="L49" s="17">
        <v>0.24</v>
      </c>
      <c r="M49" s="43"/>
      <c r="N49" s="503" t="s">
        <v>183</v>
      </c>
      <c r="O49" s="503"/>
      <c r="P49" s="503"/>
      <c r="Q49" s="145"/>
      <c r="R49" s="79" t="s">
        <v>149</v>
      </c>
      <c r="S49" s="604"/>
      <c r="T49" s="601"/>
      <c r="U49" s="36">
        <f>KALKULÁTOR!E49*Q49</f>
        <v>0</v>
      </c>
      <c r="V49" s="28">
        <f>KALKULÁTOR!F49*$Q49/$Q$375</f>
        <v>0</v>
      </c>
      <c r="W49" s="28">
        <f>KALKULÁTOR!G49*$Q49/$Q$375</f>
        <v>0</v>
      </c>
      <c r="X49" s="28">
        <f>KALKULÁTOR!H49*$Q49/$Q$375</f>
        <v>0</v>
      </c>
      <c r="Y49" s="28">
        <f>KALKULÁTOR!I49*$Q49/$Q$375</f>
        <v>0</v>
      </c>
      <c r="Z49" s="28">
        <f>KALKULÁTOR!J49*$Q49/$Q$375</f>
        <v>0</v>
      </c>
      <c r="AA49" s="28">
        <f>KALKULÁTOR!K49*$Q49/$Q$375</f>
        <v>0</v>
      </c>
      <c r="AB49" s="28">
        <f>KALKULÁTOR!L49*$Q49/$Q$375</f>
        <v>0</v>
      </c>
      <c r="AC49" s="41">
        <f>KALKULÁTOR!C49*Q49</f>
        <v>0</v>
      </c>
      <c r="AD49" s="442">
        <f t="shared" si="1"/>
        <v>0</v>
      </c>
      <c r="AE49" s="377"/>
      <c r="AH49" s="15"/>
      <c r="AI49" s="16"/>
      <c r="AJ49" s="16"/>
    </row>
    <row r="50" spans="1:36" s="14" customFormat="1" x14ac:dyDescent="0.25">
      <c r="A50" s="612"/>
      <c r="B50" s="615"/>
      <c r="C50" s="267"/>
      <c r="D50" s="27" t="s">
        <v>16</v>
      </c>
      <c r="E50" s="36">
        <v>12.77</v>
      </c>
      <c r="F50" s="17">
        <v>15.98</v>
      </c>
      <c r="G50" s="17">
        <v>14.54</v>
      </c>
      <c r="H50" s="17">
        <v>21.1</v>
      </c>
      <c r="I50" s="17">
        <v>1.51</v>
      </c>
      <c r="J50" s="17">
        <v>0.52</v>
      </c>
      <c r="K50" s="17">
        <v>0.68</v>
      </c>
      <c r="L50" s="17">
        <v>0.24</v>
      </c>
      <c r="M50" s="43"/>
      <c r="N50" s="503" t="s">
        <v>184</v>
      </c>
      <c r="O50" s="503"/>
      <c r="P50" s="503"/>
      <c r="Q50" s="145"/>
      <c r="R50" s="79" t="s">
        <v>149</v>
      </c>
      <c r="S50" s="604"/>
      <c r="T50" s="601"/>
      <c r="U50" s="36">
        <f>KALKULÁTOR!E50*Q50</f>
        <v>0</v>
      </c>
      <c r="V50" s="28">
        <f>KALKULÁTOR!F50*$Q50/$Q$375</f>
        <v>0</v>
      </c>
      <c r="W50" s="28">
        <f>KALKULÁTOR!G50*$Q50/$Q$375</f>
        <v>0</v>
      </c>
      <c r="X50" s="28">
        <f>KALKULÁTOR!H50*$Q50/$Q$375</f>
        <v>0</v>
      </c>
      <c r="Y50" s="28">
        <f>KALKULÁTOR!I50*$Q50/$Q$375</f>
        <v>0</v>
      </c>
      <c r="Z50" s="28">
        <f>KALKULÁTOR!J50*$Q50/$Q$375</f>
        <v>0</v>
      </c>
      <c r="AA50" s="28">
        <f>KALKULÁTOR!K50*$Q50/$Q$375</f>
        <v>0</v>
      </c>
      <c r="AB50" s="28">
        <f>KALKULÁTOR!L50*$Q50/$Q$375</f>
        <v>0</v>
      </c>
      <c r="AC50" s="41">
        <f>KALKULÁTOR!C50*Q50</f>
        <v>0</v>
      </c>
      <c r="AD50" s="442">
        <f t="shared" si="1"/>
        <v>0</v>
      </c>
      <c r="AE50" s="377"/>
      <c r="AH50" s="15"/>
      <c r="AI50" s="16"/>
      <c r="AJ50" s="16"/>
    </row>
    <row r="51" spans="1:36" s="14" customFormat="1" x14ac:dyDescent="0.25">
      <c r="A51" s="612"/>
      <c r="B51" s="615"/>
      <c r="C51" s="267"/>
      <c r="D51" s="27" t="s">
        <v>16</v>
      </c>
      <c r="E51" s="36">
        <v>1.8</v>
      </c>
      <c r="F51" s="17">
        <v>3.5</v>
      </c>
      <c r="G51" s="17">
        <v>1.1000000000000001</v>
      </c>
      <c r="H51" s="17">
        <v>2.1</v>
      </c>
      <c r="I51" s="17">
        <v>0.20799999999999999</v>
      </c>
      <c r="J51" s="17">
        <v>6.6000000000000003E-2</v>
      </c>
      <c r="K51" s="17">
        <v>0.68</v>
      </c>
      <c r="L51" s="17">
        <v>0.24</v>
      </c>
      <c r="M51" s="43"/>
      <c r="N51" s="503" t="s">
        <v>185</v>
      </c>
      <c r="O51" s="503"/>
      <c r="P51" s="503"/>
      <c r="Q51" s="107"/>
      <c r="R51" s="79" t="s">
        <v>149</v>
      </c>
      <c r="S51" s="604"/>
      <c r="T51" s="601"/>
      <c r="U51" s="36">
        <f>KALKULÁTOR!E51*Q51</f>
        <v>0</v>
      </c>
      <c r="V51" s="28">
        <f>KALKULÁTOR!F51*$Q51/$Q$375</f>
        <v>0</v>
      </c>
      <c r="W51" s="28">
        <f>KALKULÁTOR!G51*$Q51/$Q$375</f>
        <v>0</v>
      </c>
      <c r="X51" s="28">
        <f>KALKULÁTOR!H51*$Q51/$Q$375</f>
        <v>0</v>
      </c>
      <c r="Y51" s="28">
        <f>KALKULÁTOR!I51*$Q51/$Q$375</f>
        <v>0</v>
      </c>
      <c r="Z51" s="28">
        <f>KALKULÁTOR!J51*$Q51/$Q$375</f>
        <v>0</v>
      </c>
      <c r="AA51" s="28">
        <f>KALKULÁTOR!K51*$Q51/$Q$375</f>
        <v>0</v>
      </c>
      <c r="AB51" s="28">
        <f>KALKULÁTOR!L51*$Q51/$Q$375</f>
        <v>0</v>
      </c>
      <c r="AC51" s="41">
        <f>KALKULÁTOR!C51*Q51</f>
        <v>0</v>
      </c>
      <c r="AD51" s="442">
        <f t="shared" si="1"/>
        <v>0</v>
      </c>
      <c r="AE51" s="377"/>
      <c r="AH51" s="15"/>
      <c r="AI51" s="16"/>
      <c r="AJ51" s="16"/>
    </row>
    <row r="52" spans="1:36" s="14" customFormat="1" x14ac:dyDescent="0.25">
      <c r="A52" s="612"/>
      <c r="B52" s="615"/>
      <c r="C52" s="267"/>
      <c r="D52" s="27" t="s">
        <v>16</v>
      </c>
      <c r="E52" s="36">
        <v>11.68</v>
      </c>
      <c r="F52" s="17">
        <v>21.9</v>
      </c>
      <c r="G52" s="17">
        <v>4.7</v>
      </c>
      <c r="H52" s="17">
        <v>10.4</v>
      </c>
      <c r="I52" s="17">
        <v>1.26</v>
      </c>
      <c r="J52" s="17">
        <v>0.48</v>
      </c>
      <c r="K52" s="17">
        <v>0.68</v>
      </c>
      <c r="L52" s="17">
        <v>0.24</v>
      </c>
      <c r="M52" s="43"/>
      <c r="N52" s="503" t="s">
        <v>186</v>
      </c>
      <c r="O52" s="503"/>
      <c r="P52" s="503"/>
      <c r="Q52" s="107"/>
      <c r="R52" s="79" t="s">
        <v>149</v>
      </c>
      <c r="S52" s="604"/>
      <c r="T52" s="601"/>
      <c r="U52" s="36">
        <f>KALKULÁTOR!E52*Q52</f>
        <v>0</v>
      </c>
      <c r="V52" s="28">
        <f>KALKULÁTOR!F52*$Q52/$Q$375</f>
        <v>0</v>
      </c>
      <c r="W52" s="28">
        <f>KALKULÁTOR!G52*$Q52/$Q$375</f>
        <v>0</v>
      </c>
      <c r="X52" s="28">
        <f>KALKULÁTOR!H52*$Q52/$Q$375</f>
        <v>0</v>
      </c>
      <c r="Y52" s="28">
        <f>KALKULÁTOR!I52*$Q52/$Q$375</f>
        <v>0</v>
      </c>
      <c r="Z52" s="28">
        <f>KALKULÁTOR!J52*$Q52/$Q$375</f>
        <v>0</v>
      </c>
      <c r="AA52" s="28">
        <f>KALKULÁTOR!K52*$Q52/$Q$375</f>
        <v>0</v>
      </c>
      <c r="AB52" s="28">
        <f>KALKULÁTOR!L52*$Q52/$Q$375</f>
        <v>0</v>
      </c>
      <c r="AC52" s="41">
        <f>KALKULÁTOR!C52*Q52</f>
        <v>0</v>
      </c>
      <c r="AD52" s="442">
        <f t="shared" si="1"/>
        <v>0</v>
      </c>
      <c r="AE52" s="377"/>
      <c r="AH52" s="15"/>
      <c r="AI52" s="16"/>
      <c r="AJ52" s="16"/>
    </row>
    <row r="53" spans="1:36" s="14" customFormat="1" x14ac:dyDescent="0.25">
      <c r="A53" s="612"/>
      <c r="B53" s="615"/>
      <c r="C53" s="267"/>
      <c r="D53" s="27" t="s">
        <v>16</v>
      </c>
      <c r="E53" s="36"/>
      <c r="F53" s="17"/>
      <c r="G53" s="17"/>
      <c r="H53" s="17"/>
      <c r="I53" s="17"/>
      <c r="J53" s="17"/>
      <c r="K53" s="17">
        <v>0.68</v>
      </c>
      <c r="L53" s="17">
        <v>0.24</v>
      </c>
      <c r="M53" s="43"/>
      <c r="N53" s="503" t="s">
        <v>187</v>
      </c>
      <c r="O53" s="503"/>
      <c r="P53" s="503"/>
      <c r="Q53" s="145"/>
      <c r="R53" s="79" t="s">
        <v>149</v>
      </c>
      <c r="S53" s="604"/>
      <c r="T53" s="601"/>
      <c r="U53" s="36">
        <f>KALKULÁTOR!E53*Q53</f>
        <v>0</v>
      </c>
      <c r="V53" s="28">
        <f>KALKULÁTOR!F53*$Q53/$Q$375</f>
        <v>0</v>
      </c>
      <c r="W53" s="28">
        <f>KALKULÁTOR!G53*$Q53/$Q$375</f>
        <v>0</v>
      </c>
      <c r="X53" s="28">
        <f>KALKULÁTOR!H53*$Q53/$Q$375</f>
        <v>0</v>
      </c>
      <c r="Y53" s="28">
        <f>KALKULÁTOR!I53*$Q53/$Q$375</f>
        <v>0</v>
      </c>
      <c r="Z53" s="28">
        <f>KALKULÁTOR!J53*$Q53/$Q$375</f>
        <v>0</v>
      </c>
      <c r="AA53" s="28">
        <f>KALKULÁTOR!K53*$Q53/$Q$375</f>
        <v>0</v>
      </c>
      <c r="AB53" s="28">
        <f>KALKULÁTOR!L53*$Q53/$Q$375</f>
        <v>0</v>
      </c>
      <c r="AC53" s="41">
        <f>KALKULÁTOR!C53*Q53</f>
        <v>0</v>
      </c>
      <c r="AD53" s="442">
        <f t="shared" si="1"/>
        <v>0</v>
      </c>
      <c r="AE53" s="377"/>
      <c r="AH53" s="15"/>
      <c r="AI53" s="16"/>
      <c r="AJ53" s="16"/>
    </row>
    <row r="54" spans="1:36" s="14" customFormat="1" x14ac:dyDescent="0.25">
      <c r="A54" s="612"/>
      <c r="B54" s="615"/>
      <c r="C54" s="267"/>
      <c r="D54" s="27" t="s">
        <v>16</v>
      </c>
      <c r="E54" s="36">
        <v>11.34</v>
      </c>
      <c r="F54" s="17">
        <v>12.7</v>
      </c>
      <c r="G54" s="17">
        <v>7</v>
      </c>
      <c r="H54" s="17">
        <v>40.299999999999997</v>
      </c>
      <c r="I54" s="17">
        <v>1.99</v>
      </c>
      <c r="J54" s="17">
        <v>0.30599999999999999</v>
      </c>
      <c r="K54" s="17">
        <v>0.68</v>
      </c>
      <c r="L54" s="17">
        <v>0.24</v>
      </c>
      <c r="M54" s="43"/>
      <c r="N54" s="503" t="s">
        <v>188</v>
      </c>
      <c r="O54" s="503"/>
      <c r="P54" s="503"/>
      <c r="Q54" s="145"/>
      <c r="R54" s="79" t="s">
        <v>149</v>
      </c>
      <c r="S54" s="604"/>
      <c r="T54" s="601"/>
      <c r="U54" s="36">
        <f>KALKULÁTOR!E54*Q54</f>
        <v>0</v>
      </c>
      <c r="V54" s="28">
        <f>KALKULÁTOR!F54*$Q54/$Q$375</f>
        <v>0</v>
      </c>
      <c r="W54" s="28">
        <f>KALKULÁTOR!G54*$Q54/$Q$375</f>
        <v>0</v>
      </c>
      <c r="X54" s="28">
        <f>KALKULÁTOR!H54*$Q54/$Q$375</f>
        <v>0</v>
      </c>
      <c r="Y54" s="28">
        <f>KALKULÁTOR!I54*$Q54/$Q$375</f>
        <v>0</v>
      </c>
      <c r="Z54" s="28">
        <f>KALKULÁTOR!J54*$Q54/$Q$375</f>
        <v>0</v>
      </c>
      <c r="AA54" s="28">
        <f>KALKULÁTOR!K54*$Q54/$Q$375</f>
        <v>0</v>
      </c>
      <c r="AB54" s="28">
        <f>KALKULÁTOR!L54*$Q54/$Q$375</f>
        <v>0</v>
      </c>
      <c r="AC54" s="41">
        <f>KALKULÁTOR!C54*Q54</f>
        <v>0</v>
      </c>
      <c r="AD54" s="442">
        <f t="shared" si="1"/>
        <v>0</v>
      </c>
      <c r="AE54" s="377"/>
      <c r="AH54" s="15"/>
      <c r="AI54" s="16"/>
      <c r="AJ54" s="16"/>
    </row>
    <row r="55" spans="1:36" s="14" customFormat="1" x14ac:dyDescent="0.25">
      <c r="A55" s="612"/>
      <c r="B55" s="615"/>
      <c r="C55" s="267"/>
      <c r="D55" s="27" t="s">
        <v>16</v>
      </c>
      <c r="E55" s="36">
        <v>10.92</v>
      </c>
      <c r="F55" s="17">
        <v>22.28</v>
      </c>
      <c r="G55" s="17">
        <v>7.18</v>
      </c>
      <c r="H55" s="17">
        <v>46.58</v>
      </c>
      <c r="I55" s="17"/>
      <c r="J55" s="17"/>
      <c r="K55" s="17">
        <v>0.68</v>
      </c>
      <c r="L55" s="17">
        <v>0.24</v>
      </c>
      <c r="M55" s="43"/>
      <c r="N55" s="503" t="s">
        <v>189</v>
      </c>
      <c r="O55" s="503"/>
      <c r="P55" s="503"/>
      <c r="Q55" s="107"/>
      <c r="R55" s="79" t="s">
        <v>149</v>
      </c>
      <c r="S55" s="604"/>
      <c r="T55" s="601"/>
      <c r="U55" s="36">
        <f>KALKULÁTOR!E55*Q55</f>
        <v>0</v>
      </c>
      <c r="V55" s="28">
        <f>KALKULÁTOR!F55*$Q55/$Q$375</f>
        <v>0</v>
      </c>
      <c r="W55" s="28">
        <f>KALKULÁTOR!G55*$Q55/$Q$375</f>
        <v>0</v>
      </c>
      <c r="X55" s="28">
        <f>KALKULÁTOR!H55*$Q55/$Q$375</f>
        <v>0</v>
      </c>
      <c r="Y55" s="28">
        <f>KALKULÁTOR!I55*$Q55/$Q$375</f>
        <v>0</v>
      </c>
      <c r="Z55" s="28">
        <f>KALKULÁTOR!J55*$Q55/$Q$375</f>
        <v>0</v>
      </c>
      <c r="AA55" s="28">
        <f>KALKULÁTOR!K55*$Q55/$Q$375</f>
        <v>0</v>
      </c>
      <c r="AB55" s="28">
        <f>KALKULÁTOR!L55*$Q55/$Q$375</f>
        <v>0</v>
      </c>
      <c r="AC55" s="41">
        <f>KALKULÁTOR!C55*Q55</f>
        <v>0</v>
      </c>
      <c r="AD55" s="442">
        <f t="shared" si="1"/>
        <v>0</v>
      </c>
      <c r="AE55" s="377"/>
      <c r="AH55" s="15"/>
      <c r="AI55" s="16"/>
      <c r="AJ55" s="16"/>
    </row>
    <row r="56" spans="1:36" s="14" customFormat="1" x14ac:dyDescent="0.25">
      <c r="A56" s="612"/>
      <c r="B56" s="615"/>
      <c r="C56" s="267"/>
      <c r="D56" s="27" t="s">
        <v>16</v>
      </c>
      <c r="E56" s="36">
        <v>11.35</v>
      </c>
      <c r="F56" s="17">
        <v>25</v>
      </c>
      <c r="G56" s="17">
        <v>4.2</v>
      </c>
      <c r="H56" s="17">
        <v>40</v>
      </c>
      <c r="I56" s="17"/>
      <c r="J56" s="17"/>
      <c r="K56" s="17">
        <v>0.68</v>
      </c>
      <c r="L56" s="17">
        <v>0.24</v>
      </c>
      <c r="M56" s="43"/>
      <c r="N56" s="503" t="s">
        <v>427</v>
      </c>
      <c r="O56" s="503"/>
      <c r="P56" s="503"/>
      <c r="Q56" s="107"/>
      <c r="R56" s="79" t="s">
        <v>149</v>
      </c>
      <c r="S56" s="604"/>
      <c r="T56" s="601"/>
      <c r="U56" s="36">
        <f>KALKULÁTOR!E56*Q56</f>
        <v>0</v>
      </c>
      <c r="V56" s="28">
        <f>KALKULÁTOR!F56*$Q56/$Q$375</f>
        <v>0</v>
      </c>
      <c r="W56" s="28">
        <f>KALKULÁTOR!G56*$Q56/$Q$375</f>
        <v>0</v>
      </c>
      <c r="X56" s="28">
        <f>KALKULÁTOR!H56*$Q56/$Q$375</f>
        <v>0</v>
      </c>
      <c r="Y56" s="28">
        <f>KALKULÁTOR!I56*$Q56/$Q$375</f>
        <v>0</v>
      </c>
      <c r="Z56" s="28">
        <f>KALKULÁTOR!J56*$Q56/$Q$375</f>
        <v>0</v>
      </c>
      <c r="AA56" s="28">
        <f>KALKULÁTOR!K56*$Q56/$Q$375</f>
        <v>0</v>
      </c>
      <c r="AB56" s="28">
        <f>KALKULÁTOR!L56*$Q56/$Q$375</f>
        <v>0</v>
      </c>
      <c r="AC56" s="41">
        <f>KALKULÁTOR!C56*Q56</f>
        <v>0</v>
      </c>
      <c r="AD56" s="442">
        <f t="shared" si="1"/>
        <v>0</v>
      </c>
      <c r="AE56" s="377"/>
      <c r="AH56" s="15"/>
      <c r="AI56" s="16"/>
      <c r="AJ56" s="16"/>
    </row>
    <row r="57" spans="1:36" s="14" customFormat="1" x14ac:dyDescent="0.25">
      <c r="A57" s="612"/>
      <c r="B57" s="615"/>
      <c r="C57" s="267"/>
      <c r="D57" s="27" t="s">
        <v>16</v>
      </c>
      <c r="E57" s="36">
        <v>11.09</v>
      </c>
      <c r="F57" s="17">
        <v>9</v>
      </c>
      <c r="G57" s="17">
        <v>4.9000000000000004</v>
      </c>
      <c r="H57" s="17">
        <v>42.5</v>
      </c>
      <c r="I57" s="17">
        <v>0.159</v>
      </c>
      <c r="J57" s="17">
        <v>1.4800000000000001E-2</v>
      </c>
      <c r="K57" s="17">
        <v>0.68</v>
      </c>
      <c r="L57" s="17">
        <v>0.24</v>
      </c>
      <c r="M57" s="43"/>
      <c r="N57" s="503" t="s">
        <v>190</v>
      </c>
      <c r="O57" s="503"/>
      <c r="P57" s="503"/>
      <c r="Q57" s="145"/>
      <c r="R57" s="79" t="s">
        <v>149</v>
      </c>
      <c r="S57" s="604"/>
      <c r="T57" s="601"/>
      <c r="U57" s="36">
        <f>KALKULÁTOR!E57*Q57</f>
        <v>0</v>
      </c>
      <c r="V57" s="28">
        <f>KALKULÁTOR!F57*$Q57/$Q$375</f>
        <v>0</v>
      </c>
      <c r="W57" s="28">
        <f>KALKULÁTOR!G57*$Q57/$Q$375</f>
        <v>0</v>
      </c>
      <c r="X57" s="28">
        <f>KALKULÁTOR!H57*$Q57/$Q$375</f>
        <v>0</v>
      </c>
      <c r="Y57" s="28">
        <f>KALKULÁTOR!I57*$Q57/$Q$375</f>
        <v>0</v>
      </c>
      <c r="Z57" s="28">
        <f>KALKULÁTOR!J57*$Q57/$Q$375</f>
        <v>0</v>
      </c>
      <c r="AA57" s="28">
        <f>KALKULÁTOR!K57*$Q57/$Q$375</f>
        <v>0</v>
      </c>
      <c r="AB57" s="28">
        <f>KALKULÁTOR!L57*$Q57/$Q$375</f>
        <v>0</v>
      </c>
      <c r="AC57" s="41">
        <f>KALKULÁTOR!C57*Q57</f>
        <v>0</v>
      </c>
      <c r="AD57" s="442">
        <f t="shared" si="1"/>
        <v>0</v>
      </c>
      <c r="AE57" s="377"/>
      <c r="AH57" s="15"/>
      <c r="AI57" s="16"/>
      <c r="AJ57" s="16"/>
    </row>
    <row r="58" spans="1:36" s="14" customFormat="1" x14ac:dyDescent="0.25">
      <c r="A58" s="612"/>
      <c r="B58" s="615"/>
      <c r="C58" s="267"/>
      <c r="D58" s="27" t="s">
        <v>16</v>
      </c>
      <c r="E58" s="36">
        <v>12.25</v>
      </c>
      <c r="F58" s="17">
        <v>26.6</v>
      </c>
      <c r="G58" s="17">
        <v>5.5</v>
      </c>
      <c r="H58" s="17">
        <v>26.7</v>
      </c>
      <c r="I58" s="17">
        <v>0.114</v>
      </c>
      <c r="J58" s="17">
        <v>4.36E-2</v>
      </c>
      <c r="K58" s="17">
        <v>0.68</v>
      </c>
      <c r="L58" s="17">
        <v>0.24</v>
      </c>
      <c r="M58" s="43"/>
      <c r="N58" s="503" t="s">
        <v>191</v>
      </c>
      <c r="O58" s="503"/>
      <c r="P58" s="503"/>
      <c r="Q58" s="145"/>
      <c r="R58" s="79" t="s">
        <v>149</v>
      </c>
      <c r="S58" s="604"/>
      <c r="T58" s="601"/>
      <c r="U58" s="36">
        <f>KALKULÁTOR!E58*Q58</f>
        <v>0</v>
      </c>
      <c r="V58" s="28">
        <f>KALKULÁTOR!F58*$Q58/$Q$375</f>
        <v>0</v>
      </c>
      <c r="W58" s="28">
        <f>KALKULÁTOR!G58*$Q58/$Q$375</f>
        <v>0</v>
      </c>
      <c r="X58" s="28">
        <f>KALKULÁTOR!H58*$Q58/$Q$375</f>
        <v>0</v>
      </c>
      <c r="Y58" s="28">
        <f>KALKULÁTOR!I58*$Q58/$Q$375</f>
        <v>0</v>
      </c>
      <c r="Z58" s="28">
        <f>KALKULÁTOR!J58*$Q58/$Q$375</f>
        <v>0</v>
      </c>
      <c r="AA58" s="28">
        <f>KALKULÁTOR!K58*$Q58/$Q$375</f>
        <v>0</v>
      </c>
      <c r="AB58" s="28">
        <f>KALKULÁTOR!L58*$Q58/$Q$375</f>
        <v>0</v>
      </c>
      <c r="AC58" s="41">
        <f>KALKULÁTOR!C58*Q58</f>
        <v>0</v>
      </c>
      <c r="AD58" s="442">
        <f t="shared" si="1"/>
        <v>0</v>
      </c>
      <c r="AE58" s="377"/>
      <c r="AH58" s="15"/>
      <c r="AI58" s="16"/>
      <c r="AJ58" s="16"/>
    </row>
    <row r="59" spans="1:36" s="14" customFormat="1" x14ac:dyDescent="0.25">
      <c r="A59" s="612"/>
      <c r="B59" s="615"/>
      <c r="C59" s="267"/>
      <c r="D59" s="27" t="s">
        <v>16</v>
      </c>
      <c r="E59" s="36">
        <v>13.85</v>
      </c>
      <c r="F59" s="17">
        <v>4.9000000000000004</v>
      </c>
      <c r="G59" s="17">
        <v>15.2</v>
      </c>
      <c r="H59" s="17">
        <v>42.6</v>
      </c>
      <c r="I59" s="17">
        <v>0.128</v>
      </c>
      <c r="J59" s="17">
        <v>7.0000000000000001E-3</v>
      </c>
      <c r="K59" s="17">
        <v>0.68</v>
      </c>
      <c r="L59" s="17">
        <v>0.24</v>
      </c>
      <c r="M59" s="43"/>
      <c r="N59" s="503" t="s">
        <v>192</v>
      </c>
      <c r="O59" s="503"/>
      <c r="P59" s="503"/>
      <c r="Q59" s="107"/>
      <c r="R59" s="79" t="s">
        <v>149</v>
      </c>
      <c r="S59" s="604"/>
      <c r="T59" s="601"/>
      <c r="U59" s="36">
        <f>KALKULÁTOR!E59*Q59</f>
        <v>0</v>
      </c>
      <c r="V59" s="28">
        <f>KALKULÁTOR!F59*$Q59/$Q$375</f>
        <v>0</v>
      </c>
      <c r="W59" s="28">
        <f>KALKULÁTOR!G59*$Q59/$Q$375</f>
        <v>0</v>
      </c>
      <c r="X59" s="28">
        <f>KALKULÁTOR!H59*$Q59/$Q$375</f>
        <v>0</v>
      </c>
      <c r="Y59" s="28">
        <f>KALKULÁTOR!I59*$Q59/$Q$375</f>
        <v>0</v>
      </c>
      <c r="Z59" s="28">
        <f>KALKULÁTOR!J59*$Q59/$Q$375</f>
        <v>0</v>
      </c>
      <c r="AA59" s="28">
        <f>KALKULÁTOR!K59*$Q59/$Q$375</f>
        <v>0</v>
      </c>
      <c r="AB59" s="28">
        <f>KALKULÁTOR!L59*$Q59/$Q$375</f>
        <v>0</v>
      </c>
      <c r="AC59" s="41">
        <f>KALKULÁTOR!C59*Q59</f>
        <v>0</v>
      </c>
      <c r="AD59" s="442">
        <f t="shared" si="1"/>
        <v>0</v>
      </c>
      <c r="AE59" s="377"/>
      <c r="AH59" s="15"/>
      <c r="AI59" s="16"/>
      <c r="AJ59" s="16"/>
    </row>
    <row r="60" spans="1:36" s="14" customFormat="1" x14ac:dyDescent="0.25">
      <c r="A60" s="612"/>
      <c r="B60" s="615"/>
      <c r="C60" s="267"/>
      <c r="D60" s="27" t="s">
        <v>16</v>
      </c>
      <c r="E60" s="36">
        <v>11.47</v>
      </c>
      <c r="F60" s="17">
        <v>6</v>
      </c>
      <c r="G60" s="17">
        <v>13</v>
      </c>
      <c r="H60" s="17">
        <v>33.9</v>
      </c>
      <c r="I60" s="17">
        <v>6.4000000000000001E-2</v>
      </c>
      <c r="J60" s="17">
        <v>0.01</v>
      </c>
      <c r="K60" s="17">
        <v>0.68</v>
      </c>
      <c r="L60" s="17">
        <v>0.24</v>
      </c>
      <c r="M60" s="43"/>
      <c r="N60" s="591" t="s">
        <v>193</v>
      </c>
      <c r="O60" s="591"/>
      <c r="P60" s="591"/>
      <c r="Q60" s="107"/>
      <c r="R60" s="79" t="s">
        <v>149</v>
      </c>
      <c r="S60" s="604"/>
      <c r="T60" s="601"/>
      <c r="U60" s="36">
        <f>KALKULÁTOR!E60*Q60</f>
        <v>0</v>
      </c>
      <c r="V60" s="28">
        <f>KALKULÁTOR!F60*$Q60/$Q$375</f>
        <v>0</v>
      </c>
      <c r="W60" s="28">
        <f>KALKULÁTOR!G60*$Q60/$Q$375</f>
        <v>0</v>
      </c>
      <c r="X60" s="28">
        <f>KALKULÁTOR!H60*$Q60/$Q$375</f>
        <v>0</v>
      </c>
      <c r="Y60" s="28">
        <f>KALKULÁTOR!I60*$Q60/$Q$375</f>
        <v>0</v>
      </c>
      <c r="Z60" s="28">
        <f>KALKULÁTOR!J60*$Q60/$Q$375</f>
        <v>0</v>
      </c>
      <c r="AA60" s="28">
        <f>KALKULÁTOR!K60*$Q60/$Q$375</f>
        <v>0</v>
      </c>
      <c r="AB60" s="28">
        <f>KALKULÁTOR!L60*$Q60/$Q$375</f>
        <v>0</v>
      </c>
      <c r="AC60" s="41">
        <f>KALKULÁTOR!C60*Q60</f>
        <v>0</v>
      </c>
      <c r="AD60" s="442">
        <f t="shared" si="1"/>
        <v>0</v>
      </c>
      <c r="AE60" s="377"/>
      <c r="AH60" s="15"/>
      <c r="AI60" s="16"/>
      <c r="AJ60" s="16"/>
    </row>
    <row r="61" spans="1:36" s="14" customFormat="1" x14ac:dyDescent="0.25">
      <c r="A61" s="612"/>
      <c r="B61" s="615"/>
      <c r="C61" s="267"/>
      <c r="D61" s="27" t="s">
        <v>16</v>
      </c>
      <c r="E61" s="36"/>
      <c r="F61" s="17"/>
      <c r="G61" s="17"/>
      <c r="H61" s="17"/>
      <c r="I61" s="17"/>
      <c r="J61" s="17"/>
      <c r="K61" s="17">
        <v>0.68</v>
      </c>
      <c r="L61" s="17">
        <v>0.24</v>
      </c>
      <c r="M61" s="43"/>
      <c r="N61" s="591" t="s">
        <v>194</v>
      </c>
      <c r="O61" s="591"/>
      <c r="P61" s="591"/>
      <c r="Q61" s="145"/>
      <c r="R61" s="79" t="s">
        <v>149</v>
      </c>
      <c r="S61" s="604"/>
      <c r="T61" s="601"/>
      <c r="U61" s="36">
        <f>KALKULÁTOR!E61*Q61</f>
        <v>0</v>
      </c>
      <c r="V61" s="28">
        <f>KALKULÁTOR!F61*$Q61/$Q$375</f>
        <v>0</v>
      </c>
      <c r="W61" s="28">
        <f>KALKULÁTOR!G61*$Q61/$Q$375</f>
        <v>0</v>
      </c>
      <c r="X61" s="28">
        <f>KALKULÁTOR!H61*$Q61/$Q$375</f>
        <v>0</v>
      </c>
      <c r="Y61" s="28">
        <f>KALKULÁTOR!I61*$Q61/$Q$375</f>
        <v>0</v>
      </c>
      <c r="Z61" s="28">
        <f>KALKULÁTOR!J61*$Q61/$Q$375</f>
        <v>0</v>
      </c>
      <c r="AA61" s="28">
        <f>KALKULÁTOR!K61*$Q61/$Q$375</f>
        <v>0</v>
      </c>
      <c r="AB61" s="28">
        <f>KALKULÁTOR!L61*$Q61/$Q$375</f>
        <v>0</v>
      </c>
      <c r="AC61" s="41">
        <f>KALKULÁTOR!C61*Q61</f>
        <v>0</v>
      </c>
      <c r="AD61" s="442">
        <f t="shared" si="1"/>
        <v>0</v>
      </c>
      <c r="AE61" s="377"/>
      <c r="AH61" s="15"/>
      <c r="AI61" s="16"/>
      <c r="AJ61" s="16"/>
    </row>
    <row r="62" spans="1:36" s="14" customFormat="1" x14ac:dyDescent="0.25">
      <c r="A62" s="612"/>
      <c r="B62" s="615"/>
      <c r="C62" s="267"/>
      <c r="D62" s="27" t="s">
        <v>16</v>
      </c>
      <c r="E62" s="36">
        <v>12.35</v>
      </c>
      <c r="F62" s="17">
        <v>22.8</v>
      </c>
      <c r="G62" s="17">
        <v>7.2</v>
      </c>
      <c r="H62" s="17">
        <v>7.4</v>
      </c>
      <c r="I62" s="17">
        <v>0.114</v>
      </c>
      <c r="J62" s="17">
        <v>0.03</v>
      </c>
      <c r="K62" s="17">
        <v>0.68</v>
      </c>
      <c r="L62" s="17">
        <v>0.24</v>
      </c>
      <c r="M62" s="43"/>
      <c r="N62" s="591" t="s">
        <v>195</v>
      </c>
      <c r="O62" s="591"/>
      <c r="P62" s="591"/>
      <c r="Q62" s="145"/>
      <c r="R62" s="79" t="s">
        <v>149</v>
      </c>
      <c r="S62" s="604"/>
      <c r="T62" s="601"/>
      <c r="U62" s="36">
        <f>KALKULÁTOR!E62*Q62</f>
        <v>0</v>
      </c>
      <c r="V62" s="28">
        <f>KALKULÁTOR!F62*$Q62/$Q$375</f>
        <v>0</v>
      </c>
      <c r="W62" s="28">
        <f>KALKULÁTOR!G62*$Q62/$Q$375</f>
        <v>0</v>
      </c>
      <c r="X62" s="28">
        <f>KALKULÁTOR!H62*$Q62/$Q$375</f>
        <v>0</v>
      </c>
      <c r="Y62" s="28">
        <f>KALKULÁTOR!I62*$Q62/$Q$375</f>
        <v>0</v>
      </c>
      <c r="Z62" s="28">
        <f>KALKULÁTOR!J62*$Q62/$Q$375</f>
        <v>0</v>
      </c>
      <c r="AA62" s="28">
        <f>KALKULÁTOR!K62*$Q62/$Q$375</f>
        <v>0</v>
      </c>
      <c r="AB62" s="28">
        <f>KALKULÁTOR!L62*$Q62/$Q$375</f>
        <v>0</v>
      </c>
      <c r="AC62" s="41">
        <f>KALKULÁTOR!C62*Q62</f>
        <v>0</v>
      </c>
      <c r="AD62" s="442">
        <f t="shared" si="1"/>
        <v>0</v>
      </c>
      <c r="AE62" s="377"/>
      <c r="AH62" s="15"/>
      <c r="AI62" s="16"/>
      <c r="AJ62" s="16"/>
    </row>
    <row r="63" spans="1:36" s="14" customFormat="1" ht="15.75" thickBot="1" x14ac:dyDescent="0.3">
      <c r="A63" s="612"/>
      <c r="B63" s="616"/>
      <c r="C63" s="269"/>
      <c r="D63" s="95" t="s">
        <v>16</v>
      </c>
      <c r="E63" s="22">
        <v>13.02</v>
      </c>
      <c r="F63" s="119">
        <v>10.6</v>
      </c>
      <c r="G63" s="119">
        <v>12.8</v>
      </c>
      <c r="H63" s="119">
        <v>40.299999999999997</v>
      </c>
      <c r="I63" s="119">
        <v>0.16500000000000001</v>
      </c>
      <c r="J63" s="119">
        <v>9.1000000000000004E-3</v>
      </c>
      <c r="K63" s="119">
        <v>0.68</v>
      </c>
      <c r="L63" s="119">
        <v>0.24</v>
      </c>
      <c r="M63" s="118"/>
      <c r="N63" s="590" t="s">
        <v>196</v>
      </c>
      <c r="O63" s="590"/>
      <c r="P63" s="590"/>
      <c r="Q63" s="107"/>
      <c r="R63" s="96" t="s">
        <v>149</v>
      </c>
      <c r="S63" s="605"/>
      <c r="T63" s="602"/>
      <c r="U63" s="22">
        <f>KALKULÁTOR!E63*Q63</f>
        <v>0</v>
      </c>
      <c r="V63" s="48">
        <f>KALKULÁTOR!F63*$Q63/$Q$375</f>
        <v>0</v>
      </c>
      <c r="W63" s="48">
        <f>KALKULÁTOR!G63*$Q63/$Q$375</f>
        <v>0</v>
      </c>
      <c r="X63" s="48">
        <f>KALKULÁTOR!H63*$Q63/$Q$375</f>
        <v>0</v>
      </c>
      <c r="Y63" s="48">
        <f>KALKULÁTOR!I63*$Q63/$Q$375</f>
        <v>0</v>
      </c>
      <c r="Z63" s="48">
        <f>KALKULÁTOR!J63*$Q63/$Q$375</f>
        <v>0</v>
      </c>
      <c r="AA63" s="48">
        <f>KALKULÁTOR!K63*$Q63/$Q$375</f>
        <v>0</v>
      </c>
      <c r="AB63" s="48">
        <f>KALKULÁTOR!L63*$Q63/$Q$375</f>
        <v>0</v>
      </c>
      <c r="AC63" s="49">
        <f>KALKULÁTOR!C63*Q63</f>
        <v>0</v>
      </c>
      <c r="AD63" s="442">
        <f t="shared" si="1"/>
        <v>0</v>
      </c>
      <c r="AE63" s="377"/>
      <c r="AH63" s="15"/>
      <c r="AI63" s="16"/>
      <c r="AJ63" s="16"/>
    </row>
    <row r="64" spans="1:36" ht="15.75" customHeight="1" x14ac:dyDescent="0.25">
      <c r="A64" s="514" t="s">
        <v>44</v>
      </c>
      <c r="B64" s="577" t="s">
        <v>40</v>
      </c>
      <c r="C64" s="265"/>
      <c r="D64" s="25" t="s">
        <v>16</v>
      </c>
      <c r="E64" s="37">
        <v>13.12</v>
      </c>
      <c r="F64" s="30">
        <v>11</v>
      </c>
      <c r="G64" s="30">
        <v>2</v>
      </c>
      <c r="H64" s="30">
        <v>5.5</v>
      </c>
      <c r="I64" s="30">
        <v>0.09</v>
      </c>
      <c r="J64" s="30">
        <v>0.38</v>
      </c>
      <c r="K64" s="30">
        <v>0.38</v>
      </c>
      <c r="L64" s="30">
        <v>0.17</v>
      </c>
      <c r="M64" s="42"/>
      <c r="N64" s="592" t="s">
        <v>1</v>
      </c>
      <c r="O64" s="593"/>
      <c r="P64" s="594"/>
      <c r="Q64" s="107"/>
      <c r="R64" s="386" t="s">
        <v>149</v>
      </c>
      <c r="S64" s="374">
        <f>$P$11*0.1</f>
        <v>10</v>
      </c>
      <c r="T64" s="371">
        <f>$P$11*0.25</f>
        <v>25</v>
      </c>
      <c r="U64" s="37">
        <f>KALKULÁTOR!E64*Q64</f>
        <v>0</v>
      </c>
      <c r="V64" s="26">
        <f>KALKULÁTOR!F64*$Q64/$Q$375</f>
        <v>0</v>
      </c>
      <c r="W64" s="26">
        <f>KALKULÁTOR!G64*$Q64/$Q$375</f>
        <v>0</v>
      </c>
      <c r="X64" s="26">
        <f>KALKULÁTOR!H64*$Q64/$Q$375</f>
        <v>0</v>
      </c>
      <c r="Y64" s="26">
        <f>KALKULÁTOR!I64*$Q64/$Q$375</f>
        <v>0</v>
      </c>
      <c r="Z64" s="26">
        <f>KALKULÁTOR!J64*$Q64/$Q$375</f>
        <v>0</v>
      </c>
      <c r="AA64" s="26">
        <f>KALKULÁTOR!K64*$Q64/$Q$375</f>
        <v>0</v>
      </c>
      <c r="AB64" s="26">
        <f>KALKULÁTOR!L64*$Q64/$Q$375</f>
        <v>0</v>
      </c>
      <c r="AC64" s="40">
        <f>KALKULÁTOR!C64*Q64</f>
        <v>0</v>
      </c>
      <c r="AD64" s="442">
        <f t="shared" ref="AD64:AD127" si="2">IF(AND(Q64&gt;T64),1,0)</f>
        <v>0</v>
      </c>
      <c r="AE64" s="337">
        <f>Q64+Q65+Q66+Q67+Q69+Q70+Q78+Q79+Q80+Q81+Q82+Q83+Q84+Q85</f>
        <v>0</v>
      </c>
      <c r="AF64" s="555" t="s">
        <v>225</v>
      </c>
      <c r="AG64" s="556"/>
      <c r="AH64" s="556"/>
      <c r="AI64" s="556"/>
      <c r="AJ64" s="556"/>
    </row>
    <row r="65" spans="1:40" x14ac:dyDescent="0.25">
      <c r="A65" s="515"/>
      <c r="B65" s="613"/>
      <c r="C65" s="267"/>
      <c r="D65" s="27" t="s">
        <v>16</v>
      </c>
      <c r="E65" s="36"/>
      <c r="F65" s="17">
        <v>8.1999999999999993</v>
      </c>
      <c r="G65" s="17">
        <v>1</v>
      </c>
      <c r="H65" s="17">
        <v>0.5</v>
      </c>
      <c r="I65" s="17">
        <v>1.6E-2</v>
      </c>
      <c r="J65" s="17">
        <v>1.89E-2</v>
      </c>
      <c r="K65" s="17">
        <v>0.38</v>
      </c>
      <c r="L65" s="17">
        <v>0.17</v>
      </c>
      <c r="M65" s="43"/>
      <c r="N65" s="560" t="s">
        <v>6</v>
      </c>
      <c r="O65" s="560"/>
      <c r="P65" s="560"/>
      <c r="Q65" s="145"/>
      <c r="R65" s="80" t="s">
        <v>149</v>
      </c>
      <c r="S65" s="375">
        <f>$P$11*0.1</f>
        <v>10</v>
      </c>
      <c r="T65" s="372">
        <f>$P$11*0.25</f>
        <v>25</v>
      </c>
      <c r="U65" s="36">
        <f>KALKULÁTOR!E65*Q65</f>
        <v>0</v>
      </c>
      <c r="V65" s="28">
        <f>KALKULÁTOR!F65*$Q65/$Q$375</f>
        <v>0</v>
      </c>
      <c r="W65" s="28">
        <f>KALKULÁTOR!G65*$Q65/$Q$375</f>
        <v>0</v>
      </c>
      <c r="X65" s="28">
        <f>KALKULÁTOR!H65*$Q65/$Q$375</f>
        <v>0</v>
      </c>
      <c r="Y65" s="28">
        <f>KALKULÁTOR!I65*$Q65/$Q$375</f>
        <v>0</v>
      </c>
      <c r="Z65" s="28">
        <f>KALKULÁTOR!J65*$Q65/$Q$375</f>
        <v>0</v>
      </c>
      <c r="AA65" s="28">
        <f>KALKULÁTOR!K65*$Q65/$Q$375</f>
        <v>0</v>
      </c>
      <c r="AB65" s="28">
        <f>KALKULÁTOR!L65*$Q65/$Q$375</f>
        <v>0</v>
      </c>
      <c r="AC65" s="41">
        <f>KALKULÁTOR!C65*Q65</f>
        <v>0</v>
      </c>
      <c r="AD65" s="442">
        <f t="shared" si="2"/>
        <v>0</v>
      </c>
      <c r="AE65" s="338">
        <f>Q68+Q73+Q74+Q75+Q76+Q77</f>
        <v>0</v>
      </c>
      <c r="AF65" s="555" t="s">
        <v>225</v>
      </c>
      <c r="AG65" s="556"/>
      <c r="AH65" s="556"/>
      <c r="AI65" s="556"/>
      <c r="AJ65" s="556"/>
    </row>
    <row r="66" spans="1:40" x14ac:dyDescent="0.25">
      <c r="A66" s="515"/>
      <c r="B66" s="613"/>
      <c r="C66" s="267"/>
      <c r="D66" s="27" t="s">
        <v>16</v>
      </c>
      <c r="E66" s="36">
        <v>14.61</v>
      </c>
      <c r="F66" s="17">
        <v>9</v>
      </c>
      <c r="G66" s="17">
        <v>1.8</v>
      </c>
      <c r="H66" s="17">
        <v>8.5</v>
      </c>
      <c r="I66" s="17"/>
      <c r="J66" s="17"/>
      <c r="K66" s="17">
        <v>0.38</v>
      </c>
      <c r="L66" s="17">
        <v>0.17</v>
      </c>
      <c r="M66" s="43"/>
      <c r="N66" s="472" t="s">
        <v>88</v>
      </c>
      <c r="O66" s="472"/>
      <c r="P66" s="472"/>
      <c r="Q66" s="145"/>
      <c r="R66" s="80" t="s">
        <v>149</v>
      </c>
      <c r="S66" s="375">
        <f>$P$11*0.1</f>
        <v>10</v>
      </c>
      <c r="T66" s="372">
        <f>$P$11*0.25</f>
        <v>25</v>
      </c>
      <c r="U66" s="36">
        <f>KALKULÁTOR!E66*Q66</f>
        <v>0</v>
      </c>
      <c r="V66" s="28">
        <f>KALKULÁTOR!F66*$Q66/$Q$375</f>
        <v>0</v>
      </c>
      <c r="W66" s="28">
        <f>KALKULÁTOR!G66*$Q66/$Q$375</f>
        <v>0</v>
      </c>
      <c r="X66" s="28">
        <f>KALKULÁTOR!H66*$Q66/$Q$375</f>
        <v>0</v>
      </c>
      <c r="Y66" s="28">
        <f>KALKULÁTOR!I66*$Q66/$Q$375</f>
        <v>0</v>
      </c>
      <c r="Z66" s="28">
        <f>KALKULÁTOR!J66*$Q66/$Q$375</f>
        <v>0</v>
      </c>
      <c r="AA66" s="28">
        <f>KALKULÁTOR!K66*$Q66/$Q$375</f>
        <v>0</v>
      </c>
      <c r="AB66" s="28">
        <f>KALKULÁTOR!L66*$Q66/$Q$375</f>
        <v>0</v>
      </c>
      <c r="AC66" s="41">
        <f>KALKULÁTOR!C66*Q66</f>
        <v>0</v>
      </c>
      <c r="AD66" s="442">
        <f t="shared" si="2"/>
        <v>0</v>
      </c>
      <c r="AE66" s="338">
        <f>AE65-AE64</f>
        <v>0</v>
      </c>
      <c r="AF66" s="555" t="s">
        <v>225</v>
      </c>
      <c r="AG66" s="556"/>
      <c r="AH66" s="556"/>
      <c r="AI66" s="556"/>
      <c r="AJ66" s="556"/>
    </row>
    <row r="67" spans="1:40" x14ac:dyDescent="0.25">
      <c r="A67" s="515"/>
      <c r="B67" s="613"/>
      <c r="C67" s="267"/>
      <c r="D67" s="27" t="s">
        <v>16</v>
      </c>
      <c r="E67" s="36">
        <v>12.92</v>
      </c>
      <c r="F67" s="17">
        <v>13.4</v>
      </c>
      <c r="G67" s="17">
        <v>1.8</v>
      </c>
      <c r="H67" s="17">
        <v>2.9</v>
      </c>
      <c r="I67" s="17">
        <v>7.0000000000000007E-2</v>
      </c>
      <c r="J67" s="17">
        <v>0.39</v>
      </c>
      <c r="K67" s="17">
        <v>0.33</v>
      </c>
      <c r="L67" s="17">
        <v>0.18</v>
      </c>
      <c r="M67" s="43"/>
      <c r="N67" s="472" t="s">
        <v>132</v>
      </c>
      <c r="O67" s="472"/>
      <c r="P67" s="472"/>
      <c r="Q67" s="107"/>
      <c r="R67" s="80" t="s">
        <v>149</v>
      </c>
      <c r="S67" s="375">
        <f>$P$11*0.1</f>
        <v>10</v>
      </c>
      <c r="T67" s="372">
        <f>$P$11*0.3</f>
        <v>30</v>
      </c>
      <c r="U67" s="36">
        <f>KALKULÁTOR!E67*Q67</f>
        <v>0</v>
      </c>
      <c r="V67" s="28">
        <f>KALKULÁTOR!F67*$Q67/$Q$375</f>
        <v>0</v>
      </c>
      <c r="W67" s="28">
        <f>KALKULÁTOR!G67*$Q67/$Q$375</f>
        <v>0</v>
      </c>
      <c r="X67" s="28">
        <f>KALKULÁTOR!H67*$Q67/$Q$375</f>
        <v>0</v>
      </c>
      <c r="Y67" s="28">
        <f>KALKULÁTOR!I67*$Q67/$Q$375</f>
        <v>0</v>
      </c>
      <c r="Z67" s="28">
        <f>KALKULÁTOR!J67*$Q67/$Q$375</f>
        <v>0</v>
      </c>
      <c r="AA67" s="28">
        <f>KALKULÁTOR!K67*$Q67/$Q$375</f>
        <v>0</v>
      </c>
      <c r="AB67" s="28">
        <f>KALKULÁTOR!L67*$Q67/$Q$375</f>
        <v>0</v>
      </c>
      <c r="AC67" s="41">
        <f>KALKULÁTOR!C67*Q67</f>
        <v>0</v>
      </c>
      <c r="AD67" s="442">
        <f t="shared" si="2"/>
        <v>0</v>
      </c>
      <c r="AE67" s="442"/>
      <c r="AF67" s="606" t="s">
        <v>224</v>
      </c>
      <c r="AG67" s="607"/>
      <c r="AH67" s="607"/>
      <c r="AI67" s="607"/>
      <c r="AJ67" s="607"/>
    </row>
    <row r="68" spans="1:40" x14ac:dyDescent="0.25">
      <c r="A68" s="515"/>
      <c r="B68" s="613"/>
      <c r="C68" s="267"/>
      <c r="D68" s="27" t="s">
        <v>16</v>
      </c>
      <c r="E68" s="36">
        <v>15.13</v>
      </c>
      <c r="F68" s="17">
        <v>11.5</v>
      </c>
      <c r="G68" s="17">
        <v>3.5</v>
      </c>
      <c r="H68" s="17">
        <v>3.4</v>
      </c>
      <c r="I68" s="17">
        <v>0.02</v>
      </c>
      <c r="J68" s="17">
        <v>0.37</v>
      </c>
      <c r="K68" s="17">
        <v>0.21</v>
      </c>
      <c r="L68" s="17">
        <v>0.16</v>
      </c>
      <c r="M68" s="43"/>
      <c r="N68" s="409" t="s">
        <v>315</v>
      </c>
      <c r="O68" s="410"/>
      <c r="P68" s="411"/>
      <c r="Q68" s="107"/>
      <c r="R68" s="80" t="s">
        <v>149</v>
      </c>
      <c r="S68" s="375">
        <f>$P$11*0</f>
        <v>0</v>
      </c>
      <c r="T68" s="372">
        <v>30</v>
      </c>
      <c r="U68" s="36">
        <f>KALKULÁTOR!E68*Q68</f>
        <v>0</v>
      </c>
      <c r="V68" s="28">
        <f>KALKULÁTOR!F68*$Q68/$Q$375</f>
        <v>0</v>
      </c>
      <c r="W68" s="28">
        <f>KALKULÁTOR!G68*$Q68/$Q$375</f>
        <v>0</v>
      </c>
      <c r="X68" s="28">
        <f>KALKULÁTOR!H68*$Q68/$Q$375</f>
        <v>0</v>
      </c>
      <c r="Y68" s="28">
        <f>KALKULÁTOR!I68*$Q68/$Q$375</f>
        <v>0</v>
      </c>
      <c r="Z68" s="28">
        <f>KALKULÁTOR!J68*$Q68/$Q$375</f>
        <v>0</v>
      </c>
      <c r="AA68" s="28">
        <f>KALKULÁTOR!K68*$Q68/$Q$375</f>
        <v>0</v>
      </c>
      <c r="AB68" s="28">
        <f>KALKULÁTOR!L68*$Q68/$Q$375</f>
        <v>0</v>
      </c>
      <c r="AC68" s="41">
        <f>KALKULÁTOR!C68*Q68</f>
        <v>0</v>
      </c>
      <c r="AD68" s="442">
        <f t="shared" si="2"/>
        <v>0</v>
      </c>
      <c r="AE68" s="442"/>
      <c r="AF68" s="555" t="s">
        <v>235</v>
      </c>
      <c r="AG68" s="556"/>
      <c r="AH68" s="556"/>
      <c r="AI68" s="556"/>
      <c r="AJ68" s="556"/>
      <c r="AK68" s="556"/>
      <c r="AL68" s="556"/>
      <c r="AM68" s="556"/>
      <c r="AN68" s="556"/>
    </row>
    <row r="69" spans="1:40" x14ac:dyDescent="0.25">
      <c r="A69" s="515"/>
      <c r="B69" s="613"/>
      <c r="C69" s="267"/>
      <c r="D69" s="27" t="s">
        <v>16</v>
      </c>
      <c r="E69" s="36">
        <v>14.53</v>
      </c>
      <c r="F69" s="17">
        <v>12.7</v>
      </c>
      <c r="G69" s="17">
        <v>1.9</v>
      </c>
      <c r="H69" s="17">
        <v>1.8</v>
      </c>
      <c r="I69" s="17">
        <v>3.6999999999999998E-2</v>
      </c>
      <c r="J69" s="17">
        <v>3.8600000000000002E-2</v>
      </c>
      <c r="K69" s="17"/>
      <c r="L69" s="17"/>
      <c r="M69" s="43"/>
      <c r="N69" s="472" t="s">
        <v>4</v>
      </c>
      <c r="O69" s="472"/>
      <c r="P69" s="472"/>
      <c r="Q69" s="145"/>
      <c r="R69" s="79" t="s">
        <v>149</v>
      </c>
      <c r="S69" s="375">
        <f>$P$11*0.1</f>
        <v>10</v>
      </c>
      <c r="T69" s="372">
        <f>$P$11*0.3</f>
        <v>30</v>
      </c>
      <c r="U69" s="36">
        <f>KALKULÁTOR!E69*Q69</f>
        <v>0</v>
      </c>
      <c r="V69" s="28">
        <f>KALKULÁTOR!F69*$Q69/$Q$375</f>
        <v>0</v>
      </c>
      <c r="W69" s="28">
        <f>KALKULÁTOR!G69*$Q69/$Q$375</f>
        <v>0</v>
      </c>
      <c r="X69" s="28">
        <f>KALKULÁTOR!H69*$Q69/$Q$375</f>
        <v>0</v>
      </c>
      <c r="Y69" s="28">
        <f>KALKULÁTOR!I69*$Q69/$Q$375</f>
        <v>0</v>
      </c>
      <c r="Z69" s="28">
        <f>KALKULÁTOR!J69*$Q69/$Q$375</f>
        <v>0</v>
      </c>
      <c r="AA69" s="28">
        <f>KALKULÁTOR!K69*$Q69/$Q$375</f>
        <v>0</v>
      </c>
      <c r="AB69" s="28">
        <f>KALKULÁTOR!L69*$Q69/$Q$375</f>
        <v>0</v>
      </c>
      <c r="AC69" s="41">
        <f>KALKULÁTOR!C69*Q69</f>
        <v>0</v>
      </c>
      <c r="AD69" s="442">
        <f t="shared" si="2"/>
        <v>0</v>
      </c>
      <c r="AE69" s="442"/>
    </row>
    <row r="70" spans="1:40" x14ac:dyDescent="0.25">
      <c r="A70" s="515"/>
      <c r="B70" s="613"/>
      <c r="C70" s="267"/>
      <c r="D70" s="27" t="s">
        <v>16</v>
      </c>
      <c r="E70" s="36">
        <v>18.88</v>
      </c>
      <c r="F70" s="17">
        <v>21.7</v>
      </c>
      <c r="G70" s="17">
        <v>6</v>
      </c>
      <c r="H70" s="17">
        <v>3.25</v>
      </c>
      <c r="I70" s="17">
        <v>0.04</v>
      </c>
      <c r="J70" s="17"/>
      <c r="K70" s="17">
        <v>0.33</v>
      </c>
      <c r="L70" s="17">
        <v>0.25</v>
      </c>
      <c r="M70" s="43"/>
      <c r="N70" s="472" t="s">
        <v>95</v>
      </c>
      <c r="O70" s="472"/>
      <c r="P70" s="472"/>
      <c r="Q70" s="145"/>
      <c r="R70" s="79" t="s">
        <v>149</v>
      </c>
      <c r="S70" s="375">
        <f>$P$11*0</f>
        <v>0</v>
      </c>
      <c r="T70" s="372">
        <f>$P$11*0.1</f>
        <v>10</v>
      </c>
      <c r="U70" s="36">
        <f>KALKULÁTOR!E70*Q70</f>
        <v>0</v>
      </c>
      <c r="V70" s="28">
        <f>KALKULÁTOR!F70*$Q70/$Q$375</f>
        <v>0</v>
      </c>
      <c r="W70" s="28">
        <f>KALKULÁTOR!G70*$Q70/$Q$375</f>
        <v>0</v>
      </c>
      <c r="X70" s="28">
        <f>KALKULÁTOR!H70*$Q70/$Q$375</f>
        <v>0</v>
      </c>
      <c r="Y70" s="28">
        <f>KALKULÁTOR!I70*$Q70/$Q$375</f>
        <v>0</v>
      </c>
      <c r="Z70" s="28">
        <f>KALKULÁTOR!J70*$Q70/$Q$375</f>
        <v>0</v>
      </c>
      <c r="AA70" s="28">
        <f>KALKULÁTOR!K70*$Q70/$Q$375</f>
        <v>0</v>
      </c>
      <c r="AB70" s="28">
        <f>KALKULÁTOR!L70*$Q70/$Q$375</f>
        <v>0</v>
      </c>
      <c r="AC70" s="41">
        <f>KALKULÁTOR!C70*Q70</f>
        <v>0</v>
      </c>
      <c r="AD70" s="442">
        <f t="shared" si="2"/>
        <v>0</v>
      </c>
      <c r="AE70" s="442"/>
    </row>
    <row r="71" spans="1:40" x14ac:dyDescent="0.25">
      <c r="A71" s="515"/>
      <c r="B71" s="613"/>
      <c r="C71" s="267"/>
      <c r="D71" s="27" t="s">
        <v>16</v>
      </c>
      <c r="E71" s="36">
        <v>14.36</v>
      </c>
      <c r="F71" s="17">
        <v>13.3</v>
      </c>
      <c r="G71" s="17">
        <v>3.4</v>
      </c>
      <c r="H71" s="17">
        <v>2.2000000000000002</v>
      </c>
      <c r="I71" s="17"/>
      <c r="J71" s="17"/>
      <c r="K71" s="17"/>
      <c r="L71" s="17"/>
      <c r="M71" s="43"/>
      <c r="N71" s="472" t="s">
        <v>96</v>
      </c>
      <c r="O71" s="472"/>
      <c r="P71" s="472"/>
      <c r="Q71" s="107"/>
      <c r="R71" s="79" t="s">
        <v>149</v>
      </c>
      <c r="S71" s="375">
        <f>$P$11*0</f>
        <v>0</v>
      </c>
      <c r="T71" s="372">
        <f>$P$11*0.1</f>
        <v>10</v>
      </c>
      <c r="U71" s="36">
        <f>KALKULÁTOR!E71*Q71</f>
        <v>0</v>
      </c>
      <c r="V71" s="28">
        <f>KALKULÁTOR!F71*$Q71/$Q$375</f>
        <v>0</v>
      </c>
      <c r="W71" s="28">
        <f>KALKULÁTOR!G71*$Q71/$Q$375</f>
        <v>0</v>
      </c>
      <c r="X71" s="28">
        <f>KALKULÁTOR!H71*$Q71/$Q$375</f>
        <v>0</v>
      </c>
      <c r="Y71" s="28">
        <f>KALKULÁTOR!I71*$Q71/$Q$375</f>
        <v>0</v>
      </c>
      <c r="Z71" s="28">
        <f>KALKULÁTOR!J71*$Q71/$Q$375</f>
        <v>0</v>
      </c>
      <c r="AA71" s="28">
        <f>KALKULÁTOR!K71*$Q71/$Q$375</f>
        <v>0</v>
      </c>
      <c r="AB71" s="28">
        <f>KALKULÁTOR!L71*$Q71/$Q$375</f>
        <v>0</v>
      </c>
      <c r="AC71" s="41">
        <f>KALKULÁTOR!C71*Q71</f>
        <v>0</v>
      </c>
      <c r="AD71" s="442">
        <f t="shared" si="2"/>
        <v>0</v>
      </c>
      <c r="AE71" s="442"/>
    </row>
    <row r="72" spans="1:40" x14ac:dyDescent="0.25">
      <c r="A72" s="515"/>
      <c r="B72" s="613"/>
      <c r="C72" s="267"/>
      <c r="D72" s="27" t="s">
        <v>16</v>
      </c>
      <c r="E72" s="36">
        <v>14.36</v>
      </c>
      <c r="F72" s="17">
        <v>13.3</v>
      </c>
      <c r="G72" s="17">
        <v>3.4</v>
      </c>
      <c r="H72" s="17">
        <v>10</v>
      </c>
      <c r="I72" s="17">
        <v>1.7999999999999999E-2</v>
      </c>
      <c r="J72" s="17"/>
      <c r="K72" s="17"/>
      <c r="L72" s="17"/>
      <c r="M72" s="43"/>
      <c r="N72" s="523" t="s">
        <v>265</v>
      </c>
      <c r="O72" s="523"/>
      <c r="P72" s="523"/>
      <c r="Q72" s="107"/>
      <c r="R72" s="79" t="s">
        <v>149</v>
      </c>
      <c r="S72" s="375">
        <f>$P$11*0</f>
        <v>0</v>
      </c>
      <c r="T72" s="372">
        <f>$P$11*0.1</f>
        <v>10</v>
      </c>
      <c r="U72" s="36">
        <f>KALKULÁTOR!E72*Q72</f>
        <v>0</v>
      </c>
      <c r="V72" s="28">
        <f>KALKULÁTOR!F72*$Q72/$Q$375</f>
        <v>0</v>
      </c>
      <c r="W72" s="28">
        <f>KALKULÁTOR!G72*$Q72/$Q$375</f>
        <v>0</v>
      </c>
      <c r="X72" s="28">
        <f>KALKULÁTOR!H72*$Q72/$Q$375</f>
        <v>0</v>
      </c>
      <c r="Y72" s="28">
        <f>KALKULÁTOR!I72*$Q72/$Q$375</f>
        <v>0</v>
      </c>
      <c r="Z72" s="28">
        <f>KALKULÁTOR!J72*$Q72/$Q$375</f>
        <v>0</v>
      </c>
      <c r="AA72" s="28">
        <f>KALKULÁTOR!K72*$Q72/$Q$375</f>
        <v>0</v>
      </c>
      <c r="AB72" s="28">
        <f>KALKULÁTOR!L72*$Q72/$Q$375</f>
        <v>0</v>
      </c>
      <c r="AC72" s="41">
        <f>KALKULÁTOR!C72*Q72</f>
        <v>0</v>
      </c>
      <c r="AD72" s="442">
        <f t="shared" si="2"/>
        <v>0</v>
      </c>
      <c r="AE72" s="442"/>
    </row>
    <row r="73" spans="1:40" ht="15" customHeight="1" x14ac:dyDescent="0.25">
      <c r="A73" s="515"/>
      <c r="B73" s="613"/>
      <c r="C73" s="267"/>
      <c r="D73" s="27" t="s">
        <v>16</v>
      </c>
      <c r="E73" s="36">
        <v>14.5</v>
      </c>
      <c r="F73" s="17">
        <v>11</v>
      </c>
      <c r="G73" s="17">
        <v>3.9</v>
      </c>
      <c r="H73" s="17">
        <v>7.2</v>
      </c>
      <c r="I73" s="17">
        <v>0.6</v>
      </c>
      <c r="J73" s="17">
        <v>0.9</v>
      </c>
      <c r="K73" s="17"/>
      <c r="L73" s="17"/>
      <c r="M73" s="43"/>
      <c r="N73" s="493" t="s">
        <v>375</v>
      </c>
      <c r="O73" s="494"/>
      <c r="P73" s="495"/>
      <c r="Q73" s="145"/>
      <c r="R73" s="80" t="s">
        <v>149</v>
      </c>
      <c r="S73" s="375">
        <f>$P$11*0</f>
        <v>0</v>
      </c>
      <c r="T73" s="372">
        <f>$P$11*0.1</f>
        <v>10</v>
      </c>
      <c r="U73" s="36">
        <f>KALKULÁTOR!E73*Q73</f>
        <v>0</v>
      </c>
      <c r="V73" s="28">
        <f>KALKULÁTOR!F73*$Q73/$Q$375</f>
        <v>0</v>
      </c>
      <c r="W73" s="28">
        <f>KALKULÁTOR!G73*$Q73/$Q$375</f>
        <v>0</v>
      </c>
      <c r="X73" s="28">
        <f>KALKULÁTOR!H73*$Q73/$Q$375</f>
        <v>0</v>
      </c>
      <c r="Y73" s="28">
        <f>KALKULÁTOR!I73*$Q73/$Q$375</f>
        <v>0</v>
      </c>
      <c r="Z73" s="28">
        <f>KALKULÁTOR!J73*$Q73/$Q$375</f>
        <v>0</v>
      </c>
      <c r="AA73" s="28">
        <f>KALKULÁTOR!K73*$Q73/$Q$375</f>
        <v>0</v>
      </c>
      <c r="AB73" s="28">
        <f>KALKULÁTOR!L73*$Q73/$Q$375</f>
        <v>0</v>
      </c>
      <c r="AC73" s="41">
        <f>KALKULÁTOR!C73*Q73</f>
        <v>0</v>
      </c>
      <c r="AD73" s="442">
        <f t="shared" si="2"/>
        <v>0</v>
      </c>
      <c r="AE73" s="442"/>
      <c r="AF73" s="479" t="s">
        <v>226</v>
      </c>
      <c r="AG73" s="480"/>
      <c r="AH73" s="480"/>
      <c r="AI73" s="480"/>
    </row>
    <row r="74" spans="1:40" x14ac:dyDescent="0.25">
      <c r="A74" s="515"/>
      <c r="B74" s="613"/>
      <c r="C74" s="267"/>
      <c r="D74" s="27" t="s">
        <v>16</v>
      </c>
      <c r="E74" s="36">
        <v>15.83</v>
      </c>
      <c r="F74" s="17">
        <v>11</v>
      </c>
      <c r="G74" s="17">
        <v>4.2</v>
      </c>
      <c r="H74" s="17">
        <v>8.5</v>
      </c>
      <c r="I74" s="17">
        <v>0.08</v>
      </c>
      <c r="J74" s="17">
        <v>0.03</v>
      </c>
      <c r="K74" s="17"/>
      <c r="L74" s="17"/>
      <c r="M74" s="43"/>
      <c r="N74" s="524" t="s">
        <v>266</v>
      </c>
      <c r="O74" s="525"/>
      <c r="P74" s="523"/>
      <c r="Q74" s="145"/>
      <c r="R74" s="80" t="s">
        <v>149</v>
      </c>
      <c r="S74" s="375">
        <f>$P$11*0</f>
        <v>0</v>
      </c>
      <c r="T74" s="372">
        <f>$P$11*0.1</f>
        <v>10</v>
      </c>
      <c r="U74" s="36">
        <f>KALKULÁTOR!E74*Q74</f>
        <v>0</v>
      </c>
      <c r="V74" s="28">
        <f>KALKULÁTOR!F74*$Q74/$Q$375</f>
        <v>0</v>
      </c>
      <c r="W74" s="28">
        <f>KALKULÁTOR!G74*$Q74/$Q$375</f>
        <v>0</v>
      </c>
      <c r="X74" s="28">
        <f>KALKULÁTOR!H74*$Q74/$Q$375</f>
        <v>0</v>
      </c>
      <c r="Y74" s="28">
        <f>KALKULÁTOR!I74*$Q74/$Q$375</f>
        <v>0</v>
      </c>
      <c r="Z74" s="28">
        <f>KALKULÁTOR!J74*$Q74/$Q$375</f>
        <v>0</v>
      </c>
      <c r="AA74" s="28">
        <f>KALKULÁTOR!K74*$Q74/$Q$375</f>
        <v>0</v>
      </c>
      <c r="AB74" s="28">
        <f>KALKULÁTOR!L74*$Q74/$Q$375</f>
        <v>0</v>
      </c>
      <c r="AC74" s="41">
        <f>KALKULÁTOR!C74*Q74</f>
        <v>0</v>
      </c>
      <c r="AD74" s="442">
        <f t="shared" si="2"/>
        <v>0</v>
      </c>
      <c r="AE74" s="442"/>
      <c r="AF74" s="479" t="s">
        <v>226</v>
      </c>
      <c r="AG74" s="480"/>
      <c r="AH74" s="480"/>
      <c r="AI74" s="480"/>
    </row>
    <row r="75" spans="1:40" ht="15" customHeight="1" x14ac:dyDescent="0.25">
      <c r="A75" s="515"/>
      <c r="B75" s="613"/>
      <c r="C75" s="267"/>
      <c r="D75" s="27" t="s">
        <v>16</v>
      </c>
      <c r="E75" s="36">
        <v>15.67</v>
      </c>
      <c r="F75" s="17">
        <v>9</v>
      </c>
      <c r="G75" s="17">
        <v>4</v>
      </c>
      <c r="H75" s="17">
        <v>2.7</v>
      </c>
      <c r="I75" s="17">
        <v>0.05</v>
      </c>
      <c r="J75" s="17">
        <v>0.31</v>
      </c>
      <c r="K75" s="17">
        <v>0.23</v>
      </c>
      <c r="L75" s="17">
        <v>0.16</v>
      </c>
      <c r="M75" s="43"/>
      <c r="N75" s="472" t="s">
        <v>98</v>
      </c>
      <c r="O75" s="472"/>
      <c r="P75" s="472"/>
      <c r="Q75" s="107"/>
      <c r="R75" s="80" t="s">
        <v>149</v>
      </c>
      <c r="S75" s="375">
        <f>$P$11*0.3</f>
        <v>30</v>
      </c>
      <c r="T75" s="209" t="s">
        <v>316</v>
      </c>
      <c r="U75" s="36">
        <f>KALKULÁTOR!E75*Q75</f>
        <v>0</v>
      </c>
      <c r="V75" s="28">
        <f>KALKULÁTOR!F75*$Q75/$Q$375</f>
        <v>0</v>
      </c>
      <c r="W75" s="28">
        <f>KALKULÁTOR!G75*$Q75/$Q$375</f>
        <v>0</v>
      </c>
      <c r="X75" s="28">
        <f>KALKULÁTOR!H75*$Q75/$Q$375</f>
        <v>0</v>
      </c>
      <c r="Y75" s="28">
        <f>KALKULÁTOR!I75*$Q75/$Q$375</f>
        <v>0</v>
      </c>
      <c r="Z75" s="28">
        <f>KALKULÁTOR!J75*$Q75/$Q$375</f>
        <v>0</v>
      </c>
      <c r="AA75" s="28">
        <f>KALKULÁTOR!K75*$Q75/$Q$375</f>
        <v>0</v>
      </c>
      <c r="AB75" s="28">
        <f>KALKULÁTOR!L75*$Q75/$Q$375</f>
        <v>0</v>
      </c>
      <c r="AC75" s="41">
        <f>KALKULÁTOR!C75*Q75</f>
        <v>0</v>
      </c>
      <c r="AD75" s="442">
        <f t="shared" si="2"/>
        <v>0</v>
      </c>
      <c r="AE75" s="442"/>
      <c r="AF75" s="551" t="s">
        <v>115</v>
      </c>
      <c r="AG75" s="552"/>
      <c r="AH75" s="552"/>
      <c r="AI75" s="552"/>
    </row>
    <row r="76" spans="1:40" x14ac:dyDescent="0.25">
      <c r="A76" s="515"/>
      <c r="B76" s="613"/>
      <c r="C76" s="267"/>
      <c r="D76" s="27" t="s">
        <v>16</v>
      </c>
      <c r="E76" s="36">
        <v>13.4</v>
      </c>
      <c r="F76" s="17">
        <v>7</v>
      </c>
      <c r="G76" s="17">
        <v>3</v>
      </c>
      <c r="H76" s="17">
        <v>3</v>
      </c>
      <c r="I76" s="17"/>
      <c r="J76" s="17"/>
      <c r="K76" s="17"/>
      <c r="L76" s="17"/>
      <c r="M76" s="43"/>
      <c r="N76" s="472" t="s">
        <v>99</v>
      </c>
      <c r="O76" s="472"/>
      <c r="P76" s="472"/>
      <c r="Q76" s="107"/>
      <c r="R76" s="80" t="s">
        <v>149</v>
      </c>
      <c r="S76" s="375">
        <f>$P$11*0.3</f>
        <v>30</v>
      </c>
      <c r="T76" s="372">
        <f>$P$11*0.6</f>
        <v>60</v>
      </c>
      <c r="U76" s="36">
        <f>KALKULÁTOR!E76*Q76</f>
        <v>0</v>
      </c>
      <c r="V76" s="28">
        <f>KALKULÁTOR!F76*$Q76/$Q$375</f>
        <v>0</v>
      </c>
      <c r="W76" s="28">
        <f>KALKULÁTOR!G76*$Q76/$Q$375</f>
        <v>0</v>
      </c>
      <c r="X76" s="28">
        <f>KALKULÁTOR!H76*$Q76/$Q$375</f>
        <v>0</v>
      </c>
      <c r="Y76" s="28">
        <f>KALKULÁTOR!I76*$Q76/$Q$375</f>
        <v>0</v>
      </c>
      <c r="Z76" s="28">
        <f>KALKULÁTOR!J76*$Q76/$Q$375</f>
        <v>0</v>
      </c>
      <c r="AA76" s="28">
        <f>KALKULÁTOR!K76*$Q76/$Q$375</f>
        <v>0</v>
      </c>
      <c r="AB76" s="28">
        <f>KALKULÁTOR!L76*$Q76/$Q$375</f>
        <v>0</v>
      </c>
      <c r="AC76" s="41">
        <f>KALKULÁTOR!C76*Q76</f>
        <v>0</v>
      </c>
      <c r="AD76" s="442">
        <f t="shared" si="2"/>
        <v>0</v>
      </c>
      <c r="AE76" s="442"/>
      <c r="AF76" s="551" t="s">
        <v>115</v>
      </c>
      <c r="AG76" s="552"/>
      <c r="AH76" s="552"/>
      <c r="AI76" s="552"/>
    </row>
    <row r="77" spans="1:40" x14ac:dyDescent="0.25">
      <c r="A77" s="515"/>
      <c r="B77" s="613"/>
      <c r="C77" s="267"/>
      <c r="D77" s="27" t="s">
        <v>16</v>
      </c>
      <c r="E77" s="36">
        <v>13.48</v>
      </c>
      <c r="F77" s="17">
        <v>11.5</v>
      </c>
      <c r="G77" s="17">
        <v>5</v>
      </c>
      <c r="H77" s="17">
        <v>1.9</v>
      </c>
      <c r="I77" s="17"/>
      <c r="J77" s="17"/>
      <c r="K77" s="17"/>
      <c r="L77" s="17"/>
      <c r="M77" s="43"/>
      <c r="N77" s="472" t="s">
        <v>100</v>
      </c>
      <c r="O77" s="472"/>
      <c r="P77" s="472"/>
      <c r="Q77" s="145"/>
      <c r="R77" s="80" t="s">
        <v>149</v>
      </c>
      <c r="S77" s="375">
        <f>$P$11*0.3</f>
        <v>30</v>
      </c>
      <c r="T77" s="372">
        <f>$P$11*0.6</f>
        <v>60</v>
      </c>
      <c r="U77" s="36">
        <f>KALKULÁTOR!E77*Q77</f>
        <v>0</v>
      </c>
      <c r="V77" s="28">
        <f>KALKULÁTOR!F77*$Q77/$Q$375</f>
        <v>0</v>
      </c>
      <c r="W77" s="28">
        <f>KALKULÁTOR!G77*$Q77/$Q$375</f>
        <v>0</v>
      </c>
      <c r="X77" s="28">
        <f>KALKULÁTOR!H77*$Q77/$Q$375</f>
        <v>0</v>
      </c>
      <c r="Y77" s="28">
        <f>KALKULÁTOR!I77*$Q77/$Q$375</f>
        <v>0</v>
      </c>
      <c r="Z77" s="28">
        <f>KALKULÁTOR!J77*$Q77/$Q$375</f>
        <v>0</v>
      </c>
      <c r="AA77" s="28">
        <f>KALKULÁTOR!K77*$Q77/$Q$375</f>
        <v>0</v>
      </c>
      <c r="AB77" s="28">
        <f>KALKULÁTOR!L77*$Q77/$Q$375</f>
        <v>0</v>
      </c>
      <c r="AC77" s="41">
        <f>KALKULÁTOR!C77*Q77</f>
        <v>0</v>
      </c>
      <c r="AD77" s="442">
        <f t="shared" si="2"/>
        <v>0</v>
      </c>
      <c r="AE77" s="442"/>
      <c r="AF77" s="551" t="s">
        <v>115</v>
      </c>
      <c r="AG77" s="552"/>
      <c r="AH77" s="552"/>
      <c r="AI77" s="552"/>
    </row>
    <row r="78" spans="1:40" x14ac:dyDescent="0.25">
      <c r="A78" s="515"/>
      <c r="B78" s="613"/>
      <c r="C78" s="267"/>
      <c r="D78" s="27" t="s">
        <v>16</v>
      </c>
      <c r="E78" s="36">
        <v>15.07</v>
      </c>
      <c r="F78" s="17">
        <v>9.1</v>
      </c>
      <c r="G78" s="17">
        <v>1.7</v>
      </c>
      <c r="H78" s="17">
        <v>2</v>
      </c>
      <c r="I78" s="17">
        <v>3.2000000000000001E-2</v>
      </c>
      <c r="J78" s="17">
        <v>2.2100000000000002E-2</v>
      </c>
      <c r="K78" s="17">
        <v>0.76</v>
      </c>
      <c r="L78" s="17">
        <v>0.71</v>
      </c>
      <c r="M78" s="43"/>
      <c r="N78" s="472" t="s">
        <v>12</v>
      </c>
      <c r="O78" s="472"/>
      <c r="P78" s="472"/>
      <c r="Q78" s="145"/>
      <c r="R78" s="80" t="s">
        <v>149</v>
      </c>
      <c r="S78" s="375">
        <f>$P$11*0.05</f>
        <v>5</v>
      </c>
      <c r="T78" s="372">
        <f>$P$11*0.08</f>
        <v>8</v>
      </c>
      <c r="U78" s="36">
        <f>KALKULÁTOR!E78*Q78</f>
        <v>0</v>
      </c>
      <c r="V78" s="28">
        <f>KALKULÁTOR!F78*$Q78/$Q$375</f>
        <v>0</v>
      </c>
      <c r="W78" s="28">
        <f>KALKULÁTOR!G78*$Q78/$Q$375</f>
        <v>0</v>
      </c>
      <c r="X78" s="28">
        <f>KALKULÁTOR!H78*$Q78/$Q$375</f>
        <v>0</v>
      </c>
      <c r="Y78" s="28">
        <f>KALKULÁTOR!I78*$Q78/$Q$375</f>
        <v>0</v>
      </c>
      <c r="Z78" s="28">
        <f>KALKULÁTOR!J78*$Q78/$Q$375</f>
        <v>0</v>
      </c>
      <c r="AA78" s="28">
        <f>KALKULÁTOR!K78*$Q78/$Q$375</f>
        <v>0</v>
      </c>
      <c r="AB78" s="28">
        <f>KALKULÁTOR!L78*$Q78/$Q$375</f>
        <v>0</v>
      </c>
      <c r="AC78" s="41">
        <f>KALKULÁTOR!C78*Q78</f>
        <v>0</v>
      </c>
      <c r="AD78" s="442">
        <f t="shared" si="2"/>
        <v>0</v>
      </c>
      <c r="AE78" s="442"/>
      <c r="AF78" s="274" t="s">
        <v>376</v>
      </c>
      <c r="AG78" s="132"/>
    </row>
    <row r="79" spans="1:40" ht="15.75" thickBot="1" x14ac:dyDescent="0.3">
      <c r="A79" s="515"/>
      <c r="B79" s="613"/>
      <c r="C79" s="267"/>
      <c r="D79" s="27" t="s">
        <v>16</v>
      </c>
      <c r="E79" s="36">
        <v>14.44</v>
      </c>
      <c r="F79" s="17">
        <v>7.4</v>
      </c>
      <c r="G79" s="17">
        <v>0.04</v>
      </c>
      <c r="H79" s="17">
        <v>0.4</v>
      </c>
      <c r="I79" s="17">
        <v>3.2000000000000001E-2</v>
      </c>
      <c r="J79" s="17">
        <v>2.2100000000000002E-2</v>
      </c>
      <c r="K79" s="17">
        <v>0.76</v>
      </c>
      <c r="L79" s="17">
        <v>0.71</v>
      </c>
      <c r="M79" s="43"/>
      <c r="N79" s="560" t="s">
        <v>105</v>
      </c>
      <c r="O79" s="560"/>
      <c r="P79" s="560"/>
      <c r="Q79" s="107"/>
      <c r="R79" s="80" t="s">
        <v>149</v>
      </c>
      <c r="S79" s="375">
        <f>$P$11*0.05</f>
        <v>5</v>
      </c>
      <c r="T79" s="372">
        <f>$P$11*0.08</f>
        <v>8</v>
      </c>
      <c r="U79" s="36">
        <f>KALKULÁTOR!E79*Q79</f>
        <v>0</v>
      </c>
      <c r="V79" s="28">
        <f>KALKULÁTOR!F79*$Q79/$Q$375</f>
        <v>0</v>
      </c>
      <c r="W79" s="28">
        <f>KALKULÁTOR!G79*$Q79/$Q$375</f>
        <v>0</v>
      </c>
      <c r="X79" s="28">
        <f>KALKULÁTOR!H79*$Q79/$Q$375</f>
        <v>0</v>
      </c>
      <c r="Y79" s="28">
        <f>KALKULÁTOR!I79*$Q79/$Q$375</f>
        <v>0</v>
      </c>
      <c r="Z79" s="28">
        <f>KALKULÁTOR!J79*$Q79/$Q$375</f>
        <v>0</v>
      </c>
      <c r="AA79" s="28">
        <f>KALKULÁTOR!K79*$Q79/$Q$375</f>
        <v>0</v>
      </c>
      <c r="AB79" s="28">
        <f>KALKULÁTOR!L79*$Q79/$Q$375</f>
        <v>0</v>
      </c>
      <c r="AC79" s="41">
        <f>KALKULÁTOR!C79*Q79</f>
        <v>0</v>
      </c>
      <c r="AD79" s="442">
        <f t="shared" si="2"/>
        <v>0</v>
      </c>
      <c r="AE79" s="442"/>
      <c r="AF79" s="274" t="s">
        <v>376</v>
      </c>
      <c r="AG79" s="132"/>
    </row>
    <row r="80" spans="1:40" x14ac:dyDescent="0.25">
      <c r="A80" s="515"/>
      <c r="B80" s="613"/>
      <c r="C80" s="267"/>
      <c r="D80" s="27" t="s">
        <v>16</v>
      </c>
      <c r="E80" s="36">
        <v>12.09</v>
      </c>
      <c r="F80" s="17">
        <v>10.6</v>
      </c>
      <c r="G80" s="17">
        <v>1.7</v>
      </c>
      <c r="H80" s="17">
        <v>3</v>
      </c>
      <c r="I80" s="17">
        <v>0.06</v>
      </c>
      <c r="J80" s="17">
        <v>0.36</v>
      </c>
      <c r="K80" s="17">
        <v>0.37</v>
      </c>
      <c r="L80" s="17">
        <v>0.17</v>
      </c>
      <c r="M80" s="43"/>
      <c r="N80" s="472" t="s">
        <v>7</v>
      </c>
      <c r="O80" s="472"/>
      <c r="P80" s="472"/>
      <c r="Q80" s="107"/>
      <c r="R80" s="79" t="s">
        <v>149</v>
      </c>
      <c r="S80" s="375">
        <f>$P$11*0.05</f>
        <v>5</v>
      </c>
      <c r="T80" s="372">
        <f>$P$11*0.08</f>
        <v>8</v>
      </c>
      <c r="U80" s="36">
        <f>KALKULÁTOR!E80*Q80</f>
        <v>0</v>
      </c>
      <c r="V80" s="28">
        <f>KALKULÁTOR!F80*$Q80/$Q$375</f>
        <v>0</v>
      </c>
      <c r="W80" s="28">
        <f>KALKULÁTOR!G80*$Q80/$Q$375</f>
        <v>0</v>
      </c>
      <c r="X80" s="28">
        <f>KALKULÁTOR!H80*$Q80/$Q$375</f>
        <v>0</v>
      </c>
      <c r="Y80" s="28">
        <f>KALKULÁTOR!I80*$Q80/$Q$375</f>
        <v>0</v>
      </c>
      <c r="Z80" s="28">
        <f>KALKULÁTOR!J80*$Q80/$Q$375</f>
        <v>0</v>
      </c>
      <c r="AA80" s="28">
        <f>KALKULÁTOR!K80*$Q80/$Q$375</f>
        <v>0</v>
      </c>
      <c r="AB80" s="28">
        <f>KALKULÁTOR!L80*$Q80/$Q$375</f>
        <v>0</v>
      </c>
      <c r="AC80" s="41">
        <f>KALKULÁTOR!C80*Q80</f>
        <v>0</v>
      </c>
      <c r="AD80" s="442">
        <f t="shared" si="2"/>
        <v>0</v>
      </c>
      <c r="AE80" s="442"/>
      <c r="AF80" s="553" t="s">
        <v>283</v>
      </c>
      <c r="AG80" s="553"/>
      <c r="AH80" s="553"/>
      <c r="AI80" s="553"/>
      <c r="AJ80" s="553"/>
      <c r="AK80" s="553"/>
      <c r="AL80" s="554"/>
    </row>
    <row r="81" spans="1:54" ht="15" customHeight="1" x14ac:dyDescent="0.25">
      <c r="A81" s="515"/>
      <c r="B81" s="613"/>
      <c r="C81" s="267"/>
      <c r="D81" s="27" t="s">
        <v>16</v>
      </c>
      <c r="E81" s="36">
        <v>14.15</v>
      </c>
      <c r="F81" s="17">
        <v>17</v>
      </c>
      <c r="G81" s="17">
        <v>2</v>
      </c>
      <c r="H81" s="17">
        <v>10</v>
      </c>
      <c r="I81" s="17">
        <v>2.7E-2</v>
      </c>
      <c r="J81" s="17">
        <v>0.40100000000000002</v>
      </c>
      <c r="K81" s="17"/>
      <c r="L81" s="17"/>
      <c r="M81" s="43"/>
      <c r="N81" s="503" t="s">
        <v>267</v>
      </c>
      <c r="O81" s="503"/>
      <c r="P81" s="503"/>
      <c r="Q81" s="145"/>
      <c r="R81" s="80" t="s">
        <v>149</v>
      </c>
      <c r="S81" s="375">
        <f>$P$11*0.1</f>
        <v>10</v>
      </c>
      <c r="T81" s="372">
        <f>$P$11*0.25</f>
        <v>25</v>
      </c>
      <c r="U81" s="36">
        <f>KALKULÁTOR!E81*Q81</f>
        <v>0</v>
      </c>
      <c r="V81" s="28">
        <f>KALKULÁTOR!F81*$Q81/$Q$375</f>
        <v>0</v>
      </c>
      <c r="W81" s="28">
        <f>KALKULÁTOR!G81*$Q81/$Q$375</f>
        <v>0</v>
      </c>
      <c r="X81" s="28">
        <f>KALKULÁTOR!H81*$Q81/$Q$375</f>
        <v>0</v>
      </c>
      <c r="Y81" s="28">
        <f>KALKULÁTOR!I81*$Q81/$Q$375</f>
        <v>0</v>
      </c>
      <c r="Z81" s="28">
        <f>KALKULÁTOR!J81*$Q81/$Q$375</f>
        <v>0</v>
      </c>
      <c r="AA81" s="28">
        <f>KALKULÁTOR!K81*$Q81/$Q$375</f>
        <v>0</v>
      </c>
      <c r="AB81" s="28">
        <f>KALKULÁTOR!L81*$Q81/$Q$375</f>
        <v>0</v>
      </c>
      <c r="AC81" s="41">
        <f>KALKULÁTOR!C81*Q81</f>
        <v>0</v>
      </c>
      <c r="AD81" s="442">
        <f t="shared" si="2"/>
        <v>0</v>
      </c>
      <c r="AE81" s="442"/>
      <c r="AF81" s="549" t="s">
        <v>269</v>
      </c>
      <c r="AG81" s="550"/>
      <c r="AH81" s="550"/>
      <c r="AI81" s="550"/>
      <c r="AJ81" s="550"/>
      <c r="AK81" s="550"/>
      <c r="AL81" s="550"/>
    </row>
    <row r="82" spans="1:54" x14ac:dyDescent="0.25">
      <c r="A82" s="515"/>
      <c r="B82" s="613"/>
      <c r="C82" s="267"/>
      <c r="D82" s="27" t="s">
        <v>16</v>
      </c>
      <c r="E82" s="36">
        <v>15</v>
      </c>
      <c r="F82" s="17">
        <v>17</v>
      </c>
      <c r="G82" s="17">
        <v>2</v>
      </c>
      <c r="H82" s="17">
        <v>4</v>
      </c>
      <c r="I82" s="17">
        <v>2.7E-2</v>
      </c>
      <c r="J82" s="17">
        <v>0.40100000000000002</v>
      </c>
      <c r="K82" s="17"/>
      <c r="L82" s="17"/>
      <c r="M82" s="43"/>
      <c r="N82" s="618" t="s">
        <v>268</v>
      </c>
      <c r="O82" s="618"/>
      <c r="P82" s="618"/>
      <c r="Q82" s="145"/>
      <c r="R82" s="80" t="s">
        <v>149</v>
      </c>
      <c r="S82" s="375">
        <f>$P$11*0.1</f>
        <v>10</v>
      </c>
      <c r="T82" s="372">
        <f>$P$11*0.25</f>
        <v>25</v>
      </c>
      <c r="U82" s="36">
        <f>KALKULÁTOR!E82*Q82</f>
        <v>0</v>
      </c>
      <c r="V82" s="28">
        <f>KALKULÁTOR!F82*$Q82/$Q$375</f>
        <v>0</v>
      </c>
      <c r="W82" s="28">
        <f>KALKULÁTOR!G82*$Q82/$Q$375</f>
        <v>0</v>
      </c>
      <c r="X82" s="28">
        <f>KALKULÁTOR!H82*$Q82/$Q$375</f>
        <v>0</v>
      </c>
      <c r="Y82" s="28">
        <f>KALKULÁTOR!I82*$Q82/$Q$375</f>
        <v>0</v>
      </c>
      <c r="Z82" s="28">
        <f>KALKULÁTOR!J82*$Q82/$Q$375</f>
        <v>0</v>
      </c>
      <c r="AA82" s="28">
        <f>KALKULÁTOR!K82*$Q82/$Q$375</f>
        <v>0</v>
      </c>
      <c r="AB82" s="28">
        <f>KALKULÁTOR!L82*$Q82/$Q$375</f>
        <v>0</v>
      </c>
      <c r="AC82" s="41">
        <f>KALKULÁTOR!C82*Q82</f>
        <v>0</v>
      </c>
      <c r="AD82" s="442">
        <f t="shared" si="2"/>
        <v>0</v>
      </c>
      <c r="AE82" s="442"/>
      <c r="AF82" s="549" t="s">
        <v>269</v>
      </c>
      <c r="AG82" s="550"/>
      <c r="AH82" s="550"/>
      <c r="AI82" s="550"/>
      <c r="AJ82" s="550"/>
      <c r="AK82" s="550"/>
      <c r="AL82" s="550"/>
    </row>
    <row r="83" spans="1:54" x14ac:dyDescent="0.25">
      <c r="A83" s="515"/>
      <c r="B83" s="613"/>
      <c r="C83" s="267"/>
      <c r="D83" s="27" t="s">
        <v>16</v>
      </c>
      <c r="E83" s="36">
        <v>14.23</v>
      </c>
      <c r="F83" s="17">
        <v>11.7</v>
      </c>
      <c r="G83" s="17">
        <v>1.3</v>
      </c>
      <c r="H83" s="17">
        <v>2.9</v>
      </c>
      <c r="I83" s="17">
        <v>0.06</v>
      </c>
      <c r="J83" s="17">
        <v>0.38</v>
      </c>
      <c r="K83" s="17">
        <v>0.41</v>
      </c>
      <c r="L83" s="17">
        <v>0.21</v>
      </c>
      <c r="M83" s="43"/>
      <c r="N83" s="472" t="s">
        <v>5</v>
      </c>
      <c r="O83" s="472"/>
      <c r="P83" s="472"/>
      <c r="Q83" s="107"/>
      <c r="R83" s="80" t="s">
        <v>149</v>
      </c>
      <c r="S83" s="375">
        <f>$P$11*0.1</f>
        <v>10</v>
      </c>
      <c r="T83" s="372">
        <f>$P$11*0.3</f>
        <v>30</v>
      </c>
      <c r="U83" s="36">
        <f>KALKULÁTOR!E83*Q83</f>
        <v>0</v>
      </c>
      <c r="V83" s="28">
        <f>KALKULÁTOR!F83*$Q83/$Q$375</f>
        <v>0</v>
      </c>
      <c r="W83" s="28">
        <f>KALKULÁTOR!G83*$Q83/$Q$375</f>
        <v>0</v>
      </c>
      <c r="X83" s="28">
        <f>KALKULÁTOR!H83*$Q83/$Q$375</f>
        <v>0</v>
      </c>
      <c r="Y83" s="28">
        <f>KALKULÁTOR!I83*$Q83/$Q$375</f>
        <v>0</v>
      </c>
      <c r="Z83" s="28">
        <f>KALKULÁTOR!J83*$Q83/$Q$375</f>
        <v>0</v>
      </c>
      <c r="AA83" s="28">
        <f>KALKULÁTOR!K83*$Q83/$Q$375</f>
        <v>0</v>
      </c>
      <c r="AB83" s="28">
        <f>KALKULÁTOR!L83*$Q83/$Q$375</f>
        <v>0</v>
      </c>
      <c r="AC83" s="41">
        <f>KALKULÁTOR!C83*Q83</f>
        <v>0</v>
      </c>
      <c r="AD83" s="442">
        <f t="shared" si="2"/>
        <v>0</v>
      </c>
      <c r="AE83" s="442"/>
      <c r="AF83" s="595" t="s">
        <v>223</v>
      </c>
      <c r="AG83" s="595"/>
      <c r="AH83" s="595"/>
      <c r="AI83" s="555"/>
    </row>
    <row r="84" spans="1:54" x14ac:dyDescent="0.25">
      <c r="A84" s="515"/>
      <c r="B84" s="613"/>
      <c r="C84" s="267"/>
      <c r="D84" s="27" t="s">
        <v>16</v>
      </c>
      <c r="E84" s="36">
        <v>11.2</v>
      </c>
      <c r="F84" s="17">
        <v>11.4</v>
      </c>
      <c r="G84" s="17">
        <v>4.2</v>
      </c>
      <c r="H84" s="17">
        <v>13.3</v>
      </c>
      <c r="I84" s="17">
        <v>0.11</v>
      </c>
      <c r="J84" s="17">
        <v>0.37</v>
      </c>
      <c r="K84" s="17">
        <v>0.44</v>
      </c>
      <c r="L84" s="17">
        <v>0.18</v>
      </c>
      <c r="M84" s="43"/>
      <c r="N84" s="472" t="s">
        <v>2</v>
      </c>
      <c r="O84" s="472"/>
      <c r="P84" s="472"/>
      <c r="Q84" s="107"/>
      <c r="R84" s="80" t="s">
        <v>149</v>
      </c>
      <c r="S84" s="375">
        <f>$P$11*0</f>
        <v>0</v>
      </c>
      <c r="T84" s="372">
        <f>$P$11*0.1</f>
        <v>10</v>
      </c>
      <c r="U84" s="36">
        <f>KALKULÁTOR!E84*Q84</f>
        <v>0</v>
      </c>
      <c r="V84" s="28">
        <f>KALKULÁTOR!F84*$Q84/$Q$375</f>
        <v>0</v>
      </c>
      <c r="W84" s="28">
        <f>KALKULÁTOR!G84*$Q84/$Q$375</f>
        <v>0</v>
      </c>
      <c r="X84" s="28">
        <f>KALKULÁTOR!H84*$Q84/$Q$375</f>
        <v>0</v>
      </c>
      <c r="Y84" s="28">
        <f>KALKULÁTOR!I84*$Q84/$Q$375</f>
        <v>0</v>
      </c>
      <c r="Z84" s="28">
        <f>KALKULÁTOR!J84*$Q84/$Q$375</f>
        <v>0</v>
      </c>
      <c r="AA84" s="28">
        <f>KALKULÁTOR!K84*$Q84/$Q$375</f>
        <v>0</v>
      </c>
      <c r="AB84" s="28">
        <f>KALKULÁTOR!L84*$Q84/$Q$375</f>
        <v>0</v>
      </c>
      <c r="AC84" s="41">
        <f>KALKULÁTOR!C84*Q84</f>
        <v>0</v>
      </c>
      <c r="AD84" s="442">
        <f t="shared" si="2"/>
        <v>0</v>
      </c>
      <c r="AE84" s="442"/>
      <c r="AF84" s="596" t="s">
        <v>222</v>
      </c>
      <c r="AG84" s="597"/>
      <c r="AH84" s="597"/>
      <c r="AI84" s="597"/>
      <c r="AJ84" s="597"/>
    </row>
    <row r="85" spans="1:54" ht="15.75" thickBot="1" x14ac:dyDescent="0.3">
      <c r="A85" s="515"/>
      <c r="B85" s="613"/>
      <c r="C85" s="269"/>
      <c r="D85" s="95" t="s">
        <v>16</v>
      </c>
      <c r="E85" s="22">
        <v>13.2</v>
      </c>
      <c r="F85" s="119">
        <v>13.5</v>
      </c>
      <c r="G85" s="119">
        <v>6.9</v>
      </c>
      <c r="H85" s="119">
        <v>9</v>
      </c>
      <c r="I85" s="119">
        <v>5.3999999999999999E-2</v>
      </c>
      <c r="J85" s="119">
        <v>0.4</v>
      </c>
      <c r="K85" s="119">
        <v>0.44</v>
      </c>
      <c r="L85" s="119">
        <v>0.18</v>
      </c>
      <c r="M85" s="118"/>
      <c r="N85" s="499" t="s">
        <v>270</v>
      </c>
      <c r="O85" s="499"/>
      <c r="P85" s="499"/>
      <c r="Q85" s="145"/>
      <c r="R85" s="151" t="s">
        <v>149</v>
      </c>
      <c r="S85" s="264">
        <f>$P$11*0</f>
        <v>0</v>
      </c>
      <c r="T85" s="261">
        <f>$P$11*0.1</f>
        <v>10</v>
      </c>
      <c r="U85" s="22">
        <f>KALKULÁTOR!E85*Q85</f>
        <v>0</v>
      </c>
      <c r="V85" s="48">
        <f>KALKULÁTOR!F85*$Q85/$Q$375</f>
        <v>0</v>
      </c>
      <c r="W85" s="48">
        <f>KALKULÁTOR!G85*$Q85/$Q$375</f>
        <v>0</v>
      </c>
      <c r="X85" s="48">
        <f>KALKULÁTOR!H85*$Q85/$Q$375</f>
        <v>0</v>
      </c>
      <c r="Y85" s="48">
        <f>KALKULÁTOR!I85*$Q85/$Q$375</f>
        <v>0</v>
      </c>
      <c r="Z85" s="48">
        <f>KALKULÁTOR!J85*$Q85/$Q$375</f>
        <v>0</v>
      </c>
      <c r="AA85" s="48">
        <f>KALKULÁTOR!K85*$Q85/$Q$375</f>
        <v>0</v>
      </c>
      <c r="AB85" s="48">
        <f>KALKULÁTOR!L85*$Q85/$Q$375</f>
        <v>0</v>
      </c>
      <c r="AC85" s="49">
        <f>KALKULÁTOR!C85*Q85</f>
        <v>0</v>
      </c>
      <c r="AD85" s="442">
        <f t="shared" si="2"/>
        <v>0</v>
      </c>
      <c r="AE85" s="442"/>
      <c r="AF85" s="598" t="s">
        <v>222</v>
      </c>
      <c r="AG85" s="599"/>
      <c r="AH85" s="599"/>
      <c r="AI85" s="599"/>
      <c r="AJ85" s="599"/>
    </row>
    <row r="86" spans="1:54" ht="15" customHeight="1" x14ac:dyDescent="0.25">
      <c r="A86" s="515"/>
      <c r="B86" s="500" t="s">
        <v>42</v>
      </c>
      <c r="C86" s="88"/>
      <c r="D86" s="25" t="s">
        <v>16</v>
      </c>
      <c r="E86" s="37">
        <v>14.15</v>
      </c>
      <c r="F86" s="30">
        <v>22</v>
      </c>
      <c r="G86" s="30">
        <v>1.2</v>
      </c>
      <c r="H86" s="30">
        <v>3.8</v>
      </c>
      <c r="I86" s="30"/>
      <c r="J86" s="30"/>
      <c r="K86" s="30"/>
      <c r="L86" s="30"/>
      <c r="M86" s="42"/>
      <c r="N86" s="477" t="s">
        <v>89</v>
      </c>
      <c r="O86" s="477"/>
      <c r="P86" s="477"/>
      <c r="Q86" s="145"/>
      <c r="R86" s="386" t="s">
        <v>149</v>
      </c>
      <c r="S86" s="374">
        <f>$P$11*0</f>
        <v>0</v>
      </c>
      <c r="T86" s="371">
        <f>$P$11*0.08</f>
        <v>8</v>
      </c>
      <c r="U86" s="37">
        <f>KALKULÁTOR!E86*Q86</f>
        <v>0</v>
      </c>
      <c r="V86" s="26">
        <f>KALKULÁTOR!F86*$Q86/$Q$375</f>
        <v>0</v>
      </c>
      <c r="W86" s="26">
        <f>KALKULÁTOR!G86*$Q86/$Q$375</f>
        <v>0</v>
      </c>
      <c r="X86" s="26">
        <f>KALKULÁTOR!H86*$Q86/$Q$375</f>
        <v>0</v>
      </c>
      <c r="Y86" s="26">
        <f>KALKULÁTOR!I86*$Q86/$Q$375</f>
        <v>0</v>
      </c>
      <c r="Z86" s="26">
        <f>KALKULÁTOR!J86*$Q86/$Q$375</f>
        <v>0</v>
      </c>
      <c r="AA86" s="26">
        <f>KALKULÁTOR!K86*$Q86/$Q$375</f>
        <v>0</v>
      </c>
      <c r="AB86" s="26">
        <f>KALKULÁTOR!L86*$Q86/$Q$375</f>
        <v>0</v>
      </c>
      <c r="AC86" s="40">
        <f>KALKULÁTOR!C86*Q86</f>
        <v>0</v>
      </c>
      <c r="AD86" s="442">
        <f t="shared" si="2"/>
        <v>0</v>
      </c>
      <c r="AE86" s="442"/>
      <c r="AF86" s="558" t="s">
        <v>153</v>
      </c>
      <c r="AG86" s="559"/>
      <c r="AH86" s="559"/>
      <c r="AI86" s="559"/>
      <c r="AJ86" s="559"/>
      <c r="AK86" s="559"/>
      <c r="AL86" s="559"/>
      <c r="AM86" s="559"/>
      <c r="AN86" s="559"/>
      <c r="AO86" s="559"/>
      <c r="AP86" s="559"/>
      <c r="AQ86" s="559"/>
      <c r="AR86" s="559"/>
      <c r="AS86" s="559"/>
      <c r="AT86" s="559"/>
      <c r="AU86" s="559"/>
      <c r="AV86" s="559"/>
      <c r="AW86" s="559"/>
      <c r="AX86" s="69"/>
    </row>
    <row r="87" spans="1:54" ht="15" customHeight="1" x14ac:dyDescent="0.25">
      <c r="A87" s="515"/>
      <c r="B87" s="501"/>
      <c r="C87" s="81"/>
      <c r="D87" s="27" t="s">
        <v>16</v>
      </c>
      <c r="E87" s="36">
        <v>12.77</v>
      </c>
      <c r="F87" s="17">
        <v>24.8</v>
      </c>
      <c r="G87" s="17">
        <v>1.4</v>
      </c>
      <c r="H87" s="17">
        <v>6.5</v>
      </c>
      <c r="I87" s="17">
        <v>0.14000000000000001</v>
      </c>
      <c r="J87" s="17">
        <v>0.5</v>
      </c>
      <c r="K87" s="17">
        <v>1.56</v>
      </c>
      <c r="L87" s="17">
        <v>0.22</v>
      </c>
      <c r="M87" s="43"/>
      <c r="N87" s="472" t="s">
        <v>141</v>
      </c>
      <c r="O87" s="472"/>
      <c r="P87" s="472"/>
      <c r="Q87" s="107"/>
      <c r="R87" s="80" t="s">
        <v>149</v>
      </c>
      <c r="S87" s="375">
        <f>$P$11*0.05</f>
        <v>5</v>
      </c>
      <c r="T87" s="372">
        <f>$P$11*0.1</f>
        <v>10</v>
      </c>
      <c r="U87" s="36">
        <f>KALKULÁTOR!E87*Q87</f>
        <v>0</v>
      </c>
      <c r="V87" s="28">
        <f>KALKULÁTOR!F87*$Q87/$Q$375</f>
        <v>0</v>
      </c>
      <c r="W87" s="28">
        <f>KALKULÁTOR!G87*$Q87/$Q$375</f>
        <v>0</v>
      </c>
      <c r="X87" s="28">
        <f>KALKULÁTOR!H87*$Q87/$Q$375</f>
        <v>0</v>
      </c>
      <c r="Y87" s="28">
        <f>KALKULÁTOR!I87*$Q87/$Q$375</f>
        <v>0</v>
      </c>
      <c r="Z87" s="28">
        <f>KALKULÁTOR!J87*$Q87/$Q$375</f>
        <v>0</v>
      </c>
      <c r="AA87" s="28">
        <f>KALKULÁTOR!K87*$Q87/$Q$375</f>
        <v>0</v>
      </c>
      <c r="AB87" s="28">
        <f>KALKULÁTOR!L87*$Q87/$Q$375</f>
        <v>0</v>
      </c>
      <c r="AC87" s="41">
        <f>KALKULÁTOR!C87*Q87</f>
        <v>0</v>
      </c>
      <c r="AD87" s="442">
        <f t="shared" si="2"/>
        <v>0</v>
      </c>
      <c r="AE87" s="442"/>
      <c r="AF87" s="558" t="s">
        <v>153</v>
      </c>
      <c r="AG87" s="559"/>
      <c r="AH87" s="559"/>
      <c r="AI87" s="559"/>
      <c r="AJ87" s="559"/>
      <c r="AK87" s="559"/>
      <c r="AL87" s="559"/>
      <c r="AM87" s="559"/>
      <c r="AN87" s="559"/>
      <c r="AO87" s="559"/>
      <c r="AP87" s="559"/>
      <c r="AQ87" s="559"/>
      <c r="AR87" s="559"/>
      <c r="AS87" s="559"/>
      <c r="AT87" s="559"/>
      <c r="AU87" s="559"/>
      <c r="AV87" s="559"/>
      <c r="AW87" s="559"/>
    </row>
    <row r="88" spans="1:54" ht="15" customHeight="1" x14ac:dyDescent="0.25">
      <c r="A88" s="515"/>
      <c r="B88" s="501"/>
      <c r="C88" s="81"/>
      <c r="D88" s="27" t="s">
        <v>16</v>
      </c>
      <c r="E88" s="36">
        <v>13.44</v>
      </c>
      <c r="F88" s="17">
        <v>24</v>
      </c>
      <c r="G88" s="17">
        <v>1.85</v>
      </c>
      <c r="H88" s="17">
        <v>6.2</v>
      </c>
      <c r="I88" s="17">
        <v>0.14000000000000001</v>
      </c>
      <c r="J88" s="17">
        <v>0.5</v>
      </c>
      <c r="K88" s="17">
        <v>1.56</v>
      </c>
      <c r="L88" s="17">
        <v>0.22</v>
      </c>
      <c r="M88" s="43"/>
      <c r="N88" s="472" t="s">
        <v>90</v>
      </c>
      <c r="O88" s="472"/>
      <c r="P88" s="472"/>
      <c r="Q88" s="107"/>
      <c r="R88" s="80" t="s">
        <v>149</v>
      </c>
      <c r="S88" s="375">
        <f>$P$11*0.05</f>
        <v>5</v>
      </c>
      <c r="T88" s="372">
        <f>$P$11*0.1</f>
        <v>10</v>
      </c>
      <c r="U88" s="36">
        <f>KALKULÁTOR!E88*Q88</f>
        <v>0</v>
      </c>
      <c r="V88" s="28">
        <f>KALKULÁTOR!F88*$Q88/$Q$375</f>
        <v>0</v>
      </c>
      <c r="W88" s="28">
        <f>KALKULÁTOR!G88*$Q88/$Q$375</f>
        <v>0</v>
      </c>
      <c r="X88" s="28">
        <f>KALKULÁTOR!H88*$Q88/$Q$375</f>
        <v>0</v>
      </c>
      <c r="Y88" s="28">
        <f>KALKULÁTOR!I88*$Q88/$Q$375</f>
        <v>0</v>
      </c>
      <c r="Z88" s="28">
        <f>KALKULÁTOR!J88*$Q88/$Q$375</f>
        <v>0</v>
      </c>
      <c r="AA88" s="28">
        <f>KALKULÁTOR!K88*$Q88/$Q$375</f>
        <v>0</v>
      </c>
      <c r="AB88" s="28">
        <f>KALKULÁTOR!L88*$Q88/$Q$375</f>
        <v>0</v>
      </c>
      <c r="AC88" s="41">
        <f>KALKULÁTOR!C88*Q88</f>
        <v>0</v>
      </c>
      <c r="AD88" s="442">
        <f t="shared" si="2"/>
        <v>0</v>
      </c>
      <c r="AE88" s="442"/>
      <c r="AF88" s="558" t="s">
        <v>153</v>
      </c>
      <c r="AG88" s="559"/>
      <c r="AH88" s="559"/>
      <c r="AI88" s="559"/>
      <c r="AJ88" s="559"/>
      <c r="AK88" s="559"/>
      <c r="AL88" s="559"/>
      <c r="AM88" s="559"/>
      <c r="AN88" s="559"/>
      <c r="AO88" s="559"/>
      <c r="AP88" s="559"/>
      <c r="AQ88" s="559"/>
      <c r="AR88" s="559"/>
      <c r="AS88" s="559"/>
      <c r="AT88" s="559"/>
      <c r="AU88" s="559"/>
      <c r="AV88" s="559"/>
      <c r="AW88" s="559"/>
    </row>
    <row r="89" spans="1:54" ht="15" customHeight="1" x14ac:dyDescent="0.25">
      <c r="A89" s="515"/>
      <c r="B89" s="501"/>
      <c r="C89" s="81"/>
      <c r="D89" s="27" t="s">
        <v>16</v>
      </c>
      <c r="E89" s="36">
        <v>13.82</v>
      </c>
      <c r="F89" s="17">
        <v>23</v>
      </c>
      <c r="G89" s="17">
        <v>1.8</v>
      </c>
      <c r="H89" s="17">
        <v>6.2</v>
      </c>
      <c r="I89" s="17">
        <v>0.14000000000000001</v>
      </c>
      <c r="J89" s="17">
        <v>0.5</v>
      </c>
      <c r="K89" s="17">
        <v>1.56</v>
      </c>
      <c r="L89" s="17">
        <v>0.22</v>
      </c>
      <c r="M89" s="43"/>
      <c r="N89" s="472" t="s">
        <v>91</v>
      </c>
      <c r="O89" s="472"/>
      <c r="P89" s="472"/>
      <c r="Q89" s="145"/>
      <c r="R89" s="80" t="s">
        <v>149</v>
      </c>
      <c r="S89" s="375">
        <f>$P$11*0.05</f>
        <v>5</v>
      </c>
      <c r="T89" s="372">
        <f>$P$11*0.1</f>
        <v>10</v>
      </c>
      <c r="U89" s="36">
        <f>KALKULÁTOR!E89*Q89</f>
        <v>0</v>
      </c>
      <c r="V89" s="28">
        <f>KALKULÁTOR!F89*$Q89/$Q$375</f>
        <v>0</v>
      </c>
      <c r="W89" s="28">
        <f>KALKULÁTOR!G89*$Q89/$Q$375</f>
        <v>0</v>
      </c>
      <c r="X89" s="28">
        <f>KALKULÁTOR!H89*$Q89/$Q$375</f>
        <v>0</v>
      </c>
      <c r="Y89" s="28">
        <f>KALKULÁTOR!I89*$Q89/$Q$375</f>
        <v>0</v>
      </c>
      <c r="Z89" s="28">
        <f>KALKULÁTOR!J89*$Q89/$Q$375</f>
        <v>0</v>
      </c>
      <c r="AA89" s="28">
        <f>KALKULÁTOR!K89*$Q89/$Q$375</f>
        <v>0</v>
      </c>
      <c r="AB89" s="28">
        <f>KALKULÁTOR!L89*$Q89/$Q$375</f>
        <v>0</v>
      </c>
      <c r="AC89" s="41">
        <f>KALKULÁTOR!C89*Q89</f>
        <v>0</v>
      </c>
      <c r="AD89" s="442">
        <f t="shared" si="2"/>
        <v>0</v>
      </c>
      <c r="AE89" s="442"/>
      <c r="AF89" s="558" t="s">
        <v>153</v>
      </c>
      <c r="AG89" s="559"/>
      <c r="AH89" s="559"/>
      <c r="AI89" s="559"/>
      <c r="AJ89" s="559"/>
      <c r="AK89" s="559"/>
      <c r="AL89" s="559"/>
      <c r="AM89" s="559"/>
      <c r="AN89" s="559"/>
      <c r="AO89" s="559"/>
      <c r="AP89" s="559"/>
      <c r="AQ89" s="559"/>
      <c r="AR89" s="559"/>
      <c r="AS89" s="559"/>
      <c r="AT89" s="559"/>
      <c r="AU89" s="559"/>
      <c r="AV89" s="559"/>
      <c r="AW89" s="559"/>
    </row>
    <row r="90" spans="1:54" ht="15" customHeight="1" x14ac:dyDescent="0.25">
      <c r="A90" s="515"/>
      <c r="B90" s="501"/>
      <c r="C90" s="81"/>
      <c r="D90" s="27" t="s">
        <v>16</v>
      </c>
      <c r="E90" s="36">
        <v>14.23</v>
      </c>
      <c r="F90" s="17">
        <v>29.6</v>
      </c>
      <c r="G90" s="17">
        <v>0.8</v>
      </c>
      <c r="H90" s="17">
        <v>5.7</v>
      </c>
      <c r="I90" s="17"/>
      <c r="J90" s="17"/>
      <c r="K90" s="17"/>
      <c r="L90" s="17"/>
      <c r="M90" s="43"/>
      <c r="N90" s="472" t="s">
        <v>92</v>
      </c>
      <c r="O90" s="472"/>
      <c r="P90" s="472"/>
      <c r="Q90" s="145"/>
      <c r="R90" s="80" t="s">
        <v>149</v>
      </c>
      <c r="S90" s="375">
        <f>$P$11*0</f>
        <v>0</v>
      </c>
      <c r="T90" s="372">
        <f>$P$11*0.1</f>
        <v>10</v>
      </c>
      <c r="U90" s="36">
        <f>KALKULÁTOR!E90*Q90</f>
        <v>0</v>
      </c>
      <c r="V90" s="28">
        <f>KALKULÁTOR!F90*$Q90/$Q$375</f>
        <v>0</v>
      </c>
      <c r="W90" s="28">
        <f>KALKULÁTOR!G90*$Q90/$Q$375</f>
        <v>0</v>
      </c>
      <c r="X90" s="28">
        <f>KALKULÁTOR!H90*$Q90/$Q$375</f>
        <v>0</v>
      </c>
      <c r="Y90" s="28">
        <f>KALKULÁTOR!I90*$Q90/$Q$375</f>
        <v>0</v>
      </c>
      <c r="Z90" s="28">
        <f>KALKULÁTOR!J90*$Q90/$Q$375</f>
        <v>0</v>
      </c>
      <c r="AA90" s="28">
        <f>KALKULÁTOR!K90*$Q90/$Q$375</f>
        <v>0</v>
      </c>
      <c r="AB90" s="28">
        <f>KALKULÁTOR!L90*$Q90/$Q$375</f>
        <v>0</v>
      </c>
      <c r="AC90" s="41">
        <f>KALKULÁTOR!C90*Q90</f>
        <v>0</v>
      </c>
      <c r="AD90" s="442">
        <f t="shared" si="2"/>
        <v>0</v>
      </c>
      <c r="AE90" s="442"/>
      <c r="AF90" s="558" t="s">
        <v>153</v>
      </c>
      <c r="AG90" s="559"/>
      <c r="AH90" s="559"/>
      <c r="AI90" s="559"/>
      <c r="AJ90" s="559"/>
      <c r="AK90" s="559"/>
      <c r="AL90" s="559"/>
      <c r="AM90" s="559"/>
      <c r="AN90" s="559"/>
      <c r="AO90" s="559"/>
      <c r="AP90" s="559"/>
      <c r="AQ90" s="559"/>
      <c r="AR90" s="559"/>
      <c r="AS90" s="559"/>
      <c r="AT90" s="559"/>
      <c r="AU90" s="559"/>
      <c r="AV90" s="559"/>
      <c r="AW90" s="559"/>
    </row>
    <row r="91" spans="1:54" x14ac:dyDescent="0.25">
      <c r="A91" s="515"/>
      <c r="B91" s="501"/>
      <c r="C91" s="81"/>
      <c r="D91" s="27" t="s">
        <v>16</v>
      </c>
      <c r="E91" s="36">
        <v>9.4</v>
      </c>
      <c r="F91" s="17">
        <v>43.5</v>
      </c>
      <c r="G91" s="17">
        <v>5.2</v>
      </c>
      <c r="H91" s="17">
        <v>16.5</v>
      </c>
      <c r="I91" s="17">
        <v>0.15</v>
      </c>
      <c r="J91" s="17">
        <v>0.49</v>
      </c>
      <c r="K91" s="17">
        <v>1.62</v>
      </c>
      <c r="L91" s="17">
        <v>0.26</v>
      </c>
      <c r="M91" s="43"/>
      <c r="N91" s="472" t="s">
        <v>41</v>
      </c>
      <c r="O91" s="472"/>
      <c r="P91" s="472"/>
      <c r="Q91" s="107"/>
      <c r="R91" s="80" t="s">
        <v>149</v>
      </c>
      <c r="S91" s="375">
        <f>$P$11*0.02</f>
        <v>2</v>
      </c>
      <c r="T91" s="372">
        <f>$P$11*0.15</f>
        <v>15</v>
      </c>
      <c r="U91" s="36">
        <f>KALKULÁTOR!E91*Q91</f>
        <v>0</v>
      </c>
      <c r="V91" s="28">
        <f>KALKULÁTOR!F91*$Q91/$Q$375</f>
        <v>0</v>
      </c>
      <c r="W91" s="28">
        <f>KALKULÁTOR!G91*$Q91/$Q$375</f>
        <v>0</v>
      </c>
      <c r="X91" s="28">
        <f>KALKULÁTOR!H91*$Q91/$Q$375</f>
        <v>0</v>
      </c>
      <c r="Y91" s="28">
        <f>KALKULÁTOR!I91*$Q91/$Q$375</f>
        <v>0</v>
      </c>
      <c r="Z91" s="28">
        <f>KALKULÁTOR!J91*$Q91/$Q$375</f>
        <v>0</v>
      </c>
      <c r="AA91" s="28">
        <f>KALKULÁTOR!K91*$Q91/$Q$375</f>
        <v>0</v>
      </c>
      <c r="AB91" s="28">
        <f>KALKULÁTOR!L91*$Q91/$Q$375</f>
        <v>0</v>
      </c>
      <c r="AC91" s="41">
        <f>KALKULÁTOR!C91*Q91</f>
        <v>0</v>
      </c>
      <c r="AD91" s="442">
        <f t="shared" si="2"/>
        <v>0</v>
      </c>
      <c r="AE91" s="442"/>
      <c r="AF91" s="558" t="s">
        <v>153</v>
      </c>
      <c r="AG91" s="559"/>
      <c r="AH91" s="559"/>
      <c r="AI91" s="559"/>
      <c r="AJ91" s="559"/>
      <c r="AK91" s="559"/>
      <c r="AL91" s="559"/>
      <c r="AM91" s="559"/>
      <c r="AN91" s="559"/>
      <c r="AO91" s="559"/>
      <c r="AP91" s="559"/>
      <c r="AQ91" s="559"/>
      <c r="AR91" s="559"/>
      <c r="AS91" s="559"/>
      <c r="AT91" s="559"/>
      <c r="AU91" s="559"/>
      <c r="AV91" s="559"/>
      <c r="AW91" s="559"/>
    </row>
    <row r="92" spans="1:54" x14ac:dyDescent="0.25">
      <c r="A92" s="515"/>
      <c r="B92" s="501"/>
      <c r="C92" s="81"/>
      <c r="D92" s="27" t="s">
        <v>16</v>
      </c>
      <c r="E92" s="36">
        <v>14.97</v>
      </c>
      <c r="F92" s="17">
        <v>25.5</v>
      </c>
      <c r="G92" s="17">
        <v>1.85</v>
      </c>
      <c r="H92" s="17">
        <v>2.5</v>
      </c>
      <c r="I92" s="17"/>
      <c r="J92" s="17"/>
      <c r="K92" s="17"/>
      <c r="L92" s="17"/>
      <c r="M92" s="43"/>
      <c r="N92" s="472" t="s">
        <v>377</v>
      </c>
      <c r="O92" s="472"/>
      <c r="P92" s="472"/>
      <c r="Q92" s="107"/>
      <c r="R92" s="80" t="s">
        <v>149</v>
      </c>
      <c r="S92" s="375">
        <f>$P$11*0.05</f>
        <v>5</v>
      </c>
      <c r="T92" s="372">
        <f>$P$11*0.1</f>
        <v>10</v>
      </c>
      <c r="U92" s="36">
        <f>KALKULÁTOR!E92*Q92</f>
        <v>0</v>
      </c>
      <c r="V92" s="28">
        <f>KALKULÁTOR!F92*$Q92/$Q$375</f>
        <v>0</v>
      </c>
      <c r="W92" s="28">
        <f>KALKULÁTOR!G92*$Q92/$Q$375</f>
        <v>0</v>
      </c>
      <c r="X92" s="28">
        <f>KALKULÁTOR!H92*$Q92/$Q$375</f>
        <v>0</v>
      </c>
      <c r="Y92" s="28">
        <f>KALKULÁTOR!I92*$Q92/$Q$375</f>
        <v>0</v>
      </c>
      <c r="Z92" s="28">
        <f>KALKULÁTOR!J92*$Q92/$Q$375</f>
        <v>0</v>
      </c>
      <c r="AA92" s="28">
        <f>KALKULÁTOR!K92*$Q92/$Q$375</f>
        <v>0</v>
      </c>
      <c r="AB92" s="28">
        <f>KALKULÁTOR!L92*$Q92/$Q$375</f>
        <v>0</v>
      </c>
      <c r="AC92" s="41">
        <f>KALKULÁTOR!C92*Q92</f>
        <v>0</v>
      </c>
      <c r="AD92" s="442">
        <f t="shared" si="2"/>
        <v>0</v>
      </c>
      <c r="AE92" s="442"/>
      <c r="AF92" s="558" t="s">
        <v>153</v>
      </c>
      <c r="AG92" s="559"/>
      <c r="AH92" s="559"/>
      <c r="AI92" s="559"/>
      <c r="AJ92" s="559"/>
      <c r="AK92" s="559"/>
      <c r="AL92" s="559"/>
      <c r="AM92" s="559"/>
      <c r="AN92" s="559"/>
      <c r="AO92" s="559"/>
      <c r="AP92" s="559"/>
      <c r="AQ92" s="559"/>
      <c r="AR92" s="559"/>
      <c r="AS92" s="559"/>
      <c r="AT92" s="559"/>
      <c r="AU92" s="559"/>
      <c r="AV92" s="559"/>
      <c r="AW92" s="559"/>
    </row>
    <row r="93" spans="1:54" x14ac:dyDescent="0.25">
      <c r="A93" s="515"/>
      <c r="B93" s="501"/>
      <c r="C93" s="81"/>
      <c r="D93" s="27" t="s">
        <v>16</v>
      </c>
      <c r="E93" s="36">
        <v>11.46</v>
      </c>
      <c r="F93" s="17">
        <v>29.5</v>
      </c>
      <c r="G93" s="17">
        <v>1.2</v>
      </c>
      <c r="H93" s="17">
        <v>8.3000000000000007</v>
      </c>
      <c r="I93" s="17">
        <v>0.14000000000000001</v>
      </c>
      <c r="J93" s="17">
        <v>0.5</v>
      </c>
      <c r="K93" s="17">
        <v>1.65</v>
      </c>
      <c r="L93" s="17">
        <v>0.18</v>
      </c>
      <c r="M93" s="43"/>
      <c r="N93" s="472" t="s">
        <v>38</v>
      </c>
      <c r="O93" s="472"/>
      <c r="P93" s="472"/>
      <c r="Q93" s="145"/>
      <c r="R93" s="80" t="s">
        <v>149</v>
      </c>
      <c r="S93" s="375">
        <f>$P$11*0</f>
        <v>0</v>
      </c>
      <c r="T93" s="372">
        <f>$P$11*0.15</f>
        <v>15</v>
      </c>
      <c r="U93" s="36">
        <f>KALKULÁTOR!E93*Q93</f>
        <v>0</v>
      </c>
      <c r="V93" s="28">
        <f>KALKULÁTOR!F93*$Q93/$Q$375</f>
        <v>0</v>
      </c>
      <c r="W93" s="28">
        <f>KALKULÁTOR!G93*$Q93/$Q$375</f>
        <v>0</v>
      </c>
      <c r="X93" s="28">
        <f>KALKULÁTOR!H93*$Q93/$Q$375</f>
        <v>0</v>
      </c>
      <c r="Y93" s="28">
        <f>KALKULÁTOR!I93*$Q93/$Q$375</f>
        <v>0</v>
      </c>
      <c r="Z93" s="28">
        <f>KALKULÁTOR!J93*$Q93/$Q$375</f>
        <v>0</v>
      </c>
      <c r="AA93" s="28">
        <f>KALKULÁTOR!K93*$Q93/$Q$375</f>
        <v>0</v>
      </c>
      <c r="AB93" s="28">
        <f>KALKULÁTOR!L93*$Q93/$Q$375</f>
        <v>0</v>
      </c>
      <c r="AC93" s="41">
        <f>KALKULÁTOR!C93*Q93</f>
        <v>0</v>
      </c>
      <c r="AD93" s="442">
        <f t="shared" si="2"/>
        <v>0</v>
      </c>
      <c r="AE93" s="442"/>
      <c r="AF93" s="559" t="s">
        <v>153</v>
      </c>
      <c r="AG93" s="559"/>
      <c r="AH93" s="559"/>
      <c r="AI93" s="559"/>
      <c r="AJ93" s="559"/>
      <c r="AK93" s="559"/>
      <c r="AL93" s="559"/>
      <c r="AM93" s="559"/>
      <c r="AN93" s="559"/>
      <c r="AO93" s="559"/>
      <c r="AP93" s="559"/>
      <c r="AQ93" s="559"/>
      <c r="AR93" s="559"/>
      <c r="AS93" s="559"/>
      <c r="AT93" s="559"/>
      <c r="AU93" s="559"/>
      <c r="AV93" s="559"/>
      <c r="AW93" s="559"/>
      <c r="AX93" s="557" t="s">
        <v>227</v>
      </c>
      <c r="AY93" s="557"/>
      <c r="AZ93" s="557"/>
      <c r="BA93" s="557"/>
      <c r="BB93" s="2"/>
    </row>
    <row r="94" spans="1:54" ht="15.75" thickBot="1" x14ac:dyDescent="0.3">
      <c r="A94" s="515"/>
      <c r="B94" s="502"/>
      <c r="C94" s="82"/>
      <c r="D94" s="29" t="s">
        <v>16</v>
      </c>
      <c r="E94" s="38">
        <v>14.93</v>
      </c>
      <c r="F94" s="20">
        <v>37.5</v>
      </c>
      <c r="G94" s="20">
        <v>20.7</v>
      </c>
      <c r="H94" s="20">
        <v>7.7</v>
      </c>
      <c r="I94" s="20">
        <v>0.24</v>
      </c>
      <c r="J94" s="20">
        <v>0.67</v>
      </c>
      <c r="K94" s="20">
        <v>2.27</v>
      </c>
      <c r="L94" s="20">
        <v>0.52</v>
      </c>
      <c r="M94" s="53"/>
      <c r="N94" s="489" t="s">
        <v>154</v>
      </c>
      <c r="O94" s="489"/>
      <c r="P94" s="489"/>
      <c r="Q94" s="145"/>
      <c r="R94" s="91" t="s">
        <v>149</v>
      </c>
      <c r="S94" s="376">
        <f>$P$11*0</f>
        <v>0</v>
      </c>
      <c r="T94" s="373">
        <f>$P$11*0.32</f>
        <v>32</v>
      </c>
      <c r="U94" s="38">
        <f>KALKULÁTOR!E94*Q94</f>
        <v>0</v>
      </c>
      <c r="V94" s="67">
        <f>KALKULÁTOR!F94*$Q94/$Q$375</f>
        <v>0</v>
      </c>
      <c r="W94" s="67">
        <f>KALKULÁTOR!G94*$Q94/$Q$375</f>
        <v>0</v>
      </c>
      <c r="X94" s="67">
        <f>KALKULÁTOR!H94*$Q94/$Q$375</f>
        <v>0</v>
      </c>
      <c r="Y94" s="67">
        <f>KALKULÁTOR!I94*$Q94/$Q$375</f>
        <v>0</v>
      </c>
      <c r="Z94" s="67">
        <f>KALKULÁTOR!J94*$Q94/$Q$375</f>
        <v>0</v>
      </c>
      <c r="AA94" s="67">
        <f>KALKULÁTOR!K94*$Q94/$Q$375</f>
        <v>0</v>
      </c>
      <c r="AB94" s="67">
        <f>KALKULÁTOR!L94*$Q94/$Q$375</f>
        <v>0</v>
      </c>
      <c r="AC94" s="68">
        <f>KALKULÁTOR!C94*Q94</f>
        <v>0</v>
      </c>
      <c r="AD94" s="442">
        <f t="shared" si="2"/>
        <v>0</v>
      </c>
      <c r="AE94" s="442"/>
      <c r="AF94" s="562" t="s">
        <v>228</v>
      </c>
      <c r="AG94" s="562"/>
      <c r="AH94" s="562"/>
      <c r="AI94" s="562"/>
      <c r="AJ94" s="105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7"/>
      <c r="AY94" s="137"/>
      <c r="AZ94" s="137"/>
    </row>
    <row r="95" spans="1:54" x14ac:dyDescent="0.25">
      <c r="A95" s="515"/>
      <c r="B95" s="504" t="s">
        <v>43</v>
      </c>
      <c r="C95" s="87"/>
      <c r="D95" s="78" t="s">
        <v>16</v>
      </c>
      <c r="E95" s="32">
        <v>27.38</v>
      </c>
      <c r="F95" s="125">
        <v>18.600000000000001</v>
      </c>
      <c r="G95" s="125">
        <v>57</v>
      </c>
      <c r="H95" s="125">
        <v>2.8</v>
      </c>
      <c r="I95" s="125"/>
      <c r="J95" s="125"/>
      <c r="K95" s="125"/>
      <c r="L95" s="125"/>
      <c r="M95" s="144"/>
      <c r="N95" s="481" t="s">
        <v>93</v>
      </c>
      <c r="O95" s="481"/>
      <c r="P95" s="481"/>
      <c r="Q95" s="107"/>
      <c r="R95" s="64" t="s">
        <v>149</v>
      </c>
      <c r="S95" s="89">
        <f>$P$11*0.05</f>
        <v>5</v>
      </c>
      <c r="T95" s="90">
        <f>$P$11*0.05</f>
        <v>5</v>
      </c>
      <c r="U95" s="32">
        <f>KALKULÁTOR!E95*Q95</f>
        <v>0</v>
      </c>
      <c r="V95" s="6">
        <f>KALKULÁTOR!F95*$Q95/$Q$375</f>
        <v>0</v>
      </c>
      <c r="W95" s="6">
        <f>KALKULÁTOR!G95*$Q95/$Q$375</f>
        <v>0</v>
      </c>
      <c r="X95" s="6">
        <f>KALKULÁTOR!H95*$Q95/$Q$375</f>
        <v>0</v>
      </c>
      <c r="Y95" s="6">
        <f>KALKULÁTOR!I95*$Q95/$Q$375</f>
        <v>0</v>
      </c>
      <c r="Z95" s="6">
        <f>KALKULÁTOR!J95*$Q95/$Q$375</f>
        <v>0</v>
      </c>
      <c r="AA95" s="6">
        <f>KALKULÁTOR!K95*$Q95/$Q$375</f>
        <v>0</v>
      </c>
      <c r="AB95" s="6">
        <f>KALKULÁTOR!L95*$Q95/$Q$375</f>
        <v>0</v>
      </c>
      <c r="AC95" s="50">
        <f>KALKULÁTOR!C95*Q95</f>
        <v>0</v>
      </c>
      <c r="AD95" s="442">
        <f t="shared" si="2"/>
        <v>0</v>
      </c>
      <c r="AE95" s="442"/>
    </row>
    <row r="96" spans="1:54" x14ac:dyDescent="0.25">
      <c r="A96" s="515"/>
      <c r="B96" s="504"/>
      <c r="C96" s="81"/>
      <c r="D96" s="27" t="s">
        <v>16</v>
      </c>
      <c r="E96" s="36">
        <v>28.18</v>
      </c>
      <c r="F96" s="17">
        <v>13.7</v>
      </c>
      <c r="G96" s="17">
        <v>13.08</v>
      </c>
      <c r="H96" s="17">
        <v>1.1000000000000001</v>
      </c>
      <c r="I96" s="17"/>
      <c r="J96" s="17"/>
      <c r="K96" s="17"/>
      <c r="L96" s="17"/>
      <c r="M96" s="43"/>
      <c r="N96" s="493" t="s">
        <v>94</v>
      </c>
      <c r="O96" s="494"/>
      <c r="P96" s="495"/>
      <c r="Q96" s="107"/>
      <c r="R96" s="79" t="s">
        <v>149</v>
      </c>
      <c r="S96" s="210">
        <f>$P$11*0.05</f>
        <v>5</v>
      </c>
      <c r="T96" s="211">
        <f>$P$11*0.1</f>
        <v>10</v>
      </c>
      <c r="U96" s="36">
        <f>KALKULÁTOR!E96*Q96</f>
        <v>0</v>
      </c>
      <c r="V96" s="28">
        <f>KALKULÁTOR!F96*$Q96/$Q$375</f>
        <v>0</v>
      </c>
      <c r="W96" s="28">
        <f>KALKULÁTOR!G96*$Q96/$Q$375</f>
        <v>0</v>
      </c>
      <c r="X96" s="28">
        <f>KALKULÁTOR!H96*$Q96/$Q$375</f>
        <v>0</v>
      </c>
      <c r="Y96" s="28">
        <f>KALKULÁTOR!I96*$Q96/$Q$375</f>
        <v>0</v>
      </c>
      <c r="Z96" s="28">
        <f>KALKULÁTOR!J96*$Q96/$Q$375</f>
        <v>0</v>
      </c>
      <c r="AA96" s="28">
        <f>KALKULÁTOR!K96*$Q96/$Q$375</f>
        <v>0</v>
      </c>
      <c r="AB96" s="28">
        <f>KALKULÁTOR!L96*$Q96/$Q$375</f>
        <v>0</v>
      </c>
      <c r="AC96" s="41">
        <f>KALKULÁTOR!C96*Q96</f>
        <v>0</v>
      </c>
      <c r="AD96" s="442">
        <f t="shared" si="2"/>
        <v>0</v>
      </c>
      <c r="AE96" s="442"/>
    </row>
    <row r="97" spans="1:37" x14ac:dyDescent="0.25">
      <c r="A97" s="515"/>
      <c r="B97" s="504"/>
      <c r="C97" s="81"/>
      <c r="D97" s="27" t="s">
        <v>16</v>
      </c>
      <c r="E97" s="36">
        <v>19.940000000000001</v>
      </c>
      <c r="F97" s="17">
        <v>23.8</v>
      </c>
      <c r="G97" s="17">
        <v>26.5</v>
      </c>
      <c r="H97" s="17">
        <v>3.6</v>
      </c>
      <c r="I97" s="17"/>
      <c r="J97" s="17"/>
      <c r="K97" s="17"/>
      <c r="L97" s="17"/>
      <c r="M97" s="43"/>
      <c r="N97" s="472" t="s">
        <v>97</v>
      </c>
      <c r="O97" s="472"/>
      <c r="P97" s="472"/>
      <c r="Q97" s="145"/>
      <c r="R97" s="80" t="s">
        <v>149</v>
      </c>
      <c r="S97" s="375">
        <f>$P$11*0.05</f>
        <v>5</v>
      </c>
      <c r="T97" s="372">
        <f>$P$11*0.1</f>
        <v>10</v>
      </c>
      <c r="U97" s="36">
        <f>KALKULÁTOR!E97*Q97</f>
        <v>0</v>
      </c>
      <c r="V97" s="28">
        <f>KALKULÁTOR!F97*$Q97/$Q$375</f>
        <v>0</v>
      </c>
      <c r="W97" s="28">
        <f>KALKULÁTOR!G97*$Q97/$Q$375</f>
        <v>0</v>
      </c>
      <c r="X97" s="28">
        <f>KALKULÁTOR!H97*$Q97/$Q$375</f>
        <v>0</v>
      </c>
      <c r="Y97" s="28">
        <f>KALKULÁTOR!I97*$Q97/$Q$375</f>
        <v>0</v>
      </c>
      <c r="Z97" s="28">
        <f>KALKULÁTOR!J97*$Q97/$Q$375</f>
        <v>0</v>
      </c>
      <c r="AA97" s="28">
        <f>KALKULÁTOR!K97*$Q97/$Q$375</f>
        <v>0</v>
      </c>
      <c r="AB97" s="28">
        <f>KALKULÁTOR!L97*$Q97/$Q$375</f>
        <v>0</v>
      </c>
      <c r="AC97" s="41">
        <f>KALKULÁTOR!C97*Q97</f>
        <v>0</v>
      </c>
      <c r="AD97" s="442">
        <f t="shared" si="2"/>
        <v>0</v>
      </c>
      <c r="AE97" s="442"/>
      <c r="AF97" s="132" t="s">
        <v>230</v>
      </c>
      <c r="AG97" s="127"/>
      <c r="AH97" s="128"/>
      <c r="AI97" s="129"/>
    </row>
    <row r="98" spans="1:37" x14ac:dyDescent="0.25">
      <c r="A98" s="515"/>
      <c r="B98" s="504"/>
      <c r="C98" s="81"/>
      <c r="D98" s="27" t="s">
        <v>16</v>
      </c>
      <c r="E98" s="36">
        <v>19.260000000000002</v>
      </c>
      <c r="F98" s="17">
        <v>24</v>
      </c>
      <c r="G98" s="17">
        <v>35.9</v>
      </c>
      <c r="H98" s="17">
        <v>6.3</v>
      </c>
      <c r="I98" s="17">
        <v>0.26</v>
      </c>
      <c r="J98" s="17">
        <v>0.64</v>
      </c>
      <c r="K98" s="17"/>
      <c r="L98" s="17"/>
      <c r="M98" s="43"/>
      <c r="N98" s="472" t="s">
        <v>101</v>
      </c>
      <c r="O98" s="472"/>
      <c r="P98" s="472"/>
      <c r="Q98" s="145"/>
      <c r="R98" s="79" t="s">
        <v>149</v>
      </c>
      <c r="S98" s="123">
        <f>$P$11*0.05</f>
        <v>5</v>
      </c>
      <c r="T98" s="121">
        <f>$P$11*0.1</f>
        <v>10</v>
      </c>
      <c r="U98" s="36">
        <f>KALKULÁTOR!E98*Q98</f>
        <v>0</v>
      </c>
      <c r="V98" s="28">
        <f>KALKULÁTOR!F98*$Q98/$Q$375</f>
        <v>0</v>
      </c>
      <c r="W98" s="28">
        <f>KALKULÁTOR!G98*$Q98/$Q$375</f>
        <v>0</v>
      </c>
      <c r="X98" s="28">
        <f>KALKULÁTOR!H98*$Q98/$Q$375</f>
        <v>0</v>
      </c>
      <c r="Y98" s="28">
        <f>KALKULÁTOR!I98*$Q98/$Q$375</f>
        <v>0</v>
      </c>
      <c r="Z98" s="28">
        <f>KALKULÁTOR!J98*$Q98/$Q$375</f>
        <v>0</v>
      </c>
      <c r="AA98" s="28">
        <f>KALKULÁTOR!K98*$Q98/$Q$375</f>
        <v>0</v>
      </c>
      <c r="AB98" s="28">
        <f>KALKULÁTOR!L98*$Q98/$Q$375</f>
        <v>0</v>
      </c>
      <c r="AC98" s="41">
        <f>KALKULÁTOR!C98*Q98</f>
        <v>0</v>
      </c>
      <c r="AD98" s="442">
        <f t="shared" si="2"/>
        <v>0</v>
      </c>
      <c r="AE98" s="442"/>
    </row>
    <row r="99" spans="1:37" x14ac:dyDescent="0.25">
      <c r="A99" s="515"/>
      <c r="B99" s="504"/>
      <c r="C99" s="81"/>
      <c r="D99" s="27" t="s">
        <v>16</v>
      </c>
      <c r="E99" s="36">
        <v>21.98</v>
      </c>
      <c r="F99" s="17">
        <v>18</v>
      </c>
      <c r="G99" s="17">
        <v>41.6</v>
      </c>
      <c r="H99" s="17">
        <v>19.5</v>
      </c>
      <c r="I99" s="17">
        <v>1.44</v>
      </c>
      <c r="J99" s="17">
        <v>0.87</v>
      </c>
      <c r="K99" s="17"/>
      <c r="L99" s="17"/>
      <c r="M99" s="43"/>
      <c r="N99" s="472" t="s">
        <v>130</v>
      </c>
      <c r="O99" s="472"/>
      <c r="P99" s="472"/>
      <c r="Q99" s="107"/>
      <c r="R99" s="79" t="s">
        <v>149</v>
      </c>
      <c r="S99" s="123">
        <f>$P$11*0</f>
        <v>0</v>
      </c>
      <c r="T99" s="121">
        <f>$P$11*0.01</f>
        <v>1</v>
      </c>
      <c r="U99" s="36">
        <f>KALKULÁTOR!E99*Q99</f>
        <v>0</v>
      </c>
      <c r="V99" s="28">
        <f>KALKULÁTOR!F99*$Q99/$Q$375</f>
        <v>0</v>
      </c>
      <c r="W99" s="28">
        <f>KALKULÁTOR!G99*$Q99/$Q$375</f>
        <v>0</v>
      </c>
      <c r="X99" s="28">
        <f>KALKULÁTOR!H99*$Q99/$Q$375</f>
        <v>0</v>
      </c>
      <c r="Y99" s="28">
        <f>KALKULÁTOR!I99*$Q99/$Q$375</f>
        <v>0</v>
      </c>
      <c r="Z99" s="28">
        <f>KALKULÁTOR!J99*$Q99/$Q$375</f>
        <v>0</v>
      </c>
      <c r="AA99" s="28">
        <f>KALKULÁTOR!K99*$Q99/$Q$375</f>
        <v>0</v>
      </c>
      <c r="AB99" s="28">
        <f>KALKULÁTOR!L99*$Q99/$Q$375</f>
        <v>0</v>
      </c>
      <c r="AC99" s="41">
        <f>KALKULÁTOR!C99*Q99</f>
        <v>0</v>
      </c>
      <c r="AD99" s="442">
        <f t="shared" si="2"/>
        <v>0</v>
      </c>
      <c r="AE99" s="442"/>
    </row>
    <row r="100" spans="1:37" ht="15" customHeight="1" x14ac:dyDescent="0.25">
      <c r="A100" s="515"/>
      <c r="B100" s="505"/>
      <c r="C100" s="81"/>
      <c r="D100" s="27" t="s">
        <v>16</v>
      </c>
      <c r="E100" s="36">
        <v>21.81</v>
      </c>
      <c r="F100" s="17">
        <v>19.3</v>
      </c>
      <c r="G100" s="17">
        <v>49.9</v>
      </c>
      <c r="H100" s="17">
        <v>16.899999999999999</v>
      </c>
      <c r="I100" s="17">
        <v>0.39</v>
      </c>
      <c r="J100" s="17">
        <v>0.65</v>
      </c>
      <c r="K100" s="17">
        <v>0.6</v>
      </c>
      <c r="L100" s="17">
        <v>0.38</v>
      </c>
      <c r="M100" s="43"/>
      <c r="N100" s="472" t="s">
        <v>104</v>
      </c>
      <c r="O100" s="472"/>
      <c r="P100" s="472"/>
      <c r="Q100" s="107"/>
      <c r="R100" s="79" t="s">
        <v>149</v>
      </c>
      <c r="S100" s="123">
        <f>$P$11*0.05</f>
        <v>5</v>
      </c>
      <c r="T100" s="121">
        <f>$P$11*0.2</f>
        <v>20</v>
      </c>
      <c r="U100" s="36">
        <f>KALKULÁTOR!E100*Q100</f>
        <v>0</v>
      </c>
      <c r="V100" s="28">
        <f>KALKULÁTOR!F100*$Q100/$Q$375</f>
        <v>0</v>
      </c>
      <c r="W100" s="28">
        <f>KALKULÁTOR!G100*$Q100/$Q$375</f>
        <v>0</v>
      </c>
      <c r="X100" s="28">
        <f>KALKULÁTOR!H100*$Q100/$Q$375</f>
        <v>0</v>
      </c>
      <c r="Y100" s="28">
        <f>KALKULÁTOR!I100*$Q100/$Q$375</f>
        <v>0</v>
      </c>
      <c r="Z100" s="28">
        <f>KALKULÁTOR!J100*$Q100/$Q$375</f>
        <v>0</v>
      </c>
      <c r="AA100" s="28">
        <f>KALKULÁTOR!K100*$Q100/$Q$375</f>
        <v>0</v>
      </c>
      <c r="AB100" s="28">
        <f>KALKULÁTOR!L100*$Q100/$Q$375</f>
        <v>0</v>
      </c>
      <c r="AC100" s="41">
        <f>KALKULÁTOR!C100*Q100</f>
        <v>0</v>
      </c>
      <c r="AD100" s="442">
        <f t="shared" si="2"/>
        <v>0</v>
      </c>
      <c r="AE100" s="442"/>
    </row>
    <row r="101" spans="1:37" ht="15" customHeight="1" x14ac:dyDescent="0.25">
      <c r="A101" s="515"/>
      <c r="B101" s="505"/>
      <c r="C101" s="81"/>
      <c r="D101" s="27" t="s">
        <v>16</v>
      </c>
      <c r="E101" s="36">
        <v>24.7</v>
      </c>
      <c r="F101" s="17">
        <v>20.8</v>
      </c>
      <c r="G101" s="17">
        <v>50</v>
      </c>
      <c r="H101" s="17">
        <v>8.6</v>
      </c>
      <c r="I101" s="17"/>
      <c r="J101" s="17"/>
      <c r="K101" s="17">
        <v>0.6</v>
      </c>
      <c r="L101" s="17">
        <v>0.38</v>
      </c>
      <c r="M101" s="43"/>
      <c r="N101" s="560" t="s">
        <v>102</v>
      </c>
      <c r="O101" s="560"/>
      <c r="P101" s="560"/>
      <c r="Q101" s="145"/>
      <c r="R101" s="79" t="s">
        <v>149</v>
      </c>
      <c r="S101" s="123">
        <f>$P$11*0.05</f>
        <v>5</v>
      </c>
      <c r="T101" s="121">
        <f>$P$11*0.15</f>
        <v>15</v>
      </c>
      <c r="U101" s="36">
        <f>KALKULÁTOR!E101*Q101</f>
        <v>0</v>
      </c>
      <c r="V101" s="28">
        <f>KALKULÁTOR!F101*$Q101/$Q$375</f>
        <v>0</v>
      </c>
      <c r="W101" s="28">
        <f>KALKULÁTOR!G101*$Q101/$Q$375</f>
        <v>0</v>
      </c>
      <c r="X101" s="28">
        <f>KALKULÁTOR!H101*$Q101/$Q$375</f>
        <v>0</v>
      </c>
      <c r="Y101" s="28">
        <f>KALKULÁTOR!I101*$Q101/$Q$375</f>
        <v>0</v>
      </c>
      <c r="Z101" s="28">
        <f>KALKULÁTOR!J101*$Q101/$Q$375</f>
        <v>0</v>
      </c>
      <c r="AA101" s="28">
        <f>KALKULÁTOR!K101*$Q101/$Q$375</f>
        <v>0</v>
      </c>
      <c r="AB101" s="28">
        <f>KALKULÁTOR!L101*$Q101/$Q$375</f>
        <v>0</v>
      </c>
      <c r="AC101" s="41">
        <f>KALKULÁTOR!C101*Q101</f>
        <v>0</v>
      </c>
      <c r="AD101" s="442">
        <f t="shared" si="2"/>
        <v>0</v>
      </c>
      <c r="AE101" s="442"/>
    </row>
    <row r="102" spans="1:37" ht="15" customHeight="1" x14ac:dyDescent="0.25">
      <c r="A102" s="515"/>
      <c r="B102" s="505"/>
      <c r="C102" s="81"/>
      <c r="D102" s="27" t="s">
        <v>16</v>
      </c>
      <c r="E102" s="36">
        <v>17.579999999999998</v>
      </c>
      <c r="F102" s="17">
        <v>16.3</v>
      </c>
      <c r="G102" s="17">
        <v>29.8</v>
      </c>
      <c r="H102" s="17">
        <v>2.66</v>
      </c>
      <c r="I102" s="17"/>
      <c r="J102" s="17"/>
      <c r="K102" s="17">
        <v>0.6</v>
      </c>
      <c r="L102" s="17">
        <v>0.38</v>
      </c>
      <c r="M102" s="43"/>
      <c r="N102" s="472" t="s">
        <v>103</v>
      </c>
      <c r="O102" s="472"/>
      <c r="P102" s="472"/>
      <c r="Q102" s="145"/>
      <c r="R102" s="79" t="s">
        <v>149</v>
      </c>
      <c r="S102" s="123">
        <f>$P$11*0.05</f>
        <v>5</v>
      </c>
      <c r="T102" s="121">
        <f>$P$11*0.2</f>
        <v>20</v>
      </c>
      <c r="U102" s="36">
        <f>KALKULÁTOR!E102*Q102</f>
        <v>0</v>
      </c>
      <c r="V102" s="28">
        <f>KALKULÁTOR!F102*$Q102/$Q$375</f>
        <v>0</v>
      </c>
      <c r="W102" s="28">
        <f>KALKULÁTOR!G102*$Q102/$Q$375</f>
        <v>0</v>
      </c>
      <c r="X102" s="28">
        <f>KALKULÁTOR!H102*$Q102/$Q$375</f>
        <v>0</v>
      </c>
      <c r="Y102" s="28">
        <f>KALKULÁTOR!I102*$Q102/$Q$375</f>
        <v>0</v>
      </c>
      <c r="Z102" s="28">
        <f>KALKULÁTOR!J102*$Q102/$Q$375</f>
        <v>0</v>
      </c>
      <c r="AA102" s="28">
        <f>KALKULÁTOR!K102*$Q102/$Q$375</f>
        <v>0</v>
      </c>
      <c r="AB102" s="28">
        <f>KALKULÁTOR!L102*$Q102/$Q$375</f>
        <v>0</v>
      </c>
      <c r="AC102" s="41">
        <f>KALKULÁTOR!C102*Q102</f>
        <v>0</v>
      </c>
      <c r="AD102" s="442">
        <f t="shared" si="2"/>
        <v>0</v>
      </c>
      <c r="AE102" s="442"/>
    </row>
    <row r="103" spans="1:37" ht="15" customHeight="1" thickBot="1" x14ac:dyDescent="0.3">
      <c r="A103" s="515"/>
      <c r="B103" s="505"/>
      <c r="C103" s="81"/>
      <c r="D103" s="27" t="s">
        <v>16</v>
      </c>
      <c r="E103" s="36"/>
      <c r="F103" s="17">
        <v>20</v>
      </c>
      <c r="G103" s="17">
        <v>40</v>
      </c>
      <c r="H103" s="17">
        <v>6</v>
      </c>
      <c r="I103" s="17"/>
      <c r="J103" s="17"/>
      <c r="K103" s="17"/>
      <c r="L103" s="17"/>
      <c r="M103" s="43"/>
      <c r="N103" s="472" t="s">
        <v>317</v>
      </c>
      <c r="O103" s="472"/>
      <c r="P103" s="472"/>
      <c r="Q103" s="107"/>
      <c r="R103" s="79" t="s">
        <v>149</v>
      </c>
      <c r="S103" s="207">
        <f>$P$11*0.05</f>
        <v>5</v>
      </c>
      <c r="T103" s="208">
        <v>10</v>
      </c>
      <c r="U103" s="36">
        <f>KALKULÁTOR!E103*Q103</f>
        <v>0</v>
      </c>
      <c r="V103" s="28">
        <f>KALKULÁTOR!F103*$Q103/$Q$375</f>
        <v>0</v>
      </c>
      <c r="W103" s="28">
        <f>KALKULÁTOR!G103*$Q103/$Q$375</f>
        <v>0</v>
      </c>
      <c r="X103" s="28">
        <f>KALKULÁTOR!H103*$Q103/$Q$375</f>
        <v>0</v>
      </c>
      <c r="Y103" s="28">
        <f>KALKULÁTOR!I103*$Q103/$Q$375</f>
        <v>0</v>
      </c>
      <c r="Z103" s="28">
        <f>KALKULÁTOR!J103*$Q103/$Q$375</f>
        <v>0</v>
      </c>
      <c r="AA103" s="28">
        <f>KALKULÁTOR!K103*$Q103/$Q$375</f>
        <v>0</v>
      </c>
      <c r="AB103" s="28">
        <f>KALKULÁTOR!L103*$Q103/$Q$375</f>
        <v>0</v>
      </c>
      <c r="AC103" s="41">
        <f>KALKULÁTOR!C103*Q103</f>
        <v>0</v>
      </c>
      <c r="AD103" s="442">
        <f t="shared" si="2"/>
        <v>0</v>
      </c>
      <c r="AE103" s="442"/>
    </row>
    <row r="104" spans="1:37" ht="15.75" thickBot="1" x14ac:dyDescent="0.3">
      <c r="A104" s="515"/>
      <c r="B104" s="505"/>
      <c r="C104" s="81"/>
      <c r="D104" s="27" t="s">
        <v>16</v>
      </c>
      <c r="E104" s="36">
        <v>19.18</v>
      </c>
      <c r="F104" s="17">
        <v>23.2</v>
      </c>
      <c r="G104" s="17">
        <v>40.4</v>
      </c>
      <c r="H104" s="17">
        <v>8.5</v>
      </c>
      <c r="I104" s="17">
        <v>0.3</v>
      </c>
      <c r="J104" s="17">
        <v>0.76</v>
      </c>
      <c r="K104" s="17">
        <v>1.0900000000000001</v>
      </c>
      <c r="L104" s="17">
        <v>0.42</v>
      </c>
      <c r="M104" s="43"/>
      <c r="N104" s="472" t="s">
        <v>39</v>
      </c>
      <c r="O104" s="472"/>
      <c r="P104" s="472"/>
      <c r="Q104" s="107"/>
      <c r="R104" s="80" t="s">
        <v>149</v>
      </c>
      <c r="S104" s="123">
        <f>$P$11*0.05</f>
        <v>5</v>
      </c>
      <c r="T104" s="121">
        <f>$P$11*0.08</f>
        <v>8</v>
      </c>
      <c r="U104" s="36">
        <f>KALKULÁTOR!E104*Q104</f>
        <v>0</v>
      </c>
      <c r="V104" s="28">
        <f>KALKULÁTOR!F104*$Q104/$Q$375</f>
        <v>0</v>
      </c>
      <c r="W104" s="28">
        <f>KALKULÁTOR!G104*$Q104/$Q$375</f>
        <v>0</v>
      </c>
      <c r="X104" s="28">
        <f>KALKULÁTOR!H104*$Q104/$Q$375</f>
        <v>0</v>
      </c>
      <c r="Y104" s="28">
        <f>KALKULÁTOR!I104*$Q104/$Q$375</f>
        <v>0</v>
      </c>
      <c r="Z104" s="28">
        <f>KALKULÁTOR!J104*$Q104/$Q$375</f>
        <v>0</v>
      </c>
      <c r="AA104" s="28">
        <f>KALKULÁTOR!K104*$Q104/$Q$375</f>
        <v>0</v>
      </c>
      <c r="AB104" s="28">
        <f>KALKULÁTOR!L104*$Q104/$Q$375</f>
        <v>0</v>
      </c>
      <c r="AC104" s="41">
        <f>KALKULÁTOR!C104*Q104</f>
        <v>0</v>
      </c>
      <c r="AD104" s="442">
        <f t="shared" si="2"/>
        <v>0</v>
      </c>
      <c r="AE104" s="442"/>
      <c r="AF104" s="108" t="s">
        <v>152</v>
      </c>
      <c r="AG104" s="108"/>
      <c r="AH104" s="109"/>
      <c r="AI104" s="101"/>
      <c r="AJ104" s="101"/>
      <c r="AK104" s="110"/>
    </row>
    <row r="105" spans="1:37" x14ac:dyDescent="0.25">
      <c r="A105" s="515"/>
      <c r="B105" s="505"/>
      <c r="C105" s="81"/>
      <c r="D105" s="27" t="s">
        <v>16</v>
      </c>
      <c r="E105" s="36">
        <v>14.44</v>
      </c>
      <c r="F105" s="17">
        <v>42</v>
      </c>
      <c r="G105" s="17">
        <v>35</v>
      </c>
      <c r="H105" s="17">
        <v>2.6</v>
      </c>
      <c r="I105" s="17"/>
      <c r="J105" s="17"/>
      <c r="K105" s="17"/>
      <c r="L105" s="17"/>
      <c r="M105" s="43"/>
      <c r="N105" s="472" t="s">
        <v>106</v>
      </c>
      <c r="O105" s="472"/>
      <c r="P105" s="472"/>
      <c r="Q105" s="145"/>
      <c r="R105" s="79" t="s">
        <v>149</v>
      </c>
      <c r="S105" s="263">
        <f>$P$11*0.05</f>
        <v>5</v>
      </c>
      <c r="T105" s="260">
        <f>$P$11*0.1</f>
        <v>10</v>
      </c>
      <c r="U105" s="36">
        <f>KALKULÁTOR!E105*Q105</f>
        <v>0</v>
      </c>
      <c r="V105" s="28">
        <f>KALKULÁTOR!F105*$Q105/$Q$375</f>
        <v>0</v>
      </c>
      <c r="W105" s="28">
        <f>KALKULÁTOR!G105*$Q105/$Q$375</f>
        <v>0</v>
      </c>
      <c r="X105" s="28">
        <f>KALKULÁTOR!H105*$Q105/$Q$375</f>
        <v>0</v>
      </c>
      <c r="Y105" s="28">
        <f>KALKULÁTOR!I105*$Q105/$Q$375</f>
        <v>0</v>
      </c>
      <c r="Z105" s="28">
        <f>KALKULÁTOR!J105*$Q105/$Q$375</f>
        <v>0</v>
      </c>
      <c r="AA105" s="28">
        <f>KALKULÁTOR!K105*$Q105/$Q$375</f>
        <v>0</v>
      </c>
      <c r="AB105" s="28">
        <f>KALKULÁTOR!L105*$Q105/$Q$375</f>
        <v>0</v>
      </c>
      <c r="AC105" s="41">
        <f>KALKULÁTOR!C105*Q105</f>
        <v>0</v>
      </c>
      <c r="AD105" s="442">
        <f t="shared" si="2"/>
        <v>0</v>
      </c>
      <c r="AE105" s="442"/>
    </row>
    <row r="106" spans="1:37" x14ac:dyDescent="0.25">
      <c r="A106" s="505"/>
      <c r="B106" s="505"/>
      <c r="C106" s="81"/>
      <c r="D106" s="27" t="s">
        <v>16</v>
      </c>
      <c r="E106" s="36">
        <v>23.53</v>
      </c>
      <c r="F106" s="17">
        <v>20.8</v>
      </c>
      <c r="G106" s="17">
        <v>50.4</v>
      </c>
      <c r="H106" s="17">
        <v>11.9</v>
      </c>
      <c r="I106" s="17"/>
      <c r="J106" s="17"/>
      <c r="K106" s="17"/>
      <c r="L106" s="17"/>
      <c r="M106" s="43"/>
      <c r="N106" s="472" t="s">
        <v>107</v>
      </c>
      <c r="O106" s="472"/>
      <c r="P106" s="472"/>
      <c r="Q106" s="145"/>
      <c r="R106" s="79" t="s">
        <v>149</v>
      </c>
      <c r="S106" s="210">
        <f>$P$11*0.05</f>
        <v>5</v>
      </c>
      <c r="T106" s="211">
        <f>$P$11*0.05</f>
        <v>5</v>
      </c>
      <c r="U106" s="36">
        <f>KALKULÁTOR!E106*Q106</f>
        <v>0</v>
      </c>
      <c r="V106" s="28">
        <f>KALKULÁTOR!F106*$Q106/$Q$375</f>
        <v>0</v>
      </c>
      <c r="W106" s="28">
        <f>KALKULÁTOR!G106*$Q106/$Q$375</f>
        <v>0</v>
      </c>
      <c r="X106" s="28">
        <f>KALKULÁTOR!H106*$Q106/$Q$375</f>
        <v>0</v>
      </c>
      <c r="Y106" s="28">
        <f>KALKULÁTOR!I106*$Q106/$Q$375</f>
        <v>0</v>
      </c>
      <c r="Z106" s="28">
        <f>KALKULÁTOR!J106*$Q106/$Q$375</f>
        <v>0</v>
      </c>
      <c r="AA106" s="28">
        <f>KALKULÁTOR!K106*$Q106/$Q$375</f>
        <v>0</v>
      </c>
      <c r="AB106" s="28">
        <f>KALKULÁTOR!L106*$Q106/$Q$375</f>
        <v>0</v>
      </c>
      <c r="AC106" s="41">
        <f>KALKULÁTOR!C106*Q106</f>
        <v>0</v>
      </c>
      <c r="AD106" s="442">
        <f t="shared" si="2"/>
        <v>0</v>
      </c>
      <c r="AE106" s="442"/>
    </row>
    <row r="107" spans="1:37" x14ac:dyDescent="0.25">
      <c r="A107" s="505"/>
      <c r="B107" s="505"/>
      <c r="C107" s="81"/>
      <c r="D107" s="27" t="s">
        <v>16</v>
      </c>
      <c r="E107" s="36">
        <v>12.55</v>
      </c>
      <c r="F107" s="17">
        <v>17.2</v>
      </c>
      <c r="G107" s="17">
        <v>6.2</v>
      </c>
      <c r="H107" s="17">
        <v>5.4</v>
      </c>
      <c r="I107" s="17"/>
      <c r="J107" s="17"/>
      <c r="K107" s="17"/>
      <c r="L107" s="17"/>
      <c r="M107" s="43"/>
      <c r="N107" s="472" t="s">
        <v>221</v>
      </c>
      <c r="O107" s="472"/>
      <c r="P107" s="472"/>
      <c r="Q107" s="107"/>
      <c r="R107" s="79" t="s">
        <v>149</v>
      </c>
      <c r="S107" s="123">
        <f>$P$11*0.05</f>
        <v>5</v>
      </c>
      <c r="T107" s="121">
        <f>$P$11*0.05</f>
        <v>5</v>
      </c>
      <c r="U107" s="36">
        <f>KALKULÁTOR!E107*Q107</f>
        <v>0</v>
      </c>
      <c r="V107" s="28">
        <f>KALKULÁTOR!F107*$Q107/$Q$375</f>
        <v>0</v>
      </c>
      <c r="W107" s="28">
        <f>KALKULÁTOR!G107*$Q107/$Q$375</f>
        <v>0</v>
      </c>
      <c r="X107" s="28">
        <f>KALKULÁTOR!H107*$Q107/$Q$375</f>
        <v>0</v>
      </c>
      <c r="Y107" s="28">
        <f>KALKULÁTOR!I107*$Q107/$Q$375</f>
        <v>0</v>
      </c>
      <c r="Z107" s="28">
        <f>KALKULÁTOR!J107*$Q107/$Q$375</f>
        <v>0</v>
      </c>
      <c r="AA107" s="28">
        <f>KALKULÁTOR!K107*$Q107/$Q$375</f>
        <v>0</v>
      </c>
      <c r="AB107" s="28">
        <f>KALKULÁTOR!L107*$Q107/$Q$375</f>
        <v>0</v>
      </c>
      <c r="AC107" s="41">
        <f>KALKULÁTOR!C107*Q107</f>
        <v>0</v>
      </c>
      <c r="AD107" s="442">
        <f t="shared" si="2"/>
        <v>0</v>
      </c>
      <c r="AE107" s="442"/>
    </row>
    <row r="108" spans="1:37" x14ac:dyDescent="0.25">
      <c r="A108" s="506"/>
      <c r="B108" s="506"/>
      <c r="C108" s="81"/>
      <c r="D108" s="27" t="s">
        <v>16</v>
      </c>
      <c r="E108" s="36">
        <v>22.5</v>
      </c>
      <c r="F108" s="17">
        <v>28</v>
      </c>
      <c r="G108" s="17">
        <v>49</v>
      </c>
      <c r="H108" s="17">
        <v>25</v>
      </c>
      <c r="I108" s="17"/>
      <c r="J108" s="17"/>
      <c r="K108" s="17"/>
      <c r="L108" s="17"/>
      <c r="M108" s="43"/>
      <c r="N108" s="472" t="s">
        <v>138</v>
      </c>
      <c r="O108" s="472"/>
      <c r="P108" s="472"/>
      <c r="Q108" s="107"/>
      <c r="R108" s="79" t="s">
        <v>149</v>
      </c>
      <c r="S108" s="123">
        <f>$P$11*0.05</f>
        <v>5</v>
      </c>
      <c r="T108" s="121">
        <f>$P$11*0.2</f>
        <v>20</v>
      </c>
      <c r="U108" s="36">
        <f>KALKULÁTOR!E108*Q108</f>
        <v>0</v>
      </c>
      <c r="V108" s="28">
        <f>KALKULÁTOR!F108*$Q108/$Q$375</f>
        <v>0</v>
      </c>
      <c r="W108" s="28">
        <f>KALKULÁTOR!G108*$Q108/$Q$375</f>
        <v>0</v>
      </c>
      <c r="X108" s="28">
        <f>KALKULÁTOR!H108*$Q108/$Q$375</f>
        <v>0</v>
      </c>
      <c r="Y108" s="28">
        <f>KALKULÁTOR!I108*$Q108/$Q$375</f>
        <v>0</v>
      </c>
      <c r="Z108" s="28">
        <f>KALKULÁTOR!J108*$Q108/$Q$375</f>
        <v>0</v>
      </c>
      <c r="AA108" s="28">
        <f>KALKULÁTOR!K108*$Q108/$Q$375</f>
        <v>0</v>
      </c>
      <c r="AB108" s="28">
        <f>KALKULÁTOR!L108*$Q108/$Q$375</f>
        <v>0</v>
      </c>
      <c r="AC108" s="41">
        <f>KALKULÁTOR!C108*Q108</f>
        <v>0</v>
      </c>
      <c r="AD108" s="442">
        <f t="shared" si="2"/>
        <v>0</v>
      </c>
      <c r="AE108" s="442"/>
    </row>
    <row r="109" spans="1:37" ht="15.75" thickBot="1" x14ac:dyDescent="0.3">
      <c r="A109" s="506"/>
      <c r="B109" s="506"/>
      <c r="C109" s="94"/>
      <c r="D109" s="95" t="s">
        <v>16</v>
      </c>
      <c r="E109" s="22">
        <v>23.57</v>
      </c>
      <c r="F109" s="119">
        <v>28</v>
      </c>
      <c r="G109" s="119">
        <v>44</v>
      </c>
      <c r="H109" s="119">
        <v>21.4</v>
      </c>
      <c r="I109" s="119"/>
      <c r="J109" s="119"/>
      <c r="K109" s="119"/>
      <c r="L109" s="119"/>
      <c r="M109" s="118"/>
      <c r="N109" s="499" t="s">
        <v>139</v>
      </c>
      <c r="O109" s="499"/>
      <c r="P109" s="499"/>
      <c r="Q109" s="145"/>
      <c r="R109" s="96" t="s">
        <v>149</v>
      </c>
      <c r="S109" s="376">
        <f>$P$11*0.05</f>
        <v>5</v>
      </c>
      <c r="T109" s="373">
        <f>$P$11*0.2</f>
        <v>20</v>
      </c>
      <c r="U109" s="22">
        <f>KALKULÁTOR!E109*Q109</f>
        <v>0</v>
      </c>
      <c r="V109" s="48">
        <f>KALKULÁTOR!F109*$Q109/$Q$375</f>
        <v>0</v>
      </c>
      <c r="W109" s="48">
        <f>KALKULÁTOR!G109*$Q109/$Q$375</f>
        <v>0</v>
      </c>
      <c r="X109" s="48">
        <f>KALKULÁTOR!H109*$Q109/$Q$375</f>
        <v>0</v>
      </c>
      <c r="Y109" s="48">
        <f>KALKULÁTOR!I109*$Q109/$Q$375</f>
        <v>0</v>
      </c>
      <c r="Z109" s="48">
        <f>KALKULÁTOR!J109*$Q109/$Q$375</f>
        <v>0</v>
      </c>
      <c r="AA109" s="48">
        <f>KALKULÁTOR!K109*$Q109/$Q$375</f>
        <v>0</v>
      </c>
      <c r="AB109" s="48">
        <f>KALKULÁTOR!L109*$Q109/$Q$375</f>
        <v>0</v>
      </c>
      <c r="AC109" s="49">
        <f>KALKULÁTOR!C109*Q109</f>
        <v>0</v>
      </c>
      <c r="AD109" s="442">
        <f t="shared" si="2"/>
        <v>0</v>
      </c>
      <c r="AE109" s="442"/>
    </row>
    <row r="110" spans="1:37" ht="15" customHeight="1" x14ac:dyDescent="0.25">
      <c r="A110" s="508" t="s">
        <v>276</v>
      </c>
      <c r="B110" s="509"/>
      <c r="C110" s="265"/>
      <c r="D110" s="25" t="s">
        <v>16</v>
      </c>
      <c r="E110" s="37">
        <v>15</v>
      </c>
      <c r="F110" s="30">
        <v>11.81</v>
      </c>
      <c r="G110" s="30">
        <v>6.9</v>
      </c>
      <c r="H110" s="30">
        <v>4.5199999999999996</v>
      </c>
      <c r="I110" s="30">
        <v>0.09</v>
      </c>
      <c r="J110" s="30">
        <v>0.38</v>
      </c>
      <c r="K110" s="30">
        <v>2.68</v>
      </c>
      <c r="L110" s="30">
        <v>1.69</v>
      </c>
      <c r="M110" s="42"/>
      <c r="N110" s="477" t="s">
        <v>277</v>
      </c>
      <c r="O110" s="477"/>
      <c r="P110" s="477"/>
      <c r="Q110" s="145"/>
      <c r="R110" s="66" t="s">
        <v>149</v>
      </c>
      <c r="S110" s="89"/>
      <c r="T110" s="90"/>
      <c r="U110" s="84">
        <f>KALKULÁTOR!E110*Q110</f>
        <v>0</v>
      </c>
      <c r="V110" s="85">
        <f>KALKULÁTOR!F110*$Q110/$Q$375</f>
        <v>0</v>
      </c>
      <c r="W110" s="85">
        <f>KALKULÁTOR!G110*$Q110/$Q$375</f>
        <v>0</v>
      </c>
      <c r="X110" s="85">
        <f>KALKULÁTOR!H110*$Q110/$Q$375</f>
        <v>0</v>
      </c>
      <c r="Y110" s="85">
        <f>KALKULÁTOR!I110*$Q110/$Q$375</f>
        <v>0</v>
      </c>
      <c r="Z110" s="85">
        <f>KALKULÁTOR!J110*$Q110/$Q$375</f>
        <v>0</v>
      </c>
      <c r="AA110" s="85">
        <f>KALKULÁTOR!K110*$Q110/$Q$375</f>
        <v>0</v>
      </c>
      <c r="AB110" s="85">
        <f>KALKULÁTOR!L110*$Q110/$Q$375</f>
        <v>0</v>
      </c>
      <c r="AC110" s="86">
        <f>KALKULÁTOR!C110*Q110</f>
        <v>0</v>
      </c>
      <c r="AD110" s="442">
        <f t="shared" si="2"/>
        <v>0</v>
      </c>
      <c r="AE110" s="442"/>
    </row>
    <row r="111" spans="1:37" ht="15" customHeight="1" x14ac:dyDescent="0.25">
      <c r="A111" s="510"/>
      <c r="B111" s="511"/>
      <c r="C111" s="401"/>
      <c r="D111" s="27" t="s">
        <v>16</v>
      </c>
      <c r="E111" s="36">
        <v>15.15</v>
      </c>
      <c r="F111" s="17">
        <v>11.1</v>
      </c>
      <c r="G111" s="17">
        <v>6.64</v>
      </c>
      <c r="H111" s="17">
        <v>4</v>
      </c>
      <c r="I111" s="17">
        <v>0.44</v>
      </c>
      <c r="J111" s="17">
        <v>0.36</v>
      </c>
      <c r="K111" s="17">
        <v>0.32</v>
      </c>
      <c r="L111" s="17">
        <v>0.19</v>
      </c>
      <c r="M111" s="43"/>
      <c r="N111" s="472" t="s">
        <v>389</v>
      </c>
      <c r="O111" s="472"/>
      <c r="P111" s="472"/>
      <c r="Q111" s="107"/>
      <c r="R111" s="79" t="s">
        <v>149</v>
      </c>
      <c r="S111" s="375"/>
      <c r="T111" s="372"/>
      <c r="U111" s="36">
        <f>KALKULÁTOR!E111*Q111</f>
        <v>0</v>
      </c>
      <c r="V111" s="28">
        <f>KALKULÁTOR!F111*$Q111/$Q$375</f>
        <v>0</v>
      </c>
      <c r="W111" s="28">
        <f>KALKULÁTOR!G111*$Q111/$Q$375</f>
        <v>0</v>
      </c>
      <c r="X111" s="28">
        <f>KALKULÁTOR!H111*$Q111/$Q$375</f>
        <v>0</v>
      </c>
      <c r="Y111" s="28">
        <f>KALKULÁTOR!I111*$Q111/$Q$375</f>
        <v>0</v>
      </c>
      <c r="Z111" s="28">
        <f>KALKULÁTOR!J111*$Q111/$Q$375</f>
        <v>0</v>
      </c>
      <c r="AA111" s="28">
        <f>KALKULÁTOR!K111*$Q111/$Q$375</f>
        <v>0</v>
      </c>
      <c r="AB111" s="28">
        <f>KALKULÁTOR!L111*$Q111/$Q$375</f>
        <v>0</v>
      </c>
      <c r="AC111" s="41">
        <f>KALKULÁTOR!C111*Q111</f>
        <v>0</v>
      </c>
      <c r="AD111" s="442">
        <f t="shared" si="2"/>
        <v>0</v>
      </c>
      <c r="AE111" s="442"/>
    </row>
    <row r="112" spans="1:37" ht="15" customHeight="1" thickBot="1" x14ac:dyDescent="0.3">
      <c r="A112" s="510"/>
      <c r="B112" s="511"/>
      <c r="C112" s="401"/>
      <c r="D112" s="27" t="s">
        <v>16</v>
      </c>
      <c r="E112" s="36">
        <v>15</v>
      </c>
      <c r="F112" s="17">
        <v>10</v>
      </c>
      <c r="G112" s="17">
        <v>3.5</v>
      </c>
      <c r="H112" s="17">
        <v>2.5</v>
      </c>
      <c r="I112" s="17">
        <v>0.1</v>
      </c>
      <c r="J112" s="17">
        <v>0.3</v>
      </c>
      <c r="K112" s="17">
        <v>0.32</v>
      </c>
      <c r="L112" s="17">
        <v>0.18</v>
      </c>
      <c r="M112" s="43"/>
      <c r="N112" s="472" t="s">
        <v>429</v>
      </c>
      <c r="O112" s="472"/>
      <c r="P112" s="472"/>
      <c r="Q112" s="107"/>
      <c r="R112" s="79" t="s">
        <v>149</v>
      </c>
      <c r="S112" s="375">
        <f>$P$11*0</f>
        <v>0</v>
      </c>
      <c r="T112" s="372">
        <f>$P$11*0.1</f>
        <v>10</v>
      </c>
      <c r="U112" s="36">
        <f>KALKULÁTOR!E112*Q112</f>
        <v>0</v>
      </c>
      <c r="V112" s="28">
        <f>KALKULÁTOR!F112*$Q112/$Q$375</f>
        <v>0</v>
      </c>
      <c r="W112" s="28">
        <f>KALKULÁTOR!G112*$Q112/$Q$375</f>
        <v>0</v>
      </c>
      <c r="X112" s="28">
        <f>KALKULÁTOR!H112*$Q112/$Q$375</f>
        <v>0</v>
      </c>
      <c r="Y112" s="28">
        <f>KALKULÁTOR!I112*$Q112/$Q$375</f>
        <v>0</v>
      </c>
      <c r="Z112" s="28">
        <f>KALKULÁTOR!J112*$Q112/$Q$375</f>
        <v>0</v>
      </c>
      <c r="AA112" s="28">
        <f>KALKULÁTOR!K112*$Q112/$Q$375</f>
        <v>0</v>
      </c>
      <c r="AB112" s="28">
        <f>KALKULÁTOR!L112*$Q112/$Q$375</f>
        <v>0</v>
      </c>
      <c r="AC112" s="41">
        <f>KALKULÁTOR!C112*Q112</f>
        <v>0</v>
      </c>
      <c r="AD112" s="442">
        <f t="shared" si="2"/>
        <v>0</v>
      </c>
      <c r="AE112" s="442"/>
    </row>
    <row r="113" spans="1:39" ht="15.75" thickBot="1" x14ac:dyDescent="0.3">
      <c r="A113" s="512"/>
      <c r="B113" s="513"/>
      <c r="C113" s="266"/>
      <c r="D113" s="29" t="s">
        <v>16</v>
      </c>
      <c r="E113" s="38">
        <v>15</v>
      </c>
      <c r="F113" s="20">
        <v>14.23</v>
      </c>
      <c r="G113" s="20">
        <v>9.24</v>
      </c>
      <c r="H113" s="20">
        <v>5.34</v>
      </c>
      <c r="I113" s="20">
        <v>0.11</v>
      </c>
      <c r="J113" s="20">
        <v>0.42</v>
      </c>
      <c r="K113" s="20">
        <v>3.92</v>
      </c>
      <c r="L113" s="20">
        <v>1.42</v>
      </c>
      <c r="M113" s="53"/>
      <c r="N113" s="489" t="s">
        <v>278</v>
      </c>
      <c r="O113" s="489"/>
      <c r="P113" s="489"/>
      <c r="Q113" s="145"/>
      <c r="R113" s="91" t="s">
        <v>149</v>
      </c>
      <c r="S113" s="376"/>
      <c r="T113" s="373"/>
      <c r="U113" s="38">
        <f>KALKULÁTOR!E113*Q113</f>
        <v>0</v>
      </c>
      <c r="V113" s="67">
        <f>KALKULÁTOR!F113*$Q113/$Q$375</f>
        <v>0</v>
      </c>
      <c r="W113" s="67">
        <f>KALKULÁTOR!G113*$Q113/$Q$375</f>
        <v>0</v>
      </c>
      <c r="X113" s="67">
        <f>KALKULÁTOR!H113*$Q113/$Q$375</f>
        <v>0</v>
      </c>
      <c r="Y113" s="67">
        <f>KALKULÁTOR!I113*$Q113/$Q$375</f>
        <v>0</v>
      </c>
      <c r="Z113" s="67">
        <f>KALKULÁTOR!J113*$Q113/$Q$375</f>
        <v>0</v>
      </c>
      <c r="AA113" s="67">
        <f>KALKULÁTOR!K113*$Q113/$Q$375</f>
        <v>0</v>
      </c>
      <c r="AB113" s="67">
        <f>KALKULÁTOR!L113*$Q113/$Q$375</f>
        <v>0</v>
      </c>
      <c r="AC113" s="68">
        <f>KALKULÁTOR!C113*Q113</f>
        <v>0</v>
      </c>
      <c r="AD113" s="442">
        <f t="shared" si="2"/>
        <v>0</v>
      </c>
      <c r="AE113" s="442"/>
      <c r="AF113" s="563" t="s">
        <v>279</v>
      </c>
      <c r="AG113" s="563"/>
      <c r="AH113" s="564"/>
    </row>
    <row r="114" spans="1:39" ht="15.75" customHeight="1" thickBot="1" x14ac:dyDescent="0.3">
      <c r="A114" s="516" t="s">
        <v>67</v>
      </c>
      <c r="B114" s="490" t="s">
        <v>51</v>
      </c>
      <c r="C114" s="87"/>
      <c r="D114" s="125" t="s">
        <v>16</v>
      </c>
      <c r="E114" s="144">
        <v>9.33</v>
      </c>
      <c r="F114" s="125">
        <v>16</v>
      </c>
      <c r="G114" s="125">
        <v>7</v>
      </c>
      <c r="H114" s="125">
        <v>8.8000000000000007</v>
      </c>
      <c r="I114" s="125">
        <v>0.08</v>
      </c>
      <c r="J114" s="125">
        <v>1.18</v>
      </c>
      <c r="K114" s="125"/>
      <c r="L114" s="125"/>
      <c r="M114" s="144"/>
      <c r="N114" s="481" t="s">
        <v>45</v>
      </c>
      <c r="O114" s="481"/>
      <c r="P114" s="481"/>
      <c r="Q114" s="145"/>
      <c r="R114" s="64" t="s">
        <v>149</v>
      </c>
      <c r="S114" s="89">
        <f>$P$11*0</f>
        <v>0</v>
      </c>
      <c r="T114" s="90">
        <f>$P$11*0.05</f>
        <v>5</v>
      </c>
      <c r="U114" s="32">
        <f>KALKULÁTOR!E114*Q114</f>
        <v>0</v>
      </c>
      <c r="V114" s="6">
        <f>KALKULÁTOR!F114*$Q114/$Q$375</f>
        <v>0</v>
      </c>
      <c r="W114" s="6">
        <f>KALKULÁTOR!G114*$Q114/$Q$375</f>
        <v>0</v>
      </c>
      <c r="X114" s="6">
        <f>KALKULÁTOR!H114*$Q114/$Q$375</f>
        <v>0</v>
      </c>
      <c r="Y114" s="6">
        <f>KALKULÁTOR!I114*$Q114/$Q$375</f>
        <v>0</v>
      </c>
      <c r="Z114" s="6">
        <f>KALKULÁTOR!J114*$Q114/$Q$375</f>
        <v>0</v>
      </c>
      <c r="AA114" s="6">
        <f>KALKULÁTOR!K114*$Q114/$Q$375</f>
        <v>0</v>
      </c>
      <c r="AB114" s="6">
        <f>KALKULÁTOR!L114*$Q114/$Q$375</f>
        <v>0</v>
      </c>
      <c r="AC114" s="50">
        <f>KALKULÁTOR!C114*Q114</f>
        <v>0</v>
      </c>
      <c r="AD114" s="442">
        <f t="shared" si="2"/>
        <v>0</v>
      </c>
      <c r="AE114" s="442"/>
    </row>
    <row r="115" spans="1:39" ht="15.75" thickBot="1" x14ac:dyDescent="0.3">
      <c r="A115" s="516"/>
      <c r="B115" s="491"/>
      <c r="C115" s="81"/>
      <c r="D115" s="17" t="s">
        <v>16</v>
      </c>
      <c r="E115" s="43">
        <v>8.2799999999999994</v>
      </c>
      <c r="F115" s="17">
        <v>17.2</v>
      </c>
      <c r="G115" s="17">
        <v>3.8</v>
      </c>
      <c r="H115" s="17">
        <v>8.6999999999999993</v>
      </c>
      <c r="I115" s="17">
        <v>0.13</v>
      </c>
      <c r="J115" s="17">
        <v>1.18</v>
      </c>
      <c r="K115" s="17">
        <v>0.59</v>
      </c>
      <c r="L115" s="17">
        <v>0.23</v>
      </c>
      <c r="M115" s="43"/>
      <c r="N115" s="472" t="s">
        <v>46</v>
      </c>
      <c r="O115" s="472"/>
      <c r="P115" s="472"/>
      <c r="Q115" s="107"/>
      <c r="R115" s="80" t="s">
        <v>149</v>
      </c>
      <c r="S115" s="123">
        <f>$P$11*0</f>
        <v>0</v>
      </c>
      <c r="T115" s="121">
        <f>$P$11*0.1</f>
        <v>10</v>
      </c>
      <c r="U115" s="36">
        <f>KALKULÁTOR!E115*Q115</f>
        <v>0</v>
      </c>
      <c r="V115" s="28">
        <f>KALKULÁTOR!F115*$Q115/$Q$375</f>
        <v>0</v>
      </c>
      <c r="W115" s="28">
        <f>KALKULÁTOR!G115*$Q115/$Q$375</f>
        <v>0</v>
      </c>
      <c r="X115" s="28">
        <f>KALKULÁTOR!H115*$Q115/$Q$375</f>
        <v>0</v>
      </c>
      <c r="Y115" s="28">
        <f>KALKULÁTOR!I115*$Q115/$Q$375</f>
        <v>0</v>
      </c>
      <c r="Z115" s="28">
        <f>KALKULÁTOR!J115*$Q115/$Q$375</f>
        <v>0</v>
      </c>
      <c r="AA115" s="28">
        <f>KALKULÁTOR!K115*$Q115/$Q$375</f>
        <v>0</v>
      </c>
      <c r="AB115" s="28">
        <f>KALKULÁTOR!L115*$Q115/$Q$375</f>
        <v>0</v>
      </c>
      <c r="AC115" s="41">
        <f>KALKULÁTOR!C115*Q115</f>
        <v>0</v>
      </c>
      <c r="AD115" s="442">
        <f t="shared" si="2"/>
        <v>0</v>
      </c>
      <c r="AE115" s="442"/>
      <c r="AF115" s="108" t="s">
        <v>231</v>
      </c>
      <c r="AG115" s="108"/>
      <c r="AH115" s="111"/>
    </row>
    <row r="116" spans="1:39" x14ac:dyDescent="0.25">
      <c r="A116" s="516"/>
      <c r="B116" s="491"/>
      <c r="C116" s="81"/>
      <c r="D116" s="17" t="s">
        <v>16</v>
      </c>
      <c r="E116" s="43">
        <v>11.92</v>
      </c>
      <c r="F116" s="17">
        <v>17.7</v>
      </c>
      <c r="G116" s="17">
        <v>4.4000000000000004</v>
      </c>
      <c r="H116" s="17">
        <v>6</v>
      </c>
      <c r="I116" s="17">
        <v>0.13</v>
      </c>
      <c r="J116" s="17">
        <v>0.72</v>
      </c>
      <c r="K116" s="17">
        <v>0.63</v>
      </c>
      <c r="L116" s="17">
        <v>0.25</v>
      </c>
      <c r="M116" s="43"/>
      <c r="N116" s="472" t="s">
        <v>47</v>
      </c>
      <c r="O116" s="472"/>
      <c r="P116" s="472"/>
      <c r="Q116" s="107"/>
      <c r="R116" s="79" t="s">
        <v>149</v>
      </c>
      <c r="S116" s="123">
        <f>$P$11*0</f>
        <v>0</v>
      </c>
      <c r="T116" s="121">
        <f>$P$11*0.2</f>
        <v>20</v>
      </c>
      <c r="U116" s="36">
        <f>KALKULÁTOR!E116*Q116</f>
        <v>0</v>
      </c>
      <c r="V116" s="28">
        <f>KALKULÁTOR!F116*$Q116/$Q$375</f>
        <v>0</v>
      </c>
      <c r="W116" s="28">
        <f>KALKULÁTOR!G116*$Q116/$Q$375</f>
        <v>0</v>
      </c>
      <c r="X116" s="28">
        <f>KALKULÁTOR!H116*$Q116/$Q$375</f>
        <v>0</v>
      </c>
      <c r="Y116" s="28">
        <f>KALKULÁTOR!I116*$Q116/$Q$375</f>
        <v>0</v>
      </c>
      <c r="Z116" s="28">
        <f>KALKULÁTOR!J116*$Q116/$Q$375</f>
        <v>0</v>
      </c>
      <c r="AA116" s="28">
        <f>KALKULÁTOR!K116*$Q116/$Q$375</f>
        <v>0</v>
      </c>
      <c r="AB116" s="28">
        <f>KALKULÁTOR!L116*$Q116/$Q$375</f>
        <v>0</v>
      </c>
      <c r="AC116" s="41">
        <f>KALKULÁTOR!C116*Q116</f>
        <v>0</v>
      </c>
      <c r="AD116" s="442">
        <f t="shared" si="2"/>
        <v>0</v>
      </c>
      <c r="AE116" s="442"/>
    </row>
    <row r="117" spans="1:39" x14ac:dyDescent="0.25">
      <c r="A117" s="516"/>
      <c r="B117" s="491"/>
      <c r="C117" s="81"/>
      <c r="D117" s="17" t="s">
        <v>16</v>
      </c>
      <c r="E117" s="43">
        <v>16.04</v>
      </c>
      <c r="F117" s="17">
        <v>16.7</v>
      </c>
      <c r="G117" s="17">
        <v>23.3</v>
      </c>
      <c r="H117" s="17">
        <v>9.6</v>
      </c>
      <c r="I117" s="17">
        <v>0.09</v>
      </c>
      <c r="J117" s="17">
        <v>0.6</v>
      </c>
      <c r="K117" s="17">
        <v>0.61</v>
      </c>
      <c r="L117" s="17">
        <v>0.24</v>
      </c>
      <c r="M117" s="43"/>
      <c r="N117" s="472" t="s">
        <v>48</v>
      </c>
      <c r="O117" s="472"/>
      <c r="P117" s="472"/>
      <c r="Q117" s="145"/>
      <c r="R117" s="79" t="s">
        <v>149</v>
      </c>
      <c r="S117" s="123">
        <f>$P$11*0</f>
        <v>0</v>
      </c>
      <c r="T117" s="121">
        <f>$P$11*0.05</f>
        <v>5</v>
      </c>
      <c r="U117" s="36">
        <f>KALKULÁTOR!E117*Q117</f>
        <v>0</v>
      </c>
      <c r="V117" s="28">
        <f>KALKULÁTOR!F117*$Q117/$Q$375</f>
        <v>0</v>
      </c>
      <c r="W117" s="28">
        <f>KALKULÁTOR!G117*$Q117/$Q$375</f>
        <v>0</v>
      </c>
      <c r="X117" s="28">
        <f>KALKULÁTOR!H117*$Q117/$Q$375</f>
        <v>0</v>
      </c>
      <c r="Y117" s="28">
        <f>KALKULÁTOR!I117*$Q117/$Q$375</f>
        <v>0</v>
      </c>
      <c r="Z117" s="28">
        <f>KALKULÁTOR!J117*$Q117/$Q$375</f>
        <v>0</v>
      </c>
      <c r="AA117" s="28">
        <f>KALKULÁTOR!K117*$Q117/$Q$375</f>
        <v>0</v>
      </c>
      <c r="AB117" s="28">
        <f>KALKULÁTOR!L117*$Q117/$Q$375</f>
        <v>0</v>
      </c>
      <c r="AC117" s="41">
        <f>KALKULÁTOR!C117*Q117</f>
        <v>0</v>
      </c>
      <c r="AD117" s="442">
        <f t="shared" si="2"/>
        <v>0</v>
      </c>
      <c r="AE117" s="442"/>
    </row>
    <row r="118" spans="1:39" x14ac:dyDescent="0.25">
      <c r="A118" s="516"/>
      <c r="B118" s="491"/>
      <c r="C118" s="81"/>
      <c r="D118" s="27" t="s">
        <v>16</v>
      </c>
      <c r="E118" s="43">
        <v>10.91</v>
      </c>
      <c r="F118" s="17">
        <v>13.9</v>
      </c>
      <c r="G118" s="17">
        <v>2.7</v>
      </c>
      <c r="H118" s="17">
        <v>6.8</v>
      </c>
      <c r="I118" s="17">
        <v>0.09</v>
      </c>
      <c r="J118" s="17">
        <v>0.57999999999999996</v>
      </c>
      <c r="K118" s="17">
        <v>0.61</v>
      </c>
      <c r="L118" s="17">
        <v>0.24</v>
      </c>
      <c r="M118" s="43"/>
      <c r="N118" s="472" t="s">
        <v>371</v>
      </c>
      <c r="O118" s="472"/>
      <c r="P118" s="472"/>
      <c r="Q118" s="145"/>
      <c r="R118" s="79" t="s">
        <v>149</v>
      </c>
      <c r="S118" s="210">
        <f>$P$11*0</f>
        <v>0</v>
      </c>
      <c r="T118" s="211">
        <f>$P$11*0.05</f>
        <v>5</v>
      </c>
      <c r="U118" s="36">
        <f>KALKULÁTOR!E118*Q118</f>
        <v>0</v>
      </c>
      <c r="V118" s="28">
        <f>KALKULÁTOR!F118*$Q118/$Q$375</f>
        <v>0</v>
      </c>
      <c r="W118" s="28">
        <f>KALKULÁTOR!G118*$Q118/$Q$375</f>
        <v>0</v>
      </c>
      <c r="X118" s="28">
        <f>KALKULÁTOR!H118*$Q118/$Q$375</f>
        <v>0</v>
      </c>
      <c r="Y118" s="28">
        <f>KALKULÁTOR!I118*$Q118/$Q$375</f>
        <v>0</v>
      </c>
      <c r="Z118" s="28">
        <f>KALKULÁTOR!J118*$Q118/$Q$375</f>
        <v>0</v>
      </c>
      <c r="AA118" s="28">
        <f>KALKULÁTOR!K118*$Q118/$Q$375</f>
        <v>0</v>
      </c>
      <c r="AB118" s="28">
        <f>KALKULÁTOR!L118*$Q118/$Q$375</f>
        <v>0</v>
      </c>
      <c r="AC118" s="41">
        <f>KALKULÁTOR!C118*Q118</f>
        <v>0</v>
      </c>
      <c r="AD118" s="442">
        <f t="shared" si="2"/>
        <v>0</v>
      </c>
      <c r="AE118" s="442"/>
    </row>
    <row r="119" spans="1:39" x14ac:dyDescent="0.25">
      <c r="A119" s="516"/>
      <c r="B119" s="491"/>
      <c r="C119" s="81"/>
      <c r="D119" s="17" t="s">
        <v>16</v>
      </c>
      <c r="E119" s="43">
        <v>9.36</v>
      </c>
      <c r="F119" s="17">
        <v>12.2</v>
      </c>
      <c r="G119" s="17">
        <v>6.8</v>
      </c>
      <c r="H119" s="17">
        <v>10.8</v>
      </c>
      <c r="I119" s="17">
        <v>0.04</v>
      </c>
      <c r="J119" s="17">
        <v>0.3</v>
      </c>
      <c r="K119" s="17"/>
      <c r="L119" s="17"/>
      <c r="M119" s="43"/>
      <c r="N119" s="472" t="s">
        <v>49</v>
      </c>
      <c r="O119" s="472"/>
      <c r="P119" s="472"/>
      <c r="Q119" s="107"/>
      <c r="R119" s="79" t="s">
        <v>149</v>
      </c>
      <c r="S119" s="123">
        <f>$P$11*0</f>
        <v>0</v>
      </c>
      <c r="T119" s="121">
        <f>$P$11*0.1</f>
        <v>10</v>
      </c>
      <c r="U119" s="36">
        <f>KALKULÁTOR!E119*Q119</f>
        <v>0</v>
      </c>
      <c r="V119" s="28">
        <f>KALKULÁTOR!F119*$Q119/$Q$375</f>
        <v>0</v>
      </c>
      <c r="W119" s="28">
        <f>KALKULÁTOR!G119*$Q119/$Q$375</f>
        <v>0</v>
      </c>
      <c r="X119" s="28">
        <f>KALKULÁTOR!H119*$Q119/$Q$375</f>
        <v>0</v>
      </c>
      <c r="Y119" s="28">
        <f>KALKULÁTOR!I119*$Q119/$Q$375</f>
        <v>0</v>
      </c>
      <c r="Z119" s="28">
        <f>KALKULÁTOR!J119*$Q119/$Q$375</f>
        <v>0</v>
      </c>
      <c r="AA119" s="28">
        <f>KALKULÁTOR!K119*$Q119/$Q$375</f>
        <v>0</v>
      </c>
      <c r="AB119" s="28">
        <f>KALKULÁTOR!L119*$Q119/$Q$375</f>
        <v>0</v>
      </c>
      <c r="AC119" s="41">
        <f>KALKULÁTOR!C119*Q119</f>
        <v>0</v>
      </c>
      <c r="AD119" s="442">
        <f t="shared" si="2"/>
        <v>0</v>
      </c>
      <c r="AE119" s="442"/>
    </row>
    <row r="120" spans="1:39" x14ac:dyDescent="0.25">
      <c r="A120" s="516"/>
      <c r="B120" s="491"/>
      <c r="C120" s="81"/>
      <c r="D120" s="17" t="s">
        <v>16</v>
      </c>
      <c r="E120" s="43">
        <v>13.26</v>
      </c>
      <c r="F120" s="17">
        <v>10</v>
      </c>
      <c r="G120" s="17">
        <v>6.4</v>
      </c>
      <c r="H120" s="17">
        <v>5.5</v>
      </c>
      <c r="I120" s="17">
        <v>0.09</v>
      </c>
      <c r="J120" s="17">
        <v>0.45</v>
      </c>
      <c r="K120" s="17"/>
      <c r="L120" s="17"/>
      <c r="M120" s="43"/>
      <c r="N120" s="472" t="s">
        <v>50</v>
      </c>
      <c r="O120" s="472"/>
      <c r="P120" s="472"/>
      <c r="Q120" s="107"/>
      <c r="R120" s="79" t="s">
        <v>149</v>
      </c>
      <c r="S120" s="123">
        <f>$P$11*0</f>
        <v>0</v>
      </c>
      <c r="T120" s="121">
        <f>$P$11*0.2</f>
        <v>20</v>
      </c>
      <c r="U120" s="36">
        <f>KALKULÁTOR!E120*Q120</f>
        <v>0</v>
      </c>
      <c r="V120" s="28">
        <f>KALKULÁTOR!F120*$Q120/$Q$375</f>
        <v>0</v>
      </c>
      <c r="W120" s="28">
        <f>KALKULÁTOR!G120*$Q120/$Q$375</f>
        <v>0</v>
      </c>
      <c r="X120" s="28">
        <f>KALKULÁTOR!H120*$Q120/$Q$375</f>
        <v>0</v>
      </c>
      <c r="Y120" s="28">
        <f>KALKULÁTOR!I120*$Q120/$Q$375</f>
        <v>0</v>
      </c>
      <c r="Z120" s="28">
        <f>KALKULÁTOR!J120*$Q120/$Q$375</f>
        <v>0</v>
      </c>
      <c r="AA120" s="28">
        <f>KALKULÁTOR!K120*$Q120/$Q$375</f>
        <v>0</v>
      </c>
      <c r="AB120" s="28">
        <f>KALKULÁTOR!L120*$Q120/$Q$375</f>
        <v>0</v>
      </c>
      <c r="AC120" s="41">
        <f>KALKULÁTOR!C120*Q120</f>
        <v>0</v>
      </c>
      <c r="AD120" s="442">
        <f t="shared" si="2"/>
        <v>0</v>
      </c>
      <c r="AE120" s="442"/>
    </row>
    <row r="121" spans="1:39" ht="15.75" thickBot="1" x14ac:dyDescent="0.3">
      <c r="A121" s="516"/>
      <c r="B121" s="507"/>
      <c r="C121" s="82"/>
      <c r="D121" s="20" t="s">
        <v>16</v>
      </c>
      <c r="E121" s="53">
        <v>11.2</v>
      </c>
      <c r="F121" s="20">
        <v>16.8</v>
      </c>
      <c r="G121" s="20">
        <v>6.9</v>
      </c>
      <c r="H121" s="20">
        <v>10.6</v>
      </c>
      <c r="I121" s="20">
        <v>0.05</v>
      </c>
      <c r="J121" s="20">
        <v>0.52</v>
      </c>
      <c r="K121" s="20"/>
      <c r="L121" s="20"/>
      <c r="M121" s="53"/>
      <c r="N121" s="489" t="s">
        <v>131</v>
      </c>
      <c r="O121" s="489"/>
      <c r="P121" s="489"/>
      <c r="Q121" s="145"/>
      <c r="R121" s="83" t="s">
        <v>149</v>
      </c>
      <c r="S121" s="124">
        <f>$P$11*0</f>
        <v>0</v>
      </c>
      <c r="T121" s="122">
        <f>$P$11*0.1</f>
        <v>10</v>
      </c>
      <c r="U121" s="38">
        <f>KALKULÁTOR!E121*Q121</f>
        <v>0</v>
      </c>
      <c r="V121" s="67">
        <f>KALKULÁTOR!F121*$Q121/$Q$375</f>
        <v>0</v>
      </c>
      <c r="W121" s="67">
        <f>KALKULÁTOR!G121*$Q121/$Q$375</f>
        <v>0</v>
      </c>
      <c r="X121" s="67">
        <f>KALKULÁTOR!H121*$Q121/$Q$375</f>
        <v>0</v>
      </c>
      <c r="Y121" s="67">
        <f>KALKULÁTOR!I121*$Q121/$Q$375</f>
        <v>0</v>
      </c>
      <c r="Z121" s="67">
        <f>KALKULÁTOR!J121*$Q121/$Q$375</f>
        <v>0</v>
      </c>
      <c r="AA121" s="67">
        <f>KALKULÁTOR!K121*$Q121/$Q$375</f>
        <v>0</v>
      </c>
      <c r="AB121" s="67">
        <f>KALKULÁTOR!L121*$Q121/$Q$375</f>
        <v>0</v>
      </c>
      <c r="AC121" s="68">
        <f>KALKULÁTOR!C121*Q121</f>
        <v>0</v>
      </c>
      <c r="AD121" s="442">
        <f t="shared" si="2"/>
        <v>0</v>
      </c>
      <c r="AE121" s="442"/>
    </row>
    <row r="122" spans="1:39" x14ac:dyDescent="0.25">
      <c r="A122" s="516"/>
      <c r="B122" s="500" t="s">
        <v>56</v>
      </c>
      <c r="C122" s="88"/>
      <c r="D122" s="30" t="s">
        <v>16</v>
      </c>
      <c r="E122" s="42">
        <v>12.55</v>
      </c>
      <c r="F122" s="30">
        <v>29.1</v>
      </c>
      <c r="G122" s="30">
        <v>10.6</v>
      </c>
      <c r="H122" s="30">
        <v>6.1</v>
      </c>
      <c r="I122" s="30">
        <v>0.08</v>
      </c>
      <c r="J122" s="30">
        <v>0.55000000000000004</v>
      </c>
      <c r="K122" s="30"/>
      <c r="L122" s="30"/>
      <c r="M122" s="144"/>
      <c r="N122" s="477" t="s">
        <v>367</v>
      </c>
      <c r="O122" s="477"/>
      <c r="P122" s="477"/>
      <c r="Q122" s="145"/>
      <c r="R122" s="66" t="s">
        <v>149</v>
      </c>
      <c r="S122" s="89">
        <f>$P$11*0</f>
        <v>0</v>
      </c>
      <c r="T122" s="90">
        <f>$P$11*0.1</f>
        <v>10</v>
      </c>
      <c r="U122" s="37">
        <f>KALKULÁTOR!E122*Q122</f>
        <v>0</v>
      </c>
      <c r="V122" s="26">
        <f>KALKULÁTOR!F122*$Q122/$Q$375</f>
        <v>0</v>
      </c>
      <c r="W122" s="26">
        <f>KALKULÁTOR!G122*$Q122/$Q$375</f>
        <v>0</v>
      </c>
      <c r="X122" s="26">
        <f>KALKULÁTOR!H122*$Q122/$Q$375</f>
        <v>0</v>
      </c>
      <c r="Y122" s="26">
        <f>KALKULÁTOR!I122*$Q122/$Q$375</f>
        <v>0</v>
      </c>
      <c r="Z122" s="26">
        <f>KALKULÁTOR!J122*$Q122/$Q$375</f>
        <v>0</v>
      </c>
      <c r="AA122" s="26">
        <f>KALKULÁTOR!K122*$Q122/$Q$375</f>
        <v>0</v>
      </c>
      <c r="AB122" s="26">
        <f>KALKULÁTOR!L122*$Q122/$Q$375</f>
        <v>0</v>
      </c>
      <c r="AC122" s="40">
        <f>KALKULÁTOR!C122*Q122</f>
        <v>0</v>
      </c>
      <c r="AD122" s="442">
        <f t="shared" si="2"/>
        <v>0</v>
      </c>
      <c r="AE122" s="442"/>
    </row>
    <row r="123" spans="1:39" ht="15.75" thickBot="1" x14ac:dyDescent="0.3">
      <c r="A123" s="516"/>
      <c r="B123" s="491"/>
      <c r="C123" s="81"/>
      <c r="D123" s="17" t="s">
        <v>16</v>
      </c>
      <c r="E123" s="43">
        <v>12.21</v>
      </c>
      <c r="F123" s="17">
        <v>21.3</v>
      </c>
      <c r="G123" s="17">
        <v>4.3</v>
      </c>
      <c r="H123" s="17">
        <v>8.4</v>
      </c>
      <c r="I123" s="17">
        <v>0.08</v>
      </c>
      <c r="J123" s="17">
        <v>0.77</v>
      </c>
      <c r="K123" s="17">
        <v>0.67</v>
      </c>
      <c r="L123" s="17">
        <v>0.38</v>
      </c>
      <c r="M123" s="43"/>
      <c r="N123" s="472" t="s">
        <v>368</v>
      </c>
      <c r="O123" s="472"/>
      <c r="P123" s="472"/>
      <c r="Q123" s="107"/>
      <c r="R123" s="79" t="s">
        <v>149</v>
      </c>
      <c r="S123" s="210">
        <f>$P$11*0</f>
        <v>0</v>
      </c>
      <c r="T123" s="211">
        <f>$P$11*0.1</f>
        <v>10</v>
      </c>
      <c r="U123" s="36">
        <f>KALKULÁTOR!E123*Q123</f>
        <v>0</v>
      </c>
      <c r="V123" s="28">
        <f>KALKULÁTOR!F123*$Q123/$Q$375</f>
        <v>0</v>
      </c>
      <c r="W123" s="28">
        <f>KALKULÁTOR!G123*$Q123/$Q$375</f>
        <v>0</v>
      </c>
      <c r="X123" s="28">
        <f>KALKULÁTOR!H123*$Q123/$Q$375</f>
        <v>0</v>
      </c>
      <c r="Y123" s="28">
        <f>KALKULÁTOR!I123*$Q123/$Q$375</f>
        <v>0</v>
      </c>
      <c r="Z123" s="28">
        <f>KALKULÁTOR!J123*$Q123/$Q$375</f>
        <v>0</v>
      </c>
      <c r="AA123" s="28">
        <f>KALKULÁTOR!K123*$Q123/$Q$375</f>
        <v>0</v>
      </c>
      <c r="AB123" s="28">
        <f>KALKULÁTOR!L123*$Q123/$Q$375</f>
        <v>0</v>
      </c>
      <c r="AC123" s="41">
        <f>KALKULÁTOR!C123*Q123</f>
        <v>0</v>
      </c>
      <c r="AD123" s="442">
        <f t="shared" si="2"/>
        <v>0</v>
      </c>
      <c r="AE123" s="442"/>
    </row>
    <row r="124" spans="1:39" ht="15.75" thickBot="1" x14ac:dyDescent="0.3">
      <c r="A124" s="516"/>
      <c r="B124" s="491"/>
      <c r="C124" s="81"/>
      <c r="D124" s="17" t="s">
        <v>16</v>
      </c>
      <c r="E124" s="43">
        <v>12</v>
      </c>
      <c r="F124" s="17">
        <v>17</v>
      </c>
      <c r="G124" s="17">
        <v>2.2999999999999998</v>
      </c>
      <c r="H124" s="17">
        <v>8.5</v>
      </c>
      <c r="I124" s="17"/>
      <c r="J124" s="17"/>
      <c r="K124" s="17">
        <v>0.8</v>
      </c>
      <c r="L124" s="17">
        <v>0.3</v>
      </c>
      <c r="M124" s="43"/>
      <c r="N124" s="472" t="s">
        <v>361</v>
      </c>
      <c r="O124" s="472"/>
      <c r="P124" s="472"/>
      <c r="Q124" s="107"/>
      <c r="R124" s="80" t="s">
        <v>149</v>
      </c>
      <c r="S124" s="123">
        <f>$P$11*0</f>
        <v>0</v>
      </c>
      <c r="T124" s="121">
        <f>$P$11*0.1</f>
        <v>10</v>
      </c>
      <c r="U124" s="36">
        <f>KALKULÁTOR!E124*Q124</f>
        <v>0</v>
      </c>
      <c r="V124" s="28">
        <f>KALKULÁTOR!F124*$Q124/$Q$375</f>
        <v>0</v>
      </c>
      <c r="W124" s="28">
        <f>KALKULÁTOR!G124*$Q124/$Q$375</f>
        <v>0</v>
      </c>
      <c r="X124" s="28">
        <f>KALKULÁTOR!H124*$Q124/$Q$375</f>
        <v>0</v>
      </c>
      <c r="Y124" s="28">
        <f>KALKULÁTOR!I124*$Q124/$Q$375</f>
        <v>0</v>
      </c>
      <c r="Z124" s="28">
        <f>KALKULÁTOR!J124*$Q124/$Q$375</f>
        <v>0</v>
      </c>
      <c r="AA124" s="28">
        <f>KALKULÁTOR!K124*$Q124/$Q$375</f>
        <v>0</v>
      </c>
      <c r="AB124" s="28">
        <f>KALKULÁTOR!L124*$Q124/$Q$375</f>
        <v>0</v>
      </c>
      <c r="AC124" s="41">
        <f>KALKULÁTOR!C124*Q124</f>
        <v>0</v>
      </c>
      <c r="AD124" s="442">
        <f t="shared" si="2"/>
        <v>0</v>
      </c>
      <c r="AE124" s="442"/>
      <c r="AF124" s="114" t="s">
        <v>81</v>
      </c>
      <c r="AG124" s="112" t="s">
        <v>82</v>
      </c>
      <c r="AH124" s="112" t="s">
        <v>83</v>
      </c>
      <c r="AI124" s="113" t="s">
        <v>87</v>
      </c>
      <c r="AJ124" s="1"/>
      <c r="AL124" s="8"/>
      <c r="AM124" s="7"/>
    </row>
    <row r="125" spans="1:39" ht="15.75" thickBot="1" x14ac:dyDescent="0.3">
      <c r="A125" s="516"/>
      <c r="B125" s="491"/>
      <c r="C125" s="81"/>
      <c r="D125" s="17" t="s">
        <v>16</v>
      </c>
      <c r="E125" s="43">
        <v>11.4</v>
      </c>
      <c r="F125" s="17">
        <v>23.3</v>
      </c>
      <c r="G125" s="17">
        <v>7.1</v>
      </c>
      <c r="H125" s="17">
        <v>19.5</v>
      </c>
      <c r="I125" s="17">
        <v>0.4</v>
      </c>
      <c r="J125" s="17">
        <v>0.62</v>
      </c>
      <c r="K125" s="17">
        <v>0.64</v>
      </c>
      <c r="L125" s="17">
        <v>0.53</v>
      </c>
      <c r="M125" s="43"/>
      <c r="N125" s="472" t="s">
        <v>362</v>
      </c>
      <c r="O125" s="472"/>
      <c r="P125" s="472"/>
      <c r="Q125" s="145"/>
      <c r="R125" s="80" t="s">
        <v>149</v>
      </c>
      <c r="S125" s="123">
        <f>$P$11*0.1</f>
        <v>10</v>
      </c>
      <c r="T125" s="121">
        <f>$P$11*0.15</f>
        <v>15</v>
      </c>
      <c r="U125" s="36">
        <f>KALKULÁTOR!E125*Q125</f>
        <v>0</v>
      </c>
      <c r="V125" s="28">
        <f>KALKULÁTOR!F125*$Q125/$Q$375</f>
        <v>0</v>
      </c>
      <c r="W125" s="28">
        <f>KALKULÁTOR!G125*$Q125/$Q$375</f>
        <v>0</v>
      </c>
      <c r="X125" s="28">
        <f>KALKULÁTOR!H125*$Q125/$Q$375</f>
        <v>0</v>
      </c>
      <c r="Y125" s="28">
        <f>KALKULÁTOR!I125*$Q125/$Q$375</f>
        <v>0</v>
      </c>
      <c r="Z125" s="28">
        <f>KALKULÁTOR!J125*$Q125/$Q$375</f>
        <v>0</v>
      </c>
      <c r="AA125" s="28">
        <f>KALKULÁTOR!K125*$Q125/$Q$375</f>
        <v>0</v>
      </c>
      <c r="AB125" s="28">
        <f>KALKULÁTOR!L125*$Q125/$Q$375</f>
        <v>0</v>
      </c>
      <c r="AC125" s="41">
        <f>KALKULÁTOR!C125*Q125</f>
        <v>0</v>
      </c>
      <c r="AD125" s="442">
        <f t="shared" si="2"/>
        <v>0</v>
      </c>
      <c r="AE125" s="442"/>
      <c r="AF125" s="114" t="s">
        <v>85</v>
      </c>
      <c r="AG125" s="112"/>
      <c r="AH125" s="112" t="s">
        <v>86</v>
      </c>
      <c r="AI125" s="113" t="s">
        <v>84</v>
      </c>
      <c r="AJ125" s="1"/>
      <c r="AL125" s="8"/>
      <c r="AM125" s="7"/>
    </row>
    <row r="126" spans="1:39" ht="15.75" thickBot="1" x14ac:dyDescent="0.3">
      <c r="A126" s="516"/>
      <c r="B126" s="491"/>
      <c r="C126" s="81"/>
      <c r="D126" s="17" t="s">
        <v>16</v>
      </c>
      <c r="E126" s="43">
        <v>10</v>
      </c>
      <c r="F126" s="17">
        <v>30</v>
      </c>
      <c r="G126" s="17">
        <v>9</v>
      </c>
      <c r="H126" s="17">
        <v>7</v>
      </c>
      <c r="I126" s="17">
        <v>0.01</v>
      </c>
      <c r="J126" s="17">
        <v>0.08</v>
      </c>
      <c r="K126" s="17">
        <v>1.5</v>
      </c>
      <c r="L126" s="17">
        <v>1</v>
      </c>
      <c r="M126" s="43"/>
      <c r="N126" s="472" t="s">
        <v>417</v>
      </c>
      <c r="O126" s="472"/>
      <c r="P126" s="472"/>
      <c r="Q126" s="145"/>
      <c r="R126" s="80" t="s">
        <v>149</v>
      </c>
      <c r="S126" s="334">
        <f>$P$11*0.1</f>
        <v>10</v>
      </c>
      <c r="T126" s="333">
        <f>$P$11*0.15</f>
        <v>15</v>
      </c>
      <c r="U126" s="36">
        <f>KALKULÁTOR!E126*Q126</f>
        <v>0</v>
      </c>
      <c r="V126" s="28">
        <f>KALKULÁTOR!F126*$Q126/$Q$375</f>
        <v>0</v>
      </c>
      <c r="W126" s="28">
        <f>KALKULÁTOR!G126*$Q126/$Q$375</f>
        <v>0</v>
      </c>
      <c r="X126" s="28">
        <f>KALKULÁTOR!H126*$Q126/$Q$375</f>
        <v>0</v>
      </c>
      <c r="Y126" s="28">
        <f>KALKULÁTOR!I126*$Q126/$Q$375</f>
        <v>0</v>
      </c>
      <c r="Z126" s="28">
        <f>KALKULÁTOR!J126*$Q126/$Q$375</f>
        <v>0</v>
      </c>
      <c r="AA126" s="28">
        <f>KALKULÁTOR!K126*$Q126/$Q$375</f>
        <v>0</v>
      </c>
      <c r="AB126" s="28">
        <f>KALKULÁTOR!L126*$Q126/$Q$375</f>
        <v>0</v>
      </c>
      <c r="AC126" s="41">
        <f>KALKULÁTOR!C126*Q126</f>
        <v>0</v>
      </c>
      <c r="AD126" s="442">
        <f t="shared" si="2"/>
        <v>0</v>
      </c>
      <c r="AE126" s="442"/>
      <c r="AF126" s="114" t="s">
        <v>85</v>
      </c>
      <c r="AG126" s="331"/>
      <c r="AH126" s="331" t="s">
        <v>86</v>
      </c>
      <c r="AI126" s="332" t="s">
        <v>84</v>
      </c>
      <c r="AJ126" s="1"/>
      <c r="AL126" s="8"/>
      <c r="AM126" s="7"/>
    </row>
    <row r="127" spans="1:39" ht="15.75" thickBot="1" x14ac:dyDescent="0.3">
      <c r="A127" s="516"/>
      <c r="B127" s="491"/>
      <c r="C127" s="81"/>
      <c r="D127" s="17" t="s">
        <v>16</v>
      </c>
      <c r="E127" s="43">
        <v>13.8</v>
      </c>
      <c r="F127" s="17">
        <v>32</v>
      </c>
      <c r="G127" s="17">
        <v>9</v>
      </c>
      <c r="H127" s="17">
        <v>11</v>
      </c>
      <c r="I127" s="17">
        <v>0.01</v>
      </c>
      <c r="J127" s="17">
        <v>0.08</v>
      </c>
      <c r="K127" s="17">
        <v>1.5</v>
      </c>
      <c r="L127" s="17">
        <v>1</v>
      </c>
      <c r="M127" s="43"/>
      <c r="N127" s="472" t="s">
        <v>455</v>
      </c>
      <c r="O127" s="472"/>
      <c r="P127" s="472"/>
      <c r="Q127" s="107"/>
      <c r="R127" s="80" t="s">
        <v>149</v>
      </c>
      <c r="S127" s="421">
        <f>$P$11*0.1</f>
        <v>10</v>
      </c>
      <c r="T127" s="420">
        <f>$P$11*0.15</f>
        <v>15</v>
      </c>
      <c r="U127" s="36">
        <f>KALKULÁTOR!E127*Q127</f>
        <v>0</v>
      </c>
      <c r="V127" s="28">
        <f>KALKULÁTOR!F127*$Q127/$Q$375</f>
        <v>0</v>
      </c>
      <c r="W127" s="28">
        <f>KALKULÁTOR!G127*$Q127/$Q$375</f>
        <v>0</v>
      </c>
      <c r="X127" s="28">
        <f>KALKULÁTOR!H127*$Q127/$Q$375</f>
        <v>0</v>
      </c>
      <c r="Y127" s="28">
        <f>KALKULÁTOR!I127*$Q127/$Q$375</f>
        <v>0</v>
      </c>
      <c r="Z127" s="28">
        <f>KALKULÁTOR!J127*$Q127/$Q$375</f>
        <v>0</v>
      </c>
      <c r="AA127" s="28">
        <f>KALKULÁTOR!K127*$Q127/$Q$375</f>
        <v>0</v>
      </c>
      <c r="AB127" s="28">
        <f>KALKULÁTOR!L127*$Q127/$Q$375</f>
        <v>0</v>
      </c>
      <c r="AC127" s="41">
        <f>KALKULÁTOR!C127*Q127</f>
        <v>0</v>
      </c>
      <c r="AD127" s="442">
        <f t="shared" si="2"/>
        <v>0</v>
      </c>
      <c r="AE127" s="442"/>
      <c r="AF127" s="114" t="s">
        <v>85</v>
      </c>
      <c r="AG127" s="418"/>
      <c r="AH127" s="418" t="s">
        <v>86</v>
      </c>
      <c r="AI127" s="419" t="s">
        <v>84</v>
      </c>
      <c r="AJ127" s="1"/>
      <c r="AL127" s="8"/>
      <c r="AM127" s="7"/>
    </row>
    <row r="128" spans="1:39" x14ac:dyDescent="0.25">
      <c r="A128" s="516"/>
      <c r="B128" s="491"/>
      <c r="C128" s="81"/>
      <c r="D128" s="17" t="s">
        <v>16</v>
      </c>
      <c r="E128" s="43">
        <v>11.09</v>
      </c>
      <c r="F128" s="17">
        <v>28.5</v>
      </c>
      <c r="G128" s="17">
        <v>1.1000000000000001</v>
      </c>
      <c r="H128" s="17">
        <v>15.1</v>
      </c>
      <c r="I128" s="17">
        <v>0.23</v>
      </c>
      <c r="J128" s="17">
        <v>0.79</v>
      </c>
      <c r="K128" s="17"/>
      <c r="L128" s="17"/>
      <c r="M128" s="43"/>
      <c r="N128" s="472" t="s">
        <v>369</v>
      </c>
      <c r="O128" s="472"/>
      <c r="P128" s="472"/>
      <c r="Q128" s="107"/>
      <c r="R128" s="79" t="s">
        <v>149</v>
      </c>
      <c r="S128" s="123">
        <f>$P$11*0.02</f>
        <v>2</v>
      </c>
      <c r="T128" s="121">
        <f>$P$11*0.05</f>
        <v>5</v>
      </c>
      <c r="U128" s="36">
        <f>KALKULÁTOR!E128*Q128</f>
        <v>0</v>
      </c>
      <c r="V128" s="28">
        <f>KALKULÁTOR!F128*$Q128/$Q$375</f>
        <v>0</v>
      </c>
      <c r="W128" s="28">
        <f>KALKULÁTOR!G128*$Q128/$Q$375</f>
        <v>0</v>
      </c>
      <c r="X128" s="28">
        <f>KALKULÁTOR!H128*$Q128/$Q$375</f>
        <v>0</v>
      </c>
      <c r="Y128" s="28">
        <f>KALKULÁTOR!I128*$Q128/$Q$375</f>
        <v>0</v>
      </c>
      <c r="Z128" s="28">
        <f>KALKULÁTOR!J128*$Q128/$Q$375</f>
        <v>0</v>
      </c>
      <c r="AA128" s="28">
        <f>KALKULÁTOR!K128*$Q128/$Q$375</f>
        <v>0</v>
      </c>
      <c r="AB128" s="28">
        <f>KALKULÁTOR!L128*$Q128/$Q$375</f>
        <v>0</v>
      </c>
      <c r="AC128" s="41">
        <f>KALKULÁTOR!C128*Q128</f>
        <v>0</v>
      </c>
      <c r="AD128" s="442">
        <f t="shared" ref="AD128:AD198" si="3">IF(AND(Q128&gt;T128),1,0)</f>
        <v>0</v>
      </c>
      <c r="AE128" s="442"/>
      <c r="AF128" s="65"/>
      <c r="AG128" s="65"/>
      <c r="AH128" s="34"/>
      <c r="AI128" s="65"/>
    </row>
    <row r="129" spans="1:36" x14ac:dyDescent="0.25">
      <c r="A129" s="516"/>
      <c r="B129" s="491"/>
      <c r="C129" s="81"/>
      <c r="D129" s="17" t="s">
        <v>16</v>
      </c>
      <c r="E129" s="43">
        <v>9.74</v>
      </c>
      <c r="F129" s="17">
        <v>20</v>
      </c>
      <c r="G129" s="17">
        <v>2</v>
      </c>
      <c r="H129" s="17">
        <v>12.5</v>
      </c>
      <c r="I129" s="17">
        <v>0.21</v>
      </c>
      <c r="J129" s="17">
        <v>0.5</v>
      </c>
      <c r="K129" s="17">
        <v>0.9</v>
      </c>
      <c r="L129" s="17">
        <v>0.3</v>
      </c>
      <c r="M129" s="43"/>
      <c r="N129" s="472" t="s">
        <v>366</v>
      </c>
      <c r="O129" s="472"/>
      <c r="P129" s="472"/>
      <c r="Q129" s="145"/>
      <c r="R129" s="79" t="s">
        <v>149</v>
      </c>
      <c r="S129" s="123">
        <f>$P$11*0.02</f>
        <v>2</v>
      </c>
      <c r="T129" s="121">
        <f>$P$11*0.05</f>
        <v>5</v>
      </c>
      <c r="U129" s="36">
        <f>KALKULÁTOR!E129*Q129</f>
        <v>0</v>
      </c>
      <c r="V129" s="28">
        <f>KALKULÁTOR!F129*$Q129/$Q$375</f>
        <v>0</v>
      </c>
      <c r="W129" s="28">
        <f>KALKULÁTOR!G129*$Q129/$Q$375</f>
        <v>0</v>
      </c>
      <c r="X129" s="28">
        <f>KALKULÁTOR!H129*$Q129/$Q$375</f>
        <v>0</v>
      </c>
      <c r="Y129" s="28">
        <f>KALKULÁTOR!I129*$Q129/$Q$375</f>
        <v>0</v>
      </c>
      <c r="Z129" s="28">
        <f>KALKULÁTOR!J129*$Q129/$Q$375</f>
        <v>0</v>
      </c>
      <c r="AA129" s="28">
        <f>KALKULÁTOR!K129*$Q129/$Q$375</f>
        <v>0</v>
      </c>
      <c r="AB129" s="28">
        <f>KALKULÁTOR!L129*$Q129/$Q$375</f>
        <v>0</v>
      </c>
      <c r="AC129" s="41">
        <f>KALKULÁTOR!C129*Q129</f>
        <v>0</v>
      </c>
      <c r="AD129" s="442">
        <f t="shared" si="3"/>
        <v>0</v>
      </c>
      <c r="AE129" s="442"/>
    </row>
    <row r="130" spans="1:36" x14ac:dyDescent="0.25">
      <c r="A130" s="516"/>
      <c r="B130" s="491"/>
      <c r="C130" s="81"/>
      <c r="D130" s="17" t="s">
        <v>16</v>
      </c>
      <c r="E130" s="43">
        <v>11.83</v>
      </c>
      <c r="F130" s="17">
        <v>48.9</v>
      </c>
      <c r="G130" s="17">
        <v>1.1000000000000001</v>
      </c>
      <c r="H130" s="17">
        <v>0</v>
      </c>
      <c r="I130" s="17"/>
      <c r="J130" s="17"/>
      <c r="K130" s="17">
        <v>3.15</v>
      </c>
      <c r="L130" s="17">
        <v>0.68</v>
      </c>
      <c r="M130" s="43"/>
      <c r="N130" s="472" t="s">
        <v>365</v>
      </c>
      <c r="O130" s="472"/>
      <c r="P130" s="472"/>
      <c r="Q130" s="145"/>
      <c r="R130" s="79" t="s">
        <v>149</v>
      </c>
      <c r="S130" s="123">
        <f>$P$11*0.02</f>
        <v>2</v>
      </c>
      <c r="T130" s="121">
        <f>$P$11*0.1</f>
        <v>10</v>
      </c>
      <c r="U130" s="36">
        <f>KALKULÁTOR!E130*Q130</f>
        <v>0</v>
      </c>
      <c r="V130" s="28">
        <f>KALKULÁTOR!F130*$Q130/$Q$375</f>
        <v>0</v>
      </c>
      <c r="W130" s="28">
        <f>KALKULÁTOR!G130*$Q130/$Q$375</f>
        <v>0</v>
      </c>
      <c r="X130" s="28">
        <f>KALKULÁTOR!H130*$Q130/$Q$375</f>
        <v>0</v>
      </c>
      <c r="Y130" s="28">
        <f>KALKULÁTOR!I130*$Q130/$Q$375</f>
        <v>0</v>
      </c>
      <c r="Z130" s="28">
        <f>KALKULÁTOR!J130*$Q130/$Q$375</f>
        <v>0</v>
      </c>
      <c r="AA130" s="28">
        <f>KALKULÁTOR!K130*$Q130/$Q$375</f>
        <v>0</v>
      </c>
      <c r="AB130" s="28">
        <f>KALKULÁTOR!L130*$Q130/$Q$375</f>
        <v>0</v>
      </c>
      <c r="AC130" s="41">
        <f>KALKULÁTOR!C130*Q130</f>
        <v>0</v>
      </c>
      <c r="AD130" s="442">
        <f t="shared" si="3"/>
        <v>0</v>
      </c>
      <c r="AE130" s="442"/>
    </row>
    <row r="131" spans="1:36" x14ac:dyDescent="0.25">
      <c r="A131" s="516"/>
      <c r="B131" s="491"/>
      <c r="C131" s="81"/>
      <c r="D131" s="17" t="s">
        <v>16</v>
      </c>
      <c r="E131" s="43">
        <v>13.04</v>
      </c>
      <c r="F131" s="17">
        <v>53.9</v>
      </c>
      <c r="G131" s="17">
        <v>1.3</v>
      </c>
      <c r="H131" s="17">
        <v>0</v>
      </c>
      <c r="I131" s="17">
        <v>0.35</v>
      </c>
      <c r="J131" s="17">
        <v>1.55</v>
      </c>
      <c r="K131" s="17"/>
      <c r="L131" s="17"/>
      <c r="M131" s="43"/>
      <c r="N131" s="472" t="s">
        <v>145</v>
      </c>
      <c r="O131" s="472"/>
      <c r="P131" s="472"/>
      <c r="Q131" s="107"/>
      <c r="R131" s="79" t="s">
        <v>149</v>
      </c>
      <c r="S131" s="123">
        <f>$P$11*0.02</f>
        <v>2</v>
      </c>
      <c r="T131" s="121">
        <f>$P$11*0.1</f>
        <v>10</v>
      </c>
      <c r="U131" s="36">
        <f>KALKULÁTOR!E131*Q131</f>
        <v>0</v>
      </c>
      <c r="V131" s="28">
        <f>KALKULÁTOR!F131*$Q131/$Q$375</f>
        <v>0</v>
      </c>
      <c r="W131" s="28">
        <f>KALKULÁTOR!G131*$Q131/$Q$375</f>
        <v>0</v>
      </c>
      <c r="X131" s="28">
        <f>KALKULÁTOR!H131*$Q131/$Q$375</f>
        <v>0</v>
      </c>
      <c r="Y131" s="28">
        <f>KALKULÁTOR!I131*$Q131/$Q$375</f>
        <v>0</v>
      </c>
      <c r="Z131" s="28">
        <f>KALKULÁTOR!J131*$Q131/$Q$375</f>
        <v>0</v>
      </c>
      <c r="AA131" s="28">
        <f>KALKULÁTOR!K131*$Q131/$Q$375</f>
        <v>0</v>
      </c>
      <c r="AB131" s="28">
        <f>KALKULÁTOR!L131*$Q131/$Q$375</f>
        <v>0</v>
      </c>
      <c r="AC131" s="41">
        <f>KALKULÁTOR!C131*Q131</f>
        <v>0</v>
      </c>
      <c r="AD131" s="442">
        <f t="shared" si="3"/>
        <v>0</v>
      </c>
      <c r="AE131" s="442"/>
    </row>
    <row r="132" spans="1:36" x14ac:dyDescent="0.25">
      <c r="A132" s="516"/>
      <c r="B132" s="491"/>
      <c r="C132" s="81"/>
      <c r="D132" s="17" t="s">
        <v>16</v>
      </c>
      <c r="E132" s="43">
        <v>12</v>
      </c>
      <c r="F132" s="17">
        <v>45</v>
      </c>
      <c r="G132" s="17">
        <v>1.5</v>
      </c>
      <c r="H132" s="17">
        <v>0</v>
      </c>
      <c r="I132" s="17">
        <v>0.35</v>
      </c>
      <c r="J132" s="17">
        <v>1.55</v>
      </c>
      <c r="K132" s="17"/>
      <c r="L132" s="17"/>
      <c r="M132" s="43"/>
      <c r="N132" s="472" t="s">
        <v>379</v>
      </c>
      <c r="O132" s="472"/>
      <c r="P132" s="472"/>
      <c r="Q132" s="107"/>
      <c r="R132" s="79" t="s">
        <v>149</v>
      </c>
      <c r="S132" s="281">
        <f>$P$11*0.02</f>
        <v>2</v>
      </c>
      <c r="T132" s="280">
        <f>$P$11*0.1</f>
        <v>10</v>
      </c>
      <c r="U132" s="36">
        <f>KALKULÁTOR!E132*Q132</f>
        <v>0</v>
      </c>
      <c r="V132" s="28">
        <f>KALKULÁTOR!F132*$Q132/$Q$375</f>
        <v>0</v>
      </c>
      <c r="W132" s="28">
        <f>KALKULÁTOR!G132*$Q132/$Q$375</f>
        <v>0</v>
      </c>
      <c r="X132" s="28">
        <f>KALKULÁTOR!H132*$Q132/$Q$375</f>
        <v>0</v>
      </c>
      <c r="Y132" s="28">
        <f>KALKULÁTOR!I132*$Q132/$Q$375</f>
        <v>0</v>
      </c>
      <c r="Z132" s="28">
        <f>KALKULÁTOR!J132*$Q132/$Q$375</f>
        <v>0</v>
      </c>
      <c r="AA132" s="28">
        <f>KALKULÁTOR!K132*$Q132/$Q$375</f>
        <v>0</v>
      </c>
      <c r="AB132" s="28">
        <f>KALKULÁTOR!L132*$Q132/$Q$375</f>
        <v>0</v>
      </c>
      <c r="AC132" s="41">
        <f>KALKULÁTOR!C132*Q132</f>
        <v>0</v>
      </c>
      <c r="AD132" s="442">
        <f t="shared" si="3"/>
        <v>0</v>
      </c>
      <c r="AE132" s="442"/>
    </row>
    <row r="133" spans="1:36" s="3" customFormat="1" x14ac:dyDescent="0.25">
      <c r="A133" s="516"/>
      <c r="B133" s="491"/>
      <c r="C133" s="81"/>
      <c r="D133" s="17" t="s">
        <v>16</v>
      </c>
      <c r="E133" s="43"/>
      <c r="F133" s="17">
        <v>40</v>
      </c>
      <c r="G133" s="17">
        <v>4</v>
      </c>
      <c r="H133" s="17">
        <v>1</v>
      </c>
      <c r="I133" s="17"/>
      <c r="J133" s="17"/>
      <c r="K133" s="17">
        <v>2.19</v>
      </c>
      <c r="L133" s="17">
        <v>1.06</v>
      </c>
      <c r="M133" s="43"/>
      <c r="N133" s="472" t="s">
        <v>351</v>
      </c>
      <c r="O133" s="472"/>
      <c r="P133" s="472"/>
      <c r="Q133" s="145"/>
      <c r="R133" s="79" t="s">
        <v>149</v>
      </c>
      <c r="S133" s="123">
        <f>$P$11*0.02</f>
        <v>2</v>
      </c>
      <c r="T133" s="121">
        <f>$P$11*0.1</f>
        <v>10</v>
      </c>
      <c r="U133" s="36">
        <f>KALKULÁTOR!E133*Q133</f>
        <v>0</v>
      </c>
      <c r="V133" s="28">
        <f>KALKULÁTOR!F133*$Q133/$Q$375</f>
        <v>0</v>
      </c>
      <c r="W133" s="28">
        <f>KALKULÁTOR!G133*$Q133/$Q$375</f>
        <v>0</v>
      </c>
      <c r="X133" s="28">
        <f>KALKULÁTOR!H133*$Q133/$Q$375</f>
        <v>0</v>
      </c>
      <c r="Y133" s="28">
        <f>KALKULÁTOR!I133*$Q133/$Q$375</f>
        <v>0</v>
      </c>
      <c r="Z133" s="28">
        <f>KALKULÁTOR!J133*$Q133/$Q$375</f>
        <v>0</v>
      </c>
      <c r="AA133" s="28">
        <f>KALKULÁTOR!K133*$Q133/$Q$375</f>
        <v>0</v>
      </c>
      <c r="AB133" s="28">
        <f>KALKULÁTOR!L133*$Q133/$Q$375</f>
        <v>0</v>
      </c>
      <c r="AC133" s="41">
        <f>KALKULÁTOR!C133*Q133</f>
        <v>0</v>
      </c>
      <c r="AD133" s="442">
        <f t="shared" si="3"/>
        <v>0</v>
      </c>
      <c r="AE133" s="442"/>
      <c r="AH133" s="8"/>
      <c r="AI133" s="7"/>
      <c r="AJ133" s="7"/>
    </row>
    <row r="134" spans="1:36" x14ac:dyDescent="0.25">
      <c r="A134" s="516"/>
      <c r="B134" s="491"/>
      <c r="C134" s="81"/>
      <c r="D134" s="17" t="s">
        <v>16</v>
      </c>
      <c r="E134" s="43">
        <v>10.1</v>
      </c>
      <c r="F134" s="17">
        <v>26.7</v>
      </c>
      <c r="G134" s="17">
        <v>8.8000000000000007</v>
      </c>
      <c r="H134" s="17">
        <v>16.7</v>
      </c>
      <c r="I134" s="17">
        <v>0.28999999999999998</v>
      </c>
      <c r="J134" s="17">
        <v>0.53</v>
      </c>
      <c r="K134" s="17">
        <v>0.68</v>
      </c>
      <c r="L134" s="17">
        <v>0.4</v>
      </c>
      <c r="M134" s="43"/>
      <c r="N134" s="472" t="s">
        <v>370</v>
      </c>
      <c r="O134" s="472"/>
      <c r="P134" s="472"/>
      <c r="Q134" s="145"/>
      <c r="R134" s="79" t="s">
        <v>149</v>
      </c>
      <c r="S134" s="123">
        <f>$P$11*0.02</f>
        <v>2</v>
      </c>
      <c r="T134" s="121">
        <f>$P$11*0.1</f>
        <v>10</v>
      </c>
      <c r="U134" s="36">
        <f>KALKULÁTOR!E134*Q134</f>
        <v>0</v>
      </c>
      <c r="V134" s="28">
        <f>KALKULÁTOR!F134*$Q134/$Q$375</f>
        <v>0</v>
      </c>
      <c r="W134" s="28">
        <f>KALKULÁTOR!G134*$Q134/$Q$375</f>
        <v>0</v>
      </c>
      <c r="X134" s="28">
        <f>KALKULÁTOR!H134*$Q134/$Q$375</f>
        <v>0</v>
      </c>
      <c r="Y134" s="28">
        <f>KALKULÁTOR!I134*$Q134/$Q$375</f>
        <v>0</v>
      </c>
      <c r="Z134" s="28">
        <f>KALKULÁTOR!J134*$Q134/$Q$375</f>
        <v>0</v>
      </c>
      <c r="AA134" s="28">
        <f>KALKULÁTOR!K134*$Q134/$Q$375</f>
        <v>0</v>
      </c>
      <c r="AB134" s="28">
        <f>KALKULÁTOR!L134*$Q134/$Q$375</f>
        <v>0</v>
      </c>
      <c r="AC134" s="41">
        <f>KALKULÁTOR!C134*Q134</f>
        <v>0</v>
      </c>
      <c r="AD134" s="442">
        <f t="shared" si="3"/>
        <v>0</v>
      </c>
      <c r="AE134" s="442"/>
    </row>
    <row r="135" spans="1:36" s="11" customFormat="1" ht="15.75" thickBot="1" x14ac:dyDescent="0.3">
      <c r="A135" s="516"/>
      <c r="B135" s="492"/>
      <c r="C135" s="94"/>
      <c r="D135" s="95" t="s">
        <v>16</v>
      </c>
      <c r="E135" s="22">
        <v>11.83</v>
      </c>
      <c r="F135" s="119">
        <v>45</v>
      </c>
      <c r="G135" s="119">
        <v>4</v>
      </c>
      <c r="H135" s="119">
        <v>4.3</v>
      </c>
      <c r="I135" s="119">
        <v>0.18</v>
      </c>
      <c r="J135" s="119">
        <v>1.48</v>
      </c>
      <c r="K135" s="119">
        <v>2.4</v>
      </c>
      <c r="L135" s="119">
        <v>1.9</v>
      </c>
      <c r="M135" s="118"/>
      <c r="N135" s="476" t="s">
        <v>146</v>
      </c>
      <c r="O135" s="476"/>
      <c r="P135" s="476"/>
      <c r="Q135" s="107"/>
      <c r="R135" s="96" t="s">
        <v>149</v>
      </c>
      <c r="S135" s="264">
        <f>$P$11*0.02</f>
        <v>2</v>
      </c>
      <c r="T135" s="261">
        <f>$P$11*0.1</f>
        <v>10</v>
      </c>
      <c r="U135" s="22">
        <f>KALKULÁTOR!E135*Q135</f>
        <v>0</v>
      </c>
      <c r="V135" s="48">
        <f>KALKULÁTOR!F135*$Q135/$Q$375</f>
        <v>0</v>
      </c>
      <c r="W135" s="48">
        <f>KALKULÁTOR!G135*$Q135/$Q$375</f>
        <v>0</v>
      </c>
      <c r="X135" s="48">
        <f>KALKULÁTOR!H135*$Q135/$Q$375</f>
        <v>0</v>
      </c>
      <c r="Y135" s="48">
        <f>KALKULÁTOR!I135*$Q135/$Q$375</f>
        <v>0</v>
      </c>
      <c r="Z135" s="48">
        <f>KALKULÁTOR!J135*$Q135/$Q$375</f>
        <v>0</v>
      </c>
      <c r="AA135" s="48">
        <f>KALKULÁTOR!K135*$Q135/$Q$375</f>
        <v>0</v>
      </c>
      <c r="AB135" s="48">
        <f>KALKULÁTOR!L135*$Q135/$Q$375</f>
        <v>0</v>
      </c>
      <c r="AC135" s="49">
        <f>KALKULÁTOR!C135*Q135</f>
        <v>0</v>
      </c>
      <c r="AD135" s="442">
        <f t="shared" si="3"/>
        <v>0</v>
      </c>
      <c r="AE135" s="442"/>
      <c r="AH135" s="8"/>
      <c r="AI135" s="7"/>
      <c r="AJ135" s="7"/>
    </row>
    <row r="136" spans="1:36" s="11" customFormat="1" x14ac:dyDescent="0.25">
      <c r="A136" s="517"/>
      <c r="B136" s="482" t="s">
        <v>57</v>
      </c>
      <c r="C136" s="265"/>
      <c r="D136" s="25" t="s">
        <v>16</v>
      </c>
      <c r="E136" s="42">
        <v>17.11</v>
      </c>
      <c r="F136" s="30">
        <v>0.7</v>
      </c>
      <c r="G136" s="30">
        <v>0.1</v>
      </c>
      <c r="H136" s="30">
        <v>0.2</v>
      </c>
      <c r="I136" s="30">
        <v>0</v>
      </c>
      <c r="J136" s="30">
        <v>0.03</v>
      </c>
      <c r="K136" s="30"/>
      <c r="L136" s="30"/>
      <c r="M136" s="42"/>
      <c r="N136" s="477" t="s">
        <v>382</v>
      </c>
      <c r="O136" s="477"/>
      <c r="P136" s="477"/>
      <c r="Q136" s="107"/>
      <c r="R136" s="66" t="s">
        <v>149</v>
      </c>
      <c r="S136" s="262">
        <f>$P$11*0.02</f>
        <v>2</v>
      </c>
      <c r="T136" s="259">
        <f>$P$11*0.05</f>
        <v>5</v>
      </c>
      <c r="U136" s="37">
        <f>KALKULÁTOR!E136*Q136</f>
        <v>0</v>
      </c>
      <c r="V136" s="26">
        <f>KALKULÁTOR!F136*$Q136/$Q$375</f>
        <v>0</v>
      </c>
      <c r="W136" s="26">
        <f>KALKULÁTOR!G136*$Q136/$Q$375</f>
        <v>0</v>
      </c>
      <c r="X136" s="26">
        <f>KALKULÁTOR!H136*$Q136/$Q$375</f>
        <v>0</v>
      </c>
      <c r="Y136" s="26">
        <f>KALKULÁTOR!I136*$Q136/$Q$375</f>
        <v>0</v>
      </c>
      <c r="Z136" s="26">
        <f>KALKULÁTOR!J136*$Q136/$Q$375</f>
        <v>0</v>
      </c>
      <c r="AA136" s="26">
        <f>KALKULÁTOR!K136*$Q136/$Q$375</f>
        <v>0</v>
      </c>
      <c r="AB136" s="26">
        <f>KALKULÁTOR!L136*$Q136/$Q$375</f>
        <v>0</v>
      </c>
      <c r="AC136" s="40">
        <f>KALKULÁTOR!C136*Q136</f>
        <v>0</v>
      </c>
      <c r="AD136" s="442">
        <f t="shared" si="3"/>
        <v>0</v>
      </c>
      <c r="AE136" s="442"/>
      <c r="AH136" s="8"/>
      <c r="AI136" s="7"/>
      <c r="AJ136" s="7"/>
    </row>
    <row r="137" spans="1:36" s="11" customFormat="1" x14ac:dyDescent="0.25">
      <c r="A137" s="517"/>
      <c r="B137" s="483"/>
      <c r="C137" s="267"/>
      <c r="D137" s="27" t="s">
        <v>16</v>
      </c>
      <c r="E137" s="43">
        <v>15</v>
      </c>
      <c r="F137" s="17">
        <v>58.5</v>
      </c>
      <c r="G137" s="17">
        <v>5</v>
      </c>
      <c r="H137" s="17">
        <v>0.94</v>
      </c>
      <c r="I137" s="17">
        <v>2.8000000000000001E-2</v>
      </c>
      <c r="J137" s="17">
        <v>0.49</v>
      </c>
      <c r="K137" s="17">
        <v>1.05</v>
      </c>
      <c r="L137" s="17">
        <v>1.39</v>
      </c>
      <c r="M137" s="43"/>
      <c r="N137" s="472" t="s">
        <v>416</v>
      </c>
      <c r="O137" s="472"/>
      <c r="P137" s="472"/>
      <c r="Q137" s="145"/>
      <c r="R137" s="79" t="s">
        <v>149</v>
      </c>
      <c r="S137" s="334">
        <f>$P$11*0.02</f>
        <v>2</v>
      </c>
      <c r="T137" s="333">
        <f>$P$11*0.05</f>
        <v>5</v>
      </c>
      <c r="U137" s="36">
        <f>KALKULÁTOR!E137*Q137</f>
        <v>0</v>
      </c>
      <c r="V137" s="28">
        <f>KALKULÁTOR!F137*$Q137/$Q$375</f>
        <v>0</v>
      </c>
      <c r="W137" s="28">
        <f>KALKULÁTOR!G137*$Q137/$Q$375</f>
        <v>0</v>
      </c>
      <c r="X137" s="28">
        <f>KALKULÁTOR!H137*$Q137/$Q$375</f>
        <v>0</v>
      </c>
      <c r="Y137" s="28">
        <f>KALKULÁTOR!I137*$Q137/$Q$375</f>
        <v>0</v>
      </c>
      <c r="Z137" s="28">
        <f>KALKULÁTOR!J137*$Q137/$Q$375</f>
        <v>0</v>
      </c>
      <c r="AA137" s="28">
        <f>KALKULÁTOR!K137*$Q137/$Q$375</f>
        <v>0</v>
      </c>
      <c r="AB137" s="28">
        <f>KALKULÁTOR!L137*$Q137/$Q$375</f>
        <v>0</v>
      </c>
      <c r="AC137" s="41">
        <f>KALKULÁTOR!C137*Q137</f>
        <v>0</v>
      </c>
      <c r="AD137" s="442">
        <f t="shared" si="3"/>
        <v>0</v>
      </c>
      <c r="AE137" s="442"/>
      <c r="AH137" s="8"/>
      <c r="AI137" s="7"/>
      <c r="AJ137" s="7"/>
    </row>
    <row r="138" spans="1:36" s="10" customFormat="1" ht="15" customHeight="1" x14ac:dyDescent="0.25">
      <c r="A138" s="517"/>
      <c r="B138" s="484"/>
      <c r="C138" s="267"/>
      <c r="D138" s="27" t="s">
        <v>16</v>
      </c>
      <c r="E138" s="43">
        <v>13.69</v>
      </c>
      <c r="F138" s="17">
        <v>60</v>
      </c>
      <c r="G138" s="17">
        <v>2</v>
      </c>
      <c r="H138" s="17">
        <v>3</v>
      </c>
      <c r="I138" s="17">
        <v>7.0000000000000007E-2</v>
      </c>
      <c r="J138" s="17">
        <v>0.48</v>
      </c>
      <c r="K138" s="17">
        <v>1</v>
      </c>
      <c r="L138" s="17">
        <v>1.5</v>
      </c>
      <c r="M138" s="43"/>
      <c r="N138" s="472" t="s">
        <v>358</v>
      </c>
      <c r="O138" s="472"/>
      <c r="P138" s="472"/>
      <c r="Q138" s="145"/>
      <c r="R138" s="79" t="s">
        <v>149</v>
      </c>
      <c r="S138" s="263">
        <f>$P$11*0.02</f>
        <v>2</v>
      </c>
      <c r="T138" s="260">
        <f>$P$11*0.05</f>
        <v>5</v>
      </c>
      <c r="U138" s="36">
        <f>KALKULÁTOR!E138*Q138</f>
        <v>0</v>
      </c>
      <c r="V138" s="28">
        <f>KALKULÁTOR!F138*$Q138/$Q$375</f>
        <v>0</v>
      </c>
      <c r="W138" s="28">
        <f>KALKULÁTOR!G138*$Q138/$Q$375</f>
        <v>0</v>
      </c>
      <c r="X138" s="28">
        <f>KALKULÁTOR!H138*$Q138/$Q$375</f>
        <v>0</v>
      </c>
      <c r="Y138" s="28">
        <f>KALKULÁTOR!I138*$Q138/$Q$375</f>
        <v>0</v>
      </c>
      <c r="Z138" s="28">
        <f>KALKULÁTOR!J138*$Q138/$Q$375</f>
        <v>0</v>
      </c>
      <c r="AA138" s="28">
        <f>KALKULÁTOR!K138*$Q138/$Q$375</f>
        <v>0</v>
      </c>
      <c r="AB138" s="28">
        <f>KALKULÁTOR!L138*$Q138/$Q$375</f>
        <v>0</v>
      </c>
      <c r="AC138" s="41">
        <f>KALKULÁTOR!C138*Q138</f>
        <v>0</v>
      </c>
      <c r="AD138" s="442">
        <f t="shared" si="3"/>
        <v>0</v>
      </c>
      <c r="AE138" s="442"/>
      <c r="AH138" s="8"/>
      <c r="AI138" s="7"/>
      <c r="AJ138" s="2"/>
    </row>
    <row r="139" spans="1:36" s="10" customFormat="1" x14ac:dyDescent="0.25">
      <c r="A139" s="517"/>
      <c r="B139" s="484"/>
      <c r="C139" s="267"/>
      <c r="D139" s="27" t="s">
        <v>16</v>
      </c>
      <c r="E139" s="43">
        <v>7.99</v>
      </c>
      <c r="F139" s="17">
        <v>25.7</v>
      </c>
      <c r="G139" s="17">
        <v>2.1</v>
      </c>
      <c r="H139" s="17">
        <v>9.1</v>
      </c>
      <c r="I139" s="17">
        <v>0.09</v>
      </c>
      <c r="J139" s="17">
        <v>0.57999999999999996</v>
      </c>
      <c r="K139" s="17"/>
      <c r="L139" s="17"/>
      <c r="M139" s="43"/>
      <c r="N139" s="472" t="s">
        <v>359</v>
      </c>
      <c r="O139" s="472"/>
      <c r="P139" s="472"/>
      <c r="Q139" s="107"/>
      <c r="R139" s="79" t="s">
        <v>149</v>
      </c>
      <c r="S139" s="263">
        <f>$P$11*0</f>
        <v>0</v>
      </c>
      <c r="T139" s="260">
        <f>$P$11*0.05</f>
        <v>5</v>
      </c>
      <c r="U139" s="36">
        <f>KALKULÁTOR!E139*Q139</f>
        <v>0</v>
      </c>
      <c r="V139" s="28">
        <f>KALKULÁTOR!F139*$Q139/$Q$375</f>
        <v>0</v>
      </c>
      <c r="W139" s="28">
        <f>KALKULÁTOR!G139*$Q139/$Q$375</f>
        <v>0</v>
      </c>
      <c r="X139" s="28">
        <f>KALKULÁTOR!H139*$Q139/$Q$375</f>
        <v>0</v>
      </c>
      <c r="Y139" s="28">
        <f>KALKULÁTOR!I139*$Q139/$Q$375</f>
        <v>0</v>
      </c>
      <c r="Z139" s="28">
        <f>KALKULÁTOR!J139*$Q139/$Q$375</f>
        <v>0</v>
      </c>
      <c r="AA139" s="28">
        <f>KALKULÁTOR!K139*$Q139/$Q$375</f>
        <v>0</v>
      </c>
      <c r="AB139" s="28">
        <f>KALKULÁTOR!L139*$Q139/$Q$375</f>
        <v>0</v>
      </c>
      <c r="AC139" s="41">
        <f>KALKULÁTOR!C139*Q139</f>
        <v>0</v>
      </c>
      <c r="AD139" s="442">
        <f t="shared" si="3"/>
        <v>0</v>
      </c>
      <c r="AE139" s="442"/>
      <c r="AH139" s="8"/>
      <c r="AI139" s="7"/>
      <c r="AJ139" s="2"/>
    </row>
    <row r="140" spans="1:36" x14ac:dyDescent="0.25">
      <c r="A140" s="517"/>
      <c r="B140" s="484"/>
      <c r="C140" s="267"/>
      <c r="D140" s="27" t="s">
        <v>16</v>
      </c>
      <c r="E140" s="43">
        <v>10.27</v>
      </c>
      <c r="F140" s="17">
        <v>22.5</v>
      </c>
      <c r="G140" s="17">
        <v>3.1</v>
      </c>
      <c r="H140" s="17">
        <v>9.1</v>
      </c>
      <c r="I140" s="17">
        <v>0.08</v>
      </c>
      <c r="J140" s="17">
        <v>0.71</v>
      </c>
      <c r="K140" s="17"/>
      <c r="L140" s="17"/>
      <c r="M140" s="43"/>
      <c r="N140" s="472" t="s">
        <v>360</v>
      </c>
      <c r="O140" s="472"/>
      <c r="P140" s="472"/>
      <c r="Q140" s="107"/>
      <c r="R140" s="79" t="s">
        <v>149</v>
      </c>
      <c r="S140" s="263">
        <f>$P$11*0.02</f>
        <v>2</v>
      </c>
      <c r="T140" s="260">
        <f>$P$11*0.08</f>
        <v>8</v>
      </c>
      <c r="U140" s="36">
        <f>KALKULÁTOR!E140*Q140</f>
        <v>0</v>
      </c>
      <c r="V140" s="28">
        <f>KALKULÁTOR!F140*$Q140/$Q$375</f>
        <v>0</v>
      </c>
      <c r="W140" s="28">
        <f>KALKULÁTOR!G140*$Q140/$Q$375</f>
        <v>0</v>
      </c>
      <c r="X140" s="28">
        <f>KALKULÁTOR!H140*$Q140/$Q$375</f>
        <v>0</v>
      </c>
      <c r="Y140" s="28">
        <f>KALKULÁTOR!I140*$Q140/$Q$375</f>
        <v>0</v>
      </c>
      <c r="Z140" s="28">
        <f>KALKULÁTOR!J140*$Q140/$Q$375</f>
        <v>0</v>
      </c>
      <c r="AA140" s="28">
        <f>KALKULÁTOR!K140*$Q140/$Q$375</f>
        <v>0</v>
      </c>
      <c r="AB140" s="28">
        <f>KALKULÁTOR!L140*$Q140/$Q$375</f>
        <v>0</v>
      </c>
      <c r="AC140" s="41">
        <f>KALKULÁTOR!C140*Q140</f>
        <v>0</v>
      </c>
      <c r="AD140" s="442">
        <f t="shared" si="3"/>
        <v>0</v>
      </c>
      <c r="AE140" s="442"/>
      <c r="AJ140" s="23"/>
    </row>
    <row r="141" spans="1:36" x14ac:dyDescent="0.25">
      <c r="A141" s="517"/>
      <c r="B141" s="485"/>
      <c r="C141" s="267"/>
      <c r="D141" s="27" t="s">
        <v>16</v>
      </c>
      <c r="E141" s="43">
        <v>10.27</v>
      </c>
      <c r="F141" s="17">
        <v>76.5</v>
      </c>
      <c r="G141" s="17">
        <v>1.8</v>
      </c>
      <c r="H141" s="17">
        <v>0.6</v>
      </c>
      <c r="I141" s="17">
        <v>0.09</v>
      </c>
      <c r="J141" s="17">
        <v>0.65</v>
      </c>
      <c r="K141" s="17">
        <v>7.5</v>
      </c>
      <c r="L141" s="17">
        <v>2.1</v>
      </c>
      <c r="M141" s="43"/>
      <c r="N141" s="472" t="s">
        <v>442</v>
      </c>
      <c r="O141" s="472"/>
      <c r="P141" s="472"/>
      <c r="Q141" s="145"/>
      <c r="R141" s="79" t="s">
        <v>149</v>
      </c>
      <c r="S141" s="403">
        <f>$P$11*0</f>
        <v>0</v>
      </c>
      <c r="T141" s="402">
        <f>$P$11*0.2</f>
        <v>20</v>
      </c>
      <c r="U141" s="36">
        <f>KALKULÁTOR!E141*Q141</f>
        <v>0</v>
      </c>
      <c r="V141" s="28">
        <f>KALKULÁTOR!F141*$Q141/$Q$375</f>
        <v>0</v>
      </c>
      <c r="W141" s="28">
        <f>KALKULÁTOR!G141*$Q141/$Q$375</f>
        <v>0</v>
      </c>
      <c r="X141" s="28">
        <f>KALKULÁTOR!H141*$Q141/$Q$375</f>
        <v>0</v>
      </c>
      <c r="Y141" s="28">
        <f>KALKULÁTOR!I141*$Q141/$Q$375</f>
        <v>0</v>
      </c>
      <c r="Z141" s="28">
        <f>KALKULÁTOR!J141*$Q141/$Q$375</f>
        <v>0</v>
      </c>
      <c r="AA141" s="28">
        <f>KALKULÁTOR!K141*$Q141/$Q$375</f>
        <v>0</v>
      </c>
      <c r="AB141" s="28">
        <f>KALKULÁTOR!L141*$Q141/$Q$375</f>
        <v>0</v>
      </c>
      <c r="AC141" s="41">
        <f>KALKULÁTOR!C141*Q141</f>
        <v>0</v>
      </c>
      <c r="AD141" s="442">
        <f t="shared" si="3"/>
        <v>0</v>
      </c>
      <c r="AE141" s="442"/>
      <c r="AJ141" s="23"/>
    </row>
    <row r="142" spans="1:36" ht="15.75" thickBot="1" x14ac:dyDescent="0.3">
      <c r="A142" s="517"/>
      <c r="B142" s="486"/>
      <c r="C142" s="266"/>
      <c r="D142" s="29" t="s">
        <v>16</v>
      </c>
      <c r="E142" s="53">
        <v>14.1</v>
      </c>
      <c r="F142" s="20">
        <v>80</v>
      </c>
      <c r="G142" s="20">
        <v>1</v>
      </c>
      <c r="H142" s="20">
        <v>0</v>
      </c>
      <c r="I142" s="20">
        <v>0.09</v>
      </c>
      <c r="J142" s="20">
        <v>0.65</v>
      </c>
      <c r="K142" s="20">
        <v>6.81</v>
      </c>
      <c r="L142" s="20">
        <v>2.4900000000000002</v>
      </c>
      <c r="M142" s="53"/>
      <c r="N142" s="498" t="s">
        <v>403</v>
      </c>
      <c r="O142" s="498"/>
      <c r="P142" s="498"/>
      <c r="Q142" s="145"/>
      <c r="R142" s="83" t="s">
        <v>149</v>
      </c>
      <c r="S142" s="124">
        <f>$P$11*0</f>
        <v>0</v>
      </c>
      <c r="T142" s="122">
        <f>$P$11*0.2</f>
        <v>20</v>
      </c>
      <c r="U142" s="38">
        <f>KALKULÁTOR!E142*Q142</f>
        <v>0</v>
      </c>
      <c r="V142" s="67">
        <f>KALKULÁTOR!F142*$Q142/$Q$375</f>
        <v>0</v>
      </c>
      <c r="W142" s="67">
        <f>KALKULÁTOR!G142*$Q142/$Q$375</f>
        <v>0</v>
      </c>
      <c r="X142" s="67">
        <f>KALKULÁTOR!H142*$Q142/$Q$375</f>
        <v>0</v>
      </c>
      <c r="Y142" s="67">
        <f>KALKULÁTOR!I142*$Q142/$Q$375</f>
        <v>0</v>
      </c>
      <c r="Z142" s="67">
        <f>KALKULÁTOR!J142*$Q142/$Q$375</f>
        <v>0</v>
      </c>
      <c r="AA142" s="67">
        <f>KALKULÁTOR!K142*$Q142/$Q$375</f>
        <v>0</v>
      </c>
      <c r="AB142" s="67">
        <f>KALKULÁTOR!L142*$Q142/$Q$375</f>
        <v>0</v>
      </c>
      <c r="AC142" s="68">
        <f>KALKULÁTOR!C142*Q142</f>
        <v>0</v>
      </c>
      <c r="AD142" s="442">
        <f t="shared" si="3"/>
        <v>0</v>
      </c>
      <c r="AE142" s="442"/>
      <c r="AJ142" s="23"/>
    </row>
    <row r="143" spans="1:36" ht="15" customHeight="1" x14ac:dyDescent="0.25">
      <c r="A143" s="516"/>
      <c r="B143" s="490" t="s">
        <v>58</v>
      </c>
      <c r="C143" s="87"/>
      <c r="D143" s="78" t="s">
        <v>16</v>
      </c>
      <c r="E143" s="144">
        <v>16.03</v>
      </c>
      <c r="F143" s="125">
        <v>56.2</v>
      </c>
      <c r="G143" s="125">
        <v>1.1000000000000001</v>
      </c>
      <c r="H143" s="125">
        <v>8.6999999999999993</v>
      </c>
      <c r="I143" s="125">
        <v>0.31</v>
      </c>
      <c r="J143" s="125">
        <v>0.78</v>
      </c>
      <c r="K143" s="125"/>
      <c r="L143" s="125"/>
      <c r="M143" s="144"/>
      <c r="N143" s="481" t="s">
        <v>148</v>
      </c>
      <c r="O143" s="481"/>
      <c r="P143" s="481"/>
      <c r="Q143" s="107"/>
      <c r="R143" s="120" t="s">
        <v>149</v>
      </c>
      <c r="S143" s="375">
        <f>$P$11*0</f>
        <v>0</v>
      </c>
      <c r="T143" s="372">
        <f>$P$11*0</f>
        <v>0</v>
      </c>
      <c r="U143" s="32">
        <f>KALKULÁTOR!E143*Q143</f>
        <v>0</v>
      </c>
      <c r="V143" s="6">
        <f>KALKULÁTOR!F143*$Q143/$Q$375</f>
        <v>0</v>
      </c>
      <c r="W143" s="6">
        <f>KALKULÁTOR!G143*$Q143/$Q$375</f>
        <v>0</v>
      </c>
      <c r="X143" s="6">
        <f>KALKULÁTOR!H143*$Q143/$Q$375</f>
        <v>0</v>
      </c>
      <c r="Y143" s="6">
        <f>KALKULÁTOR!I143*$Q143/$Q$375</f>
        <v>0</v>
      </c>
      <c r="Z143" s="6">
        <f>KALKULÁTOR!J143*$Q143/$Q$375</f>
        <v>0</v>
      </c>
      <c r="AA143" s="6">
        <f>KALKULÁTOR!K143*$Q143/$Q$375</f>
        <v>0</v>
      </c>
      <c r="AB143" s="6">
        <f>KALKULÁTOR!L143*$Q143/$Q$375</f>
        <v>0</v>
      </c>
      <c r="AC143" s="50">
        <f>KALKULÁTOR!C143*Q143</f>
        <v>0</v>
      </c>
      <c r="AD143" s="442">
        <f t="shared" si="3"/>
        <v>0</v>
      </c>
      <c r="AE143" s="442"/>
      <c r="AF143" s="566" t="s">
        <v>232</v>
      </c>
      <c r="AG143" s="567"/>
      <c r="AH143" s="567"/>
      <c r="AI143" s="567"/>
      <c r="AJ143" s="567"/>
    </row>
    <row r="144" spans="1:36" s="7" customFormat="1" x14ac:dyDescent="0.25">
      <c r="A144" s="516"/>
      <c r="B144" s="491"/>
      <c r="C144" s="81"/>
      <c r="D144" s="27" t="s">
        <v>16</v>
      </c>
      <c r="E144" s="43">
        <v>8.26</v>
      </c>
      <c r="F144" s="17">
        <v>51.6</v>
      </c>
      <c r="G144" s="17">
        <v>1.3</v>
      </c>
      <c r="H144" s="17">
        <v>11.5</v>
      </c>
      <c r="I144" s="17">
        <v>0.31</v>
      </c>
      <c r="J144" s="17">
        <v>0.75</v>
      </c>
      <c r="K144" s="17"/>
      <c r="L144" s="17"/>
      <c r="M144" s="43"/>
      <c r="N144" s="472" t="s">
        <v>147</v>
      </c>
      <c r="O144" s="472"/>
      <c r="P144" s="472"/>
      <c r="Q144" s="107"/>
      <c r="R144" s="80" t="s">
        <v>149</v>
      </c>
      <c r="S144" s="375">
        <f>$P$11*0</f>
        <v>0</v>
      </c>
      <c r="T144" s="372">
        <f>$P$11*0</f>
        <v>0</v>
      </c>
      <c r="U144" s="36">
        <f>KALKULÁTOR!E144*Q144</f>
        <v>0</v>
      </c>
      <c r="V144" s="28">
        <f>KALKULÁTOR!F144*$Q144/$Q$375</f>
        <v>0</v>
      </c>
      <c r="W144" s="28">
        <f>KALKULÁTOR!G144*$Q144/$Q$375</f>
        <v>0</v>
      </c>
      <c r="X144" s="28">
        <f>KALKULÁTOR!H144*$Q144/$Q$375</f>
        <v>0</v>
      </c>
      <c r="Y144" s="28">
        <f>KALKULÁTOR!I144*$Q144/$Q$375</f>
        <v>0</v>
      </c>
      <c r="Z144" s="28">
        <f>KALKULÁTOR!J144*$Q144/$Q$375</f>
        <v>0</v>
      </c>
      <c r="AA144" s="28">
        <f>KALKULÁTOR!K144*$Q144/$Q$375</f>
        <v>0</v>
      </c>
      <c r="AB144" s="28">
        <f>KALKULÁTOR!L144*$Q144/$Q$375</f>
        <v>0</v>
      </c>
      <c r="AC144" s="41">
        <f>KALKULÁTOR!C144*Q144</f>
        <v>0</v>
      </c>
      <c r="AD144" s="442">
        <f t="shared" si="3"/>
        <v>0</v>
      </c>
      <c r="AE144" s="442"/>
      <c r="AF144" s="566" t="s">
        <v>232</v>
      </c>
      <c r="AG144" s="567"/>
      <c r="AH144" s="567"/>
      <c r="AI144" s="567"/>
      <c r="AJ144" s="567"/>
    </row>
    <row r="145" spans="1:37" s="7" customFormat="1" x14ac:dyDescent="0.25">
      <c r="A145" s="516"/>
      <c r="B145" s="491"/>
      <c r="C145" s="81"/>
      <c r="D145" s="27" t="s">
        <v>16</v>
      </c>
      <c r="E145" s="43">
        <v>17.11</v>
      </c>
      <c r="F145" s="17">
        <v>42.9</v>
      </c>
      <c r="G145" s="17">
        <v>1.7</v>
      </c>
      <c r="H145" s="17">
        <v>15.6</v>
      </c>
      <c r="I145" s="17">
        <v>0.3</v>
      </c>
      <c r="J145" s="17">
        <v>0.85</v>
      </c>
      <c r="K145" s="17"/>
      <c r="L145" s="17"/>
      <c r="M145" s="43"/>
      <c r="N145" s="472" t="s">
        <v>54</v>
      </c>
      <c r="O145" s="472"/>
      <c r="P145" s="472"/>
      <c r="Q145" s="145"/>
      <c r="R145" s="79" t="s">
        <v>149</v>
      </c>
      <c r="S145" s="123">
        <f>$P$11*0.05</f>
        <v>5</v>
      </c>
      <c r="T145" s="121">
        <f>$P$11*0.07</f>
        <v>7.0000000000000009</v>
      </c>
      <c r="U145" s="36">
        <f>KALKULÁTOR!E145*Q145</f>
        <v>0</v>
      </c>
      <c r="V145" s="28">
        <f>KALKULÁTOR!F145*$Q145/$Q$375</f>
        <v>0</v>
      </c>
      <c r="W145" s="28">
        <f>KALKULÁTOR!G145*$Q145/$Q$375</f>
        <v>0</v>
      </c>
      <c r="X145" s="28">
        <f>KALKULÁTOR!H145*$Q145/$Q$375</f>
        <v>0</v>
      </c>
      <c r="Y145" s="28">
        <f>KALKULÁTOR!I145*$Q145/$Q$375</f>
        <v>0</v>
      </c>
      <c r="Z145" s="28">
        <f>KALKULÁTOR!J145*$Q145/$Q$375</f>
        <v>0</v>
      </c>
      <c r="AA145" s="28">
        <f>KALKULÁTOR!K145*$Q145/$Q$375</f>
        <v>0</v>
      </c>
      <c r="AB145" s="28">
        <f>KALKULÁTOR!L145*$Q145/$Q$375</f>
        <v>0</v>
      </c>
      <c r="AC145" s="41">
        <f>KALKULÁTOR!C145*Q145</f>
        <v>0</v>
      </c>
      <c r="AD145" s="442">
        <f t="shared" si="3"/>
        <v>0</v>
      </c>
      <c r="AE145" s="442"/>
      <c r="AH145" s="8"/>
    </row>
    <row r="146" spans="1:37" x14ac:dyDescent="0.25">
      <c r="A146" s="516"/>
      <c r="B146" s="491"/>
      <c r="C146" s="81"/>
      <c r="D146" s="27" t="s">
        <v>16</v>
      </c>
      <c r="E146" s="43">
        <v>8.9700000000000006</v>
      </c>
      <c r="F146" s="17">
        <v>22.1</v>
      </c>
      <c r="G146" s="17">
        <v>11.7</v>
      </c>
      <c r="H146" s="17">
        <v>12</v>
      </c>
      <c r="I146" s="17">
        <v>0.06</v>
      </c>
      <c r="J146" s="17">
        <v>0.46</v>
      </c>
      <c r="K146" s="17">
        <v>0.61</v>
      </c>
      <c r="L146" s="17">
        <v>0.24</v>
      </c>
      <c r="M146" s="43"/>
      <c r="N146" s="472" t="s">
        <v>364</v>
      </c>
      <c r="O146" s="472"/>
      <c r="P146" s="472"/>
      <c r="Q146" s="145"/>
      <c r="R146" s="79" t="s">
        <v>149</v>
      </c>
      <c r="S146" s="123">
        <f>$P$11*0</f>
        <v>0</v>
      </c>
      <c r="T146" s="121">
        <f>$P$11*0.05</f>
        <v>5</v>
      </c>
      <c r="U146" s="36">
        <f>KALKULÁTOR!E146*Q146</f>
        <v>0</v>
      </c>
      <c r="V146" s="28">
        <f>KALKULÁTOR!F146*$Q146/$Q$375</f>
        <v>0</v>
      </c>
      <c r="W146" s="28">
        <f>KALKULÁTOR!G146*$Q146/$Q$375</f>
        <v>0</v>
      </c>
      <c r="X146" s="28">
        <f>KALKULÁTOR!H146*$Q146/$Q$375</f>
        <v>0</v>
      </c>
      <c r="Y146" s="28">
        <f>KALKULÁTOR!I146*$Q146/$Q$375</f>
        <v>0</v>
      </c>
      <c r="Z146" s="28">
        <f>KALKULÁTOR!J146*$Q146/$Q$375</f>
        <v>0</v>
      </c>
      <c r="AA146" s="28">
        <f>KALKULÁTOR!K146*$Q146/$Q$375</f>
        <v>0</v>
      </c>
      <c r="AB146" s="28">
        <f>KALKULÁTOR!L146*$Q146/$Q$375</f>
        <v>0</v>
      </c>
      <c r="AC146" s="41">
        <f>KALKULÁTOR!C146*Q146</f>
        <v>0</v>
      </c>
      <c r="AD146" s="442">
        <f t="shared" si="3"/>
        <v>0</v>
      </c>
      <c r="AE146" s="442"/>
    </row>
    <row r="147" spans="1:37" x14ac:dyDescent="0.25">
      <c r="A147" s="516"/>
      <c r="B147" s="491"/>
      <c r="C147" s="81"/>
      <c r="D147" s="27" t="s">
        <v>16</v>
      </c>
      <c r="E147" s="43">
        <v>10</v>
      </c>
      <c r="F147" s="17">
        <v>33</v>
      </c>
      <c r="G147" s="17">
        <v>10</v>
      </c>
      <c r="H147" s="17">
        <v>2.1</v>
      </c>
      <c r="I147" s="17">
        <v>0.06</v>
      </c>
      <c r="J147" s="17">
        <v>0.46</v>
      </c>
      <c r="K147" s="17"/>
      <c r="L147" s="17"/>
      <c r="M147" s="43"/>
      <c r="N147" s="472" t="s">
        <v>363</v>
      </c>
      <c r="O147" s="472"/>
      <c r="P147" s="472"/>
      <c r="Q147" s="107"/>
      <c r="R147" s="79" t="s">
        <v>149</v>
      </c>
      <c r="S147" s="123">
        <f>$P$11*0</f>
        <v>0</v>
      </c>
      <c r="T147" s="121">
        <f>$P$11*0.05</f>
        <v>5</v>
      </c>
      <c r="U147" s="36">
        <f>KALKULÁTOR!E147*Q147</f>
        <v>0</v>
      </c>
      <c r="V147" s="28">
        <f>KALKULÁTOR!F147*$Q147/$Q$375</f>
        <v>0</v>
      </c>
      <c r="W147" s="28">
        <f>KALKULÁTOR!G147*$Q147/$Q$375</f>
        <v>0</v>
      </c>
      <c r="X147" s="28">
        <f>KALKULÁTOR!H147*$Q147/$Q$375</f>
        <v>0</v>
      </c>
      <c r="Y147" s="28">
        <f>KALKULÁTOR!I147*$Q147/$Q$375</f>
        <v>0</v>
      </c>
      <c r="Z147" s="28">
        <f>KALKULÁTOR!J147*$Q147/$Q$375</f>
        <v>0</v>
      </c>
      <c r="AA147" s="28">
        <f>KALKULÁTOR!K147*$Q147/$Q$375</f>
        <v>0</v>
      </c>
      <c r="AB147" s="28">
        <f>KALKULÁTOR!L147*$Q147/$Q$375</f>
        <v>0</v>
      </c>
      <c r="AC147" s="41">
        <f>KALKULÁTOR!C147*Q147</f>
        <v>0</v>
      </c>
      <c r="AD147" s="442">
        <f t="shared" si="3"/>
        <v>0</v>
      </c>
      <c r="AE147" s="442"/>
    </row>
    <row r="148" spans="1:37" x14ac:dyDescent="0.25">
      <c r="A148" s="516"/>
      <c r="B148" s="491"/>
      <c r="C148" s="81"/>
      <c r="D148" s="27" t="s">
        <v>16</v>
      </c>
      <c r="E148" s="43">
        <v>7.59</v>
      </c>
      <c r="F148" s="17">
        <v>32.9</v>
      </c>
      <c r="G148" s="17">
        <v>5.5</v>
      </c>
      <c r="H148" s="17">
        <v>9.4</v>
      </c>
      <c r="I148" s="17"/>
      <c r="J148" s="17"/>
      <c r="K148" s="17"/>
      <c r="L148" s="17"/>
      <c r="M148" s="43"/>
      <c r="N148" s="472" t="s">
        <v>213</v>
      </c>
      <c r="O148" s="472"/>
      <c r="P148" s="472"/>
      <c r="Q148" s="107"/>
      <c r="R148" s="79" t="s">
        <v>149</v>
      </c>
      <c r="S148" s="123">
        <f>$P$11*0</f>
        <v>0</v>
      </c>
      <c r="T148" s="121">
        <f>$P$11*0.1</f>
        <v>10</v>
      </c>
      <c r="U148" s="36">
        <f>KALKULÁTOR!E148*Q148</f>
        <v>0</v>
      </c>
      <c r="V148" s="28">
        <f>KALKULÁTOR!F148*$Q148/$Q$375</f>
        <v>0</v>
      </c>
      <c r="W148" s="28">
        <f>KALKULÁTOR!G148*$Q148/$Q$375</f>
        <v>0</v>
      </c>
      <c r="X148" s="28">
        <f>KALKULÁTOR!H148*$Q148/$Q$375</f>
        <v>0</v>
      </c>
      <c r="Y148" s="28">
        <f>KALKULÁTOR!I148*$Q148/$Q$375</f>
        <v>0</v>
      </c>
      <c r="Z148" s="28">
        <f>KALKULÁTOR!J148*$Q148/$Q$375</f>
        <v>0</v>
      </c>
      <c r="AA148" s="28">
        <f>KALKULÁTOR!K148*$Q148/$Q$375</f>
        <v>0</v>
      </c>
      <c r="AB148" s="28">
        <f>KALKULÁTOR!L148*$Q148/$Q$375</f>
        <v>0</v>
      </c>
      <c r="AC148" s="41">
        <f>KALKULÁTOR!C148*Q148</f>
        <v>0</v>
      </c>
      <c r="AD148" s="442">
        <f t="shared" si="3"/>
        <v>0</v>
      </c>
      <c r="AE148" s="442"/>
    </row>
    <row r="149" spans="1:37" x14ac:dyDescent="0.25">
      <c r="A149" s="516"/>
      <c r="B149" s="491"/>
      <c r="C149" s="81"/>
      <c r="D149" s="27" t="s">
        <v>16</v>
      </c>
      <c r="E149" s="43"/>
      <c r="F149" s="17">
        <v>18</v>
      </c>
      <c r="G149" s="17">
        <v>10</v>
      </c>
      <c r="H149" s="17">
        <v>5</v>
      </c>
      <c r="I149" s="17"/>
      <c r="J149" s="17"/>
      <c r="K149" s="17"/>
      <c r="L149" s="17"/>
      <c r="M149" s="43"/>
      <c r="N149" s="472" t="s">
        <v>407</v>
      </c>
      <c r="O149" s="472"/>
      <c r="P149" s="472"/>
      <c r="Q149" s="145"/>
      <c r="R149" s="79" t="s">
        <v>149</v>
      </c>
      <c r="S149" s="319">
        <f>$P$11*0</f>
        <v>0</v>
      </c>
      <c r="T149" s="318">
        <f>$P$11*0.1</f>
        <v>10</v>
      </c>
      <c r="U149" s="36">
        <f>KALKULÁTOR!E149*Q149</f>
        <v>0</v>
      </c>
      <c r="V149" s="28">
        <f>KALKULÁTOR!F149*$Q149/$Q$375</f>
        <v>0</v>
      </c>
      <c r="W149" s="28">
        <f>KALKULÁTOR!G149*$Q149/$Q$375</f>
        <v>0</v>
      </c>
      <c r="X149" s="28">
        <f>KALKULÁTOR!H149*$Q149/$Q$375</f>
        <v>0</v>
      </c>
      <c r="Y149" s="28">
        <f>KALKULÁTOR!I149*$Q149/$Q$375</f>
        <v>0</v>
      </c>
      <c r="Z149" s="28">
        <f>KALKULÁTOR!J149*$Q149/$Q$375</f>
        <v>0</v>
      </c>
      <c r="AA149" s="28">
        <f>KALKULÁTOR!K149*$Q149/$Q$375</f>
        <v>0</v>
      </c>
      <c r="AB149" s="28">
        <f>KALKULÁTOR!L149*$Q149/$Q$375</f>
        <v>0</v>
      </c>
      <c r="AC149" s="41">
        <f>KALKULÁTOR!C149*Q149</f>
        <v>0</v>
      </c>
      <c r="AD149" s="442">
        <f t="shared" si="3"/>
        <v>0</v>
      </c>
      <c r="AE149" s="442"/>
    </row>
    <row r="150" spans="1:37" x14ac:dyDescent="0.25">
      <c r="A150" s="516"/>
      <c r="B150" s="491"/>
      <c r="C150" s="81"/>
      <c r="D150" s="27" t="s">
        <v>16</v>
      </c>
      <c r="E150" s="43">
        <v>13.5</v>
      </c>
      <c r="F150" s="17">
        <v>32.5</v>
      </c>
      <c r="G150" s="17">
        <v>14.6</v>
      </c>
      <c r="H150" s="17">
        <v>36</v>
      </c>
      <c r="I150" s="17">
        <v>0.26</v>
      </c>
      <c r="J150" s="17">
        <v>0.64</v>
      </c>
      <c r="K150" s="17"/>
      <c r="L150" s="17"/>
      <c r="M150" s="43"/>
      <c r="N150" s="472" t="s">
        <v>354</v>
      </c>
      <c r="O150" s="472"/>
      <c r="P150" s="472"/>
      <c r="Q150" s="145"/>
      <c r="R150" s="79" t="s">
        <v>149</v>
      </c>
      <c r="S150" s="123">
        <f>$P$11*0</f>
        <v>0</v>
      </c>
      <c r="T150" s="121">
        <f>$P$11*0.05</f>
        <v>5</v>
      </c>
      <c r="U150" s="36">
        <f>KALKULÁTOR!E150*Q150</f>
        <v>0</v>
      </c>
      <c r="V150" s="28">
        <f>KALKULÁTOR!F150*$Q150/$Q$375</f>
        <v>0</v>
      </c>
      <c r="W150" s="28">
        <f>KALKULÁTOR!G150*$Q150/$Q$375</f>
        <v>0</v>
      </c>
      <c r="X150" s="28">
        <f>KALKULÁTOR!H150*$Q150/$Q$375</f>
        <v>0</v>
      </c>
      <c r="Y150" s="28">
        <f>KALKULÁTOR!I150*$Q150/$Q$375</f>
        <v>0</v>
      </c>
      <c r="Z150" s="28">
        <f>KALKULÁTOR!J150*$Q150/$Q$375</f>
        <v>0</v>
      </c>
      <c r="AA150" s="28">
        <f>KALKULÁTOR!K150*$Q150/$Q$375</f>
        <v>0</v>
      </c>
      <c r="AB150" s="28">
        <f>KALKULÁTOR!L150*$Q150/$Q$375</f>
        <v>0</v>
      </c>
      <c r="AC150" s="41">
        <f>KALKULÁTOR!C150*Q150</f>
        <v>0</v>
      </c>
      <c r="AD150" s="442">
        <f t="shared" si="3"/>
        <v>0</v>
      </c>
      <c r="AE150" s="442"/>
    </row>
    <row r="151" spans="1:37" x14ac:dyDescent="0.25">
      <c r="A151" s="516"/>
      <c r="B151" s="491"/>
      <c r="C151" s="81"/>
      <c r="D151" s="27" t="s">
        <v>16</v>
      </c>
      <c r="E151" s="43">
        <v>14.72</v>
      </c>
      <c r="F151" s="17">
        <v>61.76</v>
      </c>
      <c r="G151" s="17">
        <v>7.2</v>
      </c>
      <c r="H151" s="17">
        <v>11.22</v>
      </c>
      <c r="I151" s="17"/>
      <c r="J151" s="17"/>
      <c r="K151" s="17"/>
      <c r="L151" s="17"/>
      <c r="M151" s="43"/>
      <c r="N151" s="493" t="s">
        <v>483</v>
      </c>
      <c r="O151" s="494"/>
      <c r="P151" s="495"/>
      <c r="Q151" s="107"/>
      <c r="R151" s="79" t="s">
        <v>149</v>
      </c>
      <c r="S151" s="446">
        <f>$P$11*0</f>
        <v>0</v>
      </c>
      <c r="T151" s="444">
        <f>$P$11*0.1</f>
        <v>10</v>
      </c>
      <c r="U151" s="36">
        <f>KALKULÁTOR!E151*Q151</f>
        <v>0</v>
      </c>
      <c r="V151" s="28">
        <f>KALKULÁTOR!F151*$Q151/$Q$375</f>
        <v>0</v>
      </c>
      <c r="W151" s="28">
        <f>KALKULÁTOR!G151*$Q151/$Q$375</f>
        <v>0</v>
      </c>
      <c r="X151" s="28">
        <f>KALKULÁTOR!H151*$Q151/$Q$375</f>
        <v>0</v>
      </c>
      <c r="Y151" s="28">
        <f>KALKULÁTOR!I151*$Q151/$Q$375</f>
        <v>0</v>
      </c>
      <c r="Z151" s="28">
        <f>KALKULÁTOR!J151*$Q151/$Q$375</f>
        <v>0</v>
      </c>
      <c r="AA151" s="28">
        <f>KALKULÁTOR!K151*$Q151/$Q$375</f>
        <v>0</v>
      </c>
      <c r="AB151" s="28">
        <f>KALKULÁTOR!L151*$Q151/$Q$375</f>
        <v>0</v>
      </c>
      <c r="AC151" s="41">
        <f>KALKULÁTOR!C151*Q151</f>
        <v>0</v>
      </c>
      <c r="AD151" s="442">
        <f t="shared" si="3"/>
        <v>0</v>
      </c>
      <c r="AE151" s="442"/>
    </row>
    <row r="152" spans="1:37" x14ac:dyDescent="0.25">
      <c r="A152" s="516"/>
      <c r="B152" s="491"/>
      <c r="C152" s="81"/>
      <c r="D152" s="27" t="s">
        <v>16</v>
      </c>
      <c r="E152" s="43">
        <v>13.3</v>
      </c>
      <c r="F152" s="17">
        <v>32.19</v>
      </c>
      <c r="G152" s="17">
        <v>9.1300000000000008</v>
      </c>
      <c r="H152" s="17">
        <v>46.1</v>
      </c>
      <c r="I152" s="17"/>
      <c r="J152" s="17"/>
      <c r="K152" s="17"/>
      <c r="L152" s="17"/>
      <c r="M152" s="43"/>
      <c r="N152" s="472" t="s">
        <v>484</v>
      </c>
      <c r="O152" s="472"/>
      <c r="P152" s="472"/>
      <c r="Q152" s="107"/>
      <c r="R152" s="79" t="s">
        <v>149</v>
      </c>
      <c r="S152" s="446">
        <f>$P$11*0</f>
        <v>0</v>
      </c>
      <c r="T152" s="444">
        <f>$P$11*0.1</f>
        <v>10</v>
      </c>
      <c r="U152" s="36">
        <f>KALKULÁTOR!E152*Q152</f>
        <v>0</v>
      </c>
      <c r="V152" s="28">
        <f>KALKULÁTOR!F152*$Q152/$Q$375</f>
        <v>0</v>
      </c>
      <c r="W152" s="28">
        <f>KALKULÁTOR!G152*$Q152/$Q$375</f>
        <v>0</v>
      </c>
      <c r="X152" s="28">
        <f>KALKULÁTOR!H152*$Q152/$Q$375</f>
        <v>0</v>
      </c>
      <c r="Y152" s="28">
        <f>KALKULÁTOR!I152*$Q152/$Q$375</f>
        <v>0</v>
      </c>
      <c r="Z152" s="28">
        <f>KALKULÁTOR!J152*$Q152/$Q$375</f>
        <v>0</v>
      </c>
      <c r="AA152" s="28">
        <f>KALKULÁTOR!K152*$Q152/$Q$375</f>
        <v>0</v>
      </c>
      <c r="AB152" s="28">
        <f>KALKULÁTOR!L152*$Q152/$Q$375</f>
        <v>0</v>
      </c>
      <c r="AC152" s="41">
        <f>KALKULÁTOR!C152*Q152</f>
        <v>0</v>
      </c>
      <c r="AD152" s="442">
        <f t="shared" si="3"/>
        <v>0</v>
      </c>
      <c r="AE152" s="442"/>
    </row>
    <row r="153" spans="1:37" x14ac:dyDescent="0.25">
      <c r="A153" s="516"/>
      <c r="B153" s="491"/>
      <c r="C153" s="81"/>
      <c r="D153" s="27" t="s">
        <v>16</v>
      </c>
      <c r="E153" s="43">
        <v>12.75</v>
      </c>
      <c r="F153" s="17">
        <v>32</v>
      </c>
      <c r="G153" s="17">
        <v>9.5</v>
      </c>
      <c r="H153" s="17">
        <v>46</v>
      </c>
      <c r="I153" s="17"/>
      <c r="J153" s="17"/>
      <c r="K153" s="17"/>
      <c r="L153" s="17"/>
      <c r="M153" s="43"/>
      <c r="N153" s="472" t="s">
        <v>481</v>
      </c>
      <c r="O153" s="472"/>
      <c r="P153" s="472"/>
      <c r="Q153" s="145"/>
      <c r="R153" s="79" t="s">
        <v>149</v>
      </c>
      <c r="S153" s="446">
        <f>$P$11*0</f>
        <v>0</v>
      </c>
      <c r="T153" s="444">
        <f>$P$11*0.1</f>
        <v>10</v>
      </c>
      <c r="U153" s="36">
        <f>KALKULÁTOR!E153*Q153</f>
        <v>0</v>
      </c>
      <c r="V153" s="28">
        <f>KALKULÁTOR!F153*$Q153/$Q$375</f>
        <v>0</v>
      </c>
      <c r="W153" s="28">
        <f>KALKULÁTOR!G153*$Q153/$Q$375</f>
        <v>0</v>
      </c>
      <c r="X153" s="28">
        <f>KALKULÁTOR!H153*$Q153/$Q$375</f>
        <v>0</v>
      </c>
      <c r="Y153" s="28">
        <f>KALKULÁTOR!I153*$Q153/$Q$375</f>
        <v>0</v>
      </c>
      <c r="Z153" s="28">
        <f>KALKULÁTOR!J153*$Q153/$Q$375</f>
        <v>0</v>
      </c>
      <c r="AA153" s="28">
        <f>KALKULÁTOR!K153*$Q153/$Q$375</f>
        <v>0</v>
      </c>
      <c r="AB153" s="28">
        <f>KALKULÁTOR!L153*$Q153/$Q$375</f>
        <v>0</v>
      </c>
      <c r="AC153" s="41">
        <f>KALKULÁTOR!C153*Q153</f>
        <v>0</v>
      </c>
      <c r="AD153" s="442">
        <f t="shared" si="3"/>
        <v>0</v>
      </c>
      <c r="AE153" s="442"/>
    </row>
    <row r="154" spans="1:37" x14ac:dyDescent="0.25">
      <c r="A154" s="516"/>
      <c r="B154" s="491"/>
      <c r="C154" s="81"/>
      <c r="D154" s="27" t="s">
        <v>16</v>
      </c>
      <c r="E154" s="43">
        <v>12.51</v>
      </c>
      <c r="F154" s="17">
        <v>30</v>
      </c>
      <c r="G154" s="17">
        <v>10.1</v>
      </c>
      <c r="H154" s="17">
        <v>44.4</v>
      </c>
      <c r="I154" s="17"/>
      <c r="J154" s="17"/>
      <c r="K154" s="17"/>
      <c r="L154" s="17"/>
      <c r="M154" s="43"/>
      <c r="N154" s="472" t="s">
        <v>482</v>
      </c>
      <c r="O154" s="472"/>
      <c r="P154" s="472"/>
      <c r="Q154" s="145"/>
      <c r="R154" s="79" t="s">
        <v>149</v>
      </c>
      <c r="S154" s="446">
        <f>$P$11*0</f>
        <v>0</v>
      </c>
      <c r="T154" s="444">
        <f>$P$11*0.1</f>
        <v>10</v>
      </c>
      <c r="U154" s="36">
        <f>KALKULÁTOR!E154*Q154</f>
        <v>0</v>
      </c>
      <c r="V154" s="28">
        <f>KALKULÁTOR!F154*$Q154/$Q$375</f>
        <v>0</v>
      </c>
      <c r="W154" s="28">
        <f>KALKULÁTOR!G154*$Q154/$Q$375</f>
        <v>0</v>
      </c>
      <c r="X154" s="28">
        <f>KALKULÁTOR!H154*$Q154/$Q$375</f>
        <v>0</v>
      </c>
      <c r="Y154" s="28">
        <f>KALKULÁTOR!I154*$Q154/$Q$375</f>
        <v>0</v>
      </c>
      <c r="Z154" s="28">
        <f>KALKULÁTOR!J154*$Q154/$Q$375</f>
        <v>0</v>
      </c>
      <c r="AA154" s="28">
        <f>KALKULÁTOR!K154*$Q154/$Q$375</f>
        <v>0</v>
      </c>
      <c r="AB154" s="28">
        <f>KALKULÁTOR!L154*$Q154/$Q$375</f>
        <v>0</v>
      </c>
      <c r="AC154" s="41">
        <f>KALKULÁTOR!C154*Q154</f>
        <v>0</v>
      </c>
      <c r="AD154" s="442">
        <f t="shared" si="3"/>
        <v>0</v>
      </c>
      <c r="AE154" s="442"/>
    </row>
    <row r="155" spans="1:37" x14ac:dyDescent="0.25">
      <c r="A155" s="516"/>
      <c r="B155" s="491"/>
      <c r="C155" s="81"/>
      <c r="D155" s="27" t="s">
        <v>16</v>
      </c>
      <c r="E155" s="43">
        <v>12.24</v>
      </c>
      <c r="F155" s="17">
        <v>28</v>
      </c>
      <c r="G155" s="17">
        <v>11.5</v>
      </c>
      <c r="H155" s="17">
        <v>42</v>
      </c>
      <c r="I155" s="17"/>
      <c r="J155" s="17"/>
      <c r="K155" s="17"/>
      <c r="L155" s="17"/>
      <c r="M155" s="43"/>
      <c r="N155" s="472" t="s">
        <v>485</v>
      </c>
      <c r="O155" s="472"/>
      <c r="P155" s="472"/>
      <c r="Q155" s="107"/>
      <c r="R155" s="79" t="s">
        <v>149</v>
      </c>
      <c r="S155" s="446">
        <f>$P$11*0</f>
        <v>0</v>
      </c>
      <c r="T155" s="444">
        <f>$P$11*0.1</f>
        <v>10</v>
      </c>
      <c r="U155" s="36">
        <f>KALKULÁTOR!E155*Q155</f>
        <v>0</v>
      </c>
      <c r="V155" s="28">
        <f>KALKULÁTOR!F155*$Q155/$Q$375</f>
        <v>0</v>
      </c>
      <c r="W155" s="28">
        <f>KALKULÁTOR!G155*$Q155/$Q$375</f>
        <v>0</v>
      </c>
      <c r="X155" s="28">
        <f>KALKULÁTOR!H155*$Q155/$Q$375</f>
        <v>0</v>
      </c>
      <c r="Y155" s="28">
        <f>KALKULÁTOR!I155*$Q155/$Q$375</f>
        <v>0</v>
      </c>
      <c r="Z155" s="28">
        <f>KALKULÁTOR!J155*$Q155/$Q$375</f>
        <v>0</v>
      </c>
      <c r="AA155" s="28">
        <f>KALKULÁTOR!K155*$Q155/$Q$375</f>
        <v>0</v>
      </c>
      <c r="AB155" s="28">
        <f>KALKULÁTOR!L155*$Q155/$Q$375</f>
        <v>0</v>
      </c>
      <c r="AC155" s="41">
        <f>KALKULÁTOR!C155*Q155</f>
        <v>0</v>
      </c>
      <c r="AD155" s="442">
        <f t="shared" si="3"/>
        <v>0</v>
      </c>
      <c r="AE155" s="442"/>
    </row>
    <row r="156" spans="1:37" x14ac:dyDescent="0.25">
      <c r="A156" s="516"/>
      <c r="B156" s="491"/>
      <c r="C156" s="81"/>
      <c r="D156" s="27" t="s">
        <v>16</v>
      </c>
      <c r="E156" s="43">
        <v>8.02</v>
      </c>
      <c r="F156" s="17">
        <v>37.799999999999997</v>
      </c>
      <c r="G156" s="17">
        <v>2.5</v>
      </c>
      <c r="H156" s="17">
        <v>12.9</v>
      </c>
      <c r="I156" s="17">
        <v>0.71</v>
      </c>
      <c r="J156" s="17">
        <v>1.1499999999999999</v>
      </c>
      <c r="K156" s="17">
        <v>2</v>
      </c>
      <c r="L156" s="17">
        <v>0.8</v>
      </c>
      <c r="M156" s="43"/>
      <c r="N156" s="472" t="s">
        <v>212</v>
      </c>
      <c r="O156" s="472"/>
      <c r="P156" s="472"/>
      <c r="Q156" s="107"/>
      <c r="R156" s="80" t="s">
        <v>149</v>
      </c>
      <c r="S156" s="123">
        <f>$P$11*0.03</f>
        <v>3</v>
      </c>
      <c r="T156" s="121">
        <f>$P$11*0.08</f>
        <v>8</v>
      </c>
      <c r="U156" s="36">
        <f>KALKULÁTOR!E156*Q156</f>
        <v>0</v>
      </c>
      <c r="V156" s="28">
        <f>KALKULÁTOR!F156*$Q156/$Q$375</f>
        <v>0</v>
      </c>
      <c r="W156" s="28">
        <f>KALKULÁTOR!G156*$Q156/$Q$375</f>
        <v>0</v>
      </c>
      <c r="X156" s="28">
        <f>KALKULÁTOR!H156*$Q156/$Q$375</f>
        <v>0</v>
      </c>
      <c r="Y156" s="28">
        <f>KALKULÁTOR!I156*$Q156/$Q$375</f>
        <v>0</v>
      </c>
      <c r="Z156" s="28">
        <f>KALKULÁTOR!J156*$Q156/$Q$375</f>
        <v>0</v>
      </c>
      <c r="AA156" s="28">
        <f>KALKULÁTOR!K156*$Q156/$Q$375</f>
        <v>0</v>
      </c>
      <c r="AB156" s="28">
        <f>KALKULÁTOR!L156*$Q156/$Q$375</f>
        <v>0</v>
      </c>
      <c r="AC156" s="41">
        <f>KALKULÁTOR!C156*Q156</f>
        <v>0</v>
      </c>
      <c r="AD156" s="442">
        <f t="shared" si="3"/>
        <v>0</v>
      </c>
      <c r="AE156" s="442"/>
      <c r="AF156" s="132" t="s">
        <v>152</v>
      </c>
      <c r="AG156" s="127"/>
      <c r="AH156" s="128"/>
      <c r="AI156" s="129"/>
      <c r="AJ156" s="129"/>
      <c r="AK156" s="127"/>
    </row>
    <row r="157" spans="1:37" x14ac:dyDescent="0.25">
      <c r="A157" s="516"/>
      <c r="B157" s="491"/>
      <c r="C157" s="81"/>
      <c r="D157" s="27" t="s">
        <v>16</v>
      </c>
      <c r="E157" s="43">
        <v>8.5</v>
      </c>
      <c r="F157" s="17">
        <v>34</v>
      </c>
      <c r="G157" s="17">
        <v>2.75</v>
      </c>
      <c r="H157" s="17">
        <v>11.5</v>
      </c>
      <c r="I157" s="17">
        <v>0.68</v>
      </c>
      <c r="J157" s="17">
        <v>1.07</v>
      </c>
      <c r="K157" s="17">
        <v>1.9</v>
      </c>
      <c r="L157" s="17">
        <v>0.75</v>
      </c>
      <c r="M157" s="43"/>
      <c r="N157" s="472" t="s">
        <v>430</v>
      </c>
      <c r="O157" s="472"/>
      <c r="P157" s="472"/>
      <c r="Q157" s="145"/>
      <c r="R157" s="80" t="s">
        <v>149</v>
      </c>
      <c r="S157" s="361">
        <f>$P$11*0.03</f>
        <v>3</v>
      </c>
      <c r="T157" s="360">
        <f>$P$11*0.08</f>
        <v>8</v>
      </c>
      <c r="U157" s="36">
        <f>KALKULÁTOR!E157*Q157</f>
        <v>0</v>
      </c>
      <c r="V157" s="28">
        <f>KALKULÁTOR!F157*$Q157/$Q$375</f>
        <v>0</v>
      </c>
      <c r="W157" s="28">
        <f>KALKULÁTOR!G157*$Q157/$Q$375</f>
        <v>0</v>
      </c>
      <c r="X157" s="28">
        <f>KALKULÁTOR!H157*$Q157/$Q$375</f>
        <v>0</v>
      </c>
      <c r="Y157" s="28">
        <f>KALKULÁTOR!I157*$Q157/$Q$375</f>
        <v>0</v>
      </c>
      <c r="Z157" s="28">
        <f>KALKULÁTOR!J157*$Q157/$Q$375</f>
        <v>0</v>
      </c>
      <c r="AA157" s="28">
        <f>KALKULÁTOR!K157*$Q157/$Q$375</f>
        <v>0</v>
      </c>
      <c r="AB157" s="28">
        <f>KALKULÁTOR!L157*$Q157/$Q$375</f>
        <v>0</v>
      </c>
      <c r="AC157" s="41">
        <f>KALKULÁTOR!C157*Q157</f>
        <v>0</v>
      </c>
      <c r="AD157" s="442">
        <f t="shared" si="3"/>
        <v>0</v>
      </c>
      <c r="AE157" s="442"/>
      <c r="AF157" s="132" t="s">
        <v>152</v>
      </c>
      <c r="AG157" s="127"/>
      <c r="AH157" s="128"/>
      <c r="AI157" s="129"/>
      <c r="AJ157" s="129"/>
      <c r="AK157" s="127"/>
    </row>
    <row r="158" spans="1:37" x14ac:dyDescent="0.25">
      <c r="A158" s="516"/>
      <c r="B158" s="491"/>
      <c r="C158" s="81"/>
      <c r="D158" s="27" t="s">
        <v>16</v>
      </c>
      <c r="E158" s="43">
        <v>9</v>
      </c>
      <c r="F158" s="17">
        <v>31</v>
      </c>
      <c r="G158" s="17">
        <v>3</v>
      </c>
      <c r="H158" s="17">
        <v>10</v>
      </c>
      <c r="I158" s="17">
        <v>0.6</v>
      </c>
      <c r="J158" s="17">
        <v>1</v>
      </c>
      <c r="K158" s="17">
        <v>1.85</v>
      </c>
      <c r="L158" s="17">
        <v>0.72</v>
      </c>
      <c r="M158" s="43"/>
      <c r="N158" s="472" t="s">
        <v>383</v>
      </c>
      <c r="O158" s="472"/>
      <c r="P158" s="472"/>
      <c r="Q158" s="145"/>
      <c r="R158" s="80" t="s">
        <v>149</v>
      </c>
      <c r="S158" s="263">
        <f>$P$11*0.03</f>
        <v>3</v>
      </c>
      <c r="T158" s="260">
        <f>$P$11*0.08</f>
        <v>8</v>
      </c>
      <c r="U158" s="36">
        <f>KALKULÁTOR!E158*Q158</f>
        <v>0</v>
      </c>
      <c r="V158" s="28">
        <f>KALKULÁTOR!F158*$Q158/$Q$375</f>
        <v>0</v>
      </c>
      <c r="W158" s="28">
        <f>KALKULÁTOR!G158*$Q158/$Q$375</f>
        <v>0</v>
      </c>
      <c r="X158" s="28">
        <f>KALKULÁTOR!H158*$Q158/$Q$375</f>
        <v>0</v>
      </c>
      <c r="Y158" s="28">
        <f>KALKULÁTOR!I158*$Q158/$Q$375</f>
        <v>0</v>
      </c>
      <c r="Z158" s="28">
        <f>KALKULÁTOR!J158*$Q158/$Q$375</f>
        <v>0</v>
      </c>
      <c r="AA158" s="28">
        <f>KALKULÁTOR!K158*$Q158/$Q$375</f>
        <v>0</v>
      </c>
      <c r="AB158" s="28">
        <f>KALKULÁTOR!L158*$Q158/$Q$375</f>
        <v>0</v>
      </c>
      <c r="AC158" s="41">
        <f>KALKULÁTOR!C158*Q158</f>
        <v>0</v>
      </c>
      <c r="AD158" s="442">
        <f t="shared" si="3"/>
        <v>0</v>
      </c>
      <c r="AE158" s="442"/>
      <c r="AF158" s="132" t="s">
        <v>152</v>
      </c>
      <c r="AG158" s="127"/>
      <c r="AH158" s="128"/>
      <c r="AI158" s="129"/>
      <c r="AJ158" s="129"/>
      <c r="AK158" s="127"/>
    </row>
    <row r="159" spans="1:37" ht="15" customHeight="1" x14ac:dyDescent="0.25">
      <c r="A159" s="516"/>
      <c r="B159" s="491"/>
      <c r="C159" s="81"/>
      <c r="D159" s="27" t="s">
        <v>16</v>
      </c>
      <c r="E159" s="43">
        <v>10.7</v>
      </c>
      <c r="F159" s="17">
        <v>53.9</v>
      </c>
      <c r="G159" s="17">
        <v>1.8</v>
      </c>
      <c r="H159" s="17">
        <v>6.4</v>
      </c>
      <c r="I159" s="17">
        <v>0.33</v>
      </c>
      <c r="J159" s="17">
        <v>0.66</v>
      </c>
      <c r="K159" s="17">
        <v>3.33</v>
      </c>
      <c r="L159" s="17">
        <v>1.8</v>
      </c>
      <c r="M159" s="43"/>
      <c r="N159" s="472" t="s">
        <v>142</v>
      </c>
      <c r="O159" s="472"/>
      <c r="P159" s="472"/>
      <c r="Q159" s="107"/>
      <c r="R159" s="80" t="s">
        <v>149</v>
      </c>
      <c r="S159" s="123">
        <f>$P$11*0.05</f>
        <v>5</v>
      </c>
      <c r="T159" s="121">
        <f>$P$11*0.32</f>
        <v>32</v>
      </c>
      <c r="U159" s="36">
        <f>KALKULÁTOR!E159*Q159</f>
        <v>0</v>
      </c>
      <c r="V159" s="28">
        <f>KALKULÁTOR!F159*$Q159/$Q$375</f>
        <v>0</v>
      </c>
      <c r="W159" s="28">
        <f>KALKULÁTOR!G159*$Q159/$Q$375</f>
        <v>0</v>
      </c>
      <c r="X159" s="28">
        <f>KALKULÁTOR!H159*$Q159/$Q$375</f>
        <v>0</v>
      </c>
      <c r="Y159" s="28">
        <f>KALKULÁTOR!I159*$Q159/$Q$375</f>
        <v>0</v>
      </c>
      <c r="Z159" s="28">
        <f>KALKULÁTOR!J159*$Q159/$Q$375</f>
        <v>0</v>
      </c>
      <c r="AA159" s="28">
        <f>KALKULÁTOR!K159*$Q159/$Q$375</f>
        <v>0</v>
      </c>
      <c r="AB159" s="28">
        <f>KALKULÁTOR!L159*$Q159/$Q$375</f>
        <v>0</v>
      </c>
      <c r="AC159" s="41">
        <f>KALKULÁTOR!C159*Q159</f>
        <v>0</v>
      </c>
      <c r="AD159" s="442">
        <f t="shared" si="3"/>
        <v>0</v>
      </c>
      <c r="AE159" s="442"/>
      <c r="AF159" s="497" t="s">
        <v>228</v>
      </c>
      <c r="AG159" s="568"/>
      <c r="AH159" s="568"/>
      <c r="AI159" s="569"/>
      <c r="AJ159" s="69"/>
      <c r="AK159" s="69"/>
    </row>
    <row r="160" spans="1:37" ht="15" customHeight="1" x14ac:dyDescent="0.25">
      <c r="A160" s="516"/>
      <c r="B160" s="491"/>
      <c r="C160" s="81"/>
      <c r="D160" s="27" t="s">
        <v>16</v>
      </c>
      <c r="E160" s="43">
        <v>10.48</v>
      </c>
      <c r="F160" s="17">
        <v>51.8</v>
      </c>
      <c r="G160" s="17">
        <v>1.8</v>
      </c>
      <c r="H160" s="17">
        <v>7.1</v>
      </c>
      <c r="I160" s="17">
        <v>0.28000000000000003</v>
      </c>
      <c r="J160" s="17">
        <v>0.64</v>
      </c>
      <c r="K160" s="17">
        <v>3.23</v>
      </c>
      <c r="L160" s="17">
        <v>1.6</v>
      </c>
      <c r="M160" s="43"/>
      <c r="N160" s="472" t="s">
        <v>143</v>
      </c>
      <c r="O160" s="472"/>
      <c r="P160" s="472"/>
      <c r="Q160" s="107"/>
      <c r="R160" s="80" t="s">
        <v>149</v>
      </c>
      <c r="S160" s="123">
        <f>$P$11*0.05</f>
        <v>5</v>
      </c>
      <c r="T160" s="121">
        <f>$P$11*0.32</f>
        <v>32</v>
      </c>
      <c r="U160" s="36">
        <f>KALKULÁTOR!E160*Q160</f>
        <v>0</v>
      </c>
      <c r="V160" s="28">
        <f>KALKULÁTOR!F160*$Q160/$Q$375</f>
        <v>0</v>
      </c>
      <c r="W160" s="28">
        <f>KALKULÁTOR!G160*$Q160/$Q$375</f>
        <v>0</v>
      </c>
      <c r="X160" s="28">
        <f>KALKULÁTOR!H160*$Q160/$Q$375</f>
        <v>0</v>
      </c>
      <c r="Y160" s="28">
        <f>KALKULÁTOR!I160*$Q160/$Q$375</f>
        <v>0</v>
      </c>
      <c r="Z160" s="28">
        <f>KALKULÁTOR!J160*$Q160/$Q$375</f>
        <v>0</v>
      </c>
      <c r="AA160" s="28">
        <f>KALKULÁTOR!K160*$Q160/$Q$375</f>
        <v>0</v>
      </c>
      <c r="AB160" s="28">
        <f>KALKULÁTOR!L160*$Q160/$Q$375</f>
        <v>0</v>
      </c>
      <c r="AC160" s="41">
        <f>KALKULÁTOR!C160*Q160</f>
        <v>0</v>
      </c>
      <c r="AD160" s="442">
        <f t="shared" si="3"/>
        <v>0</v>
      </c>
      <c r="AE160" s="442"/>
      <c r="AF160" s="497" t="s">
        <v>228</v>
      </c>
      <c r="AG160" s="568"/>
      <c r="AH160" s="568"/>
      <c r="AI160" s="569"/>
    </row>
    <row r="161" spans="1:35" ht="15" customHeight="1" x14ac:dyDescent="0.25">
      <c r="A161" s="516"/>
      <c r="B161" s="491"/>
      <c r="C161" s="81"/>
      <c r="D161" s="27" t="s">
        <v>16</v>
      </c>
      <c r="E161" s="43">
        <v>10.25</v>
      </c>
      <c r="F161" s="17">
        <v>48</v>
      </c>
      <c r="G161" s="17">
        <v>2.1</v>
      </c>
      <c r="H161" s="17">
        <v>7.6</v>
      </c>
      <c r="I161" s="17">
        <v>0.34</v>
      </c>
      <c r="J161" s="17">
        <v>0.63</v>
      </c>
      <c r="K161" s="17">
        <v>3.1</v>
      </c>
      <c r="L161" s="17">
        <v>1.4</v>
      </c>
      <c r="M161" s="43"/>
      <c r="N161" s="472" t="s">
        <v>282</v>
      </c>
      <c r="O161" s="472"/>
      <c r="P161" s="472"/>
      <c r="Q161" s="145"/>
      <c r="R161" s="80" t="s">
        <v>149</v>
      </c>
      <c r="S161" s="123">
        <f>$P$11*0.05</f>
        <v>5</v>
      </c>
      <c r="T161" s="121">
        <f>$P$11*0.32</f>
        <v>32</v>
      </c>
      <c r="U161" s="36">
        <f>KALKULÁTOR!E161*Q161</f>
        <v>0</v>
      </c>
      <c r="V161" s="28">
        <f>KALKULÁTOR!F161*$Q161/$Q$375</f>
        <v>0</v>
      </c>
      <c r="W161" s="28">
        <f>KALKULÁTOR!G161*$Q161/$Q$375</f>
        <v>0</v>
      </c>
      <c r="X161" s="28">
        <f>KALKULÁTOR!H161*$Q161/$Q$375</f>
        <v>0</v>
      </c>
      <c r="Y161" s="28">
        <f>KALKULÁTOR!I161*$Q161/$Q$375</f>
        <v>0</v>
      </c>
      <c r="Z161" s="28">
        <f>KALKULÁTOR!J161*$Q161/$Q$375</f>
        <v>0</v>
      </c>
      <c r="AA161" s="28">
        <f>KALKULÁTOR!K161*$Q161/$Q$375</f>
        <v>0</v>
      </c>
      <c r="AB161" s="28">
        <f>KALKULÁTOR!L161*$Q161/$Q$375</f>
        <v>0</v>
      </c>
      <c r="AC161" s="41">
        <f>KALKULÁTOR!C161*Q161</f>
        <v>0</v>
      </c>
      <c r="AD161" s="442">
        <f t="shared" si="3"/>
        <v>0</v>
      </c>
      <c r="AE161" s="442"/>
      <c r="AF161" s="497" t="s">
        <v>228</v>
      </c>
      <c r="AG161" s="568"/>
      <c r="AH161" s="568"/>
      <c r="AI161" s="569"/>
    </row>
    <row r="162" spans="1:35" ht="15" customHeight="1" x14ac:dyDescent="0.25">
      <c r="A162" s="516"/>
      <c r="B162" s="491"/>
      <c r="C162" s="81"/>
      <c r="D162" s="27" t="s">
        <v>16</v>
      </c>
      <c r="E162" s="43">
        <v>10.25</v>
      </c>
      <c r="F162" s="17">
        <v>46.45</v>
      </c>
      <c r="G162" s="17">
        <v>0.99</v>
      </c>
      <c r="H162" s="17">
        <v>4.4400000000000004</v>
      </c>
      <c r="I162" s="17">
        <v>0.3</v>
      </c>
      <c r="J162" s="17">
        <v>0.68</v>
      </c>
      <c r="K162" s="17">
        <v>2.97</v>
      </c>
      <c r="L162" s="17">
        <v>1.27</v>
      </c>
      <c r="M162" s="43"/>
      <c r="N162" s="472" t="s">
        <v>385</v>
      </c>
      <c r="O162" s="472"/>
      <c r="P162" s="472"/>
      <c r="Q162" s="145"/>
      <c r="R162" s="80" t="s">
        <v>149</v>
      </c>
      <c r="S162" s="287">
        <f>$P$11*0.05</f>
        <v>5</v>
      </c>
      <c r="T162" s="286">
        <f>$P$11*0.32</f>
        <v>32</v>
      </c>
      <c r="U162" s="36">
        <f>KALKULÁTOR!E162*Q162</f>
        <v>0</v>
      </c>
      <c r="V162" s="28">
        <f>KALKULÁTOR!F162*$Q162/$Q$375</f>
        <v>0</v>
      </c>
      <c r="W162" s="28">
        <f>KALKULÁTOR!G162*$Q162/$Q$375</f>
        <v>0</v>
      </c>
      <c r="X162" s="28">
        <f>KALKULÁTOR!H162*$Q162/$Q$375</f>
        <v>0</v>
      </c>
      <c r="Y162" s="28">
        <f>KALKULÁTOR!I162*$Q162/$Q$375</f>
        <v>0</v>
      </c>
      <c r="Z162" s="28">
        <f>KALKULÁTOR!J162*$Q162/$Q$375</f>
        <v>0</v>
      </c>
      <c r="AA162" s="28">
        <f>KALKULÁTOR!K162*$Q162/$Q$375</f>
        <v>0</v>
      </c>
      <c r="AB162" s="28">
        <f>KALKULÁTOR!L162*$Q162/$Q$375</f>
        <v>0</v>
      </c>
      <c r="AC162" s="41">
        <f>KALKULÁTOR!C162*Q162</f>
        <v>0</v>
      </c>
      <c r="AD162" s="442">
        <f t="shared" si="3"/>
        <v>0</v>
      </c>
      <c r="AE162" s="442"/>
      <c r="AF162" s="497" t="s">
        <v>228</v>
      </c>
      <c r="AG162" s="568"/>
      <c r="AH162" s="568"/>
      <c r="AI162" s="569"/>
    </row>
    <row r="163" spans="1:35" ht="15" customHeight="1" x14ac:dyDescent="0.25">
      <c r="A163" s="516"/>
      <c r="B163" s="491"/>
      <c r="C163" s="81"/>
      <c r="D163" s="27" t="s">
        <v>16</v>
      </c>
      <c r="E163" s="43">
        <v>10.25</v>
      </c>
      <c r="F163" s="17">
        <v>46</v>
      </c>
      <c r="G163" s="17">
        <v>0.99</v>
      </c>
      <c r="H163" s="17">
        <v>4.4400000000000004</v>
      </c>
      <c r="I163" s="17">
        <v>0.3</v>
      </c>
      <c r="J163" s="17">
        <v>0.68</v>
      </c>
      <c r="K163" s="17">
        <v>2.97</v>
      </c>
      <c r="L163" s="17">
        <v>1.27</v>
      </c>
      <c r="M163" s="43"/>
      <c r="N163" s="472" t="s">
        <v>350</v>
      </c>
      <c r="O163" s="472"/>
      <c r="P163" s="472"/>
      <c r="Q163" s="107"/>
      <c r="R163" s="80" t="s">
        <v>149</v>
      </c>
      <c r="S163" s="207">
        <f>$P$11*0.05</f>
        <v>5</v>
      </c>
      <c r="T163" s="208">
        <f>$P$11*0.32</f>
        <v>32</v>
      </c>
      <c r="U163" s="36">
        <f>KALKULÁTOR!E163*Q163</f>
        <v>0</v>
      </c>
      <c r="V163" s="28">
        <f>KALKULÁTOR!F163*$Q163/$Q$375</f>
        <v>0</v>
      </c>
      <c r="W163" s="28">
        <f>KALKULÁTOR!G163*$Q163/$Q$375</f>
        <v>0</v>
      </c>
      <c r="X163" s="28">
        <f>KALKULÁTOR!H163*$Q163/$Q$375</f>
        <v>0</v>
      </c>
      <c r="Y163" s="28">
        <f>KALKULÁTOR!I163*$Q163/$Q$375</f>
        <v>0</v>
      </c>
      <c r="Z163" s="28">
        <f>KALKULÁTOR!J163*$Q163/$Q$375</f>
        <v>0</v>
      </c>
      <c r="AA163" s="28">
        <f>KALKULÁTOR!K163*$Q163/$Q$375</f>
        <v>0</v>
      </c>
      <c r="AB163" s="28">
        <f>KALKULÁTOR!L163*$Q163/$Q$375</f>
        <v>0</v>
      </c>
      <c r="AC163" s="41">
        <f>KALKULÁTOR!C163*Q163</f>
        <v>0</v>
      </c>
      <c r="AD163" s="442">
        <f t="shared" si="3"/>
        <v>0</v>
      </c>
      <c r="AE163" s="442"/>
      <c r="AF163" s="497" t="s">
        <v>228</v>
      </c>
      <c r="AG163" s="568"/>
      <c r="AH163" s="568"/>
      <c r="AI163" s="569"/>
    </row>
    <row r="164" spans="1:35" ht="15" customHeight="1" x14ac:dyDescent="0.25">
      <c r="A164" s="516"/>
      <c r="B164" s="491"/>
      <c r="C164" s="81"/>
      <c r="D164" s="27" t="s">
        <v>16</v>
      </c>
      <c r="E164" s="43">
        <v>10.25</v>
      </c>
      <c r="F164" s="17">
        <v>46</v>
      </c>
      <c r="G164" s="17">
        <v>2</v>
      </c>
      <c r="H164" s="17">
        <v>6.5</v>
      </c>
      <c r="I164" s="17">
        <v>0.3</v>
      </c>
      <c r="J164" s="17">
        <v>0.68</v>
      </c>
      <c r="K164" s="17">
        <v>2.97</v>
      </c>
      <c r="L164" s="17">
        <v>1.27</v>
      </c>
      <c r="M164" s="43"/>
      <c r="N164" s="472" t="s">
        <v>436</v>
      </c>
      <c r="O164" s="472"/>
      <c r="P164" s="472"/>
      <c r="Q164" s="107"/>
      <c r="R164" s="80" t="s">
        <v>149</v>
      </c>
      <c r="S164" s="367">
        <f>$P$11*0.05</f>
        <v>5</v>
      </c>
      <c r="T164" s="366">
        <f>$P$11*0.32</f>
        <v>32</v>
      </c>
      <c r="U164" s="36">
        <f>KALKULÁTOR!E164*Q164</f>
        <v>0</v>
      </c>
      <c r="V164" s="28">
        <f>KALKULÁTOR!F164*$Q164/$Q$375</f>
        <v>0</v>
      </c>
      <c r="W164" s="28">
        <f>KALKULÁTOR!G164*$Q164/$Q$375</f>
        <v>0</v>
      </c>
      <c r="X164" s="28">
        <f>KALKULÁTOR!H164*$Q164/$Q$375</f>
        <v>0</v>
      </c>
      <c r="Y164" s="28">
        <f>KALKULÁTOR!I164*$Q164/$Q$375</f>
        <v>0</v>
      </c>
      <c r="Z164" s="28">
        <f>KALKULÁTOR!J164*$Q164/$Q$375</f>
        <v>0</v>
      </c>
      <c r="AA164" s="28">
        <f>KALKULÁTOR!K164*$Q164/$Q$375</f>
        <v>0</v>
      </c>
      <c r="AB164" s="28">
        <f>KALKULÁTOR!L164*$Q164/$Q$375</f>
        <v>0</v>
      </c>
      <c r="AC164" s="41">
        <f>KALKULÁTOR!C164*Q164</f>
        <v>0</v>
      </c>
      <c r="AD164" s="442">
        <f t="shared" si="3"/>
        <v>0</v>
      </c>
      <c r="AE164" s="442"/>
      <c r="AF164" s="497" t="s">
        <v>228</v>
      </c>
      <c r="AG164" s="568"/>
      <c r="AH164" s="568"/>
      <c r="AI164" s="569"/>
    </row>
    <row r="165" spans="1:35" ht="15" customHeight="1" x14ac:dyDescent="0.25">
      <c r="A165" s="516"/>
      <c r="B165" s="491"/>
      <c r="C165" s="81"/>
      <c r="D165" s="27" t="s">
        <v>16</v>
      </c>
      <c r="E165" s="43">
        <v>10.5</v>
      </c>
      <c r="F165" s="17">
        <v>45.5</v>
      </c>
      <c r="G165" s="17">
        <v>2</v>
      </c>
      <c r="H165" s="17">
        <v>3.5</v>
      </c>
      <c r="I165" s="17">
        <v>0.3</v>
      </c>
      <c r="J165" s="17">
        <v>0.68</v>
      </c>
      <c r="K165" s="17">
        <v>2.97</v>
      </c>
      <c r="L165" s="17">
        <v>1.27</v>
      </c>
      <c r="M165" s="43"/>
      <c r="N165" s="472" t="s">
        <v>393</v>
      </c>
      <c r="O165" s="472"/>
      <c r="P165" s="472"/>
      <c r="Q165" s="145"/>
      <c r="R165" s="80" t="s">
        <v>149</v>
      </c>
      <c r="S165" s="308">
        <f>$P$11*0.05</f>
        <v>5</v>
      </c>
      <c r="T165" s="307">
        <f>$P$11*0.32</f>
        <v>32</v>
      </c>
      <c r="U165" s="36">
        <f>KALKULÁTOR!E165*Q165</f>
        <v>0</v>
      </c>
      <c r="V165" s="28">
        <f>KALKULÁTOR!F165*$Q165/$Q$375</f>
        <v>0</v>
      </c>
      <c r="W165" s="28">
        <f>KALKULÁTOR!G165*$Q165/$Q$375</f>
        <v>0</v>
      </c>
      <c r="X165" s="28">
        <f>KALKULÁTOR!H165*$Q165/$Q$375</f>
        <v>0</v>
      </c>
      <c r="Y165" s="28">
        <f>KALKULÁTOR!I165*$Q165/$Q$375</f>
        <v>0</v>
      </c>
      <c r="Z165" s="28">
        <f>KALKULÁTOR!J165*$Q165/$Q$375</f>
        <v>0</v>
      </c>
      <c r="AA165" s="28">
        <f>KALKULÁTOR!K165*$Q165/$Q$375</f>
        <v>0</v>
      </c>
      <c r="AB165" s="28">
        <f>KALKULÁTOR!L165*$Q165/$Q$375</f>
        <v>0</v>
      </c>
      <c r="AC165" s="41">
        <f>KALKULÁTOR!C165*Q165</f>
        <v>0</v>
      </c>
      <c r="AD165" s="442">
        <f t="shared" si="3"/>
        <v>0</v>
      </c>
      <c r="AE165" s="442"/>
      <c r="AF165" s="497" t="s">
        <v>228</v>
      </c>
      <c r="AG165" s="568"/>
      <c r="AH165" s="568"/>
      <c r="AI165" s="569"/>
    </row>
    <row r="166" spans="1:35" ht="15" customHeight="1" x14ac:dyDescent="0.25">
      <c r="A166" s="516"/>
      <c r="B166" s="491"/>
      <c r="C166" s="81"/>
      <c r="D166" s="27" t="s">
        <v>16</v>
      </c>
      <c r="E166" s="36">
        <v>10.3</v>
      </c>
      <c r="F166" s="17">
        <v>45</v>
      </c>
      <c r="G166" s="17">
        <v>2.5</v>
      </c>
      <c r="H166" s="17">
        <v>4.5</v>
      </c>
      <c r="I166" s="17">
        <v>0.26</v>
      </c>
      <c r="J166" s="17">
        <v>0.85</v>
      </c>
      <c r="K166" s="17">
        <v>2.89</v>
      </c>
      <c r="L166" s="17">
        <v>1</v>
      </c>
      <c r="M166" s="43"/>
      <c r="N166" s="472" t="s">
        <v>144</v>
      </c>
      <c r="O166" s="472"/>
      <c r="P166" s="472"/>
      <c r="Q166" s="145"/>
      <c r="R166" s="80" t="s">
        <v>149</v>
      </c>
      <c r="S166" s="123">
        <f>$P$11*0.05</f>
        <v>5</v>
      </c>
      <c r="T166" s="121">
        <f>$P$11*0.32</f>
        <v>32</v>
      </c>
      <c r="U166" s="36">
        <f>KALKULÁTOR!E166*Q166</f>
        <v>0</v>
      </c>
      <c r="V166" s="28">
        <f>KALKULÁTOR!F166*$Q166/$Q$375</f>
        <v>0</v>
      </c>
      <c r="W166" s="28">
        <f>KALKULÁTOR!G166*$Q166/$Q$375</f>
        <v>0</v>
      </c>
      <c r="X166" s="28">
        <f>KALKULÁTOR!H166*$Q166/$Q$375</f>
        <v>0</v>
      </c>
      <c r="Y166" s="28">
        <f>KALKULÁTOR!I166*$Q166/$Q$375</f>
        <v>0</v>
      </c>
      <c r="Z166" s="28">
        <f>KALKULÁTOR!J166*$Q166/$Q$375</f>
        <v>0</v>
      </c>
      <c r="AA166" s="28">
        <f>KALKULÁTOR!K166*$Q166/$Q$375</f>
        <v>0</v>
      </c>
      <c r="AB166" s="28">
        <f>KALKULÁTOR!L166*$Q166/$Q$375</f>
        <v>0</v>
      </c>
      <c r="AC166" s="41">
        <f>KALKULÁTOR!C166*Q166</f>
        <v>0</v>
      </c>
      <c r="AD166" s="442">
        <f t="shared" si="3"/>
        <v>0</v>
      </c>
      <c r="AE166" s="442"/>
      <c r="AF166" s="497" t="s">
        <v>228</v>
      </c>
      <c r="AG166" s="568"/>
      <c r="AH166" s="568"/>
      <c r="AI166" s="569"/>
    </row>
    <row r="167" spans="1:35" ht="15" customHeight="1" x14ac:dyDescent="0.25">
      <c r="A167" s="516"/>
      <c r="B167" s="491"/>
      <c r="C167" s="81"/>
      <c r="D167" s="27" t="s">
        <v>16</v>
      </c>
      <c r="E167" s="36">
        <v>10.3</v>
      </c>
      <c r="F167" s="17">
        <v>44</v>
      </c>
      <c r="G167" s="17">
        <v>3</v>
      </c>
      <c r="H167" s="17">
        <v>4.5</v>
      </c>
      <c r="I167" s="17">
        <v>0.26</v>
      </c>
      <c r="J167" s="17">
        <v>0.85</v>
      </c>
      <c r="K167" s="17">
        <v>2.8</v>
      </c>
      <c r="L167" s="17">
        <v>0.8</v>
      </c>
      <c r="M167" s="43"/>
      <c r="N167" s="472" t="s">
        <v>352</v>
      </c>
      <c r="O167" s="472"/>
      <c r="P167" s="472"/>
      <c r="Q167" s="107"/>
      <c r="R167" s="80" t="s">
        <v>149</v>
      </c>
      <c r="S167" s="263">
        <f>$P$11*0.05</f>
        <v>5</v>
      </c>
      <c r="T167" s="260">
        <f>$P$11*0.32</f>
        <v>32</v>
      </c>
      <c r="U167" s="36">
        <f>KALKULÁTOR!E167*Q167</f>
        <v>0</v>
      </c>
      <c r="V167" s="28">
        <f>KALKULÁTOR!F167*$Q167/$Q$375</f>
        <v>0</v>
      </c>
      <c r="W167" s="28">
        <f>KALKULÁTOR!G167*$Q167/$Q$375</f>
        <v>0</v>
      </c>
      <c r="X167" s="28">
        <f>KALKULÁTOR!H167*$Q167/$Q$375</f>
        <v>0</v>
      </c>
      <c r="Y167" s="28">
        <f>KALKULÁTOR!I167*$Q167/$Q$375</f>
        <v>0</v>
      </c>
      <c r="Z167" s="28">
        <f>KALKULÁTOR!J167*$Q167/$Q$375</f>
        <v>0</v>
      </c>
      <c r="AA167" s="28">
        <f>KALKULÁTOR!K167*$Q167/$Q$375</f>
        <v>0</v>
      </c>
      <c r="AB167" s="28">
        <f>KALKULÁTOR!L167*$Q167/$Q$375</f>
        <v>0</v>
      </c>
      <c r="AC167" s="41">
        <f>KALKULÁTOR!C167*Q167</f>
        <v>0</v>
      </c>
      <c r="AD167" s="442">
        <f t="shared" si="3"/>
        <v>0</v>
      </c>
      <c r="AE167" s="442"/>
      <c r="AF167" s="497" t="s">
        <v>228</v>
      </c>
      <c r="AG167" s="568"/>
      <c r="AH167" s="568"/>
      <c r="AI167" s="569"/>
    </row>
    <row r="168" spans="1:35" ht="15" customHeight="1" x14ac:dyDescent="0.25">
      <c r="A168" s="516"/>
      <c r="B168" s="491"/>
      <c r="C168" s="81"/>
      <c r="D168" s="27" t="s">
        <v>16</v>
      </c>
      <c r="E168" s="36">
        <v>10.3</v>
      </c>
      <c r="F168" s="17">
        <v>43</v>
      </c>
      <c r="G168" s="17">
        <v>4</v>
      </c>
      <c r="H168" s="17">
        <v>5.5</v>
      </c>
      <c r="I168" s="17">
        <v>0.25</v>
      </c>
      <c r="J168" s="17">
        <v>0.65</v>
      </c>
      <c r="K168" s="17">
        <v>2.71</v>
      </c>
      <c r="L168" s="17">
        <v>0.62</v>
      </c>
      <c r="M168" s="43"/>
      <c r="N168" s="472" t="s">
        <v>229</v>
      </c>
      <c r="O168" s="472"/>
      <c r="P168" s="472"/>
      <c r="Q168" s="107"/>
      <c r="R168" s="80" t="s">
        <v>149</v>
      </c>
      <c r="S168" s="123">
        <f>$P$11*0.05</f>
        <v>5</v>
      </c>
      <c r="T168" s="121">
        <f>$P$11*0.32</f>
        <v>32</v>
      </c>
      <c r="U168" s="36">
        <f>KALKULÁTOR!E168*Q168</f>
        <v>0</v>
      </c>
      <c r="V168" s="28">
        <f>KALKULÁTOR!F168*$Q168/$Q$375</f>
        <v>0</v>
      </c>
      <c r="W168" s="28">
        <f>KALKULÁTOR!G168*$Q168/$Q$375</f>
        <v>0</v>
      </c>
      <c r="X168" s="28">
        <f>KALKULÁTOR!H168*$Q168/$Q$375</f>
        <v>0</v>
      </c>
      <c r="Y168" s="28">
        <f>KALKULÁTOR!I168*$Q168/$Q$375</f>
        <v>0</v>
      </c>
      <c r="Z168" s="28">
        <f>KALKULÁTOR!J168*$Q168/$Q$375</f>
        <v>0</v>
      </c>
      <c r="AA168" s="28">
        <f>KALKULÁTOR!K168*$Q168/$Q$375</f>
        <v>0</v>
      </c>
      <c r="AB168" s="28">
        <f>KALKULÁTOR!L168*$Q168/$Q$375</f>
        <v>0</v>
      </c>
      <c r="AC168" s="41">
        <f>KALKULÁTOR!C168*Q168</f>
        <v>0</v>
      </c>
      <c r="AD168" s="442">
        <f t="shared" si="3"/>
        <v>0</v>
      </c>
      <c r="AE168" s="442"/>
      <c r="AF168" s="497" t="s">
        <v>228</v>
      </c>
      <c r="AG168" s="568"/>
      <c r="AH168" s="568"/>
      <c r="AI168" s="569"/>
    </row>
    <row r="169" spans="1:35" ht="15" customHeight="1" x14ac:dyDescent="0.25">
      <c r="A169" s="516"/>
      <c r="B169" s="491"/>
      <c r="C169" s="81"/>
      <c r="D169" s="27" t="s">
        <v>16</v>
      </c>
      <c r="E169" s="36">
        <v>10</v>
      </c>
      <c r="F169" s="17">
        <v>34</v>
      </c>
      <c r="G169" s="17">
        <v>1.8</v>
      </c>
      <c r="H169" s="17">
        <v>5</v>
      </c>
      <c r="I169" s="17">
        <v>0.25</v>
      </c>
      <c r="J169" s="17">
        <v>0.85</v>
      </c>
      <c r="K169" s="17"/>
      <c r="L169" s="17"/>
      <c r="M169" s="43"/>
      <c r="N169" s="472" t="s">
        <v>411</v>
      </c>
      <c r="O169" s="472"/>
      <c r="P169" s="472"/>
      <c r="Q169" s="145"/>
      <c r="R169" s="80" t="s">
        <v>149</v>
      </c>
      <c r="S169" s="123">
        <f>$P$11*0.05</f>
        <v>5</v>
      </c>
      <c r="T169" s="121">
        <f>$P$11*0.32</f>
        <v>32</v>
      </c>
      <c r="U169" s="36">
        <f>KALKULÁTOR!E169*Q169</f>
        <v>0</v>
      </c>
      <c r="V169" s="28">
        <f>KALKULÁTOR!F169*$Q169/$Q$375</f>
        <v>0</v>
      </c>
      <c r="W169" s="28">
        <f>KALKULÁTOR!G169*$Q169/$Q$375</f>
        <v>0</v>
      </c>
      <c r="X169" s="28">
        <f>KALKULÁTOR!H169*$Q169/$Q$375</f>
        <v>0</v>
      </c>
      <c r="Y169" s="28">
        <f>KALKULÁTOR!I169*$Q169/$Q$375</f>
        <v>0</v>
      </c>
      <c r="Z169" s="28">
        <f>KALKULÁTOR!J169*$Q169/$Q$375</f>
        <v>0</v>
      </c>
      <c r="AA169" s="28">
        <f>KALKULÁTOR!K169*$Q169/$Q$375</f>
        <v>0</v>
      </c>
      <c r="AB169" s="28">
        <f>KALKULÁTOR!L169*$Q169/$Q$375</f>
        <v>0</v>
      </c>
      <c r="AC169" s="41">
        <f>KALKULÁTOR!C169*Q169</f>
        <v>0</v>
      </c>
      <c r="AD169" s="442">
        <f t="shared" si="3"/>
        <v>0</v>
      </c>
      <c r="AE169" s="442"/>
      <c r="AF169" s="497" t="s">
        <v>228</v>
      </c>
      <c r="AG169" s="568"/>
      <c r="AH169" s="568"/>
      <c r="AI169" s="569"/>
    </row>
    <row r="170" spans="1:35" x14ac:dyDescent="0.25">
      <c r="A170" s="516"/>
      <c r="B170" s="491"/>
      <c r="C170" s="94"/>
      <c r="D170" s="95" t="s">
        <v>16</v>
      </c>
      <c r="E170" s="118">
        <v>20.100000000000001</v>
      </c>
      <c r="F170" s="119">
        <v>38</v>
      </c>
      <c r="G170" s="119">
        <v>18</v>
      </c>
      <c r="H170" s="119">
        <v>5</v>
      </c>
      <c r="I170" s="119"/>
      <c r="J170" s="119"/>
      <c r="K170" s="119">
        <v>2.27</v>
      </c>
      <c r="L170" s="119">
        <v>0.52</v>
      </c>
      <c r="M170" s="118"/>
      <c r="N170" s="476" t="s">
        <v>318</v>
      </c>
      <c r="O170" s="476"/>
      <c r="P170" s="476"/>
      <c r="Q170" s="145"/>
      <c r="R170" s="151" t="s">
        <v>149</v>
      </c>
      <c r="S170" s="149">
        <f>$P$11*0.05</f>
        <v>5</v>
      </c>
      <c r="T170" s="150">
        <f>$P$11*0.32</f>
        <v>32</v>
      </c>
      <c r="U170" s="22">
        <f>KALKULÁTOR!E170*Q170</f>
        <v>0</v>
      </c>
      <c r="V170" s="48">
        <f>KALKULÁTOR!F170*$Q170/$Q$375</f>
        <v>0</v>
      </c>
      <c r="W170" s="48">
        <f>KALKULÁTOR!G170*$Q170/$Q$375</f>
        <v>0</v>
      </c>
      <c r="X170" s="48">
        <f>KALKULÁTOR!H170*$Q170/$Q$375</f>
        <v>0</v>
      </c>
      <c r="Y170" s="48">
        <f>KALKULÁTOR!I170*$Q170/$Q$375</f>
        <v>0</v>
      </c>
      <c r="Z170" s="48">
        <f>KALKULÁTOR!J170*$Q170/$Q$375</f>
        <v>0</v>
      </c>
      <c r="AA170" s="48">
        <f>KALKULÁTOR!K170*$Q170/$Q$375</f>
        <v>0</v>
      </c>
      <c r="AB170" s="48">
        <f>KALKULÁTOR!L170*$Q170/$Q$375</f>
        <v>0</v>
      </c>
      <c r="AC170" s="49">
        <f>KALKULÁTOR!C170*Q170</f>
        <v>0</v>
      </c>
      <c r="AD170" s="442">
        <f t="shared" si="3"/>
        <v>0</v>
      </c>
      <c r="AE170" s="442"/>
      <c r="AF170" s="130" t="s">
        <v>228</v>
      </c>
      <c r="AG170" s="130"/>
      <c r="AH170" s="130"/>
      <c r="AI170" s="131"/>
    </row>
    <row r="171" spans="1:35" x14ac:dyDescent="0.25">
      <c r="A171" s="516"/>
      <c r="B171" s="491"/>
      <c r="C171" s="94"/>
      <c r="D171" s="95" t="s">
        <v>16</v>
      </c>
      <c r="E171" s="118">
        <v>20.100000000000001</v>
      </c>
      <c r="F171" s="119">
        <v>36</v>
      </c>
      <c r="G171" s="119">
        <v>18</v>
      </c>
      <c r="H171" s="119">
        <v>5</v>
      </c>
      <c r="I171" s="119"/>
      <c r="J171" s="119"/>
      <c r="K171" s="119">
        <v>2.27</v>
      </c>
      <c r="L171" s="119">
        <v>0.52</v>
      </c>
      <c r="M171" s="118"/>
      <c r="N171" s="476" t="s">
        <v>395</v>
      </c>
      <c r="O171" s="476"/>
      <c r="P171" s="476"/>
      <c r="Q171" s="107"/>
      <c r="R171" s="151" t="s">
        <v>149</v>
      </c>
      <c r="S171" s="264">
        <f>$P$11*0.05</f>
        <v>5</v>
      </c>
      <c r="T171" s="261">
        <f>$P$11*0.32</f>
        <v>32</v>
      </c>
      <c r="U171" s="22">
        <f>KALKULÁTOR!E171*Q171</f>
        <v>0</v>
      </c>
      <c r="V171" s="48">
        <f>KALKULÁTOR!F171*$Q171/$Q$375</f>
        <v>0</v>
      </c>
      <c r="W171" s="48">
        <f>KALKULÁTOR!G171*$Q171/$Q$375</f>
        <v>0</v>
      </c>
      <c r="X171" s="48">
        <f>KALKULÁTOR!H171*$Q171/$Q$375</f>
        <v>0</v>
      </c>
      <c r="Y171" s="48">
        <f>KALKULÁTOR!I171*$Q171/$Q$375</f>
        <v>0</v>
      </c>
      <c r="Z171" s="48">
        <f>KALKULÁTOR!J171*$Q171/$Q$375</f>
        <v>0</v>
      </c>
      <c r="AA171" s="48">
        <f>KALKULÁTOR!K171*$Q171/$Q$375</f>
        <v>0</v>
      </c>
      <c r="AB171" s="48">
        <f>KALKULÁTOR!L171*$Q171/$Q$375</f>
        <v>0</v>
      </c>
      <c r="AC171" s="49">
        <f>KALKULÁTOR!C171*Q171</f>
        <v>0</v>
      </c>
      <c r="AD171" s="442">
        <f t="shared" si="3"/>
        <v>0</v>
      </c>
      <c r="AE171" s="442"/>
      <c r="AF171" s="130" t="s">
        <v>228</v>
      </c>
      <c r="AG171" s="130"/>
      <c r="AH171" s="130"/>
      <c r="AI171" s="131"/>
    </row>
    <row r="172" spans="1:35" ht="15" customHeight="1" x14ac:dyDescent="0.25">
      <c r="A172" s="516"/>
      <c r="B172" s="491"/>
      <c r="C172" s="81"/>
      <c r="D172" s="27" t="s">
        <v>16</v>
      </c>
      <c r="E172" s="36">
        <v>10</v>
      </c>
      <c r="F172" s="17">
        <v>33</v>
      </c>
      <c r="G172" s="17">
        <v>18</v>
      </c>
      <c r="H172" s="17">
        <v>5</v>
      </c>
      <c r="I172" s="17">
        <v>0.25</v>
      </c>
      <c r="J172" s="17">
        <v>0.65</v>
      </c>
      <c r="K172" s="17">
        <v>2.27</v>
      </c>
      <c r="L172" s="17">
        <v>0.52</v>
      </c>
      <c r="M172" s="43"/>
      <c r="N172" s="472" t="s">
        <v>274</v>
      </c>
      <c r="O172" s="472"/>
      <c r="P172" s="472"/>
      <c r="Q172" s="107"/>
      <c r="R172" s="80" t="s">
        <v>149</v>
      </c>
      <c r="S172" s="139">
        <f>$P$11*0.05</f>
        <v>5</v>
      </c>
      <c r="T172" s="138">
        <f>$P$11*0.32</f>
        <v>32</v>
      </c>
      <c r="U172" s="36">
        <f>KALKULÁTOR!E172*Q172</f>
        <v>0</v>
      </c>
      <c r="V172" s="28">
        <f>KALKULÁTOR!F172*$Q172/$Q$375</f>
        <v>0</v>
      </c>
      <c r="W172" s="28">
        <f>KALKULÁTOR!G172*$Q172/$Q$375</f>
        <v>0</v>
      </c>
      <c r="X172" s="28">
        <f>KALKULÁTOR!H172*$Q172/$Q$375</f>
        <v>0</v>
      </c>
      <c r="Y172" s="28">
        <f>KALKULÁTOR!I172*$Q172/$Q$375</f>
        <v>0</v>
      </c>
      <c r="Z172" s="28">
        <f>KALKULÁTOR!J172*$Q172/$Q$375</f>
        <v>0</v>
      </c>
      <c r="AA172" s="28">
        <f>KALKULÁTOR!K172*$Q172/$Q$375</f>
        <v>0</v>
      </c>
      <c r="AB172" s="28">
        <f>KALKULÁTOR!L172*$Q172/$Q$375</f>
        <v>0</v>
      </c>
      <c r="AC172" s="41">
        <f>KALKULÁTOR!C172*Q172</f>
        <v>0</v>
      </c>
      <c r="AD172" s="442">
        <f t="shared" si="3"/>
        <v>0</v>
      </c>
      <c r="AE172" s="442"/>
      <c r="AF172" s="497" t="s">
        <v>228</v>
      </c>
      <c r="AG172" s="568"/>
      <c r="AH172" s="568"/>
      <c r="AI172" s="569"/>
    </row>
    <row r="173" spans="1:35" ht="15" customHeight="1" x14ac:dyDescent="0.25">
      <c r="A173" s="516"/>
      <c r="B173" s="491"/>
      <c r="C173" s="81"/>
      <c r="D173" s="27" t="s">
        <v>16</v>
      </c>
      <c r="E173" s="43"/>
      <c r="F173" s="17">
        <v>52</v>
      </c>
      <c r="G173" s="17">
        <v>13.1</v>
      </c>
      <c r="H173" s="17">
        <v>16</v>
      </c>
      <c r="I173" s="17"/>
      <c r="J173" s="17"/>
      <c r="K173" s="17">
        <v>0.96</v>
      </c>
      <c r="L173" s="17">
        <v>0.64</v>
      </c>
      <c r="M173" s="43"/>
      <c r="N173" s="472" t="s">
        <v>443</v>
      </c>
      <c r="O173" s="472"/>
      <c r="P173" s="472"/>
      <c r="Q173" s="145"/>
      <c r="R173" s="79" t="s">
        <v>149</v>
      </c>
      <c r="S173" s="405">
        <f>$P$11*0.05</f>
        <v>5</v>
      </c>
      <c r="T173" s="404">
        <f>$P$11*0.18</f>
        <v>18</v>
      </c>
      <c r="U173" s="36">
        <f>KALKULÁTOR!E173*Q173</f>
        <v>0</v>
      </c>
      <c r="V173" s="28">
        <f>KALKULÁTOR!F173*$Q173/$Q$375</f>
        <v>0</v>
      </c>
      <c r="W173" s="28">
        <f>KALKULÁTOR!G173*$Q173/$Q$375</f>
        <v>0</v>
      </c>
      <c r="X173" s="28">
        <f>KALKULÁTOR!H173*$Q173/$Q$375</f>
        <v>0</v>
      </c>
      <c r="Y173" s="28">
        <f>KALKULÁTOR!I173*$Q173/$Q$375</f>
        <v>0</v>
      </c>
      <c r="Z173" s="28">
        <f>KALKULÁTOR!J173*$Q173/$Q$375</f>
        <v>0</v>
      </c>
      <c r="AA173" s="28">
        <f>KALKULÁTOR!K173*$Q173/$Q$375</f>
        <v>0</v>
      </c>
      <c r="AB173" s="28">
        <f>KALKULÁTOR!L173*$Q173/$Q$375</f>
        <v>0</v>
      </c>
      <c r="AC173" s="41">
        <f>KALKULÁTOR!C173*Q173</f>
        <v>0</v>
      </c>
      <c r="AD173" s="442">
        <f t="shared" si="3"/>
        <v>0</v>
      </c>
      <c r="AE173" s="442"/>
      <c r="AF173" s="275"/>
      <c r="AG173" s="406"/>
      <c r="AH173" s="406"/>
      <c r="AI173" s="406"/>
    </row>
    <row r="174" spans="1:35" x14ac:dyDescent="0.25">
      <c r="A174" s="516"/>
      <c r="B174" s="491"/>
      <c r="C174" s="81"/>
      <c r="D174" s="27" t="s">
        <v>16</v>
      </c>
      <c r="E174" s="43">
        <v>10.17</v>
      </c>
      <c r="F174" s="17">
        <v>52</v>
      </c>
      <c r="G174" s="17">
        <v>9</v>
      </c>
      <c r="H174" s="17">
        <v>16</v>
      </c>
      <c r="I174" s="17"/>
      <c r="J174" s="17"/>
      <c r="K174" s="17">
        <v>0.96</v>
      </c>
      <c r="L174" s="17">
        <v>0.64</v>
      </c>
      <c r="M174" s="43"/>
      <c r="N174" s="472" t="s">
        <v>348</v>
      </c>
      <c r="O174" s="472"/>
      <c r="P174" s="472"/>
      <c r="Q174" s="145"/>
      <c r="R174" s="79" t="s">
        <v>149</v>
      </c>
      <c r="S174" s="258">
        <f>$P$11*0.05</f>
        <v>5</v>
      </c>
      <c r="T174" s="257">
        <f>$P$11*0.18</f>
        <v>18</v>
      </c>
      <c r="U174" s="36">
        <f>KALKULÁTOR!E174*Q174</f>
        <v>0</v>
      </c>
      <c r="V174" s="28">
        <f>KALKULÁTOR!F174*$Q174/$Q$375</f>
        <v>0</v>
      </c>
      <c r="W174" s="28">
        <f>KALKULÁTOR!G174*$Q174/$Q$375</f>
        <v>0</v>
      </c>
      <c r="X174" s="28">
        <f>KALKULÁTOR!H174*$Q174/$Q$375</f>
        <v>0</v>
      </c>
      <c r="Y174" s="28">
        <f>KALKULÁTOR!I174*$Q174/$Q$375</f>
        <v>0</v>
      </c>
      <c r="Z174" s="28">
        <f>KALKULÁTOR!J174*$Q174/$Q$375</f>
        <v>0</v>
      </c>
      <c r="AA174" s="28">
        <f>KALKULÁTOR!K174*$Q174/$Q$375</f>
        <v>0</v>
      </c>
      <c r="AB174" s="28">
        <f>KALKULÁTOR!L174*$Q174/$Q$375</f>
        <v>0</v>
      </c>
      <c r="AC174" s="41">
        <f>KALKULÁTOR!C174*Q174</f>
        <v>0</v>
      </c>
      <c r="AD174" s="442">
        <f t="shared" si="3"/>
        <v>0</v>
      </c>
      <c r="AE174" s="442"/>
      <c r="AF174" s="275"/>
      <c r="AG174" s="275"/>
      <c r="AH174" s="275"/>
      <c r="AI174" s="275"/>
    </row>
    <row r="175" spans="1:35" x14ac:dyDescent="0.25">
      <c r="A175" s="516"/>
      <c r="B175" s="491"/>
      <c r="C175" s="81"/>
      <c r="D175" s="27" t="s">
        <v>16</v>
      </c>
      <c r="E175" s="43">
        <v>10.17</v>
      </c>
      <c r="F175" s="17">
        <v>50</v>
      </c>
      <c r="G175" s="17">
        <v>9</v>
      </c>
      <c r="H175" s="17">
        <v>16</v>
      </c>
      <c r="I175" s="17"/>
      <c r="J175" s="17"/>
      <c r="K175" s="17">
        <v>0.96</v>
      </c>
      <c r="L175" s="17">
        <v>0.64</v>
      </c>
      <c r="M175" s="43"/>
      <c r="N175" s="472" t="s">
        <v>428</v>
      </c>
      <c r="O175" s="472"/>
      <c r="P175" s="472"/>
      <c r="Q175" s="107"/>
      <c r="R175" s="79" t="s">
        <v>149</v>
      </c>
      <c r="S175" s="351">
        <f>$P$11*0.05</f>
        <v>5</v>
      </c>
      <c r="T175" s="350">
        <f>$P$11*0.18</f>
        <v>18</v>
      </c>
      <c r="U175" s="36">
        <f>KALKULÁTOR!E175*Q175</f>
        <v>0</v>
      </c>
      <c r="V175" s="28">
        <f>KALKULÁTOR!F175*$Q175/$Q$375</f>
        <v>0</v>
      </c>
      <c r="W175" s="28">
        <f>KALKULÁTOR!G175*$Q175/$Q$375</f>
        <v>0</v>
      </c>
      <c r="X175" s="28">
        <f>KALKULÁTOR!H175*$Q175/$Q$375</f>
        <v>0</v>
      </c>
      <c r="Y175" s="28">
        <f>KALKULÁTOR!I175*$Q175/$Q$375</f>
        <v>0</v>
      </c>
      <c r="Z175" s="28">
        <f>KALKULÁTOR!J175*$Q175/$Q$375</f>
        <v>0</v>
      </c>
      <c r="AA175" s="28">
        <f>KALKULÁTOR!K175*$Q175/$Q$375</f>
        <v>0</v>
      </c>
      <c r="AB175" s="28">
        <f>KALKULÁTOR!L175*$Q175/$Q$375</f>
        <v>0</v>
      </c>
      <c r="AC175" s="41">
        <f>KALKULÁTOR!C175*Q175</f>
        <v>0</v>
      </c>
      <c r="AD175" s="442">
        <f t="shared" si="3"/>
        <v>0</v>
      </c>
      <c r="AE175" s="442"/>
      <c r="AF175" s="275"/>
      <c r="AG175" s="275"/>
      <c r="AH175" s="275"/>
      <c r="AI175" s="275"/>
    </row>
    <row r="176" spans="1:35" x14ac:dyDescent="0.25">
      <c r="A176" s="516"/>
      <c r="B176" s="491"/>
      <c r="C176" s="81"/>
      <c r="D176" s="27" t="s">
        <v>16</v>
      </c>
      <c r="E176" s="43">
        <v>9.84</v>
      </c>
      <c r="F176" s="17">
        <v>46</v>
      </c>
      <c r="G176" s="17">
        <v>0.8</v>
      </c>
      <c r="H176" s="17">
        <v>8</v>
      </c>
      <c r="I176" s="17">
        <v>0.44</v>
      </c>
      <c r="J176" s="17">
        <v>1.5</v>
      </c>
      <c r="K176" s="17">
        <v>1.73</v>
      </c>
      <c r="L176" s="17">
        <v>1.1599999999999999</v>
      </c>
      <c r="M176" s="43"/>
      <c r="N176" s="472" t="s">
        <v>414</v>
      </c>
      <c r="O176" s="472"/>
      <c r="P176" s="472"/>
      <c r="Q176" s="107"/>
      <c r="R176" s="80" t="s">
        <v>149</v>
      </c>
      <c r="S176" s="334">
        <f>$P$11*0.05</f>
        <v>5</v>
      </c>
      <c r="T176" s="333">
        <f>$P$11*0.2</f>
        <v>20</v>
      </c>
      <c r="U176" s="36">
        <f>KALKULÁTOR!E176*Q176</f>
        <v>0</v>
      </c>
      <c r="V176" s="28">
        <f>KALKULÁTOR!F176*$Q176/$Q$375</f>
        <v>0</v>
      </c>
      <c r="W176" s="28">
        <f>KALKULÁTOR!G176*$Q176/$Q$375</f>
        <v>0</v>
      </c>
      <c r="X176" s="28">
        <f>KALKULÁTOR!H176*$Q176/$Q$375</f>
        <v>0</v>
      </c>
      <c r="Y176" s="28">
        <f>KALKULÁTOR!I176*$Q176/$Q$375</f>
        <v>0</v>
      </c>
      <c r="Z176" s="28">
        <f>KALKULÁTOR!J176*$Q176/$Q$375</f>
        <v>0</v>
      </c>
      <c r="AA176" s="28">
        <f>KALKULÁTOR!K176*$Q176/$Q$375</f>
        <v>0</v>
      </c>
      <c r="AB176" s="28">
        <f>KALKULÁTOR!L176*$Q176/$Q$375</f>
        <v>0</v>
      </c>
      <c r="AC176" s="41">
        <f>KALKULÁTOR!C176*Q176</f>
        <v>0</v>
      </c>
      <c r="AD176" s="442">
        <f t="shared" si="3"/>
        <v>0</v>
      </c>
      <c r="AE176" s="442"/>
      <c r="AF176" s="496" t="s">
        <v>415</v>
      </c>
      <c r="AG176" s="497"/>
      <c r="AH176" s="497"/>
      <c r="AI176" s="479"/>
    </row>
    <row r="177" spans="1:35" x14ac:dyDescent="0.25">
      <c r="A177" s="516"/>
      <c r="B177" s="491"/>
      <c r="C177" s="81"/>
      <c r="D177" s="27" t="s">
        <v>16</v>
      </c>
      <c r="E177" s="43">
        <v>10.17</v>
      </c>
      <c r="F177" s="17">
        <v>44</v>
      </c>
      <c r="G177" s="17">
        <v>12.7</v>
      </c>
      <c r="H177" s="17">
        <v>14.5</v>
      </c>
      <c r="I177" s="17"/>
      <c r="J177" s="17"/>
      <c r="K177" s="17">
        <v>0.96</v>
      </c>
      <c r="L177" s="17">
        <v>0.64</v>
      </c>
      <c r="M177" s="43"/>
      <c r="N177" s="472" t="s">
        <v>335</v>
      </c>
      <c r="O177" s="472"/>
      <c r="P177" s="472"/>
      <c r="Q177" s="145"/>
      <c r="R177" s="79" t="s">
        <v>149</v>
      </c>
      <c r="S177" s="242">
        <f>$P$11*0.05</f>
        <v>5</v>
      </c>
      <c r="T177" s="241">
        <f>$P$11*0.18</f>
        <v>18</v>
      </c>
      <c r="U177" s="36">
        <f>KALKULÁTOR!E177*Q177</f>
        <v>0</v>
      </c>
      <c r="V177" s="28">
        <f>KALKULÁTOR!F177*$Q177/$Q$375</f>
        <v>0</v>
      </c>
      <c r="W177" s="28">
        <f>KALKULÁTOR!G177*$Q177/$Q$375</f>
        <v>0</v>
      </c>
      <c r="X177" s="28">
        <f>KALKULÁTOR!H177*$Q177/$Q$375</f>
        <v>0</v>
      </c>
      <c r="Y177" s="28">
        <f>KALKULÁTOR!I177*$Q177/$Q$375</f>
        <v>0</v>
      </c>
      <c r="Z177" s="28">
        <f>KALKULÁTOR!J177*$Q177/$Q$375</f>
        <v>0</v>
      </c>
      <c r="AA177" s="28">
        <f>KALKULÁTOR!K177*$Q177/$Q$375</f>
        <v>0</v>
      </c>
      <c r="AB177" s="28">
        <f>KALKULÁTOR!L177*$Q177/$Q$375</f>
        <v>0</v>
      </c>
      <c r="AC177" s="41">
        <f>KALKULÁTOR!C177*Q177</f>
        <v>0</v>
      </c>
      <c r="AD177" s="442">
        <f t="shared" si="3"/>
        <v>0</v>
      </c>
      <c r="AE177" s="442"/>
      <c r="AF177" s="275"/>
      <c r="AG177" s="275"/>
      <c r="AH177" s="275"/>
      <c r="AI177" s="275"/>
    </row>
    <row r="178" spans="1:35" x14ac:dyDescent="0.25">
      <c r="A178" s="516"/>
      <c r="B178" s="491"/>
      <c r="C178" s="81"/>
      <c r="D178" s="27" t="s">
        <v>16</v>
      </c>
      <c r="E178" s="43">
        <v>7.47</v>
      </c>
      <c r="F178" s="17">
        <v>42</v>
      </c>
      <c r="G178" s="17">
        <v>1.9</v>
      </c>
      <c r="H178" s="17">
        <v>14.9</v>
      </c>
      <c r="I178" s="17">
        <v>0.4</v>
      </c>
      <c r="J178" s="17">
        <v>1.1599999999999999</v>
      </c>
      <c r="K178" s="17"/>
      <c r="L178" s="17"/>
      <c r="M178" s="43"/>
      <c r="N178" s="472" t="s">
        <v>447</v>
      </c>
      <c r="O178" s="472"/>
      <c r="P178" s="472"/>
      <c r="Q178" s="145"/>
      <c r="R178" s="79" t="s">
        <v>149</v>
      </c>
      <c r="S178" s="123">
        <f>$P$11*0.05</f>
        <v>5</v>
      </c>
      <c r="T178" s="121">
        <f>$P$11*0.18</f>
        <v>18</v>
      </c>
      <c r="U178" s="36">
        <f>KALKULÁTOR!E178*Q178</f>
        <v>0</v>
      </c>
      <c r="V178" s="28">
        <f>KALKULÁTOR!F178*$Q178/$Q$375</f>
        <v>0</v>
      </c>
      <c r="W178" s="28">
        <f>KALKULÁTOR!G178*$Q178/$Q$375</f>
        <v>0</v>
      </c>
      <c r="X178" s="28">
        <f>KALKULÁTOR!H178*$Q178/$Q$375</f>
        <v>0</v>
      </c>
      <c r="Y178" s="28">
        <f>KALKULÁTOR!I178*$Q178/$Q$375</f>
        <v>0</v>
      </c>
      <c r="Z178" s="28">
        <f>KALKULÁTOR!J178*$Q178/$Q$375</f>
        <v>0</v>
      </c>
      <c r="AA178" s="28">
        <f>KALKULÁTOR!K178*$Q178/$Q$375</f>
        <v>0</v>
      </c>
      <c r="AB178" s="28">
        <f>KALKULÁTOR!L178*$Q178/$Q$375</f>
        <v>0</v>
      </c>
      <c r="AC178" s="41">
        <f>KALKULÁTOR!C178*Q178</f>
        <v>0</v>
      </c>
      <c r="AD178" s="442">
        <f t="shared" si="3"/>
        <v>0</v>
      </c>
      <c r="AE178" s="442"/>
      <c r="AF178" s="275"/>
      <c r="AG178" s="275"/>
      <c r="AH178" s="275"/>
      <c r="AI178" s="275"/>
    </row>
    <row r="179" spans="1:35" x14ac:dyDescent="0.25">
      <c r="A179" s="516"/>
      <c r="B179" s="491"/>
      <c r="C179" s="81"/>
      <c r="D179" s="27" t="s">
        <v>16</v>
      </c>
      <c r="E179" s="43">
        <v>7.17</v>
      </c>
      <c r="F179" s="17">
        <v>40</v>
      </c>
      <c r="G179" s="17">
        <v>2</v>
      </c>
      <c r="H179" s="17">
        <v>18.7</v>
      </c>
      <c r="I179" s="17">
        <v>0.33</v>
      </c>
      <c r="J179" s="17">
        <v>1.34</v>
      </c>
      <c r="K179" s="17">
        <v>1.39</v>
      </c>
      <c r="L179" s="17">
        <v>0.86</v>
      </c>
      <c r="M179" s="43"/>
      <c r="N179" s="472" t="s">
        <v>339</v>
      </c>
      <c r="O179" s="472"/>
      <c r="P179" s="472"/>
      <c r="Q179" s="107"/>
      <c r="R179" s="79" t="s">
        <v>149</v>
      </c>
      <c r="S179" s="123">
        <f>$P$11*0.05</f>
        <v>5</v>
      </c>
      <c r="T179" s="225">
        <f>$P$11*0.18</f>
        <v>18</v>
      </c>
      <c r="U179" s="36">
        <f>KALKULÁTOR!E179*Q179</f>
        <v>0</v>
      </c>
      <c r="V179" s="28">
        <f>KALKULÁTOR!F179*$Q179/$Q$375</f>
        <v>0</v>
      </c>
      <c r="W179" s="28">
        <f>KALKULÁTOR!G179*$Q179/$Q$375</f>
        <v>0</v>
      </c>
      <c r="X179" s="28">
        <f>KALKULÁTOR!H179*$Q179/$Q$375</f>
        <v>0</v>
      </c>
      <c r="Y179" s="28">
        <f>KALKULÁTOR!I179*$Q179/$Q$375</f>
        <v>0</v>
      </c>
      <c r="Z179" s="28">
        <f>KALKULÁTOR!J179*$Q179/$Q$375</f>
        <v>0</v>
      </c>
      <c r="AA179" s="28">
        <f>KALKULÁTOR!K179*$Q179/$Q$375</f>
        <v>0</v>
      </c>
      <c r="AB179" s="28">
        <f>KALKULÁTOR!L179*$Q179/$Q$375</f>
        <v>0</v>
      </c>
      <c r="AC179" s="41">
        <f>KALKULÁTOR!C179*Q179</f>
        <v>0</v>
      </c>
      <c r="AD179" s="442">
        <f t="shared" si="3"/>
        <v>0</v>
      </c>
      <c r="AE179" s="442"/>
      <c r="AF179" s="275"/>
      <c r="AG179" s="275"/>
      <c r="AH179" s="275"/>
      <c r="AI179" s="275"/>
    </row>
    <row r="180" spans="1:35" x14ac:dyDescent="0.25">
      <c r="A180" s="516"/>
      <c r="B180" s="491"/>
      <c r="C180" s="81"/>
      <c r="D180" s="27" t="s">
        <v>16</v>
      </c>
      <c r="E180" s="43">
        <v>7.19</v>
      </c>
      <c r="F180" s="17">
        <v>36</v>
      </c>
      <c r="G180" s="17">
        <v>2</v>
      </c>
      <c r="H180" s="17">
        <v>20</v>
      </c>
      <c r="I180" s="17">
        <v>0.32</v>
      </c>
      <c r="J180" s="17">
        <v>0.78</v>
      </c>
      <c r="K180" s="17">
        <v>1.39</v>
      </c>
      <c r="L180" s="17">
        <v>0.86</v>
      </c>
      <c r="M180" s="43"/>
      <c r="N180" s="472" t="s">
        <v>410</v>
      </c>
      <c r="O180" s="472"/>
      <c r="P180" s="472"/>
      <c r="Q180" s="107"/>
      <c r="R180" s="79" t="s">
        <v>149</v>
      </c>
      <c r="S180" s="304">
        <f>$P$11*0.05</f>
        <v>5</v>
      </c>
      <c r="T180" s="303">
        <f>$P$11*0.18</f>
        <v>18</v>
      </c>
      <c r="U180" s="36">
        <f>KALKULÁTOR!E180*Q180</f>
        <v>0</v>
      </c>
      <c r="V180" s="28">
        <f>KALKULÁTOR!F180*$Q180/$Q$375</f>
        <v>0</v>
      </c>
      <c r="W180" s="28">
        <f>KALKULÁTOR!G180*$Q180/$Q$375</f>
        <v>0</v>
      </c>
      <c r="X180" s="28">
        <f>KALKULÁTOR!H180*$Q180/$Q$375</f>
        <v>0</v>
      </c>
      <c r="Y180" s="28">
        <f>KALKULÁTOR!I180*$Q180/$Q$375</f>
        <v>0</v>
      </c>
      <c r="Z180" s="28">
        <f>KALKULÁTOR!J180*$Q180/$Q$375</f>
        <v>0</v>
      </c>
      <c r="AA180" s="28">
        <f>KALKULÁTOR!K180*$Q180/$Q$375</f>
        <v>0</v>
      </c>
      <c r="AB180" s="28">
        <f>KALKULÁTOR!L180*$Q180/$Q$375</f>
        <v>0</v>
      </c>
      <c r="AC180" s="41">
        <f>KALKULÁTOR!C180*Q180</f>
        <v>0</v>
      </c>
      <c r="AD180" s="442">
        <f t="shared" si="3"/>
        <v>0</v>
      </c>
      <c r="AE180" s="442"/>
      <c r="AF180" s="275"/>
      <c r="AG180" s="275"/>
      <c r="AH180" s="275"/>
      <c r="AI180" s="275"/>
    </row>
    <row r="181" spans="1:35" x14ac:dyDescent="0.25">
      <c r="A181" s="516"/>
      <c r="B181" s="491"/>
      <c r="C181" s="81"/>
      <c r="D181" s="27" t="s">
        <v>16</v>
      </c>
      <c r="E181" s="43">
        <v>7.19</v>
      </c>
      <c r="F181" s="17">
        <v>35.5</v>
      </c>
      <c r="G181" s="17">
        <v>3</v>
      </c>
      <c r="H181" s="17">
        <v>20.5</v>
      </c>
      <c r="I181" s="17">
        <v>0.32</v>
      </c>
      <c r="J181" s="17">
        <v>0.78</v>
      </c>
      <c r="K181" s="17">
        <v>1.39</v>
      </c>
      <c r="L181" s="17">
        <v>0.86</v>
      </c>
      <c r="M181" s="43"/>
      <c r="N181" s="472" t="s">
        <v>437</v>
      </c>
      <c r="O181" s="472"/>
      <c r="P181" s="472"/>
      <c r="Q181" s="145"/>
      <c r="R181" s="79" t="s">
        <v>149</v>
      </c>
      <c r="S181" s="367">
        <f>$P$11*0.05</f>
        <v>5</v>
      </c>
      <c r="T181" s="366">
        <f>$P$11*0.18</f>
        <v>18</v>
      </c>
      <c r="U181" s="36">
        <f>KALKULÁTOR!E181*Q181</f>
        <v>0</v>
      </c>
      <c r="V181" s="28">
        <f>KALKULÁTOR!F181*$Q181/$Q$375</f>
        <v>0</v>
      </c>
      <c r="W181" s="28">
        <f>KALKULÁTOR!G181*$Q181/$Q$375</f>
        <v>0</v>
      </c>
      <c r="X181" s="28">
        <f>KALKULÁTOR!H181*$Q181/$Q$375</f>
        <v>0</v>
      </c>
      <c r="Y181" s="28">
        <f>KALKULÁTOR!I181*$Q181/$Q$375</f>
        <v>0</v>
      </c>
      <c r="Z181" s="28">
        <f>KALKULÁTOR!J181*$Q181/$Q$375</f>
        <v>0</v>
      </c>
      <c r="AA181" s="28">
        <f>KALKULÁTOR!K181*$Q181/$Q$375</f>
        <v>0</v>
      </c>
      <c r="AB181" s="28">
        <f>KALKULÁTOR!L181*$Q181/$Q$375</f>
        <v>0</v>
      </c>
      <c r="AC181" s="41">
        <f>KALKULÁTOR!C181*Q181</f>
        <v>0</v>
      </c>
      <c r="AD181" s="442">
        <f t="shared" si="3"/>
        <v>0</v>
      </c>
      <c r="AE181" s="442"/>
      <c r="AF181" s="275"/>
      <c r="AG181" s="275"/>
      <c r="AH181" s="275"/>
      <c r="AI181" s="275"/>
    </row>
    <row r="182" spans="1:35" x14ac:dyDescent="0.25">
      <c r="A182" s="516"/>
      <c r="B182" s="491"/>
      <c r="C182" s="81"/>
      <c r="D182" s="27" t="s">
        <v>16</v>
      </c>
      <c r="E182" s="43">
        <v>7.19</v>
      </c>
      <c r="F182" s="17">
        <v>35.5</v>
      </c>
      <c r="G182" s="17">
        <v>2</v>
      </c>
      <c r="H182" s="17">
        <v>20</v>
      </c>
      <c r="I182" s="17">
        <v>0.32</v>
      </c>
      <c r="J182" s="17">
        <v>0.78</v>
      </c>
      <c r="K182" s="17">
        <v>1.39</v>
      </c>
      <c r="L182" s="17">
        <v>0.86</v>
      </c>
      <c r="M182" s="43"/>
      <c r="N182" s="472" t="s">
        <v>420</v>
      </c>
      <c r="O182" s="472"/>
      <c r="P182" s="472"/>
      <c r="Q182" s="145"/>
      <c r="R182" s="79" t="s">
        <v>149</v>
      </c>
      <c r="S182" s="336">
        <f>$P$11*0.05</f>
        <v>5</v>
      </c>
      <c r="T182" s="335">
        <f>$P$11*0.18</f>
        <v>18</v>
      </c>
      <c r="U182" s="36">
        <f>KALKULÁTOR!E182*Q182</f>
        <v>0</v>
      </c>
      <c r="V182" s="28">
        <f>KALKULÁTOR!F182*$Q182/$Q$375</f>
        <v>0</v>
      </c>
      <c r="W182" s="28">
        <f>KALKULÁTOR!G182*$Q182/$Q$375</f>
        <v>0</v>
      </c>
      <c r="X182" s="28">
        <f>KALKULÁTOR!H182*$Q182/$Q$375</f>
        <v>0</v>
      </c>
      <c r="Y182" s="28">
        <f>KALKULÁTOR!I182*$Q182/$Q$375</f>
        <v>0</v>
      </c>
      <c r="Z182" s="28">
        <f>KALKULÁTOR!J182*$Q182/$Q$375</f>
        <v>0</v>
      </c>
      <c r="AA182" s="28">
        <f>KALKULÁTOR!K182*$Q182/$Q$375</f>
        <v>0</v>
      </c>
      <c r="AB182" s="28">
        <f>KALKULÁTOR!L182*$Q182/$Q$375</f>
        <v>0</v>
      </c>
      <c r="AC182" s="41">
        <f>KALKULÁTOR!C182*Q182</f>
        <v>0</v>
      </c>
      <c r="AD182" s="442">
        <f t="shared" si="3"/>
        <v>0</v>
      </c>
      <c r="AE182" s="442"/>
      <c r="AF182" s="275"/>
      <c r="AG182" s="275"/>
      <c r="AH182" s="275"/>
      <c r="AI182" s="275"/>
    </row>
    <row r="183" spans="1:35" x14ac:dyDescent="0.25">
      <c r="A183" s="516"/>
      <c r="B183" s="491"/>
      <c r="C183" s="81"/>
      <c r="D183" s="27" t="s">
        <v>16</v>
      </c>
      <c r="E183" s="43">
        <v>7.19</v>
      </c>
      <c r="F183" s="17">
        <v>35</v>
      </c>
      <c r="G183" s="17">
        <v>2</v>
      </c>
      <c r="H183" s="17">
        <v>20</v>
      </c>
      <c r="I183" s="17">
        <v>0.32</v>
      </c>
      <c r="J183" s="17">
        <v>0.78</v>
      </c>
      <c r="K183" s="17">
        <v>1.39</v>
      </c>
      <c r="L183" s="17">
        <v>0.86</v>
      </c>
      <c r="M183" s="43"/>
      <c r="N183" s="472" t="s">
        <v>425</v>
      </c>
      <c r="O183" s="472"/>
      <c r="P183" s="472"/>
      <c r="Q183" s="107"/>
      <c r="R183" s="79" t="s">
        <v>149</v>
      </c>
      <c r="S183" s="347">
        <f>$P$11*0.05</f>
        <v>5</v>
      </c>
      <c r="T183" s="346">
        <f>$P$11*0.18</f>
        <v>18</v>
      </c>
      <c r="U183" s="36">
        <f>KALKULÁTOR!E183*Q183</f>
        <v>0</v>
      </c>
      <c r="V183" s="28">
        <f>KALKULÁTOR!F183*$Q183/$Q$375</f>
        <v>0</v>
      </c>
      <c r="W183" s="28">
        <f>KALKULÁTOR!G183*$Q183/$Q$375</f>
        <v>0</v>
      </c>
      <c r="X183" s="28">
        <f>KALKULÁTOR!H183*$Q183/$Q$375</f>
        <v>0</v>
      </c>
      <c r="Y183" s="28">
        <f>KALKULÁTOR!I183*$Q183/$Q$375</f>
        <v>0</v>
      </c>
      <c r="Z183" s="28">
        <f>KALKULÁTOR!J183*$Q183/$Q$375</f>
        <v>0</v>
      </c>
      <c r="AA183" s="28">
        <f>KALKULÁTOR!K183*$Q183/$Q$375</f>
        <v>0</v>
      </c>
      <c r="AB183" s="28">
        <f>KALKULÁTOR!L183*$Q183/$Q$375</f>
        <v>0</v>
      </c>
      <c r="AC183" s="41">
        <f>KALKULÁTOR!C183*Q183</f>
        <v>0</v>
      </c>
      <c r="AD183" s="442">
        <f t="shared" si="3"/>
        <v>0</v>
      </c>
      <c r="AE183" s="442"/>
      <c r="AF183" s="275"/>
      <c r="AG183" s="275"/>
      <c r="AH183" s="275"/>
      <c r="AI183" s="275"/>
    </row>
    <row r="184" spans="1:35" x14ac:dyDescent="0.25">
      <c r="A184" s="516"/>
      <c r="B184" s="491"/>
      <c r="C184" s="81"/>
      <c r="D184" s="27" t="s">
        <v>16</v>
      </c>
      <c r="E184" s="43">
        <v>7.5</v>
      </c>
      <c r="F184" s="17">
        <v>34</v>
      </c>
      <c r="G184" s="17">
        <v>2</v>
      </c>
      <c r="H184" s="17">
        <v>23</v>
      </c>
      <c r="I184" s="17"/>
      <c r="J184" s="17"/>
      <c r="K184" s="17">
        <v>1.1599999999999999</v>
      </c>
      <c r="L184" s="17">
        <v>0.74</v>
      </c>
      <c r="M184" s="43"/>
      <c r="N184" s="472" t="s">
        <v>329</v>
      </c>
      <c r="O184" s="472"/>
      <c r="P184" s="472"/>
      <c r="Q184" s="107"/>
      <c r="R184" s="79" t="s">
        <v>149</v>
      </c>
      <c r="S184" s="224">
        <f>$P$11*0.05</f>
        <v>5</v>
      </c>
      <c r="T184" s="225">
        <f>$P$11*0.18</f>
        <v>18</v>
      </c>
      <c r="U184" s="36">
        <f>KALKULÁTOR!E184*Q184</f>
        <v>0</v>
      </c>
      <c r="V184" s="28">
        <f>KALKULÁTOR!F184*$Q184/$Q$375</f>
        <v>0</v>
      </c>
      <c r="W184" s="28">
        <f>KALKULÁTOR!G184*$Q184/$Q$375</f>
        <v>0</v>
      </c>
      <c r="X184" s="28">
        <f>KALKULÁTOR!H184*$Q184/$Q$375</f>
        <v>0</v>
      </c>
      <c r="Y184" s="28">
        <f>KALKULÁTOR!I184*$Q184/$Q$375</f>
        <v>0</v>
      </c>
      <c r="Z184" s="28">
        <f>KALKULÁTOR!J184*$Q184/$Q$375</f>
        <v>0</v>
      </c>
      <c r="AA184" s="28">
        <f>KALKULÁTOR!K184*$Q184/$Q$375</f>
        <v>0</v>
      </c>
      <c r="AB184" s="28">
        <f>KALKULÁTOR!L184*$Q184/$Q$375</f>
        <v>0</v>
      </c>
      <c r="AC184" s="41">
        <f>KALKULÁTOR!C184*Q184</f>
        <v>0</v>
      </c>
      <c r="AD184" s="442">
        <f t="shared" si="3"/>
        <v>0</v>
      </c>
      <c r="AE184" s="442"/>
      <c r="AF184" s="275"/>
      <c r="AG184" s="275"/>
      <c r="AH184" s="275"/>
      <c r="AI184" s="275"/>
    </row>
    <row r="185" spans="1:35" x14ac:dyDescent="0.25">
      <c r="A185" s="516"/>
      <c r="B185" s="491"/>
      <c r="C185" s="81"/>
      <c r="D185" s="27" t="s">
        <v>16</v>
      </c>
      <c r="E185" s="43">
        <v>10.46</v>
      </c>
      <c r="F185" s="17">
        <v>38</v>
      </c>
      <c r="G185" s="17">
        <v>16.5</v>
      </c>
      <c r="H185" s="17">
        <v>22</v>
      </c>
      <c r="I185" s="17">
        <v>0.31</v>
      </c>
      <c r="J185" s="17">
        <v>1.1200000000000001</v>
      </c>
      <c r="K185" s="17">
        <v>1.3</v>
      </c>
      <c r="L185" s="17">
        <v>0.83</v>
      </c>
      <c r="M185" s="43"/>
      <c r="N185" s="472" t="s">
        <v>326</v>
      </c>
      <c r="O185" s="472"/>
      <c r="P185" s="472"/>
      <c r="Q185" s="145"/>
      <c r="R185" s="79" t="s">
        <v>149</v>
      </c>
      <c r="S185" s="123">
        <f>$P$11*0.05</f>
        <v>5</v>
      </c>
      <c r="T185" s="121">
        <f>$P$11*0.18</f>
        <v>18</v>
      </c>
      <c r="U185" s="36">
        <f>KALKULÁTOR!E185*Q185</f>
        <v>0</v>
      </c>
      <c r="V185" s="28">
        <f>KALKULÁTOR!F185*$Q185/$Q$375</f>
        <v>0</v>
      </c>
      <c r="W185" s="28">
        <f>KALKULÁTOR!G185*$Q185/$Q$375</f>
        <v>0</v>
      </c>
      <c r="X185" s="28">
        <f>KALKULÁTOR!H185*$Q185/$Q$375</f>
        <v>0</v>
      </c>
      <c r="Y185" s="28">
        <f>KALKULÁTOR!I185*$Q185/$Q$375</f>
        <v>0</v>
      </c>
      <c r="Z185" s="28">
        <f>KALKULÁTOR!J185*$Q185/$Q$375</f>
        <v>0</v>
      </c>
      <c r="AA185" s="28">
        <f>KALKULÁTOR!K185*$Q185/$Q$375</f>
        <v>0</v>
      </c>
      <c r="AB185" s="28">
        <f>KALKULÁTOR!L185*$Q185/$Q$375</f>
        <v>0</v>
      </c>
      <c r="AC185" s="41">
        <f>KALKULÁTOR!C185*Q185</f>
        <v>0</v>
      </c>
      <c r="AD185" s="442">
        <f t="shared" si="3"/>
        <v>0</v>
      </c>
      <c r="AE185" s="442"/>
    </row>
    <row r="186" spans="1:35" x14ac:dyDescent="0.25">
      <c r="A186" s="516"/>
      <c r="B186" s="491"/>
      <c r="C186" s="81"/>
      <c r="D186" s="27" t="s">
        <v>16</v>
      </c>
      <c r="E186" s="43">
        <v>10.46</v>
      </c>
      <c r="F186" s="17">
        <v>36</v>
      </c>
      <c r="G186" s="17">
        <v>17.100000000000001</v>
      </c>
      <c r="H186" s="17">
        <v>21</v>
      </c>
      <c r="I186" s="17">
        <v>0.31</v>
      </c>
      <c r="J186" s="17">
        <v>1.1200000000000001</v>
      </c>
      <c r="K186" s="17">
        <v>1.23</v>
      </c>
      <c r="L186" s="17">
        <v>0.79</v>
      </c>
      <c r="M186" s="43"/>
      <c r="N186" s="472" t="s">
        <v>327</v>
      </c>
      <c r="O186" s="472"/>
      <c r="P186" s="472"/>
      <c r="Q186" s="145"/>
      <c r="R186" s="79" t="s">
        <v>149</v>
      </c>
      <c r="S186" s="123">
        <f>$P$11*0.05</f>
        <v>5</v>
      </c>
      <c r="T186" s="121">
        <f>$P$11*0.18</f>
        <v>18</v>
      </c>
      <c r="U186" s="36">
        <f>KALKULÁTOR!E186*Q186</f>
        <v>0</v>
      </c>
      <c r="V186" s="28">
        <f>KALKULÁTOR!F186*$Q186/$Q$375</f>
        <v>0</v>
      </c>
      <c r="W186" s="28">
        <f>KALKULÁTOR!G186*$Q186/$Q$375</f>
        <v>0</v>
      </c>
      <c r="X186" s="28">
        <f>KALKULÁTOR!H186*$Q186/$Q$375</f>
        <v>0</v>
      </c>
      <c r="Y186" s="28">
        <f>KALKULÁTOR!I186*$Q186/$Q$375</f>
        <v>0</v>
      </c>
      <c r="Z186" s="28">
        <f>KALKULÁTOR!J186*$Q186/$Q$375</f>
        <v>0</v>
      </c>
      <c r="AA186" s="28">
        <f>KALKULÁTOR!K186*$Q186/$Q$375</f>
        <v>0</v>
      </c>
      <c r="AB186" s="28">
        <f>KALKULÁTOR!L186*$Q186/$Q$375</f>
        <v>0</v>
      </c>
      <c r="AC186" s="41">
        <f>KALKULÁTOR!C186*Q186</f>
        <v>0</v>
      </c>
      <c r="AD186" s="442">
        <f t="shared" si="3"/>
        <v>0</v>
      </c>
      <c r="AE186" s="442"/>
    </row>
    <row r="187" spans="1:35" x14ac:dyDescent="0.25">
      <c r="A187" s="516"/>
      <c r="B187" s="491"/>
      <c r="C187" s="81"/>
      <c r="D187" s="27" t="s">
        <v>16</v>
      </c>
      <c r="E187" s="43">
        <v>10.46</v>
      </c>
      <c r="F187" s="17">
        <v>34</v>
      </c>
      <c r="G187" s="17">
        <v>18.100000000000001</v>
      </c>
      <c r="H187" s="17">
        <v>20</v>
      </c>
      <c r="I187" s="17">
        <v>0.31</v>
      </c>
      <c r="J187" s="17">
        <v>1.1200000000000001</v>
      </c>
      <c r="K187" s="17">
        <v>1.1599999999999999</v>
      </c>
      <c r="L187" s="17">
        <v>0.74</v>
      </c>
      <c r="M187" s="43"/>
      <c r="N187" s="472" t="s">
        <v>328</v>
      </c>
      <c r="O187" s="472"/>
      <c r="P187" s="472"/>
      <c r="Q187" s="107"/>
      <c r="R187" s="79" t="s">
        <v>149</v>
      </c>
      <c r="S187" s="123">
        <f>$P$11*0.05</f>
        <v>5</v>
      </c>
      <c r="T187" s="121">
        <f>$P$11*0.18</f>
        <v>18</v>
      </c>
      <c r="U187" s="36">
        <f>KALKULÁTOR!E187*Q187</f>
        <v>0</v>
      </c>
      <c r="V187" s="28">
        <f>KALKULÁTOR!F187*$Q187/$Q$375</f>
        <v>0</v>
      </c>
      <c r="W187" s="28">
        <f>KALKULÁTOR!G187*$Q187/$Q$375</f>
        <v>0</v>
      </c>
      <c r="X187" s="28">
        <f>KALKULÁTOR!H187*$Q187/$Q$375</f>
        <v>0</v>
      </c>
      <c r="Y187" s="28">
        <f>KALKULÁTOR!I187*$Q187/$Q$375</f>
        <v>0</v>
      </c>
      <c r="Z187" s="28">
        <f>KALKULÁTOR!J187*$Q187/$Q$375</f>
        <v>0</v>
      </c>
      <c r="AA187" s="28">
        <f>KALKULÁTOR!K187*$Q187/$Q$375</f>
        <v>0</v>
      </c>
      <c r="AB187" s="28">
        <f>KALKULÁTOR!L187*$Q187/$Q$375</f>
        <v>0</v>
      </c>
      <c r="AC187" s="41">
        <f>KALKULÁTOR!C187*Q187</f>
        <v>0</v>
      </c>
      <c r="AD187" s="442">
        <f t="shared" si="3"/>
        <v>0</v>
      </c>
      <c r="AE187" s="442"/>
    </row>
    <row r="188" spans="1:35" x14ac:dyDescent="0.25">
      <c r="A188" s="516"/>
      <c r="B188" s="491"/>
      <c r="C188" s="81"/>
      <c r="D188" s="27" t="s">
        <v>16</v>
      </c>
      <c r="E188" s="43">
        <v>10.46</v>
      </c>
      <c r="F188" s="17">
        <v>32</v>
      </c>
      <c r="G188" s="17">
        <v>19</v>
      </c>
      <c r="H188" s="17">
        <v>19</v>
      </c>
      <c r="I188" s="17">
        <v>0.31</v>
      </c>
      <c r="J188" s="17">
        <v>1.1200000000000001</v>
      </c>
      <c r="K188" s="17">
        <v>1.0900000000000001</v>
      </c>
      <c r="L188" s="17">
        <v>0.69</v>
      </c>
      <c r="M188" s="43"/>
      <c r="N188" s="472" t="s">
        <v>334</v>
      </c>
      <c r="O188" s="472"/>
      <c r="P188" s="472"/>
      <c r="Q188" s="107"/>
      <c r="R188" s="79" t="s">
        <v>149</v>
      </c>
      <c r="S188" s="240">
        <f>$P$11*0.05</f>
        <v>5</v>
      </c>
      <c r="T188" s="239">
        <f>$P$11*0.18</f>
        <v>18</v>
      </c>
      <c r="U188" s="36">
        <f>KALKULÁTOR!E188*Q188</f>
        <v>0</v>
      </c>
      <c r="V188" s="28">
        <f>KALKULÁTOR!F188*$Q188/$Q$375</f>
        <v>0</v>
      </c>
      <c r="W188" s="28">
        <f>KALKULÁTOR!G188*$Q188/$Q$375</f>
        <v>0</v>
      </c>
      <c r="X188" s="28">
        <f>KALKULÁTOR!H188*$Q188/$Q$375</f>
        <v>0</v>
      </c>
      <c r="Y188" s="28">
        <f>KALKULÁTOR!I188*$Q188/$Q$375</f>
        <v>0</v>
      </c>
      <c r="Z188" s="28">
        <f>KALKULÁTOR!J188*$Q188/$Q$375</f>
        <v>0</v>
      </c>
      <c r="AA188" s="28">
        <f>KALKULÁTOR!K188*$Q188/$Q$375</f>
        <v>0</v>
      </c>
      <c r="AB188" s="28">
        <f>KALKULÁTOR!L188*$Q188/$Q$375</f>
        <v>0</v>
      </c>
      <c r="AC188" s="41">
        <f>KALKULÁTOR!C188*Q188</f>
        <v>0</v>
      </c>
      <c r="AD188" s="442">
        <f t="shared" si="3"/>
        <v>0</v>
      </c>
      <c r="AE188" s="442"/>
    </row>
    <row r="189" spans="1:35" x14ac:dyDescent="0.25">
      <c r="A189" s="516"/>
      <c r="B189" s="491"/>
      <c r="C189" s="81"/>
      <c r="D189" s="27" t="s">
        <v>16</v>
      </c>
      <c r="E189" s="43">
        <v>7.5</v>
      </c>
      <c r="F189" s="17">
        <v>25</v>
      </c>
      <c r="G189" s="17">
        <v>14.25</v>
      </c>
      <c r="H189" s="17">
        <v>26</v>
      </c>
      <c r="I189" s="17">
        <v>0.31</v>
      </c>
      <c r="J189" s="17">
        <v>1.1200000000000001</v>
      </c>
      <c r="K189" s="17">
        <v>1</v>
      </c>
      <c r="L189" s="17">
        <v>0.65</v>
      </c>
      <c r="M189" s="43"/>
      <c r="N189" s="472" t="s">
        <v>446</v>
      </c>
      <c r="O189" s="472"/>
      <c r="P189" s="472"/>
      <c r="Q189" s="145"/>
      <c r="R189" s="79" t="s">
        <v>149</v>
      </c>
      <c r="S189" s="143">
        <f>$P$11*0.05</f>
        <v>5</v>
      </c>
      <c r="T189" s="142">
        <f>$P$11*0.18</f>
        <v>18</v>
      </c>
      <c r="U189" s="36">
        <f>KALKULÁTOR!E189*Q189</f>
        <v>0</v>
      </c>
      <c r="V189" s="28">
        <f>KALKULÁTOR!F189*$Q189/$Q$375</f>
        <v>0</v>
      </c>
      <c r="W189" s="28">
        <f>KALKULÁTOR!G189*$Q189/$Q$375</f>
        <v>0</v>
      </c>
      <c r="X189" s="28">
        <f>KALKULÁTOR!H189*$Q189/$Q$375</f>
        <v>0</v>
      </c>
      <c r="Y189" s="28">
        <f>KALKULÁTOR!I189*$Q189/$Q$375</f>
        <v>0</v>
      </c>
      <c r="Z189" s="28">
        <f>KALKULÁTOR!J189*$Q189/$Q$375</f>
        <v>0</v>
      </c>
      <c r="AA189" s="28">
        <f>KALKULÁTOR!K189*$Q189/$Q$375</f>
        <v>0</v>
      </c>
      <c r="AB189" s="28">
        <f>KALKULÁTOR!L189*$Q189/$Q$375</f>
        <v>0</v>
      </c>
      <c r="AC189" s="41">
        <f>KALKULÁTOR!C189*Q189</f>
        <v>0</v>
      </c>
      <c r="AD189" s="442">
        <f t="shared" si="3"/>
        <v>0</v>
      </c>
      <c r="AE189" s="442"/>
    </row>
    <row r="190" spans="1:35" x14ac:dyDescent="0.25">
      <c r="A190" s="516"/>
      <c r="B190" s="491"/>
      <c r="C190" s="81"/>
      <c r="D190" s="27" t="s">
        <v>16</v>
      </c>
      <c r="E190" s="43">
        <v>7.5</v>
      </c>
      <c r="F190" s="17">
        <v>23</v>
      </c>
      <c r="G190" s="17">
        <v>15</v>
      </c>
      <c r="H190" s="17">
        <v>27</v>
      </c>
      <c r="I190" s="17">
        <v>0.31</v>
      </c>
      <c r="J190" s="17">
        <v>1.1200000000000001</v>
      </c>
      <c r="K190" s="17">
        <v>1</v>
      </c>
      <c r="L190" s="17">
        <v>0.65</v>
      </c>
      <c r="M190" s="43"/>
      <c r="N190" s="472" t="s">
        <v>392</v>
      </c>
      <c r="O190" s="472"/>
      <c r="P190" s="472"/>
      <c r="Q190" s="145"/>
      <c r="R190" s="79" t="s">
        <v>149</v>
      </c>
      <c r="S190" s="306">
        <f>$P$11*0.05</f>
        <v>5</v>
      </c>
      <c r="T190" s="305">
        <f>$P$11*0.18</f>
        <v>18</v>
      </c>
      <c r="U190" s="36">
        <f>KALKULÁTOR!E190*Q190</f>
        <v>0</v>
      </c>
      <c r="V190" s="28">
        <f>KALKULÁTOR!F190*$Q190/$Q$375</f>
        <v>0</v>
      </c>
      <c r="W190" s="28">
        <f>KALKULÁTOR!G190*$Q190/$Q$375</f>
        <v>0</v>
      </c>
      <c r="X190" s="28">
        <f>KALKULÁTOR!H190*$Q190/$Q$375</f>
        <v>0</v>
      </c>
      <c r="Y190" s="28">
        <f>KALKULÁTOR!I190*$Q190/$Q$375</f>
        <v>0</v>
      </c>
      <c r="Z190" s="28">
        <f>KALKULÁTOR!J190*$Q190/$Q$375</f>
        <v>0</v>
      </c>
      <c r="AA190" s="28">
        <f>KALKULÁTOR!K190*$Q190/$Q$375</f>
        <v>0</v>
      </c>
      <c r="AB190" s="28">
        <f>KALKULÁTOR!L190*$Q190/$Q$375</f>
        <v>0</v>
      </c>
      <c r="AC190" s="41">
        <f>KALKULÁTOR!C190*Q190</f>
        <v>0</v>
      </c>
      <c r="AD190" s="442">
        <f t="shared" si="3"/>
        <v>0</v>
      </c>
      <c r="AE190" s="442"/>
    </row>
    <row r="191" spans="1:35" x14ac:dyDescent="0.25">
      <c r="A191" s="516"/>
      <c r="B191" s="491"/>
      <c r="C191" s="81"/>
      <c r="D191" s="27" t="s">
        <v>16</v>
      </c>
      <c r="E191" s="43">
        <v>6.71</v>
      </c>
      <c r="F191" s="17">
        <v>21</v>
      </c>
      <c r="G191" s="17">
        <v>1.6</v>
      </c>
      <c r="H191" s="17">
        <v>42</v>
      </c>
      <c r="I191" s="17">
        <v>0.04</v>
      </c>
      <c r="J191" s="17">
        <v>0.05</v>
      </c>
      <c r="K191" s="17">
        <v>0.64</v>
      </c>
      <c r="L191" s="17">
        <v>0.4</v>
      </c>
      <c r="M191" s="43"/>
      <c r="N191" s="472" t="s">
        <v>431</v>
      </c>
      <c r="O191" s="472"/>
      <c r="P191" s="472"/>
      <c r="Q191" s="107"/>
      <c r="R191" s="79" t="s">
        <v>149</v>
      </c>
      <c r="S191" s="363">
        <f>$P$11*0</f>
        <v>0</v>
      </c>
      <c r="T191" s="362">
        <f>$P$11*0</f>
        <v>0</v>
      </c>
      <c r="U191" s="36">
        <f>KALKULÁTOR!E191*Q191</f>
        <v>0</v>
      </c>
      <c r="V191" s="28">
        <f>KALKULÁTOR!F191*$Q191/$Q$375</f>
        <v>0</v>
      </c>
      <c r="W191" s="28">
        <f>KALKULÁTOR!G191*$Q191/$Q$375</f>
        <v>0</v>
      </c>
      <c r="X191" s="28">
        <f>KALKULÁTOR!H191*$Q191/$Q$375</f>
        <v>0</v>
      </c>
      <c r="Y191" s="28">
        <f>KALKULÁTOR!I191*$Q191/$Q$375</f>
        <v>0</v>
      </c>
      <c r="Z191" s="28">
        <f>KALKULÁTOR!J191*$Q191/$Q$375</f>
        <v>0</v>
      </c>
      <c r="AA191" s="28">
        <f>KALKULÁTOR!K191*$Q191/$Q$375</f>
        <v>0</v>
      </c>
      <c r="AB191" s="28">
        <f>KALKULÁTOR!L191*$Q191/$Q$375</f>
        <v>0</v>
      </c>
      <c r="AC191" s="41">
        <f>KALKULÁTOR!C191*Q191</f>
        <v>0</v>
      </c>
      <c r="AD191" s="442">
        <f t="shared" si="3"/>
        <v>0</v>
      </c>
      <c r="AE191" s="442"/>
    </row>
    <row r="192" spans="1:35" x14ac:dyDescent="0.25">
      <c r="A192" s="516"/>
      <c r="B192" s="491"/>
      <c r="C192" s="81"/>
      <c r="D192" s="27" t="s">
        <v>16</v>
      </c>
      <c r="E192" s="43">
        <v>12.7</v>
      </c>
      <c r="F192" s="17">
        <v>65</v>
      </c>
      <c r="G192" s="17">
        <v>6.5</v>
      </c>
      <c r="H192" s="17">
        <v>11.4</v>
      </c>
      <c r="I192" s="17"/>
      <c r="J192" s="17"/>
      <c r="K192" s="17"/>
      <c r="L192" s="17"/>
      <c r="M192" s="43"/>
      <c r="N192" s="472" t="s">
        <v>496</v>
      </c>
      <c r="O192" s="472"/>
      <c r="P192" s="472"/>
      <c r="Q192" s="107"/>
      <c r="R192" s="79" t="s">
        <v>149</v>
      </c>
      <c r="S192" s="463">
        <f>$P$11*0.05</f>
        <v>5</v>
      </c>
      <c r="T192" s="462">
        <f>$P$11*0.2</f>
        <v>20</v>
      </c>
      <c r="U192" s="36">
        <f>KALKULÁTOR!E192*Q192</f>
        <v>0</v>
      </c>
      <c r="V192" s="28">
        <f>KALKULÁTOR!F192*$Q192/$Q$375</f>
        <v>0</v>
      </c>
      <c r="W192" s="28">
        <f>KALKULÁTOR!G192*$Q192/$Q$375</f>
        <v>0</v>
      </c>
      <c r="X192" s="28">
        <f>KALKULÁTOR!H192*$Q192/$Q$375</f>
        <v>0</v>
      </c>
      <c r="Y192" s="28">
        <f>KALKULÁTOR!I192*$Q192/$Q$375</f>
        <v>0</v>
      </c>
      <c r="Z192" s="28">
        <f>KALKULÁTOR!J192*$Q192/$Q$375</f>
        <v>0</v>
      </c>
      <c r="AA192" s="28">
        <f>KALKULÁTOR!K192*$Q192/$Q$375</f>
        <v>0</v>
      </c>
      <c r="AB192" s="28">
        <f>KALKULÁTOR!L192*$Q192/$Q$375</f>
        <v>0</v>
      </c>
      <c r="AC192" s="41">
        <f>KALKULÁTOR!C192*Q192</f>
        <v>0</v>
      </c>
      <c r="AD192" s="442"/>
      <c r="AE192" s="442"/>
    </row>
    <row r="193" spans="1:31" x14ac:dyDescent="0.25">
      <c r="A193" s="516"/>
      <c r="B193" s="491"/>
      <c r="C193" s="81"/>
      <c r="D193" s="27" t="s">
        <v>16</v>
      </c>
      <c r="E193" s="43">
        <v>13</v>
      </c>
      <c r="F193" s="17">
        <v>61.76</v>
      </c>
      <c r="G193" s="17">
        <v>7.2</v>
      </c>
      <c r="H193" s="17">
        <v>11.22</v>
      </c>
      <c r="I193" s="17"/>
      <c r="J193" s="17"/>
      <c r="K193" s="17"/>
      <c r="L193" s="17"/>
      <c r="M193" s="43"/>
      <c r="N193" s="472" t="s">
        <v>438</v>
      </c>
      <c r="O193" s="472"/>
      <c r="P193" s="472"/>
      <c r="Q193" s="107"/>
      <c r="R193" s="79" t="s">
        <v>149</v>
      </c>
      <c r="S193" s="369">
        <f>$P$11*0.05</f>
        <v>5</v>
      </c>
      <c r="T193" s="368">
        <f>$P$11*0.2</f>
        <v>20</v>
      </c>
      <c r="U193" s="36">
        <f>KALKULÁTOR!E193*Q193</f>
        <v>0</v>
      </c>
      <c r="V193" s="28">
        <f>KALKULÁTOR!F193*$Q193/$Q$375</f>
        <v>0</v>
      </c>
      <c r="W193" s="28">
        <f>KALKULÁTOR!G193*$Q193/$Q$375</f>
        <v>0</v>
      </c>
      <c r="X193" s="28">
        <f>KALKULÁTOR!H193*$Q193/$Q$375</f>
        <v>0</v>
      </c>
      <c r="Y193" s="28">
        <f>KALKULÁTOR!I193*$Q193/$Q$375</f>
        <v>0</v>
      </c>
      <c r="Z193" s="28">
        <f>KALKULÁTOR!J193*$Q193/$Q$375</f>
        <v>0</v>
      </c>
      <c r="AA193" s="28">
        <f>KALKULÁTOR!K193*$Q193/$Q$375</f>
        <v>0</v>
      </c>
      <c r="AB193" s="28">
        <f>KALKULÁTOR!L193*$Q193/$Q$375</f>
        <v>0</v>
      </c>
      <c r="AC193" s="41">
        <f>KALKULÁTOR!C193*Q193</f>
        <v>0</v>
      </c>
      <c r="AD193" s="442">
        <f t="shared" si="3"/>
        <v>0</v>
      </c>
      <c r="AE193" s="442"/>
    </row>
    <row r="194" spans="1:31" x14ac:dyDescent="0.25">
      <c r="A194" s="516"/>
      <c r="B194" s="491"/>
      <c r="C194" s="81"/>
      <c r="D194" s="27" t="s">
        <v>16</v>
      </c>
      <c r="E194" s="43">
        <v>14</v>
      </c>
      <c r="F194" s="17">
        <v>58</v>
      </c>
      <c r="G194" s="17">
        <v>7.2</v>
      </c>
      <c r="H194" s="17">
        <v>11.2</v>
      </c>
      <c r="I194" s="17"/>
      <c r="J194" s="17"/>
      <c r="K194" s="17"/>
      <c r="L194" s="17"/>
      <c r="M194" s="43"/>
      <c r="N194" s="472" t="s">
        <v>355</v>
      </c>
      <c r="O194" s="472"/>
      <c r="P194" s="472"/>
      <c r="Q194" s="145"/>
      <c r="R194" s="79" t="s">
        <v>149</v>
      </c>
      <c r="S194" s="123">
        <f>$P$11*0.05</f>
        <v>5</v>
      </c>
      <c r="T194" s="121">
        <f>$P$11*0.2</f>
        <v>20</v>
      </c>
      <c r="U194" s="36">
        <f>KALKULÁTOR!E194*Q194</f>
        <v>0</v>
      </c>
      <c r="V194" s="28">
        <f>KALKULÁTOR!F194*$Q194/$Q$375</f>
        <v>0</v>
      </c>
      <c r="W194" s="28">
        <f>KALKULÁTOR!G194*$Q194/$Q$375</f>
        <v>0</v>
      </c>
      <c r="X194" s="28">
        <f>KALKULÁTOR!H194*$Q194/$Q$375</f>
        <v>0</v>
      </c>
      <c r="Y194" s="28">
        <f>KALKULÁTOR!I194*$Q194/$Q$375</f>
        <v>0</v>
      </c>
      <c r="Z194" s="28">
        <f>KALKULÁTOR!J194*$Q194/$Q$375</f>
        <v>0</v>
      </c>
      <c r="AA194" s="28">
        <f>KALKULÁTOR!K194*$Q194/$Q$375</f>
        <v>0</v>
      </c>
      <c r="AB194" s="28">
        <f>KALKULÁTOR!L194*$Q194/$Q$375</f>
        <v>0</v>
      </c>
      <c r="AC194" s="41">
        <f>KALKULÁTOR!C194*Q194</f>
        <v>0</v>
      </c>
      <c r="AD194" s="442">
        <f t="shared" si="3"/>
        <v>0</v>
      </c>
      <c r="AE194" s="442"/>
    </row>
    <row r="195" spans="1:31" x14ac:dyDescent="0.25">
      <c r="A195" s="516"/>
      <c r="B195" s="492"/>
      <c r="C195" s="81"/>
      <c r="D195" s="27" t="s">
        <v>16</v>
      </c>
      <c r="E195" s="43">
        <v>14.7</v>
      </c>
      <c r="F195" s="17">
        <v>56.5</v>
      </c>
      <c r="G195" s="17">
        <v>7.2</v>
      </c>
      <c r="H195" s="17">
        <v>11.22</v>
      </c>
      <c r="I195" s="17"/>
      <c r="J195" s="17"/>
      <c r="K195" s="17"/>
      <c r="L195" s="17"/>
      <c r="M195" s="43"/>
      <c r="N195" s="472" t="s">
        <v>356</v>
      </c>
      <c r="O195" s="472"/>
      <c r="P195" s="472"/>
      <c r="Q195" s="145"/>
      <c r="R195" s="79" t="s">
        <v>149</v>
      </c>
      <c r="S195" s="256">
        <f>$P$11*0.05</f>
        <v>5</v>
      </c>
      <c r="T195" s="255">
        <f>$P$11*0.2</f>
        <v>20</v>
      </c>
      <c r="U195" s="36">
        <f>KALKULÁTOR!E195*Q195</f>
        <v>0</v>
      </c>
      <c r="V195" s="28">
        <f>KALKULÁTOR!F195*$Q195/$Q$375</f>
        <v>0</v>
      </c>
      <c r="W195" s="28">
        <f>KALKULÁTOR!G195*$Q195/$Q$375</f>
        <v>0</v>
      </c>
      <c r="X195" s="28">
        <f>KALKULÁTOR!H195*$Q195/$Q$375</f>
        <v>0</v>
      </c>
      <c r="Y195" s="28">
        <f>KALKULÁTOR!I195*$Q195/$Q$375</f>
        <v>0</v>
      </c>
      <c r="Z195" s="28">
        <f>KALKULÁTOR!J195*$Q195/$Q$375</f>
        <v>0</v>
      </c>
      <c r="AA195" s="28">
        <f>KALKULÁTOR!K195*$Q195/$Q$375</f>
        <v>0</v>
      </c>
      <c r="AB195" s="28">
        <f>KALKULÁTOR!L195*$Q195/$Q$375</f>
        <v>0</v>
      </c>
      <c r="AC195" s="41">
        <f>KALKULÁTOR!C195*Q195</f>
        <v>0</v>
      </c>
      <c r="AD195" s="442">
        <f t="shared" si="3"/>
        <v>0</v>
      </c>
      <c r="AE195" s="442"/>
    </row>
    <row r="196" spans="1:31" x14ac:dyDescent="0.25">
      <c r="A196" s="516"/>
      <c r="B196" s="492"/>
      <c r="C196" s="94"/>
      <c r="D196" s="95" t="s">
        <v>16</v>
      </c>
      <c r="E196" s="118">
        <v>15</v>
      </c>
      <c r="F196" s="119">
        <v>42</v>
      </c>
      <c r="G196" s="119">
        <v>9</v>
      </c>
      <c r="H196" s="119">
        <v>12</v>
      </c>
      <c r="I196" s="119"/>
      <c r="J196" s="119"/>
      <c r="K196" s="119"/>
      <c r="L196" s="119"/>
      <c r="M196" s="118"/>
      <c r="N196" s="476" t="s">
        <v>357</v>
      </c>
      <c r="O196" s="476"/>
      <c r="P196" s="476"/>
      <c r="Q196" s="107"/>
      <c r="R196" s="96" t="s">
        <v>149</v>
      </c>
      <c r="S196" s="264">
        <f>$P$11*0.05</f>
        <v>5</v>
      </c>
      <c r="T196" s="261">
        <f>$P$11*0.2</f>
        <v>20</v>
      </c>
      <c r="U196" s="22">
        <f>KALKULÁTOR!E196*Q196</f>
        <v>0</v>
      </c>
      <c r="V196" s="48">
        <f>KALKULÁTOR!F196*$Q196/$Q$375</f>
        <v>0</v>
      </c>
      <c r="W196" s="48">
        <f>KALKULÁTOR!G196*$Q196/$Q$375</f>
        <v>0</v>
      </c>
      <c r="X196" s="48">
        <f>KALKULÁTOR!H196*$Q196/$Q$375</f>
        <v>0</v>
      </c>
      <c r="Y196" s="48">
        <f>KALKULÁTOR!I196*$Q196/$Q$375</f>
        <v>0</v>
      </c>
      <c r="Z196" s="48">
        <f>KALKULÁTOR!J196*$Q196/$Q$375</f>
        <v>0</v>
      </c>
      <c r="AA196" s="48">
        <f>KALKULÁTOR!K196*$Q196/$Q$375</f>
        <v>0</v>
      </c>
      <c r="AB196" s="48">
        <f>KALKULÁTOR!L196*$Q196/$Q$375</f>
        <v>0</v>
      </c>
      <c r="AC196" s="49">
        <f>KALKULÁTOR!C196*Q196</f>
        <v>0</v>
      </c>
      <c r="AD196" s="442">
        <f t="shared" si="3"/>
        <v>0</v>
      </c>
      <c r="AE196" s="442"/>
    </row>
    <row r="197" spans="1:31" ht="15.75" thickBot="1" x14ac:dyDescent="0.3">
      <c r="A197" s="517"/>
      <c r="B197" s="443"/>
      <c r="C197" s="94"/>
      <c r="D197" s="95" t="s">
        <v>16</v>
      </c>
      <c r="E197" s="118">
        <v>15.1</v>
      </c>
      <c r="F197" s="119">
        <v>40</v>
      </c>
      <c r="G197" s="119">
        <v>9</v>
      </c>
      <c r="H197" s="119">
        <v>12</v>
      </c>
      <c r="I197" s="119"/>
      <c r="J197" s="119"/>
      <c r="K197" s="119"/>
      <c r="L197" s="119"/>
      <c r="M197" s="118"/>
      <c r="N197" s="476" t="s">
        <v>486</v>
      </c>
      <c r="O197" s="476"/>
      <c r="P197" s="476"/>
      <c r="Q197" s="107"/>
      <c r="R197" s="96" t="s">
        <v>149</v>
      </c>
      <c r="S197" s="447">
        <f>$P$11*0.05</f>
        <v>5</v>
      </c>
      <c r="T197" s="445">
        <f>$P$11*0.2</f>
        <v>20</v>
      </c>
      <c r="U197" s="22">
        <f>KALKULÁTOR!E197*Q197</f>
        <v>0</v>
      </c>
      <c r="V197" s="48">
        <f>KALKULÁTOR!F197*$Q197/$Q$375</f>
        <v>0</v>
      </c>
      <c r="W197" s="48">
        <f>KALKULÁTOR!G197*$Q197/$Q$375</f>
        <v>0</v>
      </c>
      <c r="X197" s="48">
        <f>KALKULÁTOR!H197*$Q197/$Q$375</f>
        <v>0</v>
      </c>
      <c r="Y197" s="48">
        <f>KALKULÁTOR!I197*$Q197/$Q$375</f>
        <v>0</v>
      </c>
      <c r="Z197" s="48">
        <f>KALKULÁTOR!J197*$Q197/$Q$375</f>
        <v>0</v>
      </c>
      <c r="AA197" s="48">
        <f>KALKULÁTOR!K197*$Q197/$Q$375</f>
        <v>0</v>
      </c>
      <c r="AB197" s="48">
        <f>KALKULÁTOR!L197*$Q197/$Q$375</f>
        <v>0</v>
      </c>
      <c r="AC197" s="49">
        <f>KALKULÁTOR!C197*Q197</f>
        <v>0</v>
      </c>
      <c r="AD197" s="442">
        <f t="shared" si="3"/>
        <v>0</v>
      </c>
      <c r="AE197" s="442"/>
    </row>
    <row r="198" spans="1:31" x14ac:dyDescent="0.25">
      <c r="A198" s="517"/>
      <c r="B198" s="487" t="s">
        <v>59</v>
      </c>
      <c r="C198" s="265"/>
      <c r="D198" s="25" t="s">
        <v>16</v>
      </c>
      <c r="E198" s="42">
        <v>12.38</v>
      </c>
      <c r="F198" s="30">
        <v>10.8</v>
      </c>
      <c r="G198" s="30"/>
      <c r="H198" s="30"/>
      <c r="I198" s="30">
        <v>0.3</v>
      </c>
      <c r="J198" s="30">
        <v>0.03</v>
      </c>
      <c r="K198" s="30"/>
      <c r="L198" s="30"/>
      <c r="M198" s="42"/>
      <c r="N198" s="477" t="s">
        <v>55</v>
      </c>
      <c r="O198" s="477"/>
      <c r="P198" s="477"/>
      <c r="Q198" s="145"/>
      <c r="R198" s="66" t="s">
        <v>149</v>
      </c>
      <c r="S198" s="262">
        <f>$P$11*0</f>
        <v>0</v>
      </c>
      <c r="T198" s="259">
        <f>$P$11*0.03</f>
        <v>3</v>
      </c>
      <c r="U198" s="37">
        <f>KALKULÁTOR!E198*Q198</f>
        <v>0</v>
      </c>
      <c r="V198" s="26">
        <f>KALKULÁTOR!F198*$Q198/$Q$375</f>
        <v>0</v>
      </c>
      <c r="W198" s="26">
        <f>KALKULÁTOR!G198*$Q198/$Q$375</f>
        <v>0</v>
      </c>
      <c r="X198" s="26">
        <f>KALKULÁTOR!H198*$Q198/$Q$375</f>
        <v>0</v>
      </c>
      <c r="Y198" s="26">
        <f>KALKULÁTOR!I198*$Q198/$Q$375</f>
        <v>0</v>
      </c>
      <c r="Z198" s="26">
        <f>KALKULÁTOR!J198*$Q198/$Q$375</f>
        <v>0</v>
      </c>
      <c r="AA198" s="26">
        <f>KALKULÁTOR!K198*$Q198/$Q$375</f>
        <v>0</v>
      </c>
      <c r="AB198" s="26">
        <f>KALKULÁTOR!L198*$Q198/$Q$375</f>
        <v>0</v>
      </c>
      <c r="AC198" s="40">
        <f>KALKULÁTOR!C198*Q198</f>
        <v>0</v>
      </c>
      <c r="AD198" s="442">
        <f t="shared" si="3"/>
        <v>0</v>
      </c>
      <c r="AE198" s="442"/>
    </row>
    <row r="199" spans="1:31" ht="15.75" thickBot="1" x14ac:dyDescent="0.3">
      <c r="A199" s="517"/>
      <c r="B199" s="488"/>
      <c r="C199" s="266"/>
      <c r="D199" s="29" t="s">
        <v>16</v>
      </c>
      <c r="E199" s="53">
        <v>12.72</v>
      </c>
      <c r="F199" s="20">
        <v>3</v>
      </c>
      <c r="G199" s="20"/>
      <c r="H199" s="20"/>
      <c r="I199" s="20"/>
      <c r="J199" s="20"/>
      <c r="K199" s="20"/>
      <c r="L199" s="20"/>
      <c r="M199" s="53"/>
      <c r="N199" s="489" t="s">
        <v>372</v>
      </c>
      <c r="O199" s="489"/>
      <c r="P199" s="489"/>
      <c r="Q199" s="145"/>
      <c r="R199" s="83" t="s">
        <v>149</v>
      </c>
      <c r="S199" s="124">
        <f>$P$11*0</f>
        <v>0</v>
      </c>
      <c r="T199" s="122">
        <f>$P$11*0.03</f>
        <v>3</v>
      </c>
      <c r="U199" s="38">
        <f>KALKULÁTOR!E199*Q199</f>
        <v>0</v>
      </c>
      <c r="V199" s="67">
        <f>KALKULÁTOR!F199*$Q199/$Q$375</f>
        <v>0</v>
      </c>
      <c r="W199" s="67">
        <f>KALKULÁTOR!G199*$Q199/$Q$375</f>
        <v>0</v>
      </c>
      <c r="X199" s="67">
        <f>KALKULÁTOR!H199*$Q199/$Q$375</f>
        <v>0</v>
      </c>
      <c r="Y199" s="67">
        <f>KALKULÁTOR!I199*$Q199/$Q$375</f>
        <v>0</v>
      </c>
      <c r="Z199" s="67">
        <f>KALKULÁTOR!J199*$Q199/$Q$375</f>
        <v>0</v>
      </c>
      <c r="AA199" s="67">
        <f>KALKULÁTOR!K199*$Q199/$Q$375</f>
        <v>0</v>
      </c>
      <c r="AB199" s="67">
        <f>KALKULÁTOR!L199*$Q199/$Q$375</f>
        <v>0</v>
      </c>
      <c r="AC199" s="68">
        <f>KALKULÁTOR!C199*Q199</f>
        <v>0</v>
      </c>
      <c r="AD199" s="442">
        <f t="shared" ref="AD199:AD214" si="4">IF(AND(Q199&gt;T199),1,0)</f>
        <v>0</v>
      </c>
      <c r="AE199" s="442"/>
    </row>
    <row r="200" spans="1:31" x14ac:dyDescent="0.25">
      <c r="A200" s="516"/>
      <c r="B200" s="490" t="s">
        <v>65</v>
      </c>
      <c r="C200" s="87"/>
      <c r="D200" s="78" t="s">
        <v>16</v>
      </c>
      <c r="E200" s="144">
        <v>24.22</v>
      </c>
      <c r="F200" s="125">
        <v>24.4</v>
      </c>
      <c r="G200" s="125">
        <v>63.8</v>
      </c>
      <c r="H200" s="125"/>
      <c r="I200" s="125">
        <v>0</v>
      </c>
      <c r="J200" s="125">
        <v>0</v>
      </c>
      <c r="K200" s="125"/>
      <c r="L200" s="125"/>
      <c r="M200" s="144"/>
      <c r="N200" s="481" t="s">
        <v>60</v>
      </c>
      <c r="O200" s="481"/>
      <c r="P200" s="481"/>
      <c r="Q200" s="107"/>
      <c r="R200" s="64" t="s">
        <v>149</v>
      </c>
      <c r="S200" s="89">
        <f>$P$11*0</f>
        <v>0</v>
      </c>
      <c r="T200" s="90">
        <f>$P$11*0.06</f>
        <v>6</v>
      </c>
      <c r="U200" s="32">
        <f>KALKULÁTOR!E200*Q200</f>
        <v>0</v>
      </c>
      <c r="V200" s="6">
        <f>KALKULÁTOR!F200*$Q200/$Q$375</f>
        <v>0</v>
      </c>
      <c r="W200" s="6">
        <f>KALKULÁTOR!G200*$Q200/$Q$375</f>
        <v>0</v>
      </c>
      <c r="X200" s="6">
        <f>KALKULÁTOR!H200*$Q200/$Q$375</f>
        <v>0</v>
      </c>
      <c r="Y200" s="6">
        <f>KALKULÁTOR!I200*$Q200/$Q$375</f>
        <v>0</v>
      </c>
      <c r="Z200" s="6">
        <f>KALKULÁTOR!J200*$Q200/$Q$375</f>
        <v>0</v>
      </c>
      <c r="AA200" s="6">
        <f>KALKULÁTOR!K200*$Q200/$Q$375</f>
        <v>0</v>
      </c>
      <c r="AB200" s="6">
        <f>KALKULÁTOR!L200*$Q200/$Q$375</f>
        <v>0</v>
      </c>
      <c r="AC200" s="50">
        <f>KALKULÁTOR!C200*Q200</f>
        <v>0</v>
      </c>
      <c r="AD200" s="442">
        <f t="shared" si="4"/>
        <v>0</v>
      </c>
      <c r="AE200" s="442"/>
    </row>
    <row r="201" spans="1:31" x14ac:dyDescent="0.25">
      <c r="A201" s="516"/>
      <c r="B201" s="491"/>
      <c r="C201" s="81"/>
      <c r="D201" s="27" t="s">
        <v>16</v>
      </c>
      <c r="E201" s="43">
        <v>14.93</v>
      </c>
      <c r="F201" s="17">
        <v>71</v>
      </c>
      <c r="G201" s="17">
        <v>12</v>
      </c>
      <c r="H201" s="17"/>
      <c r="I201" s="17">
        <v>3.52</v>
      </c>
      <c r="J201" s="17">
        <v>2.39</v>
      </c>
      <c r="K201" s="17">
        <v>5.59</v>
      </c>
      <c r="L201" s="17">
        <v>2.17</v>
      </c>
      <c r="M201" s="43"/>
      <c r="N201" s="472" t="s">
        <v>61</v>
      </c>
      <c r="O201" s="472"/>
      <c r="P201" s="472"/>
      <c r="Q201" s="107"/>
      <c r="R201" s="79" t="s">
        <v>149</v>
      </c>
      <c r="S201" s="123">
        <f>$P$11*0</f>
        <v>0</v>
      </c>
      <c r="T201" s="121">
        <f>$P$11*0.05</f>
        <v>5</v>
      </c>
      <c r="U201" s="36">
        <f>KALKULÁTOR!E201*Q201</f>
        <v>0</v>
      </c>
      <c r="V201" s="28">
        <f>KALKULÁTOR!F201*$Q201/$Q$375</f>
        <v>0</v>
      </c>
      <c r="W201" s="28">
        <f>KALKULÁTOR!G201*$Q201/$Q$375</f>
        <v>0</v>
      </c>
      <c r="X201" s="28">
        <f>KALKULÁTOR!H201*$Q201/$Q$375</f>
        <v>0</v>
      </c>
      <c r="Y201" s="28">
        <f>KALKULÁTOR!I201*$Q201/$Q$375</f>
        <v>0</v>
      </c>
      <c r="Z201" s="28">
        <f>KALKULÁTOR!J201*$Q201/$Q$375</f>
        <v>0</v>
      </c>
      <c r="AA201" s="28">
        <f>KALKULÁTOR!K201*$Q201/$Q$375</f>
        <v>0</v>
      </c>
      <c r="AB201" s="28">
        <f>KALKULÁTOR!L201*$Q201/$Q$375</f>
        <v>0</v>
      </c>
      <c r="AC201" s="41">
        <f>KALKULÁTOR!C201*Q201</f>
        <v>0</v>
      </c>
      <c r="AD201" s="442">
        <f t="shared" si="4"/>
        <v>0</v>
      </c>
      <c r="AE201" s="442"/>
    </row>
    <row r="202" spans="1:31" x14ac:dyDescent="0.25">
      <c r="A202" s="516"/>
      <c r="B202" s="491"/>
      <c r="C202" s="81"/>
      <c r="D202" s="27" t="s">
        <v>16</v>
      </c>
      <c r="E202" s="43">
        <v>14.26</v>
      </c>
      <c r="F202" s="17">
        <v>64</v>
      </c>
      <c r="G202" s="17">
        <v>10</v>
      </c>
      <c r="H202" s="17"/>
      <c r="I202" s="17">
        <v>3.9</v>
      </c>
      <c r="J202" s="17">
        <v>2.2999999999999998</v>
      </c>
      <c r="K202" s="17">
        <v>4.5</v>
      </c>
      <c r="L202" s="17">
        <v>1.45</v>
      </c>
      <c r="M202" s="43"/>
      <c r="N202" s="472" t="s">
        <v>62</v>
      </c>
      <c r="O202" s="472"/>
      <c r="P202" s="472"/>
      <c r="Q202" s="145"/>
      <c r="R202" s="79" t="s">
        <v>149</v>
      </c>
      <c r="S202" s="123">
        <f>$P$11*0</f>
        <v>0</v>
      </c>
      <c r="T202" s="121">
        <f>$P$11*0.05</f>
        <v>5</v>
      </c>
      <c r="U202" s="36">
        <f>KALKULÁTOR!E202*Q202</f>
        <v>0</v>
      </c>
      <c r="V202" s="28">
        <f>KALKULÁTOR!F202*$Q202/$Q$375</f>
        <v>0</v>
      </c>
      <c r="W202" s="28">
        <f>KALKULÁTOR!G202*$Q202/$Q$375</f>
        <v>0</v>
      </c>
      <c r="X202" s="28">
        <f>KALKULÁTOR!H202*$Q202/$Q$375</f>
        <v>0</v>
      </c>
      <c r="Y202" s="28">
        <f>KALKULÁTOR!I202*$Q202/$Q$375</f>
        <v>0</v>
      </c>
      <c r="Z202" s="28">
        <f>KALKULÁTOR!J202*$Q202/$Q$375</f>
        <v>0</v>
      </c>
      <c r="AA202" s="28">
        <f>KALKULÁTOR!K202*$Q202/$Q$375</f>
        <v>0</v>
      </c>
      <c r="AB202" s="28">
        <f>KALKULÁTOR!L202*$Q202/$Q$375</f>
        <v>0</v>
      </c>
      <c r="AC202" s="41">
        <f>KALKULÁTOR!C202*Q202</f>
        <v>0</v>
      </c>
      <c r="AD202" s="442">
        <f t="shared" si="4"/>
        <v>0</v>
      </c>
      <c r="AE202" s="442"/>
    </row>
    <row r="203" spans="1:31" x14ac:dyDescent="0.25">
      <c r="A203" s="516"/>
      <c r="B203" s="491"/>
      <c r="C203" s="81"/>
      <c r="D203" s="27" t="s">
        <v>16</v>
      </c>
      <c r="E203" s="43">
        <v>14.33</v>
      </c>
      <c r="F203" s="17">
        <v>62</v>
      </c>
      <c r="G203" s="17">
        <v>16</v>
      </c>
      <c r="H203" s="17"/>
      <c r="I203" s="17">
        <v>3.5</v>
      </c>
      <c r="J203" s="17">
        <v>2.94</v>
      </c>
      <c r="K203" s="17">
        <v>4.33</v>
      </c>
      <c r="L203" s="17">
        <v>1.93</v>
      </c>
      <c r="M203" s="43"/>
      <c r="N203" s="472" t="s">
        <v>64</v>
      </c>
      <c r="O203" s="472"/>
      <c r="P203" s="472"/>
      <c r="Q203" s="145"/>
      <c r="R203" s="79" t="s">
        <v>149</v>
      </c>
      <c r="S203" s="123">
        <f>$P$11*0</f>
        <v>0</v>
      </c>
      <c r="T203" s="121">
        <f>$P$11*0.05</f>
        <v>5</v>
      </c>
      <c r="U203" s="36">
        <f>KALKULÁTOR!E203*Q203</f>
        <v>0</v>
      </c>
      <c r="V203" s="28">
        <f>KALKULÁTOR!F203*$Q203/$Q$375</f>
        <v>0</v>
      </c>
      <c r="W203" s="28">
        <f>KALKULÁTOR!G203*$Q203/$Q$375</f>
        <v>0</v>
      </c>
      <c r="X203" s="28">
        <f>KALKULÁTOR!H203*$Q203/$Q$375</f>
        <v>0</v>
      </c>
      <c r="Y203" s="28">
        <f>KALKULÁTOR!I203*$Q203/$Q$375</f>
        <v>0</v>
      </c>
      <c r="Z203" s="28">
        <f>KALKULÁTOR!J203*$Q203/$Q$375</f>
        <v>0</v>
      </c>
      <c r="AA203" s="28">
        <f>KALKULÁTOR!K203*$Q203/$Q$375</f>
        <v>0</v>
      </c>
      <c r="AB203" s="28">
        <f>KALKULÁTOR!L203*$Q203/$Q$375</f>
        <v>0</v>
      </c>
      <c r="AC203" s="41">
        <f>KALKULÁTOR!C203*Q203</f>
        <v>0</v>
      </c>
      <c r="AD203" s="442">
        <f t="shared" si="4"/>
        <v>0</v>
      </c>
      <c r="AE203" s="442"/>
    </row>
    <row r="204" spans="1:31" x14ac:dyDescent="0.25">
      <c r="A204" s="516"/>
      <c r="B204" s="491"/>
      <c r="C204" s="81"/>
      <c r="D204" s="27" t="s">
        <v>16</v>
      </c>
      <c r="E204" s="43"/>
      <c r="F204" s="17">
        <v>50</v>
      </c>
      <c r="G204" s="17">
        <v>10</v>
      </c>
      <c r="H204" s="17"/>
      <c r="I204" s="17">
        <v>8</v>
      </c>
      <c r="J204" s="17">
        <v>4</v>
      </c>
      <c r="K204" s="17"/>
      <c r="L204" s="17"/>
      <c r="M204" s="43"/>
      <c r="N204" s="472" t="s">
        <v>124</v>
      </c>
      <c r="O204" s="472"/>
      <c r="P204" s="472"/>
      <c r="Q204" s="107"/>
      <c r="R204" s="79" t="s">
        <v>149</v>
      </c>
      <c r="S204" s="123">
        <f>$P$11*0</f>
        <v>0</v>
      </c>
      <c r="T204" s="121">
        <f>$P$11*0.05</f>
        <v>5</v>
      </c>
      <c r="U204" s="36">
        <f>KALKULÁTOR!E204*Q204</f>
        <v>0</v>
      </c>
      <c r="V204" s="28">
        <f>KALKULÁTOR!F204*$Q204/$Q$375</f>
        <v>0</v>
      </c>
      <c r="W204" s="28">
        <f>KALKULÁTOR!G204*$Q204/$Q$375</f>
        <v>0</v>
      </c>
      <c r="X204" s="28">
        <f>KALKULÁTOR!H204*$Q204/$Q$375</f>
        <v>0</v>
      </c>
      <c r="Y204" s="28">
        <f>KALKULÁTOR!I204*$Q204/$Q$375</f>
        <v>0</v>
      </c>
      <c r="Z204" s="28">
        <f>KALKULÁTOR!J204*$Q204/$Q$375</f>
        <v>0</v>
      </c>
      <c r="AA204" s="28">
        <f>KALKULÁTOR!K204*$Q204/$Q$375</f>
        <v>0</v>
      </c>
      <c r="AB204" s="28">
        <f>KALKULÁTOR!L204*$Q204/$Q$375</f>
        <v>0</v>
      </c>
      <c r="AC204" s="41">
        <f>KALKULÁTOR!C204*Q204</f>
        <v>0</v>
      </c>
      <c r="AD204" s="442">
        <f t="shared" si="4"/>
        <v>0</v>
      </c>
      <c r="AE204" s="442"/>
    </row>
    <row r="205" spans="1:31" x14ac:dyDescent="0.25">
      <c r="A205" s="516"/>
      <c r="B205" s="491"/>
      <c r="C205" s="81"/>
      <c r="D205" s="27" t="s">
        <v>16</v>
      </c>
      <c r="E205" s="43">
        <v>17.579999999999998</v>
      </c>
      <c r="F205" s="17">
        <v>95</v>
      </c>
      <c r="G205" s="17">
        <v>1</v>
      </c>
      <c r="H205" s="17"/>
      <c r="I205" s="17">
        <v>0.02</v>
      </c>
      <c r="J205" s="17">
        <v>0.1</v>
      </c>
      <c r="K205" s="17">
        <v>9</v>
      </c>
      <c r="L205" s="17">
        <v>0.7</v>
      </c>
      <c r="M205" s="43"/>
      <c r="N205" s="472" t="s">
        <v>63</v>
      </c>
      <c r="O205" s="472"/>
      <c r="P205" s="472"/>
      <c r="Q205" s="107"/>
      <c r="R205" s="79" t="s">
        <v>149</v>
      </c>
      <c r="S205" s="123">
        <f>$P$11*0</f>
        <v>0</v>
      </c>
      <c r="T205" s="121">
        <f>$P$11*0.03</f>
        <v>3</v>
      </c>
      <c r="U205" s="36">
        <f>KALKULÁTOR!E205*Q205</f>
        <v>0</v>
      </c>
      <c r="V205" s="28">
        <f>KALKULÁTOR!F205*$Q205/$Q$375</f>
        <v>0</v>
      </c>
      <c r="W205" s="28">
        <f>KALKULÁTOR!G205*$Q205/$Q$375</f>
        <v>0</v>
      </c>
      <c r="X205" s="28">
        <f>KALKULÁTOR!H205*$Q205/$Q$375</f>
        <v>0</v>
      </c>
      <c r="Y205" s="28">
        <f>KALKULÁTOR!I205*$Q205/$Q$375</f>
        <v>0</v>
      </c>
      <c r="Z205" s="28">
        <f>KALKULÁTOR!J205*$Q205/$Q$375</f>
        <v>0</v>
      </c>
      <c r="AA205" s="28">
        <f>KALKULÁTOR!K205*$Q205/$Q$375</f>
        <v>0</v>
      </c>
      <c r="AB205" s="28">
        <f>KALKULÁTOR!L205*$Q205/$Q$375</f>
        <v>0</v>
      </c>
      <c r="AC205" s="41">
        <f>KALKULÁTOR!C205*Q205</f>
        <v>0</v>
      </c>
      <c r="AD205" s="442">
        <f t="shared" si="4"/>
        <v>0</v>
      </c>
      <c r="AE205" s="442"/>
    </row>
    <row r="206" spans="1:31" x14ac:dyDescent="0.25">
      <c r="A206" s="516"/>
      <c r="B206" s="491"/>
      <c r="C206" s="81"/>
      <c r="D206" s="27" t="s">
        <v>16</v>
      </c>
      <c r="E206" s="43"/>
      <c r="F206" s="17">
        <v>51</v>
      </c>
      <c r="G206" s="17">
        <v>28</v>
      </c>
      <c r="H206" s="17">
        <v>8</v>
      </c>
      <c r="I206" s="17"/>
      <c r="J206" s="17"/>
      <c r="K206" s="17"/>
      <c r="L206" s="17"/>
      <c r="M206" s="43"/>
      <c r="N206" s="472" t="s">
        <v>289</v>
      </c>
      <c r="O206" s="472"/>
      <c r="P206" s="472"/>
      <c r="Q206" s="145"/>
      <c r="R206" s="79" t="s">
        <v>149</v>
      </c>
      <c r="S206" s="160">
        <f>$P$11*0</f>
        <v>0</v>
      </c>
      <c r="T206" s="163">
        <f>$P$11*0.2</f>
        <v>20</v>
      </c>
      <c r="U206" s="36">
        <f>KALKULÁTOR!E206*Q206</f>
        <v>0</v>
      </c>
      <c r="V206" s="28">
        <f>KALKULÁTOR!F206*$Q206/$Q$375</f>
        <v>0</v>
      </c>
      <c r="W206" s="28">
        <f>KALKULÁTOR!G206*$Q206/$Q$375</f>
        <v>0</v>
      </c>
      <c r="X206" s="28">
        <f>KALKULÁTOR!H206*$Q206/$Q$375</f>
        <v>0</v>
      </c>
      <c r="Y206" s="28">
        <f>KALKULÁTOR!I206*$Q206/$Q$375</f>
        <v>0</v>
      </c>
      <c r="Z206" s="28">
        <f>KALKULÁTOR!J206*$Q206/$Q$375</f>
        <v>0</v>
      </c>
      <c r="AA206" s="28">
        <f>KALKULÁTOR!K206*$Q206/$Q$375</f>
        <v>0</v>
      </c>
      <c r="AB206" s="28">
        <f>KALKULÁTOR!L206*$Q206/$Q$375</f>
        <v>0</v>
      </c>
      <c r="AC206" s="41">
        <f>KALKULÁTOR!C206*Q206</f>
        <v>0</v>
      </c>
      <c r="AD206" s="442">
        <f t="shared" si="4"/>
        <v>0</v>
      </c>
      <c r="AE206" s="442"/>
    </row>
    <row r="207" spans="1:31" x14ac:dyDescent="0.25">
      <c r="A207" s="516"/>
      <c r="B207" s="491"/>
      <c r="C207" s="81"/>
      <c r="D207" s="27" t="s">
        <v>16</v>
      </c>
      <c r="E207" s="43"/>
      <c r="F207" s="17">
        <v>57</v>
      </c>
      <c r="G207" s="17">
        <v>10.4</v>
      </c>
      <c r="H207" s="17">
        <v>8</v>
      </c>
      <c r="I207" s="17">
        <v>2.6</v>
      </c>
      <c r="J207" s="17"/>
      <c r="K207" s="17"/>
      <c r="L207" s="17"/>
      <c r="M207" s="43"/>
      <c r="N207" s="472" t="s">
        <v>445</v>
      </c>
      <c r="O207" s="472"/>
      <c r="P207" s="472"/>
      <c r="Q207" s="145"/>
      <c r="R207" s="79" t="s">
        <v>149</v>
      </c>
      <c r="S207" s="408">
        <f>$P$11*0</f>
        <v>0</v>
      </c>
      <c r="T207" s="407">
        <f>$P$11*0.2</f>
        <v>20</v>
      </c>
      <c r="U207" s="36">
        <f>KALKULÁTOR!E207*Q207</f>
        <v>0</v>
      </c>
      <c r="V207" s="28">
        <f>KALKULÁTOR!F207*$Q207/$Q$375</f>
        <v>0</v>
      </c>
      <c r="W207" s="28">
        <f>KALKULÁTOR!G207*$Q207/$Q$375</f>
        <v>0</v>
      </c>
      <c r="X207" s="28">
        <f>KALKULÁTOR!H207*$Q207/$Q$375</f>
        <v>0</v>
      </c>
      <c r="Y207" s="28">
        <f>KALKULÁTOR!I207*$Q207/$Q$375</f>
        <v>0</v>
      </c>
      <c r="Z207" s="28">
        <f>KALKULÁTOR!J207*$Q207/$Q$375</f>
        <v>0</v>
      </c>
      <c r="AA207" s="28">
        <f>KALKULÁTOR!K207*$Q207/$Q$375</f>
        <v>0</v>
      </c>
      <c r="AB207" s="28">
        <f>KALKULÁTOR!L207*$Q207/$Q$375</f>
        <v>0</v>
      </c>
      <c r="AC207" s="41">
        <f>KALKULÁTOR!C207*Q207</f>
        <v>0</v>
      </c>
      <c r="AD207" s="442">
        <f t="shared" si="4"/>
        <v>0</v>
      </c>
      <c r="AE207" s="442"/>
    </row>
    <row r="208" spans="1:31" x14ac:dyDescent="0.25">
      <c r="A208" s="516"/>
      <c r="B208" s="491"/>
      <c r="C208" s="81"/>
      <c r="D208" s="27" t="s">
        <v>16</v>
      </c>
      <c r="E208" s="43"/>
      <c r="F208" s="17">
        <v>45.2</v>
      </c>
      <c r="G208" s="17">
        <v>29.8</v>
      </c>
      <c r="H208" s="17">
        <v>7.5</v>
      </c>
      <c r="I208" s="17">
        <v>0.02</v>
      </c>
      <c r="J208" s="17">
        <v>0.01</v>
      </c>
      <c r="K208" s="17"/>
      <c r="L208" s="17"/>
      <c r="M208" s="43"/>
      <c r="N208" s="472" t="s">
        <v>441</v>
      </c>
      <c r="O208" s="472"/>
      <c r="P208" s="472"/>
      <c r="Q208" s="107"/>
      <c r="R208" s="79" t="s">
        <v>149</v>
      </c>
      <c r="S208" s="403">
        <f>$P$11*0</f>
        <v>0</v>
      </c>
      <c r="T208" s="402">
        <f>$P$11*0.2</f>
        <v>20</v>
      </c>
      <c r="U208" s="36">
        <f>KALKULÁTOR!E208*Q208</f>
        <v>0</v>
      </c>
      <c r="V208" s="28">
        <f>KALKULÁTOR!F208*$Q208/$Q$375</f>
        <v>0</v>
      </c>
      <c r="W208" s="28">
        <f>KALKULÁTOR!G208*$Q208/$Q$375</f>
        <v>0</v>
      </c>
      <c r="X208" s="28">
        <f>KALKULÁTOR!H208*$Q208/$Q$375</f>
        <v>0</v>
      </c>
      <c r="Y208" s="28">
        <f>KALKULÁTOR!I208*$Q208/$Q$375</f>
        <v>0</v>
      </c>
      <c r="Z208" s="28">
        <f>KALKULÁTOR!J208*$Q208/$Q$375</f>
        <v>0</v>
      </c>
      <c r="AA208" s="28">
        <f>KALKULÁTOR!K208*$Q208/$Q$375</f>
        <v>0</v>
      </c>
      <c r="AB208" s="28">
        <f>KALKULÁTOR!L208*$Q208/$Q$375</f>
        <v>0</v>
      </c>
      <c r="AC208" s="41">
        <f>KALKULÁTOR!C208*Q208</f>
        <v>0</v>
      </c>
      <c r="AD208" s="442">
        <f t="shared" si="4"/>
        <v>0</v>
      </c>
      <c r="AE208" s="442"/>
    </row>
    <row r="209" spans="1:36" x14ac:dyDescent="0.25">
      <c r="A209" s="516"/>
      <c r="B209" s="491"/>
      <c r="C209" s="81"/>
      <c r="D209" s="27" t="s">
        <v>16</v>
      </c>
      <c r="E209" s="43"/>
      <c r="F209" s="17">
        <v>41.5</v>
      </c>
      <c r="G209" s="17">
        <v>30.2</v>
      </c>
      <c r="H209" s="17">
        <v>24.5</v>
      </c>
      <c r="I209" s="17"/>
      <c r="J209" s="17"/>
      <c r="K209" s="17">
        <v>23</v>
      </c>
      <c r="L209" s="17">
        <v>7.6</v>
      </c>
      <c r="M209" s="43"/>
      <c r="N209" s="472" t="s">
        <v>127</v>
      </c>
      <c r="O209" s="472"/>
      <c r="P209" s="472"/>
      <c r="Q209" s="107"/>
      <c r="R209" s="79" t="s">
        <v>149</v>
      </c>
      <c r="S209" s="123">
        <f>$P$11*0</f>
        <v>0</v>
      </c>
      <c r="T209" s="121">
        <f>$P$11*0.2</f>
        <v>20</v>
      </c>
      <c r="U209" s="36">
        <f>KALKULÁTOR!E209*Q209</f>
        <v>0</v>
      </c>
      <c r="V209" s="28">
        <f>KALKULÁTOR!F209*$Q209/$Q$375</f>
        <v>0</v>
      </c>
      <c r="W209" s="28">
        <f>KALKULÁTOR!G209*$Q209/$Q$375</f>
        <v>0</v>
      </c>
      <c r="X209" s="28">
        <f>KALKULÁTOR!H209*$Q209/$Q$375</f>
        <v>0</v>
      </c>
      <c r="Y209" s="28">
        <f>KALKULÁTOR!I209*$Q209/$Q$375</f>
        <v>0</v>
      </c>
      <c r="Z209" s="28">
        <f>KALKULÁTOR!J209*$Q209/$Q$375</f>
        <v>0</v>
      </c>
      <c r="AA209" s="28">
        <f>KALKULÁTOR!K209*$Q209/$Q$375</f>
        <v>0</v>
      </c>
      <c r="AB209" s="28">
        <f>KALKULÁTOR!L209*$Q209/$Q$375</f>
        <v>0</v>
      </c>
      <c r="AC209" s="41">
        <f>KALKULÁTOR!C209*Q209</f>
        <v>0</v>
      </c>
      <c r="AD209" s="442">
        <f t="shared" si="4"/>
        <v>0</v>
      </c>
      <c r="AE209" s="442"/>
    </row>
    <row r="210" spans="1:36" ht="15.75" thickBot="1" x14ac:dyDescent="0.3">
      <c r="A210" s="516"/>
      <c r="B210" s="492"/>
      <c r="C210" s="94"/>
      <c r="D210" s="95" t="s">
        <v>16</v>
      </c>
      <c r="E210" s="118"/>
      <c r="F210" s="119">
        <v>61.45</v>
      </c>
      <c r="G210" s="119">
        <v>10.49</v>
      </c>
      <c r="H210" s="119"/>
      <c r="I210" s="119"/>
      <c r="J210" s="119"/>
      <c r="K210" s="119">
        <v>23</v>
      </c>
      <c r="L210" s="119">
        <v>7.6</v>
      </c>
      <c r="M210" s="118"/>
      <c r="N210" s="476" t="s">
        <v>128</v>
      </c>
      <c r="O210" s="476"/>
      <c r="P210" s="476"/>
      <c r="Q210" s="145"/>
      <c r="R210" s="96" t="s">
        <v>149</v>
      </c>
      <c r="S210" s="97">
        <f>$P$11*0</f>
        <v>0</v>
      </c>
      <c r="T210" s="98">
        <f>$P$11*0.2</f>
        <v>20</v>
      </c>
      <c r="U210" s="22">
        <f>KALKULÁTOR!E210*Q210</f>
        <v>0</v>
      </c>
      <c r="V210" s="48">
        <f>KALKULÁTOR!F210*$Q210/$Q$375</f>
        <v>0</v>
      </c>
      <c r="W210" s="48">
        <f>KALKULÁTOR!G210*$Q210/$Q$375</f>
        <v>0</v>
      </c>
      <c r="X210" s="48">
        <f>KALKULÁTOR!H210*$Q210/$Q$375</f>
        <v>0</v>
      </c>
      <c r="Y210" s="48">
        <f>KALKULÁTOR!I210*$Q210/$Q$375</f>
        <v>0</v>
      </c>
      <c r="Z210" s="48">
        <f>KALKULÁTOR!J210*$Q210/$Q$375</f>
        <v>0</v>
      </c>
      <c r="AA210" s="48">
        <f>KALKULÁTOR!K210*$Q210/$Q$375</f>
        <v>0</v>
      </c>
      <c r="AB210" s="48">
        <f>KALKULÁTOR!L210*$Q210/$Q$375</f>
        <v>0</v>
      </c>
      <c r="AC210" s="49">
        <f>KALKULÁTOR!C210*Q210</f>
        <v>0</v>
      </c>
      <c r="AD210" s="442">
        <f t="shared" si="4"/>
        <v>0</v>
      </c>
      <c r="AE210" s="442"/>
    </row>
    <row r="211" spans="1:36" ht="15" customHeight="1" thickBot="1" x14ac:dyDescent="0.3">
      <c r="A211" s="516"/>
      <c r="B211" s="519" t="s">
        <v>66</v>
      </c>
      <c r="C211" s="265"/>
      <c r="D211" s="25" t="s">
        <v>16</v>
      </c>
      <c r="E211" s="42">
        <v>13.14</v>
      </c>
      <c r="F211" s="30">
        <v>75</v>
      </c>
      <c r="G211" s="30">
        <v>4.5</v>
      </c>
      <c r="H211" s="30">
        <v>0.2</v>
      </c>
      <c r="I211" s="30">
        <v>0.1</v>
      </c>
      <c r="J211" s="30">
        <v>0.7</v>
      </c>
      <c r="K211" s="30">
        <v>2.4</v>
      </c>
      <c r="L211" s="30">
        <v>0.9</v>
      </c>
      <c r="M211" s="272"/>
      <c r="N211" s="526" t="s">
        <v>239</v>
      </c>
      <c r="O211" s="526"/>
      <c r="P211" s="526"/>
      <c r="Q211" s="145"/>
      <c r="R211" s="271" t="s">
        <v>149</v>
      </c>
      <c r="S211" s="152">
        <f>$P$11*0</f>
        <v>0</v>
      </c>
      <c r="T211" s="154">
        <f>$P$11*0.08</f>
        <v>8</v>
      </c>
      <c r="U211" s="37">
        <f>KALKULÁTOR!E211*Q211</f>
        <v>0</v>
      </c>
      <c r="V211" s="26">
        <f>KALKULÁTOR!F211*$Q211/$Q$375</f>
        <v>0</v>
      </c>
      <c r="W211" s="26">
        <f>KALKULÁTOR!G211*$Q211/$Q$375</f>
        <v>0</v>
      </c>
      <c r="X211" s="26">
        <f>KALKULÁTOR!H211*$Q211/$Q$375</f>
        <v>0</v>
      </c>
      <c r="Y211" s="26">
        <f>KALKULÁTOR!I211*$Q211/$Q$375</f>
        <v>0</v>
      </c>
      <c r="Z211" s="26">
        <f>KALKULÁTOR!J211*$Q211/$Q$375</f>
        <v>0</v>
      </c>
      <c r="AA211" s="26">
        <f>KALKULÁTOR!K211*$Q211/$Q$375</f>
        <v>0</v>
      </c>
      <c r="AB211" s="26">
        <f>KALKULÁTOR!L211*$Q211/$Q$375</f>
        <v>0</v>
      </c>
      <c r="AC211" s="40">
        <f>KALKULÁTOR!C211*Q211</f>
        <v>0</v>
      </c>
      <c r="AD211" s="442">
        <f t="shared" si="4"/>
        <v>0</v>
      </c>
      <c r="AE211" s="442"/>
      <c r="AF211" s="276" t="s">
        <v>353</v>
      </c>
      <c r="AJ211" s="24"/>
    </row>
    <row r="212" spans="1:36" ht="15" customHeight="1" thickBot="1" x14ac:dyDescent="0.3">
      <c r="A212" s="516"/>
      <c r="B212" s="520"/>
      <c r="C212" s="267"/>
      <c r="D212" s="27" t="s">
        <v>16</v>
      </c>
      <c r="E212" s="43">
        <v>13.14</v>
      </c>
      <c r="F212" s="17">
        <v>68</v>
      </c>
      <c r="G212" s="17">
        <v>1.5</v>
      </c>
      <c r="H212" s="17">
        <v>10</v>
      </c>
      <c r="I212" s="17">
        <v>0.1</v>
      </c>
      <c r="J212" s="17">
        <v>1</v>
      </c>
      <c r="K212" s="17">
        <v>11.26</v>
      </c>
      <c r="L212" s="17">
        <v>0.7</v>
      </c>
      <c r="M212" s="273"/>
      <c r="N212" s="478" t="s">
        <v>240</v>
      </c>
      <c r="O212" s="478"/>
      <c r="P212" s="478"/>
      <c r="Q212" s="107"/>
      <c r="R212" s="103" t="s">
        <v>149</v>
      </c>
      <c r="S212" s="153">
        <f>$P$11*0</f>
        <v>0</v>
      </c>
      <c r="T212" s="155">
        <f>$P$11*0.08</f>
        <v>8</v>
      </c>
      <c r="U212" s="36">
        <f>KALKULÁTOR!E212*Q212</f>
        <v>0</v>
      </c>
      <c r="V212" s="28">
        <f>KALKULÁTOR!F212*$Q212/$Q$375</f>
        <v>0</v>
      </c>
      <c r="W212" s="28">
        <f>KALKULÁTOR!G212*$Q212/$Q$375</f>
        <v>0</v>
      </c>
      <c r="X212" s="28">
        <f>KALKULÁTOR!H212*$Q212/$Q$375</f>
        <v>0</v>
      </c>
      <c r="Y212" s="28">
        <f>KALKULÁTOR!I212*$Q212/$Q$375</f>
        <v>0</v>
      </c>
      <c r="Z212" s="28">
        <f>KALKULÁTOR!J212*$Q212/$Q$375</f>
        <v>0</v>
      </c>
      <c r="AA212" s="28">
        <f>KALKULÁTOR!K212*$Q212/$Q$375</f>
        <v>0</v>
      </c>
      <c r="AB212" s="28">
        <f>KALKULÁTOR!L212*$Q212/$Q$375</f>
        <v>0</v>
      </c>
      <c r="AC212" s="41">
        <f>KALKULÁTOR!C212*Q212</f>
        <v>0</v>
      </c>
      <c r="AD212" s="442">
        <f t="shared" si="4"/>
        <v>0</v>
      </c>
      <c r="AE212" s="442"/>
      <c r="AF212" s="276" t="s">
        <v>353</v>
      </c>
      <c r="AJ212" s="24"/>
    </row>
    <row r="213" spans="1:36" x14ac:dyDescent="0.25">
      <c r="A213" s="516"/>
      <c r="B213" s="521"/>
      <c r="C213" s="267"/>
      <c r="D213" s="27" t="s">
        <v>16</v>
      </c>
      <c r="E213" s="43"/>
      <c r="F213" s="17">
        <v>70</v>
      </c>
      <c r="G213" s="17">
        <v>4</v>
      </c>
      <c r="H213" s="17"/>
      <c r="I213" s="17"/>
      <c r="J213" s="17"/>
      <c r="K213" s="17">
        <v>3.06</v>
      </c>
      <c r="L213" s="17">
        <v>1.36</v>
      </c>
      <c r="M213" s="43"/>
      <c r="N213" s="472" t="s">
        <v>340</v>
      </c>
      <c r="O213" s="472"/>
      <c r="P213" s="472"/>
      <c r="Q213" s="107"/>
      <c r="R213" s="79" t="s">
        <v>149</v>
      </c>
      <c r="S213" s="245">
        <f>$P$11*0</f>
        <v>0</v>
      </c>
      <c r="T213" s="244">
        <f>$P$11*0.08</f>
        <v>8</v>
      </c>
      <c r="U213" s="36">
        <f>KALKULÁTOR!E213*Q213</f>
        <v>0</v>
      </c>
      <c r="V213" s="28">
        <f>KALKULÁTOR!F213*$Q213/$Q$375</f>
        <v>0</v>
      </c>
      <c r="W213" s="28">
        <f>KALKULÁTOR!G213*$Q213/$Q$375</f>
        <v>0</v>
      </c>
      <c r="X213" s="28">
        <f>KALKULÁTOR!H213*$Q213/$Q$375</f>
        <v>0</v>
      </c>
      <c r="Y213" s="28">
        <f>KALKULÁTOR!I213*$Q213/$Q$375</f>
        <v>0</v>
      </c>
      <c r="Z213" s="28">
        <f>KALKULÁTOR!J213*$Q213/$Q$375</f>
        <v>0</v>
      </c>
      <c r="AA213" s="28">
        <f>KALKULÁTOR!K213*$Q213/$Q$375</f>
        <v>0</v>
      </c>
      <c r="AB213" s="28">
        <f>KALKULÁTOR!L213*$Q213/$Q$375</f>
        <v>0</v>
      </c>
      <c r="AC213" s="41">
        <f>KALKULÁTOR!C213*Q213</f>
        <v>0</v>
      </c>
      <c r="AD213" s="442">
        <f t="shared" si="4"/>
        <v>0</v>
      </c>
      <c r="AE213" s="442"/>
      <c r="AJ213" s="24"/>
    </row>
    <row r="214" spans="1:36" x14ac:dyDescent="0.25">
      <c r="A214" s="516"/>
      <c r="B214" s="521"/>
      <c r="C214" s="267"/>
      <c r="D214" s="27" t="s">
        <v>16</v>
      </c>
      <c r="E214" s="43"/>
      <c r="F214" s="17">
        <v>75</v>
      </c>
      <c r="G214" s="17">
        <v>1.4</v>
      </c>
      <c r="H214" s="17">
        <v>3.9</v>
      </c>
      <c r="I214" s="17">
        <v>0</v>
      </c>
      <c r="J214" s="17">
        <v>0</v>
      </c>
      <c r="K214" s="17">
        <v>7.5</v>
      </c>
      <c r="L214" s="17">
        <v>3</v>
      </c>
      <c r="M214" s="43"/>
      <c r="N214" s="472" t="s">
        <v>384</v>
      </c>
      <c r="O214" s="472"/>
      <c r="P214" s="472"/>
      <c r="Q214" s="145"/>
      <c r="R214" s="79" t="s">
        <v>149</v>
      </c>
      <c r="S214" s="287">
        <f>$P$11*0</f>
        <v>0</v>
      </c>
      <c r="T214" s="286">
        <f>$P$11*0.06</f>
        <v>6</v>
      </c>
      <c r="U214" s="36">
        <f>KALKULÁTOR!E214*Q214</f>
        <v>0</v>
      </c>
      <c r="V214" s="28">
        <f>KALKULÁTOR!F214*$Q214/$Q$375</f>
        <v>0</v>
      </c>
      <c r="W214" s="28">
        <f>KALKULÁTOR!G214*$Q214/$Q$375</f>
        <v>0</v>
      </c>
      <c r="X214" s="28">
        <f>KALKULÁTOR!H214*$Q214/$Q$375</f>
        <v>0</v>
      </c>
      <c r="Y214" s="28">
        <f>KALKULÁTOR!I214*$Q214/$Q$375</f>
        <v>0</v>
      </c>
      <c r="Z214" s="28">
        <f>KALKULÁTOR!J214*$Q214/$Q$375</f>
        <v>0</v>
      </c>
      <c r="AA214" s="28">
        <f>KALKULÁTOR!K214*$Q214/$Q$375</f>
        <v>0</v>
      </c>
      <c r="AB214" s="28">
        <f>KALKULÁTOR!L214*$Q214/$Q$375</f>
        <v>0</v>
      </c>
      <c r="AC214" s="41">
        <f>KALKULÁTOR!C214*Q214</f>
        <v>0</v>
      </c>
      <c r="AD214" s="442">
        <f t="shared" si="4"/>
        <v>0</v>
      </c>
      <c r="AE214" s="442"/>
      <c r="AJ214" s="24"/>
    </row>
    <row r="215" spans="1:36" ht="15.75" thickBot="1" x14ac:dyDescent="0.3">
      <c r="A215" s="518"/>
      <c r="B215" s="522"/>
      <c r="C215" s="266"/>
      <c r="D215" s="29" t="s">
        <v>16</v>
      </c>
      <c r="E215" s="53">
        <v>13.14</v>
      </c>
      <c r="F215" s="20">
        <v>78</v>
      </c>
      <c r="G215" s="20">
        <v>1.3</v>
      </c>
      <c r="H215" s="20">
        <v>3.8</v>
      </c>
      <c r="I215" s="20">
        <v>0</v>
      </c>
      <c r="J215" s="20">
        <v>0</v>
      </c>
      <c r="K215" s="20">
        <v>7.5</v>
      </c>
      <c r="L215" s="20">
        <v>3</v>
      </c>
      <c r="M215" s="53"/>
      <c r="N215" s="489" t="s">
        <v>284</v>
      </c>
      <c r="O215" s="489"/>
      <c r="P215" s="489"/>
      <c r="Q215" s="145"/>
      <c r="R215" s="83" t="s">
        <v>149</v>
      </c>
      <c r="S215" s="124">
        <f>$P$11*0</f>
        <v>0</v>
      </c>
      <c r="T215" s="122">
        <f>$P$11*0.08</f>
        <v>8</v>
      </c>
      <c r="U215" s="38">
        <f>KALKULÁTOR!E215*Q215</f>
        <v>0</v>
      </c>
      <c r="V215" s="67">
        <f>KALKULÁTOR!F215*$Q215/$Q$375</f>
        <v>0</v>
      </c>
      <c r="W215" s="67">
        <f>KALKULÁTOR!G215*$Q215/$Q$375</f>
        <v>0</v>
      </c>
      <c r="X215" s="67">
        <f>KALKULÁTOR!H215*$Q215/$Q$375</f>
        <v>0</v>
      </c>
      <c r="Y215" s="67">
        <f>KALKULÁTOR!I215*$Q215/$Q$375</f>
        <v>0</v>
      </c>
      <c r="Z215" s="67">
        <f>KALKULÁTOR!J215*$Q215/$Q$375</f>
        <v>0</v>
      </c>
      <c r="AA215" s="67">
        <f>KALKULÁTOR!K215*$Q215/$Q$375</f>
        <v>0</v>
      </c>
      <c r="AB215" s="67">
        <f>KALKULÁTOR!L215*$Q215/$Q$375</f>
        <v>0</v>
      </c>
      <c r="AC215" s="68">
        <f>KALKULÁTOR!C215*Q215</f>
        <v>0</v>
      </c>
      <c r="AD215" s="442">
        <f>IF(AND(Q215&gt;T215),1,0)</f>
        <v>0</v>
      </c>
      <c r="AE215" s="442"/>
      <c r="AJ215" s="24"/>
    </row>
    <row r="216" spans="1:36" x14ac:dyDescent="0.25">
      <c r="A216" s="582" t="s">
        <v>79</v>
      </c>
      <c r="B216" s="490" t="s">
        <v>68</v>
      </c>
      <c r="C216" s="87"/>
      <c r="D216" s="78" t="s">
        <v>16</v>
      </c>
      <c r="E216" s="32"/>
      <c r="F216" s="77"/>
      <c r="G216" s="77"/>
      <c r="H216" s="77"/>
      <c r="I216" s="77">
        <v>36</v>
      </c>
      <c r="J216" s="77">
        <v>1.7100000000000001E-2</v>
      </c>
      <c r="K216" s="77"/>
      <c r="L216" s="77"/>
      <c r="M216" s="144"/>
      <c r="N216" s="481" t="s">
        <v>155</v>
      </c>
      <c r="O216" s="481"/>
      <c r="P216" s="481"/>
      <c r="Q216" s="107"/>
      <c r="R216" s="64" t="s">
        <v>149</v>
      </c>
      <c r="S216" s="89">
        <f>$P$11*0.00005</f>
        <v>5.0000000000000001E-3</v>
      </c>
      <c r="T216" s="90">
        <f>$P$11*0.1</f>
        <v>10</v>
      </c>
      <c r="U216" s="32">
        <f>KALKULÁTOR!E216*Q216</f>
        <v>0</v>
      </c>
      <c r="V216" s="6">
        <f>KALKULÁTOR!F216*$Q216/$Q$375</f>
        <v>0</v>
      </c>
      <c r="W216" s="6">
        <f>KALKULÁTOR!G216*$Q216/$Q$375</f>
        <v>0</v>
      </c>
      <c r="X216" s="6">
        <f>KALKULÁTOR!H216*$Q216/$Q$375</f>
        <v>0</v>
      </c>
      <c r="Y216" s="6">
        <f>KALKULÁTOR!I216*$Q216/$Q$375</f>
        <v>0</v>
      </c>
      <c r="Z216" s="6">
        <f>KALKULÁTOR!J216*$Q216/$Q$375</f>
        <v>0</v>
      </c>
      <c r="AA216" s="6">
        <f>KALKULÁTOR!K216*$Q216/$Q$375</f>
        <v>0</v>
      </c>
      <c r="AB216" s="6">
        <f>KALKULÁTOR!L216*$Q216/$Q$375</f>
        <v>0</v>
      </c>
      <c r="AC216" s="50">
        <f>KALKULÁTOR!C216*Q216</f>
        <v>0</v>
      </c>
      <c r="AD216" s="434">
        <f>IF(AND(Q216&gt;=S216,Q216&lt;=T216),1,0)</f>
        <v>0</v>
      </c>
      <c r="AE216" s="434"/>
      <c r="AH216" s="34"/>
      <c r="AJ216" s="2"/>
    </row>
    <row r="217" spans="1:36" x14ac:dyDescent="0.25">
      <c r="A217" s="582"/>
      <c r="B217" s="491"/>
      <c r="C217" s="81"/>
      <c r="D217" s="27" t="s">
        <v>16</v>
      </c>
      <c r="E217" s="36"/>
      <c r="F217" s="4"/>
      <c r="G217" s="4"/>
      <c r="H217" s="4"/>
      <c r="I217" s="4">
        <v>17</v>
      </c>
      <c r="J217" s="4">
        <v>22.3</v>
      </c>
      <c r="K217" s="4"/>
      <c r="L217" s="4"/>
      <c r="M217" s="43"/>
      <c r="N217" s="472" t="s">
        <v>206</v>
      </c>
      <c r="O217" s="472"/>
      <c r="P217" s="472"/>
      <c r="Q217" s="107"/>
      <c r="R217" s="79" t="s">
        <v>149</v>
      </c>
      <c r="S217" s="89">
        <f>$P$11*0.005</f>
        <v>0.5</v>
      </c>
      <c r="T217" s="90">
        <f>$P$11*0.01</f>
        <v>1</v>
      </c>
      <c r="U217" s="36">
        <f>KALKULÁTOR!E217*Q217</f>
        <v>0</v>
      </c>
      <c r="V217" s="28">
        <f>KALKULÁTOR!F217*$Q217/$Q$375</f>
        <v>0</v>
      </c>
      <c r="W217" s="28">
        <f>KALKULÁTOR!G217*$Q217/$Q$375</f>
        <v>0</v>
      </c>
      <c r="X217" s="28">
        <f>KALKULÁTOR!H217*$Q217/$Q$375</f>
        <v>0</v>
      </c>
      <c r="Y217" s="28">
        <f>KALKULÁTOR!I217*$Q217/$Q$375</f>
        <v>0</v>
      </c>
      <c r="Z217" s="28">
        <f>KALKULÁTOR!J217*$Q217/$Q$375</f>
        <v>0</v>
      </c>
      <c r="AA217" s="28">
        <f>KALKULÁTOR!K217*$Q217/$Q$375</f>
        <v>0</v>
      </c>
      <c r="AB217" s="28">
        <f>KALKULÁTOR!L217*$Q217/$Q$375</f>
        <v>0</v>
      </c>
      <c r="AC217" s="41">
        <f>KALKULÁTOR!C217*Q217</f>
        <v>0</v>
      </c>
      <c r="AD217" s="434">
        <f>IF(AND(Q217&gt;=S217,Q217&lt;=T217),1,0)</f>
        <v>0</v>
      </c>
      <c r="AE217" s="434"/>
      <c r="AH217" s="34"/>
      <c r="AJ217" s="2"/>
    </row>
    <row r="218" spans="1:36" x14ac:dyDescent="0.25">
      <c r="A218" s="582"/>
      <c r="B218" s="491"/>
      <c r="C218" s="81"/>
      <c r="D218" s="27" t="s">
        <v>16</v>
      </c>
      <c r="E218" s="36"/>
      <c r="F218" s="4">
        <v>7.2</v>
      </c>
      <c r="G218" s="4"/>
      <c r="H218" s="4">
        <v>6.1</v>
      </c>
      <c r="I218" s="4">
        <v>12.1</v>
      </c>
      <c r="J218" s="4">
        <v>6.9</v>
      </c>
      <c r="K218" s="4"/>
      <c r="L218" s="4"/>
      <c r="M218" s="43"/>
      <c r="N218" s="472" t="s">
        <v>374</v>
      </c>
      <c r="O218" s="472"/>
      <c r="P218" s="472"/>
      <c r="Q218" s="145"/>
      <c r="R218" s="79" t="s">
        <v>149</v>
      </c>
      <c r="S218" s="89">
        <f>$P$11*0.0005</f>
        <v>0.05</v>
      </c>
      <c r="T218" s="90">
        <f>$P$11*0.02</f>
        <v>2</v>
      </c>
      <c r="U218" s="36">
        <f>KALKULÁTOR!E218*Q218</f>
        <v>0</v>
      </c>
      <c r="V218" s="28">
        <f>KALKULÁTOR!F218*$Q218/$Q$375</f>
        <v>0</v>
      </c>
      <c r="W218" s="28">
        <f>KALKULÁTOR!G218*$Q218/$Q$375</f>
        <v>0</v>
      </c>
      <c r="X218" s="28">
        <f>KALKULÁTOR!H218*$Q218/$Q$375</f>
        <v>0</v>
      </c>
      <c r="Y218" s="28">
        <f>KALKULÁTOR!I218*$Q218/$Q$375</f>
        <v>0</v>
      </c>
      <c r="Z218" s="28">
        <f>KALKULÁTOR!J218*$Q218/$Q$375</f>
        <v>0</v>
      </c>
      <c r="AA218" s="28">
        <f>KALKULÁTOR!K218*$Q218/$Q$375</f>
        <v>0</v>
      </c>
      <c r="AB218" s="28">
        <f>KALKULÁTOR!L218*$Q218/$Q$375</f>
        <v>0</v>
      </c>
      <c r="AC218" s="41">
        <f>KALKULÁTOR!C218*Q218</f>
        <v>0</v>
      </c>
      <c r="AD218" s="434">
        <f>IF(AND(Q218&gt;=S218,Q218&lt;=T218),1,0)</f>
        <v>0</v>
      </c>
      <c r="AE218" s="434"/>
      <c r="AH218" s="34"/>
      <c r="AJ218" s="2"/>
    </row>
    <row r="219" spans="1:36" x14ac:dyDescent="0.25">
      <c r="A219" s="582"/>
      <c r="B219" s="491"/>
      <c r="C219" s="81"/>
      <c r="D219" s="27" t="s">
        <v>16</v>
      </c>
      <c r="E219" s="5"/>
      <c r="F219" s="4"/>
      <c r="G219" s="4"/>
      <c r="H219" s="4"/>
      <c r="I219" s="4">
        <v>0.51</v>
      </c>
      <c r="J219" s="4">
        <v>0</v>
      </c>
      <c r="K219" s="4"/>
      <c r="L219" s="4"/>
      <c r="M219" s="43"/>
      <c r="N219" s="472" t="s">
        <v>207</v>
      </c>
      <c r="O219" s="472"/>
      <c r="P219" s="472"/>
      <c r="Q219" s="145"/>
      <c r="R219" s="79" t="s">
        <v>149</v>
      </c>
      <c r="S219" s="123">
        <f>$P$11*0.003</f>
        <v>0.3</v>
      </c>
      <c r="T219" s="121">
        <f>$P$11*0.005</f>
        <v>0.5</v>
      </c>
      <c r="U219" s="36">
        <f>KALKULÁTOR!E219*Q219</f>
        <v>0</v>
      </c>
      <c r="V219" s="28">
        <f>KALKULÁTOR!F219*$Q219/$Q$375</f>
        <v>0</v>
      </c>
      <c r="W219" s="28">
        <f>KALKULÁTOR!G219*$Q219/$Q$375</f>
        <v>0</v>
      </c>
      <c r="X219" s="28">
        <f>KALKULÁTOR!H219*$Q219/$Q$375</f>
        <v>0</v>
      </c>
      <c r="Y219" s="28">
        <f>KALKULÁTOR!I219*$Q219/$Q$375</f>
        <v>0</v>
      </c>
      <c r="Z219" s="28">
        <f>KALKULÁTOR!J219*$Q219/$Q$375</f>
        <v>0</v>
      </c>
      <c r="AA219" s="28">
        <f>KALKULÁTOR!K219*$Q219/$Q$375</f>
        <v>0</v>
      </c>
      <c r="AB219" s="28">
        <f>KALKULÁTOR!L219*$Q219/$Q$375</f>
        <v>0</v>
      </c>
      <c r="AC219" s="41">
        <f>KALKULÁTOR!C219*Q219</f>
        <v>0</v>
      </c>
      <c r="AD219" s="434">
        <f>IF(AND(Q219&gt;=S219,Q219&lt;=T219),1,0)</f>
        <v>0</v>
      </c>
      <c r="AE219" s="434"/>
      <c r="AH219" s="34"/>
      <c r="AJ219" s="2"/>
    </row>
    <row r="220" spans="1:36" ht="15.75" thickBot="1" x14ac:dyDescent="0.3">
      <c r="A220" s="582"/>
      <c r="B220" s="492"/>
      <c r="C220" s="94"/>
      <c r="D220" s="95" t="s">
        <v>16</v>
      </c>
      <c r="E220" s="44"/>
      <c r="F220" s="21"/>
      <c r="G220" s="21"/>
      <c r="H220" s="21"/>
      <c r="I220" s="21">
        <v>0.7</v>
      </c>
      <c r="J220" s="21"/>
      <c r="K220" s="21"/>
      <c r="L220" s="21"/>
      <c r="M220" s="118"/>
      <c r="N220" s="476" t="s">
        <v>156</v>
      </c>
      <c r="O220" s="476"/>
      <c r="P220" s="476"/>
      <c r="Q220" s="107"/>
      <c r="R220" s="96" t="s">
        <v>149</v>
      </c>
      <c r="S220" s="427">
        <f>$P$11*0.005</f>
        <v>0.5</v>
      </c>
      <c r="T220" s="425">
        <f>$P$11*0.08</f>
        <v>8</v>
      </c>
      <c r="U220" s="22">
        <f>KALKULÁTOR!E220*Q220</f>
        <v>0</v>
      </c>
      <c r="V220" s="48">
        <f>KALKULÁTOR!F220*$Q220/$Q$375</f>
        <v>0</v>
      </c>
      <c r="W220" s="48">
        <f>KALKULÁTOR!G220*$Q220/$Q$375</f>
        <v>0</v>
      </c>
      <c r="X220" s="48">
        <f>KALKULÁTOR!H220*$Q220/$Q$375</f>
        <v>0</v>
      </c>
      <c r="Y220" s="48">
        <f>KALKULÁTOR!I220*$Q220/$Q$375</f>
        <v>0</v>
      </c>
      <c r="Z220" s="48">
        <f>KALKULÁTOR!J220*$Q220/$Q$375</f>
        <v>0</v>
      </c>
      <c r="AA220" s="48">
        <f>KALKULÁTOR!K220*$Q220/$Q$375</f>
        <v>0</v>
      </c>
      <c r="AB220" s="48">
        <f>KALKULÁTOR!L220*$Q220/$Q$375</f>
        <v>0</v>
      </c>
      <c r="AC220" s="49">
        <f>KALKULÁTOR!C220*Q220</f>
        <v>0</v>
      </c>
      <c r="AD220" s="434">
        <f>IF(AND(Q220&gt;=S220,Q220&lt;=T220),1,0)</f>
        <v>0</v>
      </c>
      <c r="AE220" s="434"/>
      <c r="AH220" s="34"/>
      <c r="AJ220" s="2"/>
    </row>
    <row r="221" spans="1:36" x14ac:dyDescent="0.25">
      <c r="A221" s="582"/>
      <c r="B221" s="519" t="s">
        <v>421</v>
      </c>
      <c r="C221" s="265"/>
      <c r="D221" s="25" t="s">
        <v>16</v>
      </c>
      <c r="E221" s="37"/>
      <c r="F221" s="19">
        <v>30</v>
      </c>
      <c r="G221" s="19">
        <v>6.5</v>
      </c>
      <c r="H221" s="19">
        <v>7.4</v>
      </c>
      <c r="I221" s="19">
        <v>12</v>
      </c>
      <c r="J221" s="19">
        <v>1.3</v>
      </c>
      <c r="K221" s="19">
        <v>2.2999999999999998</v>
      </c>
      <c r="L221" s="19">
        <v>1</v>
      </c>
      <c r="M221" s="42"/>
      <c r="N221" s="477" t="s">
        <v>208</v>
      </c>
      <c r="O221" s="477"/>
      <c r="P221" s="477"/>
      <c r="Q221" s="107"/>
      <c r="R221" s="66" t="s">
        <v>149</v>
      </c>
      <c r="S221" s="453">
        <f>$P$11*0.3</f>
        <v>30</v>
      </c>
      <c r="T221" s="452">
        <f>$P$11*0.3</f>
        <v>30</v>
      </c>
      <c r="U221" s="37">
        <f>KALKULÁTOR!E221*Q221</f>
        <v>0</v>
      </c>
      <c r="V221" s="26">
        <f>KALKULÁTOR!F221*$Q221/$Q$375</f>
        <v>0</v>
      </c>
      <c r="W221" s="26">
        <f>KALKULÁTOR!G221*$Q221/$Q$375</f>
        <v>0</v>
      </c>
      <c r="X221" s="26">
        <f>KALKULÁTOR!H221*$Q221/$Q$375</f>
        <v>0</v>
      </c>
      <c r="Y221" s="26">
        <f>KALKULÁTOR!I221*$Q221/$Q$375</f>
        <v>0</v>
      </c>
      <c r="Z221" s="26">
        <f>KALKULÁTOR!J221*$Q221/$Q$375</f>
        <v>0</v>
      </c>
      <c r="AA221" s="26">
        <f>KALKULÁTOR!K221*$Q221/$Q$375</f>
        <v>0</v>
      </c>
      <c r="AB221" s="26">
        <f>KALKULÁTOR!L221*$Q221/$Q$375</f>
        <v>0</v>
      </c>
      <c r="AC221" s="40">
        <f>KALKULÁTOR!C221*Q221</f>
        <v>0</v>
      </c>
      <c r="AD221" s="378">
        <f t="shared" ref="AD221:AD248" si="5">IF(AND(Q221&gt;=S221,Q221&lt;=T221),1,0)</f>
        <v>0</v>
      </c>
      <c r="AF221" s="158"/>
      <c r="AH221" s="34"/>
      <c r="AJ221" s="2"/>
    </row>
    <row r="222" spans="1:36" ht="15.75" thickBot="1" x14ac:dyDescent="0.3">
      <c r="A222" s="582"/>
      <c r="B222" s="522"/>
      <c r="C222" s="266"/>
      <c r="D222" s="29" t="s">
        <v>16</v>
      </c>
      <c r="E222" s="38"/>
      <c r="F222" s="18">
        <v>27</v>
      </c>
      <c r="G222" s="18">
        <v>5.5</v>
      </c>
      <c r="H222" s="18">
        <v>7.5</v>
      </c>
      <c r="I222" s="18">
        <v>12</v>
      </c>
      <c r="J222" s="18">
        <v>0.9</v>
      </c>
      <c r="K222" s="18">
        <v>2.2000000000000002</v>
      </c>
      <c r="L222" s="18">
        <v>1</v>
      </c>
      <c r="M222" s="53"/>
      <c r="N222" s="489" t="s">
        <v>489</v>
      </c>
      <c r="O222" s="489"/>
      <c r="P222" s="489"/>
      <c r="Q222" s="145"/>
      <c r="R222" s="83" t="s">
        <v>149</v>
      </c>
      <c r="S222" s="376">
        <f>$P$11*0.3</f>
        <v>30</v>
      </c>
      <c r="T222" s="373">
        <f>$P$11*0.3</f>
        <v>30</v>
      </c>
      <c r="U222" s="38">
        <f>KALKULÁTOR!E222*Q222</f>
        <v>0</v>
      </c>
      <c r="V222" s="67">
        <f>KALKULÁTOR!F222*$Q222/$Q$375</f>
        <v>0</v>
      </c>
      <c r="W222" s="67">
        <f>KALKULÁTOR!G222*$Q222/$Q$375</f>
        <v>0</v>
      </c>
      <c r="X222" s="67">
        <f>KALKULÁTOR!H222*$Q222/$Q$375</f>
        <v>0</v>
      </c>
      <c r="Y222" s="67">
        <f>KALKULÁTOR!I222*$Q222/$Q$375</f>
        <v>0</v>
      </c>
      <c r="Z222" s="67">
        <f>KALKULÁTOR!J222*$Q222/$Q$375</f>
        <v>0</v>
      </c>
      <c r="AA222" s="67">
        <f>KALKULÁTOR!K222*$Q222/$Q$375</f>
        <v>0</v>
      </c>
      <c r="AB222" s="67">
        <f>KALKULÁTOR!L222*$Q222/$Q$375</f>
        <v>0</v>
      </c>
      <c r="AC222" s="68">
        <f>KALKULÁTOR!C222*Q222</f>
        <v>0</v>
      </c>
      <c r="AF222" s="158"/>
      <c r="AH222" s="34"/>
      <c r="AJ222" s="2"/>
    </row>
    <row r="223" spans="1:36" x14ac:dyDescent="0.25">
      <c r="A223" s="582"/>
      <c r="B223" s="585" t="s">
        <v>72</v>
      </c>
      <c r="C223" s="87"/>
      <c r="D223" s="78" t="s">
        <v>16</v>
      </c>
      <c r="E223" s="32">
        <v>9.3000000000000007</v>
      </c>
      <c r="F223" s="77">
        <v>42.5</v>
      </c>
      <c r="G223" s="77">
        <v>2.15</v>
      </c>
      <c r="H223" s="77">
        <v>1.8</v>
      </c>
      <c r="I223" s="77">
        <v>5.4</v>
      </c>
      <c r="J223" s="77">
        <v>1.9</v>
      </c>
      <c r="K223" s="77">
        <v>3.8</v>
      </c>
      <c r="L223" s="77">
        <v>1.55</v>
      </c>
      <c r="M223" s="144"/>
      <c r="N223" s="481" t="s">
        <v>337</v>
      </c>
      <c r="O223" s="481"/>
      <c r="P223" s="481"/>
      <c r="Q223" s="145"/>
      <c r="R223" s="64" t="s">
        <v>149</v>
      </c>
      <c r="S223" s="89">
        <f>$P$11*0.2</f>
        <v>20</v>
      </c>
      <c r="T223" s="90">
        <f>$P$11*0.3</f>
        <v>30</v>
      </c>
      <c r="U223" s="32">
        <f>KALKULÁTOR!E223*Q223</f>
        <v>0</v>
      </c>
      <c r="V223" s="6">
        <f>KALKULÁTOR!F223*$Q223/$Q$375</f>
        <v>0</v>
      </c>
      <c r="W223" s="6">
        <f>KALKULÁTOR!G223*$Q223/$Q$375</f>
        <v>0</v>
      </c>
      <c r="X223" s="6">
        <f>KALKULÁTOR!H223*$Q223/$Q$375</f>
        <v>0</v>
      </c>
      <c r="Y223" s="6">
        <f>KALKULÁTOR!I223*$Q223/$Q$375</f>
        <v>0</v>
      </c>
      <c r="Z223" s="6">
        <f>KALKULÁTOR!J223*$Q223/$Q$375</f>
        <v>0</v>
      </c>
      <c r="AA223" s="6">
        <f>KALKULÁTOR!K223*$Q223/$Q$375</f>
        <v>0</v>
      </c>
      <c r="AB223" s="6">
        <f>KALKULÁTOR!L223*$Q223/$Q$375</f>
        <v>0</v>
      </c>
      <c r="AC223" s="50">
        <f>KALKULÁTOR!C223*Q223</f>
        <v>0</v>
      </c>
      <c r="AD223" s="378">
        <f t="shared" si="5"/>
        <v>0</v>
      </c>
      <c r="AH223" s="34"/>
      <c r="AJ223" s="2"/>
    </row>
    <row r="224" spans="1:36" x14ac:dyDescent="0.25">
      <c r="A224" s="582"/>
      <c r="B224" s="586"/>
      <c r="C224" s="81"/>
      <c r="D224" s="27" t="s">
        <v>16</v>
      </c>
      <c r="E224" s="36">
        <v>9.5500000000000007</v>
      </c>
      <c r="F224" s="4">
        <v>42.5</v>
      </c>
      <c r="G224" s="4">
        <v>1.4</v>
      </c>
      <c r="H224" s="4">
        <v>5.6</v>
      </c>
      <c r="I224" s="4">
        <v>2.39</v>
      </c>
      <c r="J224" s="4">
        <v>1.02</v>
      </c>
      <c r="K224" s="4">
        <v>2.6</v>
      </c>
      <c r="L224" s="4">
        <v>0.92</v>
      </c>
      <c r="M224" s="43"/>
      <c r="N224" s="472" t="s">
        <v>71</v>
      </c>
      <c r="O224" s="472"/>
      <c r="P224" s="472"/>
      <c r="Q224" s="107"/>
      <c r="R224" s="79" t="s">
        <v>149</v>
      </c>
      <c r="S224" s="123">
        <f>$P$11*0.35</f>
        <v>35</v>
      </c>
      <c r="T224" s="121">
        <f>$P$11*0.35</f>
        <v>35</v>
      </c>
      <c r="U224" s="36">
        <f>KALKULÁTOR!E224*Q224</f>
        <v>0</v>
      </c>
      <c r="V224" s="28">
        <f>KALKULÁTOR!F224*$Q224/$Q$375</f>
        <v>0</v>
      </c>
      <c r="W224" s="28">
        <f>KALKULÁTOR!G224*$Q224/$Q$375</f>
        <v>0</v>
      </c>
      <c r="X224" s="28">
        <f>KALKULÁTOR!H224*$Q224/$Q$375</f>
        <v>0</v>
      </c>
      <c r="Y224" s="28">
        <f>KALKULÁTOR!I224*$Q224/$Q$375</f>
        <v>0</v>
      </c>
      <c r="Z224" s="28">
        <f>KALKULÁTOR!J224*$Q224/$Q$375</f>
        <v>0</v>
      </c>
      <c r="AA224" s="28">
        <f>KALKULÁTOR!K224*$Q224/$Q$375</f>
        <v>0</v>
      </c>
      <c r="AB224" s="28">
        <f>KALKULÁTOR!L224*$Q224/$Q$375</f>
        <v>0</v>
      </c>
      <c r="AC224" s="41">
        <f>KALKULÁTOR!C224*Q224</f>
        <v>0</v>
      </c>
      <c r="AD224" s="378">
        <f t="shared" si="5"/>
        <v>0</v>
      </c>
      <c r="AH224" s="34"/>
      <c r="AI224" s="35"/>
      <c r="AJ224" s="24"/>
    </row>
    <row r="225" spans="1:36" x14ac:dyDescent="0.25">
      <c r="A225" s="582"/>
      <c r="B225" s="586"/>
      <c r="C225" s="81"/>
      <c r="D225" s="27" t="s">
        <v>16</v>
      </c>
      <c r="E225" s="36">
        <v>8.9499999999999993</v>
      </c>
      <c r="F225" s="4">
        <v>39.700000000000003</v>
      </c>
      <c r="G225" s="4">
        <v>1.5</v>
      </c>
      <c r="H225" s="4">
        <v>6.6</v>
      </c>
      <c r="I225" s="4">
        <v>2.57</v>
      </c>
      <c r="J225" s="4">
        <v>1</v>
      </c>
      <c r="K225" s="4">
        <v>2.54</v>
      </c>
      <c r="L225" s="4">
        <v>0.92</v>
      </c>
      <c r="M225" s="43"/>
      <c r="N225" s="472" t="s">
        <v>70</v>
      </c>
      <c r="O225" s="472"/>
      <c r="P225" s="472"/>
      <c r="Q225" s="107"/>
      <c r="R225" s="79" t="s">
        <v>149</v>
      </c>
      <c r="S225" s="123">
        <f>$P$11*0.3</f>
        <v>30</v>
      </c>
      <c r="T225" s="121">
        <f>$P$11*0.3</f>
        <v>30</v>
      </c>
      <c r="U225" s="36">
        <f>KALKULÁTOR!E225*Q225</f>
        <v>0</v>
      </c>
      <c r="V225" s="28">
        <f>KALKULÁTOR!F225*$Q225/$Q$375</f>
        <v>0</v>
      </c>
      <c r="W225" s="28">
        <f>KALKULÁTOR!G225*$Q225/$Q$375</f>
        <v>0</v>
      </c>
      <c r="X225" s="28">
        <f>KALKULÁTOR!H225*$Q225/$Q$375</f>
        <v>0</v>
      </c>
      <c r="Y225" s="28">
        <f>KALKULÁTOR!I225*$Q225/$Q$375</f>
        <v>0</v>
      </c>
      <c r="Z225" s="28">
        <f>KALKULÁTOR!J225*$Q225/$Q$375</f>
        <v>0</v>
      </c>
      <c r="AA225" s="28">
        <f>KALKULÁTOR!K225*$Q225/$Q$375</f>
        <v>0</v>
      </c>
      <c r="AB225" s="28">
        <f>KALKULÁTOR!L225*$Q225/$Q$375</f>
        <v>0</v>
      </c>
      <c r="AC225" s="41">
        <f>KALKULÁTOR!C225*Q225</f>
        <v>0</v>
      </c>
      <c r="AD225" s="378">
        <f t="shared" si="5"/>
        <v>0</v>
      </c>
      <c r="AH225" s="34"/>
      <c r="AI225" s="35"/>
      <c r="AJ225" s="2"/>
    </row>
    <row r="226" spans="1:36" x14ac:dyDescent="0.25">
      <c r="A226" s="582"/>
      <c r="B226" s="586"/>
      <c r="C226" s="81"/>
      <c r="D226" s="27" t="s">
        <v>16</v>
      </c>
      <c r="E226" s="36">
        <v>8.9499999999999993</v>
      </c>
      <c r="F226" s="4">
        <v>32</v>
      </c>
      <c r="G226" s="4">
        <v>4</v>
      </c>
      <c r="H226" s="4">
        <v>8.5</v>
      </c>
      <c r="I226" s="4">
        <v>2.57</v>
      </c>
      <c r="J226" s="4">
        <v>1</v>
      </c>
      <c r="K226" s="4">
        <v>1.5</v>
      </c>
      <c r="L226" s="4">
        <v>0.8</v>
      </c>
      <c r="M226" s="43"/>
      <c r="N226" s="472" t="s">
        <v>69</v>
      </c>
      <c r="O226" s="472"/>
      <c r="P226" s="472"/>
      <c r="Q226" s="145"/>
      <c r="R226" s="79" t="s">
        <v>149</v>
      </c>
      <c r="S226" s="123">
        <f>$P$11*0.3</f>
        <v>30</v>
      </c>
      <c r="T226" s="121">
        <f>$P$11*0.3</f>
        <v>30</v>
      </c>
      <c r="U226" s="36">
        <f>KALKULÁTOR!E226*Q226</f>
        <v>0</v>
      </c>
      <c r="V226" s="28">
        <f>KALKULÁTOR!F226*$Q226/$Q$375</f>
        <v>0</v>
      </c>
      <c r="W226" s="28">
        <f>KALKULÁTOR!G226*$Q226/$Q$375</f>
        <v>0</v>
      </c>
      <c r="X226" s="28">
        <f>KALKULÁTOR!H226*$Q226/$Q$375</f>
        <v>0</v>
      </c>
      <c r="Y226" s="28">
        <f>KALKULÁTOR!I226*$Q226/$Q$375</f>
        <v>0</v>
      </c>
      <c r="Z226" s="28">
        <f>KALKULÁTOR!J226*$Q226/$Q$375</f>
        <v>0</v>
      </c>
      <c r="AA226" s="28">
        <f>KALKULÁTOR!K226*$Q226/$Q$375</f>
        <v>0</v>
      </c>
      <c r="AB226" s="28">
        <f>KALKULÁTOR!L226*$Q226/$Q$375</f>
        <v>0</v>
      </c>
      <c r="AC226" s="41">
        <f>KALKULÁTOR!C226*Q226</f>
        <v>0</v>
      </c>
      <c r="AD226" s="378">
        <f t="shared" si="5"/>
        <v>0</v>
      </c>
      <c r="AH226" s="34"/>
      <c r="AI226" s="35"/>
      <c r="AJ226" s="2"/>
    </row>
    <row r="227" spans="1:36" x14ac:dyDescent="0.25">
      <c r="A227" s="582"/>
      <c r="B227" s="586"/>
      <c r="C227" s="81"/>
      <c r="D227" s="27" t="s">
        <v>16</v>
      </c>
      <c r="E227" s="36">
        <v>6.5</v>
      </c>
      <c r="F227" s="4">
        <v>27.53</v>
      </c>
      <c r="G227" s="4">
        <v>1.2</v>
      </c>
      <c r="H227" s="4">
        <v>7.6</v>
      </c>
      <c r="I227" s="4">
        <v>11.05</v>
      </c>
      <c r="J227" s="4">
        <v>0.75</v>
      </c>
      <c r="K227" s="4">
        <v>1.6</v>
      </c>
      <c r="L227" s="4">
        <v>0.61</v>
      </c>
      <c r="M227" s="43"/>
      <c r="N227" s="472" t="s">
        <v>448</v>
      </c>
      <c r="O227" s="472"/>
      <c r="P227" s="472"/>
      <c r="Q227" s="145"/>
      <c r="R227" s="79" t="s">
        <v>149</v>
      </c>
      <c r="S227" s="413">
        <f>$P$11*0.35</f>
        <v>35</v>
      </c>
      <c r="T227" s="412">
        <f>$P$11*0.35</f>
        <v>35</v>
      </c>
      <c r="U227" s="36">
        <f>KALKULÁTOR!E227*Q227</f>
        <v>0</v>
      </c>
      <c r="V227" s="28">
        <f>KALKULÁTOR!F227*$Q227/$Q$375</f>
        <v>0</v>
      </c>
      <c r="W227" s="28">
        <f>KALKULÁTOR!G227*$Q227/$Q$375</f>
        <v>0</v>
      </c>
      <c r="X227" s="28">
        <f>KALKULÁTOR!H227*$Q227/$Q$375</f>
        <v>0</v>
      </c>
      <c r="Y227" s="28">
        <f>KALKULÁTOR!I227*$Q227/$Q$375</f>
        <v>0</v>
      </c>
      <c r="Z227" s="28">
        <f>KALKULÁTOR!J227*$Q227/$Q$375</f>
        <v>0</v>
      </c>
      <c r="AA227" s="28">
        <f>KALKULÁTOR!K227*$Q227/$Q$375</f>
        <v>0</v>
      </c>
      <c r="AB227" s="28">
        <f>KALKULÁTOR!L227*$Q227/$Q$375</f>
        <v>0</v>
      </c>
      <c r="AC227" s="41">
        <f>KALKULÁTOR!C227*Q227</f>
        <v>0</v>
      </c>
      <c r="AD227" s="378">
        <f t="shared" si="5"/>
        <v>0</v>
      </c>
      <c r="AH227" s="34"/>
      <c r="AI227" s="35"/>
      <c r="AJ227" s="2"/>
    </row>
    <row r="228" spans="1:36" x14ac:dyDescent="0.25">
      <c r="A228" s="582"/>
      <c r="B228" s="586"/>
      <c r="C228" s="81"/>
      <c r="D228" s="27" t="s">
        <v>16</v>
      </c>
      <c r="E228" s="36">
        <v>9.8000000000000007</v>
      </c>
      <c r="F228" s="4">
        <v>43.8</v>
      </c>
      <c r="G228" s="4">
        <v>1.6</v>
      </c>
      <c r="H228" s="4">
        <v>5.8</v>
      </c>
      <c r="I228" s="4">
        <v>1.47</v>
      </c>
      <c r="J228" s="4">
        <v>1.24</v>
      </c>
      <c r="K228" s="4">
        <v>2.42</v>
      </c>
      <c r="L228" s="4">
        <v>1.07</v>
      </c>
      <c r="M228" s="43"/>
      <c r="N228" s="472" t="s">
        <v>449</v>
      </c>
      <c r="O228" s="472"/>
      <c r="P228" s="472"/>
      <c r="Q228" s="107"/>
      <c r="R228" s="79" t="s">
        <v>149</v>
      </c>
      <c r="S228" s="413">
        <f>$P$11*0.28</f>
        <v>28.000000000000004</v>
      </c>
      <c r="T228" s="412">
        <f>$P$11*0.28</f>
        <v>28.000000000000004</v>
      </c>
      <c r="U228" s="36">
        <f>KALKULÁTOR!E228*Q228</f>
        <v>0</v>
      </c>
      <c r="V228" s="28">
        <f>KALKULÁTOR!F228*$Q228/$Q$375</f>
        <v>0</v>
      </c>
      <c r="W228" s="28">
        <f>KALKULÁTOR!G228*$Q228/$Q$375</f>
        <v>0</v>
      </c>
      <c r="X228" s="28">
        <f>KALKULÁTOR!H228*$Q228/$Q$375</f>
        <v>0</v>
      </c>
      <c r="Y228" s="28">
        <f>KALKULÁTOR!I228*$Q228/$Q$375</f>
        <v>0</v>
      </c>
      <c r="Z228" s="28">
        <f>KALKULÁTOR!J228*$Q228/$Q$375</f>
        <v>0</v>
      </c>
      <c r="AA228" s="28">
        <f>KALKULÁTOR!K228*$Q228/$Q$375</f>
        <v>0</v>
      </c>
      <c r="AB228" s="28">
        <f>KALKULÁTOR!L228*$Q228/$Q$375</f>
        <v>0</v>
      </c>
      <c r="AC228" s="41">
        <f>KALKULÁTOR!C228*Q228</f>
        <v>0</v>
      </c>
      <c r="AD228" s="378">
        <f t="shared" si="5"/>
        <v>0</v>
      </c>
      <c r="AH228" s="34"/>
      <c r="AI228" s="35"/>
      <c r="AJ228" s="2"/>
    </row>
    <row r="229" spans="1:36" x14ac:dyDescent="0.25">
      <c r="A229" s="582"/>
      <c r="B229" s="586"/>
      <c r="C229" s="81"/>
      <c r="D229" s="27" t="s">
        <v>16</v>
      </c>
      <c r="E229" s="36">
        <v>9.8000000000000007</v>
      </c>
      <c r="F229" s="4">
        <v>34</v>
      </c>
      <c r="G229" s="4">
        <v>1.5</v>
      </c>
      <c r="H229" s="4">
        <v>4</v>
      </c>
      <c r="I229" s="4">
        <v>11.3</v>
      </c>
      <c r="J229" s="4">
        <v>0.8</v>
      </c>
      <c r="K229" s="4">
        <v>2</v>
      </c>
      <c r="L229" s="4">
        <v>0.9</v>
      </c>
      <c r="M229" s="43"/>
      <c r="N229" s="472" t="s">
        <v>243</v>
      </c>
      <c r="O229" s="472"/>
      <c r="P229" s="472"/>
      <c r="Q229" s="107"/>
      <c r="R229" s="79" t="s">
        <v>149</v>
      </c>
      <c r="S229" s="426">
        <f>$P$11*0.3</f>
        <v>30</v>
      </c>
      <c r="T229" s="424">
        <f>$P$11*0.3</f>
        <v>30</v>
      </c>
      <c r="U229" s="36">
        <f>KALKULÁTOR!E229*Q229</f>
        <v>0</v>
      </c>
      <c r="V229" s="28">
        <f>KALKULÁTOR!F229*$Q229/$Q$375</f>
        <v>0</v>
      </c>
      <c r="W229" s="28">
        <f>KALKULÁTOR!G229*$Q229/$Q$375</f>
        <v>0</v>
      </c>
      <c r="X229" s="28">
        <f>KALKULÁTOR!H229*$Q229/$Q$375</f>
        <v>0</v>
      </c>
      <c r="Y229" s="28">
        <f>KALKULÁTOR!I229*$Q229/$Q$375</f>
        <v>0</v>
      </c>
      <c r="Z229" s="28">
        <f>KALKULÁTOR!J229*$Q229/$Q$375</f>
        <v>0</v>
      </c>
      <c r="AA229" s="28">
        <f>KALKULÁTOR!K229*$Q229/$Q$375</f>
        <v>0</v>
      </c>
      <c r="AB229" s="28">
        <f>KALKULÁTOR!L229*$Q229/$Q$375</f>
        <v>0</v>
      </c>
      <c r="AC229" s="41">
        <f>KALKULÁTOR!C229*Q229</f>
        <v>0</v>
      </c>
      <c r="AD229" s="378">
        <f t="shared" ref="AD229" si="6">IF(AND(Q229&gt;=S229,Q229&lt;=T229),1,0)</f>
        <v>0</v>
      </c>
      <c r="AH229" s="34"/>
      <c r="AI229" s="35"/>
      <c r="AJ229" s="2"/>
    </row>
    <row r="230" spans="1:36" x14ac:dyDescent="0.25">
      <c r="A230" s="582"/>
      <c r="B230" s="586"/>
      <c r="C230" s="81"/>
      <c r="D230" s="27" t="s">
        <v>16</v>
      </c>
      <c r="E230" s="36"/>
      <c r="F230" s="4"/>
      <c r="G230" s="4"/>
      <c r="H230" s="4"/>
      <c r="I230" s="4">
        <v>24.4</v>
      </c>
      <c r="J230" s="4">
        <v>4.4000000000000004</v>
      </c>
      <c r="K230" s="4"/>
      <c r="L230" s="4">
        <v>3</v>
      </c>
      <c r="M230" s="43"/>
      <c r="N230" s="472" t="s">
        <v>467</v>
      </c>
      <c r="O230" s="472"/>
      <c r="P230" s="472"/>
      <c r="Q230" s="145"/>
      <c r="R230" s="79" t="s">
        <v>149</v>
      </c>
      <c r="S230" s="123">
        <f>$P$11*0.03</f>
        <v>3</v>
      </c>
      <c r="T230" s="121">
        <f>$P$11*0.03</f>
        <v>3</v>
      </c>
      <c r="U230" s="36">
        <f>KALKULÁTOR!E230*Q230</f>
        <v>0</v>
      </c>
      <c r="V230" s="28">
        <f>KALKULÁTOR!F230*$Q230/$Q$375</f>
        <v>0</v>
      </c>
      <c r="W230" s="28">
        <f>KALKULÁTOR!G230*$Q230/$Q$375</f>
        <v>0</v>
      </c>
      <c r="X230" s="28">
        <f>KALKULÁTOR!H230*$Q230/$Q$375</f>
        <v>0</v>
      </c>
      <c r="Y230" s="28">
        <f>KALKULÁTOR!I230*$Q230/$Q$375</f>
        <v>0</v>
      </c>
      <c r="Z230" s="28">
        <f>KALKULÁTOR!J230*$Q230/$Q$375</f>
        <v>0</v>
      </c>
      <c r="AA230" s="28">
        <f>KALKULÁTOR!K230*$Q230/$Q$375</f>
        <v>0</v>
      </c>
      <c r="AB230" s="28">
        <f>KALKULÁTOR!L230*$Q230/$Q$375</f>
        <v>0</v>
      </c>
      <c r="AC230" s="41">
        <f>KALKULÁTOR!C230*Q230</f>
        <v>0</v>
      </c>
      <c r="AD230" s="378">
        <f t="shared" si="5"/>
        <v>0</v>
      </c>
      <c r="AH230" s="34"/>
      <c r="AI230" s="35"/>
      <c r="AJ230" s="24"/>
    </row>
    <row r="231" spans="1:36" x14ac:dyDescent="0.25">
      <c r="A231" s="582"/>
      <c r="B231" s="586"/>
      <c r="C231" s="81"/>
      <c r="D231" s="27" t="s">
        <v>16</v>
      </c>
      <c r="E231" s="36"/>
      <c r="F231" s="4"/>
      <c r="G231" s="4"/>
      <c r="H231" s="4"/>
      <c r="I231" s="4">
        <v>23.3</v>
      </c>
      <c r="J231" s="4">
        <v>3.5</v>
      </c>
      <c r="K231" s="4"/>
      <c r="L231" s="4">
        <v>2.2999999999999998</v>
      </c>
      <c r="M231" s="43"/>
      <c r="N231" s="472" t="s">
        <v>468</v>
      </c>
      <c r="O231" s="472"/>
      <c r="P231" s="472"/>
      <c r="Q231" s="145"/>
      <c r="R231" s="79" t="s">
        <v>149</v>
      </c>
      <c r="S231" s="123">
        <f>$P$11*0.03</f>
        <v>3</v>
      </c>
      <c r="T231" s="121">
        <f>$P$11*0.03</f>
        <v>3</v>
      </c>
      <c r="U231" s="36">
        <f>KALKULÁTOR!E231*Q231</f>
        <v>0</v>
      </c>
      <c r="V231" s="28">
        <f>KALKULÁTOR!F231*$Q231/$Q$375</f>
        <v>0</v>
      </c>
      <c r="W231" s="28">
        <f>KALKULÁTOR!G231*$Q231/$Q$375</f>
        <v>0</v>
      </c>
      <c r="X231" s="28">
        <f>KALKULÁTOR!H231*$Q231/$Q$375</f>
        <v>0</v>
      </c>
      <c r="Y231" s="28">
        <f>KALKULÁTOR!I231*$Q231/$Q$375</f>
        <v>0</v>
      </c>
      <c r="Z231" s="28">
        <f>KALKULÁTOR!J231*$Q231/$Q$375</f>
        <v>0</v>
      </c>
      <c r="AA231" s="28">
        <f>KALKULÁTOR!K231*$Q231/$Q$375</f>
        <v>0</v>
      </c>
      <c r="AB231" s="28">
        <f>KALKULÁTOR!L231*$Q231/$Q$375</f>
        <v>0</v>
      </c>
      <c r="AC231" s="41">
        <f>KALKULÁTOR!C231*Q231</f>
        <v>0</v>
      </c>
      <c r="AD231" s="378">
        <f t="shared" si="5"/>
        <v>0</v>
      </c>
      <c r="AH231" s="34"/>
      <c r="AI231" s="35"/>
      <c r="AJ231" s="2"/>
    </row>
    <row r="232" spans="1:36" x14ac:dyDescent="0.25">
      <c r="A232" s="582"/>
      <c r="B232" s="586"/>
      <c r="C232" s="81"/>
      <c r="D232" s="27" t="s">
        <v>16</v>
      </c>
      <c r="E232" s="36"/>
      <c r="F232" s="4"/>
      <c r="G232" s="4"/>
      <c r="H232" s="4"/>
      <c r="I232" s="4">
        <v>17.12</v>
      </c>
      <c r="J232" s="4">
        <v>5.25</v>
      </c>
      <c r="K232" s="4">
        <v>4</v>
      </c>
      <c r="L232" s="4">
        <v>5</v>
      </c>
      <c r="M232" s="43"/>
      <c r="N232" s="472" t="s">
        <v>469</v>
      </c>
      <c r="O232" s="472"/>
      <c r="P232" s="472"/>
      <c r="Q232" s="107"/>
      <c r="R232" s="79" t="s">
        <v>149</v>
      </c>
      <c r="S232" s="426">
        <f>$P$11*0.04</f>
        <v>4</v>
      </c>
      <c r="T232" s="424">
        <f>$P$11*0.04</f>
        <v>4</v>
      </c>
      <c r="U232" s="36">
        <f>KALKULÁTOR!E232*Q232</f>
        <v>0</v>
      </c>
      <c r="V232" s="28">
        <f>KALKULÁTOR!F232*$Q232/$Q$375</f>
        <v>0</v>
      </c>
      <c r="W232" s="28">
        <f>KALKULÁTOR!G232*$Q232/$Q$375</f>
        <v>0</v>
      </c>
      <c r="X232" s="28">
        <f>KALKULÁTOR!H232*$Q232/$Q$375</f>
        <v>0</v>
      </c>
      <c r="Y232" s="28">
        <f>KALKULÁTOR!I232*$Q232/$Q$375</f>
        <v>0</v>
      </c>
      <c r="Z232" s="28">
        <f>KALKULÁTOR!J232*$Q232/$Q$375</f>
        <v>0</v>
      </c>
      <c r="AA232" s="28">
        <f>KALKULÁTOR!K232*$Q232/$Q$375</f>
        <v>0</v>
      </c>
      <c r="AB232" s="28">
        <f>KALKULÁTOR!L232*$Q232/$Q$375</f>
        <v>0</v>
      </c>
      <c r="AC232" s="41">
        <f>KALKULÁTOR!C232*Q232</f>
        <v>0</v>
      </c>
      <c r="AD232" s="378">
        <f t="shared" si="5"/>
        <v>0</v>
      </c>
      <c r="AH232" s="34"/>
      <c r="AI232" s="35"/>
      <c r="AJ232" s="2"/>
    </row>
    <row r="233" spans="1:36" x14ac:dyDescent="0.25">
      <c r="A233" s="582"/>
      <c r="B233" s="586"/>
      <c r="C233" s="81"/>
      <c r="D233" s="27" t="s">
        <v>16</v>
      </c>
      <c r="E233" s="36"/>
      <c r="F233" s="4"/>
      <c r="G233" s="4"/>
      <c r="H233" s="4"/>
      <c r="I233" s="4">
        <v>18.18</v>
      </c>
      <c r="J233" s="4">
        <v>4.79</v>
      </c>
      <c r="K233" s="4">
        <v>4.5</v>
      </c>
      <c r="L233" s="4">
        <v>4</v>
      </c>
      <c r="M233" s="43"/>
      <c r="N233" s="472" t="s">
        <v>470</v>
      </c>
      <c r="O233" s="472"/>
      <c r="P233" s="472"/>
      <c r="Q233" s="107"/>
      <c r="R233" s="79" t="s">
        <v>149</v>
      </c>
      <c r="S233" s="426">
        <f>$P$11*0.035</f>
        <v>3.5000000000000004</v>
      </c>
      <c r="T233" s="424">
        <f>$P$11*0.035</f>
        <v>3.5000000000000004</v>
      </c>
      <c r="U233" s="36">
        <f>KALKULÁTOR!E233*Q233</f>
        <v>0</v>
      </c>
      <c r="V233" s="28">
        <f>KALKULÁTOR!F233*$Q233/$Q$375</f>
        <v>0</v>
      </c>
      <c r="W233" s="28">
        <f>KALKULÁTOR!G233*$Q233/$Q$375</f>
        <v>0</v>
      </c>
      <c r="X233" s="28">
        <f>KALKULÁTOR!H233*$Q233/$Q$375</f>
        <v>0</v>
      </c>
      <c r="Y233" s="28">
        <f>KALKULÁTOR!I233*$Q233/$Q$375</f>
        <v>0</v>
      </c>
      <c r="Z233" s="28">
        <f>KALKULÁTOR!J233*$Q233/$Q$375</f>
        <v>0</v>
      </c>
      <c r="AA233" s="28">
        <f>KALKULÁTOR!K233*$Q233/$Q$375</f>
        <v>0</v>
      </c>
      <c r="AB233" s="28">
        <f>KALKULÁTOR!L233*$Q233/$Q$375</f>
        <v>0</v>
      </c>
      <c r="AC233" s="41">
        <f>KALKULÁTOR!C233*Q233</f>
        <v>0</v>
      </c>
      <c r="AD233" s="378">
        <f t="shared" si="5"/>
        <v>0</v>
      </c>
      <c r="AH233" s="34"/>
      <c r="AI233" s="35"/>
      <c r="AJ233" s="2"/>
    </row>
    <row r="234" spans="1:36" x14ac:dyDescent="0.25">
      <c r="A234" s="582"/>
      <c r="B234" s="586"/>
      <c r="C234" s="81"/>
      <c r="D234" s="27" t="s">
        <v>16</v>
      </c>
      <c r="E234" s="36"/>
      <c r="F234" s="4"/>
      <c r="G234" s="4"/>
      <c r="H234" s="4"/>
      <c r="I234" s="4">
        <v>19.920000000000002</v>
      </c>
      <c r="J234" s="4">
        <v>4.5999999999999996</v>
      </c>
      <c r="K234" s="4">
        <v>3.5</v>
      </c>
      <c r="L234" s="4">
        <v>4</v>
      </c>
      <c r="M234" s="43"/>
      <c r="N234" s="472" t="s">
        <v>471</v>
      </c>
      <c r="O234" s="472"/>
      <c r="P234" s="472"/>
      <c r="Q234" s="145"/>
      <c r="R234" s="79" t="s">
        <v>149</v>
      </c>
      <c r="S234" s="426">
        <f>$P$11*0.03</f>
        <v>3</v>
      </c>
      <c r="T234" s="424">
        <f>$P$11*0.03</f>
        <v>3</v>
      </c>
      <c r="U234" s="36">
        <f>KALKULÁTOR!E234*Q234</f>
        <v>0</v>
      </c>
      <c r="V234" s="28">
        <f>KALKULÁTOR!F234*$Q234/$Q$375</f>
        <v>0</v>
      </c>
      <c r="W234" s="28">
        <f>KALKULÁTOR!G234*$Q234/$Q$375</f>
        <v>0</v>
      </c>
      <c r="X234" s="28">
        <f>KALKULÁTOR!H234*$Q234/$Q$375</f>
        <v>0</v>
      </c>
      <c r="Y234" s="28">
        <f>KALKULÁTOR!I234*$Q234/$Q$375</f>
        <v>0</v>
      </c>
      <c r="Z234" s="28">
        <f>KALKULÁTOR!J234*$Q234/$Q$375</f>
        <v>0</v>
      </c>
      <c r="AA234" s="28">
        <f>KALKULÁTOR!K234*$Q234/$Q$375</f>
        <v>0</v>
      </c>
      <c r="AB234" s="28">
        <f>KALKULÁTOR!L234*$Q234/$Q$375</f>
        <v>0</v>
      </c>
      <c r="AC234" s="41">
        <f>KALKULÁTOR!C234*Q234</f>
        <v>0</v>
      </c>
      <c r="AD234" s="378">
        <f t="shared" si="5"/>
        <v>0</v>
      </c>
      <c r="AH234" s="34"/>
      <c r="AI234" s="35"/>
      <c r="AJ234" s="2"/>
    </row>
    <row r="235" spans="1:36" x14ac:dyDescent="0.25">
      <c r="A235" s="582"/>
      <c r="B235" s="586"/>
      <c r="C235" s="81"/>
      <c r="D235" s="27" t="s">
        <v>16</v>
      </c>
      <c r="E235" s="36"/>
      <c r="F235" s="4"/>
      <c r="G235" s="4"/>
      <c r="H235" s="4"/>
      <c r="I235" s="4">
        <v>15.3</v>
      </c>
      <c r="J235" s="4">
        <v>4.68</v>
      </c>
      <c r="K235" s="4">
        <v>5.5</v>
      </c>
      <c r="L235" s="4">
        <v>7</v>
      </c>
      <c r="M235" s="43"/>
      <c r="N235" s="472" t="s">
        <v>472</v>
      </c>
      <c r="O235" s="472"/>
      <c r="P235" s="472"/>
      <c r="Q235" s="145"/>
      <c r="R235" s="79" t="s">
        <v>149</v>
      </c>
      <c r="S235" s="426">
        <f>$P$11*0.045</f>
        <v>4.5</v>
      </c>
      <c r="T235" s="424">
        <f>$P$11*0.045</f>
        <v>4.5</v>
      </c>
      <c r="U235" s="36">
        <f>KALKULÁTOR!E235*Q235</f>
        <v>0</v>
      </c>
      <c r="V235" s="28">
        <f>KALKULÁTOR!F235*$Q235/$Q$375</f>
        <v>0</v>
      </c>
      <c r="W235" s="28">
        <f>KALKULÁTOR!G235*$Q235/$Q$375</f>
        <v>0</v>
      </c>
      <c r="X235" s="28">
        <f>KALKULÁTOR!H235*$Q235/$Q$375</f>
        <v>0</v>
      </c>
      <c r="Y235" s="28">
        <f>KALKULÁTOR!I235*$Q235/$Q$375</f>
        <v>0</v>
      </c>
      <c r="Z235" s="28">
        <f>KALKULÁTOR!J235*$Q235/$Q$375</f>
        <v>0</v>
      </c>
      <c r="AA235" s="28">
        <f>KALKULÁTOR!K235*$Q235/$Q$375</f>
        <v>0</v>
      </c>
      <c r="AB235" s="28">
        <f>KALKULÁTOR!L235*$Q235/$Q$375</f>
        <v>0</v>
      </c>
      <c r="AC235" s="41">
        <f>KALKULÁTOR!C235*Q235</f>
        <v>0</v>
      </c>
      <c r="AD235" s="378">
        <f t="shared" si="5"/>
        <v>0</v>
      </c>
      <c r="AH235" s="34"/>
      <c r="AI235" s="35"/>
      <c r="AJ235" s="2"/>
    </row>
    <row r="236" spans="1:36" x14ac:dyDescent="0.25">
      <c r="A236" s="582"/>
      <c r="B236" s="586"/>
      <c r="C236" s="81"/>
      <c r="D236" s="27" t="s">
        <v>16</v>
      </c>
      <c r="E236" s="36"/>
      <c r="F236" s="4"/>
      <c r="G236" s="4"/>
      <c r="H236" s="4"/>
      <c r="I236" s="4">
        <v>16.02</v>
      </c>
      <c r="J236" s="4">
        <v>4</v>
      </c>
      <c r="K236" s="4">
        <v>4.25</v>
      </c>
      <c r="L236" s="4">
        <v>6</v>
      </c>
      <c r="M236" s="43"/>
      <c r="N236" s="472" t="s">
        <v>473</v>
      </c>
      <c r="O236" s="472"/>
      <c r="P236" s="472"/>
      <c r="Q236" s="107"/>
      <c r="R236" s="79" t="s">
        <v>149</v>
      </c>
      <c r="S236" s="426">
        <f>$P$11*0.04</f>
        <v>4</v>
      </c>
      <c r="T236" s="424">
        <f>$P$11*0.04</f>
        <v>4</v>
      </c>
      <c r="U236" s="36">
        <f>KALKULÁTOR!E236*Q236</f>
        <v>0</v>
      </c>
      <c r="V236" s="28">
        <f>KALKULÁTOR!F236*$Q236/$Q$375</f>
        <v>0</v>
      </c>
      <c r="W236" s="28">
        <f>KALKULÁTOR!G236*$Q236/$Q$375</f>
        <v>0</v>
      </c>
      <c r="X236" s="28">
        <f>KALKULÁTOR!H236*$Q236/$Q$375</f>
        <v>0</v>
      </c>
      <c r="Y236" s="28">
        <f>KALKULÁTOR!I236*$Q236/$Q$375</f>
        <v>0</v>
      </c>
      <c r="Z236" s="28">
        <f>KALKULÁTOR!J236*$Q236/$Q$375</f>
        <v>0</v>
      </c>
      <c r="AA236" s="28">
        <f>KALKULÁTOR!K236*$Q236/$Q$375</f>
        <v>0</v>
      </c>
      <c r="AB236" s="28">
        <f>KALKULÁTOR!L236*$Q236/$Q$375</f>
        <v>0</v>
      </c>
      <c r="AC236" s="41">
        <f>KALKULÁTOR!C236*Q236</f>
        <v>0</v>
      </c>
      <c r="AD236" s="378">
        <f t="shared" si="5"/>
        <v>0</v>
      </c>
      <c r="AH236" s="34"/>
      <c r="AI236" s="35"/>
      <c r="AJ236" s="2"/>
    </row>
    <row r="237" spans="1:36" x14ac:dyDescent="0.25">
      <c r="A237" s="582"/>
      <c r="B237" s="586"/>
      <c r="C237" s="81"/>
      <c r="D237" s="27" t="s">
        <v>16</v>
      </c>
      <c r="E237" s="36"/>
      <c r="F237" s="4"/>
      <c r="G237" s="4"/>
      <c r="H237" s="4"/>
      <c r="I237" s="4">
        <v>17.03</v>
      </c>
      <c r="J237" s="4">
        <v>3.64</v>
      </c>
      <c r="K237" s="4">
        <v>5.2</v>
      </c>
      <c r="L237" s="4">
        <v>5.7</v>
      </c>
      <c r="M237" s="43"/>
      <c r="N237" s="472" t="s">
        <v>474</v>
      </c>
      <c r="O237" s="472"/>
      <c r="P237" s="472"/>
      <c r="Q237" s="107"/>
      <c r="R237" s="79" t="s">
        <v>149</v>
      </c>
      <c r="S237" s="426">
        <f>$P$11*0.035</f>
        <v>3.5000000000000004</v>
      </c>
      <c r="T237" s="424">
        <f>$P$11*0.035</f>
        <v>3.5000000000000004</v>
      </c>
      <c r="U237" s="36">
        <f>KALKULÁTOR!E237*Q237</f>
        <v>0</v>
      </c>
      <c r="V237" s="28">
        <f>KALKULÁTOR!F237*$Q237/$Q$375</f>
        <v>0</v>
      </c>
      <c r="W237" s="28">
        <f>KALKULÁTOR!G237*$Q237/$Q$375</f>
        <v>0</v>
      </c>
      <c r="X237" s="28">
        <f>KALKULÁTOR!H237*$Q237/$Q$375</f>
        <v>0</v>
      </c>
      <c r="Y237" s="28">
        <f>KALKULÁTOR!I237*$Q237/$Q$375</f>
        <v>0</v>
      </c>
      <c r="Z237" s="28">
        <f>KALKULÁTOR!J237*$Q237/$Q$375</f>
        <v>0</v>
      </c>
      <c r="AA237" s="28">
        <f>KALKULÁTOR!K237*$Q237/$Q$375</f>
        <v>0</v>
      </c>
      <c r="AB237" s="28">
        <f>KALKULÁTOR!L237*$Q237/$Q$375</f>
        <v>0</v>
      </c>
      <c r="AC237" s="41">
        <f>KALKULÁTOR!C237*Q237</f>
        <v>0</v>
      </c>
      <c r="AD237" s="378">
        <f t="shared" si="5"/>
        <v>0</v>
      </c>
      <c r="AH237" s="34"/>
      <c r="AI237" s="35"/>
      <c r="AJ237" s="2"/>
    </row>
    <row r="238" spans="1:36" x14ac:dyDescent="0.25">
      <c r="A238" s="582"/>
      <c r="B238" s="586"/>
      <c r="C238" s="81"/>
      <c r="D238" s="27" t="s">
        <v>16</v>
      </c>
      <c r="E238" s="36"/>
      <c r="F238" s="4"/>
      <c r="G238" s="4"/>
      <c r="H238" s="4"/>
      <c r="I238" s="4">
        <v>22.43</v>
      </c>
      <c r="J238" s="4">
        <v>4.34</v>
      </c>
      <c r="K238" s="4">
        <v>1</v>
      </c>
      <c r="L238" s="4">
        <v>4.3</v>
      </c>
      <c r="M238" s="43"/>
      <c r="N238" s="472" t="s">
        <v>463</v>
      </c>
      <c r="O238" s="472"/>
      <c r="P238" s="472"/>
      <c r="Q238" s="145"/>
      <c r="R238" s="79" t="s">
        <v>149</v>
      </c>
      <c r="S238" s="123">
        <f>$P$11*0.035</f>
        <v>3.5000000000000004</v>
      </c>
      <c r="T238" s="121">
        <f>$P$11*0.035</f>
        <v>3.5000000000000004</v>
      </c>
      <c r="U238" s="36">
        <f>KALKULÁTOR!E238*Q238</f>
        <v>0</v>
      </c>
      <c r="V238" s="28">
        <f>KALKULÁTOR!F238*$Q238/$Q$375</f>
        <v>0</v>
      </c>
      <c r="W238" s="28">
        <f>KALKULÁTOR!G238*$Q238/$Q$375</f>
        <v>0</v>
      </c>
      <c r="X238" s="28">
        <f>KALKULÁTOR!H238*$Q238/$Q$375</f>
        <v>0</v>
      </c>
      <c r="Y238" s="28">
        <f>KALKULÁTOR!I238*$Q238/$Q$375</f>
        <v>0</v>
      </c>
      <c r="Z238" s="28">
        <f>KALKULÁTOR!J238*$Q238/$Q$375</f>
        <v>0</v>
      </c>
      <c r="AA238" s="28">
        <f>KALKULÁTOR!K238*$Q238/$Q$375</f>
        <v>0</v>
      </c>
      <c r="AB238" s="28">
        <f>KALKULÁTOR!L238*$Q238/$Q$375</f>
        <v>0</v>
      </c>
      <c r="AC238" s="41">
        <f>KALKULÁTOR!C238*Q238</f>
        <v>0</v>
      </c>
      <c r="AD238" s="378">
        <f>IF(AND(Q238&gt;=S238,Q238&lt;=T238),1,0)</f>
        <v>0</v>
      </c>
      <c r="AH238" s="34"/>
      <c r="AI238" s="35"/>
      <c r="AJ238" s="2"/>
    </row>
    <row r="239" spans="1:36" x14ac:dyDescent="0.25">
      <c r="A239" s="582"/>
      <c r="B239" s="586"/>
      <c r="C239" s="81"/>
      <c r="D239" s="27" t="s">
        <v>16</v>
      </c>
      <c r="E239" s="36"/>
      <c r="F239" s="4"/>
      <c r="G239" s="4"/>
      <c r="H239" s="4"/>
      <c r="I239" s="4">
        <v>23.43</v>
      </c>
      <c r="J239" s="4">
        <v>4.1399999999999997</v>
      </c>
      <c r="K239" s="4">
        <v>0</v>
      </c>
      <c r="L239" s="4">
        <v>2.5</v>
      </c>
      <c r="M239" s="43"/>
      <c r="N239" s="472" t="s">
        <v>464</v>
      </c>
      <c r="O239" s="472"/>
      <c r="P239" s="472"/>
      <c r="Q239" s="145"/>
      <c r="R239" s="79" t="s">
        <v>149</v>
      </c>
      <c r="S239" s="426">
        <f>$P$11*0.035</f>
        <v>3.5000000000000004</v>
      </c>
      <c r="T239" s="424">
        <f>$P$11*0.035</f>
        <v>3.5000000000000004</v>
      </c>
      <c r="U239" s="36">
        <f>KALKULÁTOR!E239*Q239</f>
        <v>0</v>
      </c>
      <c r="V239" s="28">
        <f>KALKULÁTOR!F239*$Q239/$Q$375</f>
        <v>0</v>
      </c>
      <c r="W239" s="28">
        <f>KALKULÁTOR!G239*$Q239/$Q$375</f>
        <v>0</v>
      </c>
      <c r="X239" s="28">
        <f>KALKULÁTOR!H239*$Q239/$Q$375</f>
        <v>0</v>
      </c>
      <c r="Y239" s="28">
        <f>KALKULÁTOR!I239*$Q239/$Q$375</f>
        <v>0</v>
      </c>
      <c r="Z239" s="28">
        <f>KALKULÁTOR!J239*$Q239/$Q$375</f>
        <v>0</v>
      </c>
      <c r="AA239" s="28">
        <f>KALKULÁTOR!K239*$Q239/$Q$375</f>
        <v>0</v>
      </c>
      <c r="AB239" s="28">
        <f>KALKULÁTOR!L239*$Q239/$Q$375</f>
        <v>0</v>
      </c>
      <c r="AC239" s="41">
        <f>KALKULÁTOR!C239*Q239</f>
        <v>0</v>
      </c>
      <c r="AD239" s="378">
        <f>IF(AND(Q239&gt;=S239,Q239&lt;=T239),1,0)</f>
        <v>0</v>
      </c>
      <c r="AH239" s="34"/>
      <c r="AI239" s="35"/>
      <c r="AJ239" s="2"/>
    </row>
    <row r="240" spans="1:36" x14ac:dyDescent="0.25">
      <c r="A240" s="582"/>
      <c r="B240" s="586"/>
      <c r="C240" s="81"/>
      <c r="D240" s="27" t="s">
        <v>16</v>
      </c>
      <c r="E240" s="36"/>
      <c r="F240" s="4"/>
      <c r="G240" s="4"/>
      <c r="H240" s="4"/>
      <c r="I240" s="4">
        <v>26</v>
      </c>
      <c r="J240" s="4">
        <v>4.5199999999999996</v>
      </c>
      <c r="K240" s="4"/>
      <c r="L240" s="4">
        <v>2</v>
      </c>
      <c r="M240" s="43"/>
      <c r="N240" s="472" t="s">
        <v>465</v>
      </c>
      <c r="O240" s="472"/>
      <c r="P240" s="472"/>
      <c r="Q240" s="107"/>
      <c r="R240" s="79" t="s">
        <v>149</v>
      </c>
      <c r="S240" s="123">
        <f>$P$11*0.03</f>
        <v>3</v>
      </c>
      <c r="T240" s="121">
        <f>$P$11*0.03</f>
        <v>3</v>
      </c>
      <c r="U240" s="36">
        <f>KALKULÁTOR!E240*Q240</f>
        <v>0</v>
      </c>
      <c r="V240" s="28">
        <f>KALKULÁTOR!F240*$Q240/$Q$375</f>
        <v>0</v>
      </c>
      <c r="W240" s="28">
        <f>KALKULÁTOR!G240*$Q240/$Q$375</f>
        <v>0</v>
      </c>
      <c r="X240" s="28">
        <f>KALKULÁTOR!H240*$Q240/$Q$375</f>
        <v>0</v>
      </c>
      <c r="Y240" s="28">
        <f>KALKULÁTOR!I240*$Q240/$Q$375</f>
        <v>0</v>
      </c>
      <c r="Z240" s="28">
        <f>KALKULÁTOR!J240*$Q240/$Q$375</f>
        <v>0</v>
      </c>
      <c r="AA240" s="28">
        <f>KALKULÁTOR!K240*$Q240/$Q$375</f>
        <v>0</v>
      </c>
      <c r="AB240" s="28">
        <f>KALKULÁTOR!L240*$Q240/$Q$375</f>
        <v>0</v>
      </c>
      <c r="AC240" s="41">
        <f>KALKULÁTOR!C240*Q240</f>
        <v>0</v>
      </c>
      <c r="AD240" s="378">
        <f>IF(AND(Q240&gt;=S240,Q240&lt;=T240),1,0)</f>
        <v>0</v>
      </c>
      <c r="AH240" s="34"/>
      <c r="AI240" s="35"/>
      <c r="AJ240" s="2"/>
    </row>
    <row r="241" spans="1:36" x14ac:dyDescent="0.25">
      <c r="A241" s="582"/>
      <c r="B241" s="586"/>
      <c r="C241" s="81"/>
      <c r="D241" s="27" t="s">
        <v>16</v>
      </c>
      <c r="E241" s="36"/>
      <c r="F241" s="4"/>
      <c r="G241" s="4"/>
      <c r="H241" s="4"/>
      <c r="I241" s="4">
        <v>26</v>
      </c>
      <c r="J241" s="4">
        <v>4.5199999999999996</v>
      </c>
      <c r="K241" s="4">
        <v>1</v>
      </c>
      <c r="L241" s="4">
        <v>4</v>
      </c>
      <c r="M241" s="43"/>
      <c r="N241" s="472" t="s">
        <v>466</v>
      </c>
      <c r="O241" s="472"/>
      <c r="P241" s="472"/>
      <c r="Q241" s="107"/>
      <c r="R241" s="79" t="s">
        <v>149</v>
      </c>
      <c r="S241" s="123">
        <f>$P$11*0.03</f>
        <v>3</v>
      </c>
      <c r="T241" s="121">
        <f>$P$11*0.03</f>
        <v>3</v>
      </c>
      <c r="U241" s="36">
        <f>KALKULÁTOR!E241*Q241</f>
        <v>0</v>
      </c>
      <c r="V241" s="28">
        <f>KALKULÁTOR!F241*$Q241/$Q$375</f>
        <v>0</v>
      </c>
      <c r="W241" s="28">
        <f>KALKULÁTOR!G241*$Q241/$Q$375</f>
        <v>0</v>
      </c>
      <c r="X241" s="28">
        <f>KALKULÁTOR!H241*$Q241/$Q$375</f>
        <v>0</v>
      </c>
      <c r="Y241" s="28">
        <f>KALKULÁTOR!I241*$Q241/$Q$375</f>
        <v>0</v>
      </c>
      <c r="Z241" s="28">
        <f>KALKULÁTOR!J241*$Q241/$Q$375</f>
        <v>0</v>
      </c>
      <c r="AA241" s="28">
        <f>KALKULÁTOR!K241*$Q241/$Q$375</f>
        <v>0</v>
      </c>
      <c r="AB241" s="28">
        <f>KALKULÁTOR!L241*$Q241/$Q$375</f>
        <v>0</v>
      </c>
      <c r="AC241" s="41">
        <f>KALKULÁTOR!C241*Q241</f>
        <v>0</v>
      </c>
      <c r="AD241" s="378">
        <f>IF(AND(Q241&gt;=S241,Q241&lt;=T241),1,0)</f>
        <v>0</v>
      </c>
      <c r="AH241" s="34"/>
      <c r="AI241" s="35"/>
      <c r="AJ241" s="2"/>
    </row>
    <row r="242" spans="1:36" x14ac:dyDescent="0.25">
      <c r="A242" s="582"/>
      <c r="B242" s="586"/>
      <c r="C242" s="81"/>
      <c r="D242" s="27" t="s">
        <v>16</v>
      </c>
      <c r="E242" s="36"/>
      <c r="F242" s="4"/>
      <c r="G242" s="4"/>
      <c r="H242" s="4"/>
      <c r="I242" s="4">
        <v>17</v>
      </c>
      <c r="J242" s="4">
        <v>10.5</v>
      </c>
      <c r="K242" s="4"/>
      <c r="L242" s="4"/>
      <c r="M242" s="43"/>
      <c r="N242" s="473" t="s">
        <v>338</v>
      </c>
      <c r="O242" s="474"/>
      <c r="P242" s="475"/>
      <c r="Q242" s="145"/>
      <c r="R242" s="79" t="s">
        <v>149</v>
      </c>
      <c r="S242" s="123">
        <f>$P$11*0.024</f>
        <v>2.4</v>
      </c>
      <c r="T242" s="121">
        <v>4</v>
      </c>
      <c r="U242" s="36">
        <f>KALKULÁTOR!E242*Q242</f>
        <v>0</v>
      </c>
      <c r="V242" s="28">
        <f>KALKULÁTOR!F242*$Q242/$Q$375</f>
        <v>0</v>
      </c>
      <c r="W242" s="28">
        <f>KALKULÁTOR!G242*$Q242/$Q$375</f>
        <v>0</v>
      </c>
      <c r="X242" s="28">
        <f>KALKULÁTOR!H242*$Q242/$Q$375</f>
        <v>0</v>
      </c>
      <c r="Y242" s="28">
        <f>KALKULÁTOR!I242*$Q242/$Q$375</f>
        <v>0</v>
      </c>
      <c r="Z242" s="28">
        <f>KALKULÁTOR!J242*$Q242/$Q$375</f>
        <v>0</v>
      </c>
      <c r="AA242" s="28">
        <f>KALKULÁTOR!K242*$Q242/$Q$375</f>
        <v>0</v>
      </c>
      <c r="AB242" s="28">
        <f>KALKULÁTOR!L242*$Q242/$Q$375</f>
        <v>0</v>
      </c>
      <c r="AC242" s="41">
        <f>KALKULÁTOR!C242*Q242</f>
        <v>0</v>
      </c>
      <c r="AD242" s="378">
        <f t="shared" si="5"/>
        <v>0</v>
      </c>
      <c r="AH242" s="34"/>
      <c r="AI242" s="35"/>
      <c r="AJ242" s="2"/>
    </row>
    <row r="243" spans="1:36" x14ac:dyDescent="0.25">
      <c r="A243" s="582"/>
      <c r="B243" s="586"/>
      <c r="C243" s="81"/>
      <c r="D243" s="27" t="s">
        <v>16</v>
      </c>
      <c r="E243" s="5"/>
      <c r="F243" s="4"/>
      <c r="G243" s="4"/>
      <c r="H243" s="4"/>
      <c r="I243" s="4">
        <v>22.2</v>
      </c>
      <c r="J243" s="4">
        <v>17.100000000000001</v>
      </c>
      <c r="K243" s="4"/>
      <c r="L243" s="4"/>
      <c r="M243" s="43"/>
      <c r="N243" s="472" t="s">
        <v>373</v>
      </c>
      <c r="O243" s="472"/>
      <c r="P243" s="472"/>
      <c r="Q243" s="145"/>
      <c r="R243" s="79" t="s">
        <v>149</v>
      </c>
      <c r="S243" s="123">
        <f>$P$11*0.0025</f>
        <v>0.25</v>
      </c>
      <c r="T243" s="121">
        <f>$P$11*0.01</f>
        <v>1</v>
      </c>
      <c r="U243" s="36">
        <f>KALKULÁTOR!E243*Q243</f>
        <v>0</v>
      </c>
      <c r="V243" s="28">
        <f>KALKULÁTOR!F243*$Q243/$Q$375</f>
        <v>0</v>
      </c>
      <c r="W243" s="28">
        <f>KALKULÁTOR!G243*$Q243/$Q$375</f>
        <v>0</v>
      </c>
      <c r="X243" s="28">
        <f>KALKULÁTOR!H243*$Q243/$Q$375</f>
        <v>0</v>
      </c>
      <c r="Y243" s="28">
        <f>KALKULÁTOR!I243*$Q243/$Q$375</f>
        <v>0</v>
      </c>
      <c r="Z243" s="28">
        <f>KALKULÁTOR!J243*$Q243/$Q$375</f>
        <v>0</v>
      </c>
      <c r="AA243" s="28">
        <f>KALKULÁTOR!K243*$Q243/$Q$375</f>
        <v>0</v>
      </c>
      <c r="AB243" s="28">
        <f>KALKULÁTOR!L243*$Q243/$Q$375</f>
        <v>0</v>
      </c>
      <c r="AC243" s="41">
        <f>KALKULÁTOR!C243*Q243</f>
        <v>0</v>
      </c>
      <c r="AD243" s="434">
        <f>IF(AND(Q243&gt;=S243,Q243&lt;=T243),1,0)</f>
        <v>0</v>
      </c>
      <c r="AE243" s="434"/>
      <c r="AH243" s="34"/>
      <c r="AI243" s="35"/>
      <c r="AJ243" s="2"/>
    </row>
    <row r="244" spans="1:36" x14ac:dyDescent="0.25">
      <c r="A244" s="582"/>
      <c r="B244" s="586"/>
      <c r="C244" s="81"/>
      <c r="D244" s="27" t="s">
        <v>16</v>
      </c>
      <c r="E244" s="5"/>
      <c r="F244" s="4"/>
      <c r="G244" s="4"/>
      <c r="H244" s="4"/>
      <c r="I244" s="4"/>
      <c r="J244" s="4"/>
      <c r="K244" s="4"/>
      <c r="L244" s="4"/>
      <c r="M244" s="43"/>
      <c r="N244" s="472" t="s">
        <v>275</v>
      </c>
      <c r="O244" s="472"/>
      <c r="P244" s="472"/>
      <c r="Q244" s="107"/>
      <c r="R244" s="79" t="s">
        <v>149</v>
      </c>
      <c r="S244" s="140">
        <f>$P$11*0.005</f>
        <v>0.5</v>
      </c>
      <c r="T244" s="141">
        <f>$P$11*0.01</f>
        <v>1</v>
      </c>
      <c r="U244" s="36">
        <f>KALKULÁTOR!E244*Q244</f>
        <v>0</v>
      </c>
      <c r="V244" s="28">
        <f>KALKULÁTOR!F244*$Q244/$Q$375</f>
        <v>0</v>
      </c>
      <c r="W244" s="28">
        <f>KALKULÁTOR!G244*$Q244/$Q$375</f>
        <v>0</v>
      </c>
      <c r="X244" s="28">
        <f>KALKULÁTOR!H244*$Q244/$Q$375</f>
        <v>0</v>
      </c>
      <c r="Y244" s="28">
        <f>KALKULÁTOR!I244*$Q244/$Q$375</f>
        <v>0</v>
      </c>
      <c r="Z244" s="28">
        <f>KALKULÁTOR!J244*$Q244/$Q$375</f>
        <v>0</v>
      </c>
      <c r="AA244" s="28">
        <f>KALKULÁTOR!K244*$Q244/$Q$375</f>
        <v>0</v>
      </c>
      <c r="AB244" s="28">
        <f>KALKULÁTOR!L244*$Q244/$Q$375</f>
        <v>0</v>
      </c>
      <c r="AC244" s="41">
        <f>KALKULÁTOR!C244*Q244</f>
        <v>0</v>
      </c>
      <c r="AD244" s="434">
        <f>IF(AND(Q244&gt;=S244,Q244&lt;=T244),1,0)</f>
        <v>0</v>
      </c>
      <c r="AE244" s="434"/>
      <c r="AH244" s="34"/>
      <c r="AI244" s="35"/>
      <c r="AJ244" s="2"/>
    </row>
    <row r="245" spans="1:36" x14ac:dyDescent="0.25">
      <c r="A245" s="582"/>
      <c r="B245" s="586"/>
      <c r="C245" s="81"/>
      <c r="D245" s="27" t="s">
        <v>16</v>
      </c>
      <c r="E245" s="5"/>
      <c r="F245" s="4"/>
      <c r="G245" s="4"/>
      <c r="H245" s="4"/>
      <c r="I245" s="4"/>
      <c r="J245" s="4"/>
      <c r="K245" s="4"/>
      <c r="L245" s="4"/>
      <c r="M245" s="43"/>
      <c r="N245" s="472" t="s">
        <v>460</v>
      </c>
      <c r="O245" s="472"/>
      <c r="P245" s="472"/>
      <c r="Q245" s="107"/>
      <c r="R245" s="79" t="s">
        <v>149</v>
      </c>
      <c r="S245" s="426">
        <f>$P$11*0.0006</f>
        <v>0.06</v>
      </c>
      <c r="T245" s="424">
        <f>$P$11*0.0006</f>
        <v>0.06</v>
      </c>
      <c r="U245" s="36">
        <f>KALKULÁTOR!E245*Q245</f>
        <v>0</v>
      </c>
      <c r="V245" s="28">
        <f>KALKULÁTOR!F245*$Q245/$Q$375</f>
        <v>0</v>
      </c>
      <c r="W245" s="28">
        <f>KALKULÁTOR!G245*$Q245/$Q$375</f>
        <v>0</v>
      </c>
      <c r="X245" s="28">
        <f>KALKULÁTOR!H245*$Q245/$Q$375</f>
        <v>0</v>
      </c>
      <c r="Y245" s="28">
        <f>KALKULÁTOR!I245*$Q245/$Q$375</f>
        <v>0</v>
      </c>
      <c r="Z245" s="28">
        <f>KALKULÁTOR!J245*$Q245/$Q$375</f>
        <v>0</v>
      </c>
      <c r="AA245" s="28">
        <f>KALKULÁTOR!K245*$Q245/$Q$375</f>
        <v>0</v>
      </c>
      <c r="AB245" s="28">
        <f>KALKULÁTOR!L245*$Q245/$Q$375</f>
        <v>0</v>
      </c>
      <c r="AC245" s="41">
        <f>KALKULÁTOR!C245*Q245</f>
        <v>0</v>
      </c>
      <c r="AD245" s="434">
        <f>IF(AND(Q245&gt;=S245,Q245&lt;=T245),1,0)</f>
        <v>0</v>
      </c>
      <c r="AE245" s="434"/>
      <c r="AH245" s="34"/>
      <c r="AI245" s="35"/>
      <c r="AJ245" s="2"/>
    </row>
    <row r="246" spans="1:36" x14ac:dyDescent="0.25">
      <c r="A246" s="582"/>
      <c r="B246" s="586"/>
      <c r="C246" s="81"/>
      <c r="D246" s="27" t="s">
        <v>16</v>
      </c>
      <c r="E246" s="36"/>
      <c r="F246" s="4"/>
      <c r="G246" s="4"/>
      <c r="H246" s="4"/>
      <c r="I246" s="4">
        <v>0.18</v>
      </c>
      <c r="J246" s="4">
        <v>1.0500000000000001E-2</v>
      </c>
      <c r="K246" s="4"/>
      <c r="L246" s="4"/>
      <c r="M246" s="43"/>
      <c r="N246" s="472" t="s">
        <v>475</v>
      </c>
      <c r="O246" s="472"/>
      <c r="P246" s="472"/>
      <c r="Q246" s="145"/>
      <c r="R246" s="79" t="s">
        <v>149</v>
      </c>
      <c r="S246" s="123">
        <f>$P$11*0.0125</f>
        <v>1.25</v>
      </c>
      <c r="T246" s="121">
        <f>$P$11*0.0125</f>
        <v>1.25</v>
      </c>
      <c r="U246" s="36">
        <f>KALKULÁTOR!E246*Q246</f>
        <v>0</v>
      </c>
      <c r="V246" s="28">
        <f>KALKULÁTOR!F246*$Q246/$Q$375</f>
        <v>0</v>
      </c>
      <c r="W246" s="28">
        <f>KALKULÁTOR!G246*$Q246/$Q$375</f>
        <v>0</v>
      </c>
      <c r="X246" s="28">
        <f>KALKULÁTOR!H246*$Q246/$Q$375</f>
        <v>0</v>
      </c>
      <c r="Y246" s="28">
        <f>KALKULÁTOR!I246*$Q246/$Q$375</f>
        <v>0</v>
      </c>
      <c r="Z246" s="28">
        <f>KALKULÁTOR!J246*$Q246/$Q$375</f>
        <v>0</v>
      </c>
      <c r="AA246" s="28">
        <f>KALKULÁTOR!K246*$Q246/$Q$375</f>
        <v>0</v>
      </c>
      <c r="AB246" s="28">
        <f>KALKULÁTOR!L246*$Q246/$Q$375</f>
        <v>0</v>
      </c>
      <c r="AC246" s="41">
        <f>KALKULÁTOR!C246*Q246</f>
        <v>0</v>
      </c>
      <c r="AD246" s="378">
        <f t="shared" si="5"/>
        <v>0</v>
      </c>
      <c r="AH246" s="34"/>
      <c r="AI246" s="35"/>
      <c r="AJ246" s="2"/>
    </row>
    <row r="247" spans="1:36" x14ac:dyDescent="0.25">
      <c r="A247" s="582"/>
      <c r="B247" s="587"/>
      <c r="C247" s="81"/>
      <c r="D247" s="27" t="s">
        <v>16</v>
      </c>
      <c r="E247" s="36"/>
      <c r="F247" s="4"/>
      <c r="G247" s="4"/>
      <c r="H247" s="4"/>
      <c r="I247" s="4">
        <v>23.3</v>
      </c>
      <c r="J247" s="4">
        <v>3.3</v>
      </c>
      <c r="K247" s="4">
        <v>10</v>
      </c>
      <c r="L247" s="4">
        <v>1</v>
      </c>
      <c r="M247" s="43"/>
      <c r="N247" s="472" t="s">
        <v>285</v>
      </c>
      <c r="O247" s="472"/>
      <c r="P247" s="472"/>
      <c r="Q247" s="145"/>
      <c r="R247" s="79" t="s">
        <v>149</v>
      </c>
      <c r="S247" s="157">
        <f>$P$11*0.03</f>
        <v>3</v>
      </c>
      <c r="T247" s="156">
        <f>$P$11*0.03</f>
        <v>3</v>
      </c>
      <c r="U247" s="36">
        <f>KALKULÁTOR!E247*Q247</f>
        <v>0</v>
      </c>
      <c r="V247" s="28">
        <f>KALKULÁTOR!F247*$Q247/$Q$375</f>
        <v>0</v>
      </c>
      <c r="W247" s="28">
        <f>KALKULÁTOR!G247*$Q247/$Q$375</f>
        <v>0</v>
      </c>
      <c r="X247" s="28">
        <f>KALKULÁTOR!H247*$Q247/$Q$375</f>
        <v>0</v>
      </c>
      <c r="Y247" s="28">
        <f>KALKULÁTOR!I247*$Q247/$Q$375</f>
        <v>0</v>
      </c>
      <c r="Z247" s="28">
        <f>KALKULÁTOR!J247*$Q247/$Q$375</f>
        <v>0</v>
      </c>
      <c r="AA247" s="28">
        <f>KALKULÁTOR!K247*$Q247/$Q$375</f>
        <v>0</v>
      </c>
      <c r="AB247" s="28">
        <f>KALKULÁTOR!L247*$Q247/$Q$375</f>
        <v>0</v>
      </c>
      <c r="AC247" s="41">
        <f>KALKULÁTOR!C247*Q247</f>
        <v>0</v>
      </c>
      <c r="AD247" s="378">
        <f t="shared" si="5"/>
        <v>0</v>
      </c>
      <c r="AH247" s="34"/>
      <c r="AI247" s="35"/>
      <c r="AJ247" s="2"/>
    </row>
    <row r="248" spans="1:36" x14ac:dyDescent="0.25">
      <c r="A248" s="582"/>
      <c r="B248" s="587"/>
      <c r="C248" s="81"/>
      <c r="D248" s="27" t="s">
        <v>16</v>
      </c>
      <c r="E248" s="36"/>
      <c r="F248" s="4">
        <v>39</v>
      </c>
      <c r="G248" s="4">
        <v>1.9</v>
      </c>
      <c r="H248" s="4">
        <v>4.55</v>
      </c>
      <c r="I248" s="4">
        <v>4.3</v>
      </c>
      <c r="J248" s="4">
        <v>1.5</v>
      </c>
      <c r="K248" s="4">
        <v>4</v>
      </c>
      <c r="L248" s="4">
        <v>1</v>
      </c>
      <c r="M248" s="43"/>
      <c r="N248" s="472" t="s">
        <v>435</v>
      </c>
      <c r="O248" s="472"/>
      <c r="P248" s="472"/>
      <c r="Q248" s="107"/>
      <c r="R248" s="79" t="s">
        <v>149</v>
      </c>
      <c r="S248" s="365">
        <f>$P$11*0.15</f>
        <v>15</v>
      </c>
      <c r="T248" s="364">
        <f>$P$11*0.2</f>
        <v>20</v>
      </c>
      <c r="U248" s="36">
        <f>KALKULÁTOR!E248*Q248</f>
        <v>0</v>
      </c>
      <c r="V248" s="28">
        <f>KALKULÁTOR!F248*$Q248/$Q$375</f>
        <v>0</v>
      </c>
      <c r="W248" s="28">
        <f>KALKULÁTOR!G248*$Q248/$Q$375</f>
        <v>0</v>
      </c>
      <c r="X248" s="28">
        <f>KALKULÁTOR!H248*$Q248/$Q$375</f>
        <v>0</v>
      </c>
      <c r="Y248" s="28">
        <f>KALKULÁTOR!I248*$Q248/$Q$375</f>
        <v>0</v>
      </c>
      <c r="Z248" s="28">
        <f>KALKULÁTOR!J248*$Q248/$Q$375</f>
        <v>0</v>
      </c>
      <c r="AA248" s="28">
        <f>KALKULÁTOR!K248*$Q248/$Q$375</f>
        <v>0</v>
      </c>
      <c r="AB248" s="28">
        <f>KALKULÁTOR!L248*$Q248/$Q$375</f>
        <v>0</v>
      </c>
      <c r="AC248" s="41">
        <f>KALKULÁTOR!C248*Q248</f>
        <v>0</v>
      </c>
      <c r="AD248" s="378">
        <f t="shared" si="5"/>
        <v>0</v>
      </c>
      <c r="AH248" s="34"/>
      <c r="AI248" s="35"/>
      <c r="AJ248" s="2"/>
    </row>
    <row r="249" spans="1:36" ht="15.75" thickBot="1" x14ac:dyDescent="0.3">
      <c r="A249" s="582"/>
      <c r="B249" s="587"/>
      <c r="C249" s="94"/>
      <c r="D249" s="95" t="s">
        <v>16</v>
      </c>
      <c r="E249" s="22">
        <v>13</v>
      </c>
      <c r="F249" s="21">
        <v>13</v>
      </c>
      <c r="G249" s="21">
        <v>3.3</v>
      </c>
      <c r="H249" s="21">
        <v>6.45</v>
      </c>
      <c r="I249" s="21">
        <v>0.8</v>
      </c>
      <c r="J249" s="21">
        <v>0.5</v>
      </c>
      <c r="K249" s="21">
        <v>0.5</v>
      </c>
      <c r="L249" s="21">
        <v>0.2</v>
      </c>
      <c r="M249" s="118"/>
      <c r="N249" s="476" t="s">
        <v>439</v>
      </c>
      <c r="O249" s="476"/>
      <c r="P249" s="476"/>
      <c r="Q249" s="107"/>
      <c r="R249" s="96" t="s">
        <v>149</v>
      </c>
      <c r="S249" s="399">
        <f>$P$11*0</f>
        <v>0</v>
      </c>
      <c r="T249" s="396">
        <f>$P$11*0.1</f>
        <v>10</v>
      </c>
      <c r="U249" s="22">
        <f>KALKULÁTOR!E249*Q249</f>
        <v>0</v>
      </c>
      <c r="V249" s="48">
        <f>KALKULÁTOR!F249*$Q249/$Q$375</f>
        <v>0</v>
      </c>
      <c r="W249" s="48">
        <f>KALKULÁTOR!G249*$Q249/$Q$375</f>
        <v>0</v>
      </c>
      <c r="X249" s="48">
        <f>KALKULÁTOR!H249*$Q249/$Q$375</f>
        <v>0</v>
      </c>
      <c r="Y249" s="48">
        <f>KALKULÁTOR!I249*$Q249/$Q$375</f>
        <v>0</v>
      </c>
      <c r="Z249" s="48">
        <f>KALKULÁTOR!J249*$Q249/$Q$375</f>
        <v>0</v>
      </c>
      <c r="AA249" s="48">
        <f>KALKULÁTOR!K249*$Q249/$Q$375</f>
        <v>0</v>
      </c>
      <c r="AB249" s="48">
        <f>KALKULÁTOR!L249*$Q249/$Q$375</f>
        <v>0</v>
      </c>
      <c r="AC249" s="49">
        <f>KALKULÁTOR!C249*Q249</f>
        <v>0</v>
      </c>
      <c r="AH249" s="34"/>
      <c r="AI249" s="35"/>
      <c r="AJ249" s="2"/>
    </row>
    <row r="250" spans="1:36" x14ac:dyDescent="0.25">
      <c r="A250" s="582"/>
      <c r="B250" s="519" t="s">
        <v>78</v>
      </c>
      <c r="C250" s="265"/>
      <c r="D250" s="25" t="s">
        <v>16</v>
      </c>
      <c r="E250" s="37"/>
      <c r="F250" s="19"/>
      <c r="G250" s="19"/>
      <c r="H250" s="19"/>
      <c r="I250" s="19">
        <v>16</v>
      </c>
      <c r="J250" s="19">
        <v>5.45</v>
      </c>
      <c r="K250" s="19">
        <v>5</v>
      </c>
      <c r="L250" s="19">
        <v>5.0999999999999996</v>
      </c>
      <c r="M250" s="42"/>
      <c r="N250" s="477" t="s">
        <v>116</v>
      </c>
      <c r="O250" s="477"/>
      <c r="P250" s="477"/>
      <c r="Q250" s="145"/>
      <c r="R250" s="66" t="s">
        <v>149</v>
      </c>
      <c r="S250" s="397">
        <f>$P$11*0.04</f>
        <v>4</v>
      </c>
      <c r="T250" s="394">
        <f>$P$11*0.04</f>
        <v>4</v>
      </c>
      <c r="U250" s="37">
        <f>KALKULÁTOR!E250*Q250</f>
        <v>0</v>
      </c>
      <c r="V250" s="26">
        <f>KALKULÁTOR!F250*$Q250/$Q$375</f>
        <v>0</v>
      </c>
      <c r="W250" s="26">
        <f>KALKULÁTOR!G250*$Q250/$Q$375</f>
        <v>0</v>
      </c>
      <c r="X250" s="26">
        <f>KALKULÁTOR!H250*$Q250/$Q$375</f>
        <v>0</v>
      </c>
      <c r="Y250" s="26">
        <f>KALKULÁTOR!I250*$Q250/$Q$375</f>
        <v>0</v>
      </c>
      <c r="Z250" s="26">
        <f>KALKULÁTOR!J250*$Q250/$Q$375</f>
        <v>0</v>
      </c>
      <c r="AA250" s="26">
        <f>KALKULÁTOR!K250*$Q250/$Q$375</f>
        <v>0</v>
      </c>
      <c r="AB250" s="26">
        <f>KALKULÁTOR!L250*$Q250/$Q$375</f>
        <v>0</v>
      </c>
      <c r="AC250" s="40">
        <f>KALKULÁTOR!C250*Q250</f>
        <v>0</v>
      </c>
      <c r="AD250" s="378">
        <f t="shared" ref="AD250:AD285" si="7">IF(AND(Q250&gt;=S250,Q250&lt;=T250),1,0)</f>
        <v>0</v>
      </c>
      <c r="AH250" s="34"/>
      <c r="AI250" s="35"/>
    </row>
    <row r="251" spans="1:36" x14ac:dyDescent="0.25">
      <c r="A251" s="582"/>
      <c r="B251" s="520"/>
      <c r="C251" s="267"/>
      <c r="D251" s="27" t="s">
        <v>16</v>
      </c>
      <c r="E251" s="36"/>
      <c r="F251" s="4"/>
      <c r="G251" s="4"/>
      <c r="H251" s="4"/>
      <c r="I251" s="4">
        <v>12.74</v>
      </c>
      <c r="J251" s="4">
        <v>3.27</v>
      </c>
      <c r="K251" s="4">
        <v>5.4</v>
      </c>
      <c r="L251" s="4">
        <v>4.2</v>
      </c>
      <c r="M251" s="43"/>
      <c r="N251" s="472" t="s">
        <v>117</v>
      </c>
      <c r="O251" s="472"/>
      <c r="P251" s="472"/>
      <c r="Q251" s="145"/>
      <c r="R251" s="79" t="s">
        <v>149</v>
      </c>
      <c r="S251" s="398">
        <f>$P$11*0.035</f>
        <v>3.5000000000000004</v>
      </c>
      <c r="T251" s="395">
        <f>$P$11*0.035</f>
        <v>3.5000000000000004</v>
      </c>
      <c r="U251" s="36">
        <f>KALKULÁTOR!E251*Q251</f>
        <v>0</v>
      </c>
      <c r="V251" s="28">
        <f>KALKULÁTOR!F251*$Q251/$Q$375</f>
        <v>0</v>
      </c>
      <c r="W251" s="28">
        <f>KALKULÁTOR!G251*$Q251/$Q$375</f>
        <v>0</v>
      </c>
      <c r="X251" s="28">
        <f>KALKULÁTOR!H251*$Q251/$Q$375</f>
        <v>0</v>
      </c>
      <c r="Y251" s="28">
        <f>KALKULÁTOR!I251*$Q251/$Q$375</f>
        <v>0</v>
      </c>
      <c r="Z251" s="28">
        <f>KALKULÁTOR!J251*$Q251/$Q$375</f>
        <v>0</v>
      </c>
      <c r="AA251" s="28">
        <f>KALKULÁTOR!K251*$Q251/$Q$375</f>
        <v>0</v>
      </c>
      <c r="AB251" s="28">
        <f>KALKULÁTOR!L251*$Q251/$Q$375</f>
        <v>0</v>
      </c>
      <c r="AC251" s="41">
        <f>KALKULÁTOR!C251*Q251</f>
        <v>0</v>
      </c>
      <c r="AD251" s="378">
        <f t="shared" si="7"/>
        <v>0</v>
      </c>
      <c r="AH251" s="34"/>
      <c r="AI251" s="35"/>
    </row>
    <row r="252" spans="1:36" x14ac:dyDescent="0.25">
      <c r="A252" s="582"/>
      <c r="B252" s="520"/>
      <c r="C252" s="267"/>
      <c r="D252" s="27" t="s">
        <v>16</v>
      </c>
      <c r="E252" s="36"/>
      <c r="F252" s="4"/>
      <c r="G252" s="4"/>
      <c r="H252" s="4"/>
      <c r="I252" s="4">
        <v>10</v>
      </c>
      <c r="J252" s="4">
        <v>1.86</v>
      </c>
      <c r="K252" s="4">
        <v>6</v>
      </c>
      <c r="L252" s="4">
        <v>0.12</v>
      </c>
      <c r="M252" s="43"/>
      <c r="N252" s="472" t="s">
        <v>118</v>
      </c>
      <c r="O252" s="472"/>
      <c r="P252" s="472"/>
      <c r="Q252" s="107"/>
      <c r="R252" s="79" t="s">
        <v>149</v>
      </c>
      <c r="S252" s="398">
        <f>$P$11*0.03</f>
        <v>3</v>
      </c>
      <c r="T252" s="395">
        <f>$P$11*0.03</f>
        <v>3</v>
      </c>
      <c r="U252" s="36">
        <f>KALKULÁTOR!E252*Q252</f>
        <v>0</v>
      </c>
      <c r="V252" s="28">
        <f>KALKULÁTOR!F252*$Q252/$Q$375</f>
        <v>0</v>
      </c>
      <c r="W252" s="28">
        <f>KALKULÁTOR!G252*$Q252/$Q$375</f>
        <v>0</v>
      </c>
      <c r="X252" s="28">
        <f>KALKULÁTOR!H252*$Q252/$Q$375</f>
        <v>0</v>
      </c>
      <c r="Y252" s="28">
        <f>KALKULÁTOR!I252*$Q252/$Q$375</f>
        <v>0</v>
      </c>
      <c r="Z252" s="28">
        <f>KALKULÁTOR!J252*$Q252/$Q$375</f>
        <v>0</v>
      </c>
      <c r="AA252" s="28">
        <f>KALKULÁTOR!K252*$Q252/$Q$375</f>
        <v>0</v>
      </c>
      <c r="AB252" s="28">
        <f>KALKULÁTOR!L252*$Q252/$Q$375</f>
        <v>0</v>
      </c>
      <c r="AC252" s="41">
        <f>KALKULÁTOR!C252*Q252</f>
        <v>0</v>
      </c>
      <c r="AD252" s="378">
        <f t="shared" si="7"/>
        <v>0</v>
      </c>
      <c r="AH252" s="34"/>
      <c r="AI252" s="35"/>
    </row>
    <row r="253" spans="1:36" x14ac:dyDescent="0.25">
      <c r="A253" s="582"/>
      <c r="B253" s="520"/>
      <c r="C253" s="267"/>
      <c r="D253" s="27" t="s">
        <v>16</v>
      </c>
      <c r="E253" s="5"/>
      <c r="F253" s="4">
        <v>42.5</v>
      </c>
      <c r="G253" s="4">
        <v>2</v>
      </c>
      <c r="H253" s="4">
        <v>10</v>
      </c>
      <c r="I253" s="4">
        <v>2</v>
      </c>
      <c r="J253" s="4">
        <v>1.1000000000000001</v>
      </c>
      <c r="K253" s="4">
        <v>3.1</v>
      </c>
      <c r="L253" s="4">
        <v>0.65</v>
      </c>
      <c r="M253" s="43"/>
      <c r="N253" s="472" t="s">
        <v>73</v>
      </c>
      <c r="O253" s="472"/>
      <c r="P253" s="472"/>
      <c r="Q253" s="107"/>
      <c r="R253" s="79" t="s">
        <v>149</v>
      </c>
      <c r="S253" s="398">
        <f>$P$11*0.35</f>
        <v>35</v>
      </c>
      <c r="T253" s="395">
        <f>$P$11*0.35</f>
        <v>35</v>
      </c>
      <c r="U253" s="36">
        <f>KALKULÁTOR!E253*Q253</f>
        <v>0</v>
      </c>
      <c r="V253" s="28">
        <f>KALKULÁTOR!F253*$Q253/$Q$375</f>
        <v>0</v>
      </c>
      <c r="W253" s="28">
        <f>KALKULÁTOR!G253*$Q253/$Q$375</f>
        <v>0</v>
      </c>
      <c r="X253" s="28">
        <f>KALKULÁTOR!H253*$Q253/$Q$375</f>
        <v>0</v>
      </c>
      <c r="Y253" s="28">
        <f>KALKULÁTOR!I253*$Q253/$Q$375</f>
        <v>0</v>
      </c>
      <c r="Z253" s="28">
        <f>KALKULÁTOR!J253*$Q253/$Q$375</f>
        <v>0</v>
      </c>
      <c r="AA253" s="28">
        <f>KALKULÁTOR!K253*$Q253/$Q$375</f>
        <v>0</v>
      </c>
      <c r="AB253" s="28">
        <f>KALKULÁTOR!L253*$Q253/$Q$375</f>
        <v>0</v>
      </c>
      <c r="AC253" s="41">
        <f>KALKULÁTOR!C253*Q253</f>
        <v>0</v>
      </c>
      <c r="AD253" s="378">
        <f t="shared" si="7"/>
        <v>0</v>
      </c>
      <c r="AH253" s="34"/>
      <c r="AI253" s="35"/>
    </row>
    <row r="254" spans="1:36" x14ac:dyDescent="0.25">
      <c r="A254" s="582"/>
      <c r="B254" s="520"/>
      <c r="C254" s="267"/>
      <c r="D254" s="27" t="s">
        <v>16</v>
      </c>
      <c r="E254" s="5"/>
      <c r="F254" s="4">
        <v>42</v>
      </c>
      <c r="G254" s="4">
        <v>1.5</v>
      </c>
      <c r="H254" s="4">
        <v>10</v>
      </c>
      <c r="I254" s="4">
        <v>1.65</v>
      </c>
      <c r="J254" s="4">
        <v>0.95</v>
      </c>
      <c r="K254" s="4">
        <v>3.03</v>
      </c>
      <c r="L254" s="4">
        <v>0.64</v>
      </c>
      <c r="M254" s="43"/>
      <c r="N254" s="472" t="s">
        <v>74</v>
      </c>
      <c r="O254" s="472"/>
      <c r="P254" s="472"/>
      <c r="Q254" s="145"/>
      <c r="R254" s="79" t="s">
        <v>149</v>
      </c>
      <c r="S254" s="398">
        <f>$P$11*0.3</f>
        <v>30</v>
      </c>
      <c r="T254" s="395">
        <f>$P$11*0.3</f>
        <v>30</v>
      </c>
      <c r="U254" s="36">
        <f>KALKULÁTOR!E254*Q254</f>
        <v>0</v>
      </c>
      <c r="V254" s="28">
        <f>KALKULÁTOR!F254*$Q254/$Q$375</f>
        <v>0</v>
      </c>
      <c r="W254" s="28">
        <f>KALKULÁTOR!G254*$Q254/$Q$375</f>
        <v>0</v>
      </c>
      <c r="X254" s="28">
        <f>KALKULÁTOR!H254*$Q254/$Q$375</f>
        <v>0</v>
      </c>
      <c r="Y254" s="28">
        <f>KALKULÁTOR!I254*$Q254/$Q$375</f>
        <v>0</v>
      </c>
      <c r="Z254" s="28">
        <f>KALKULÁTOR!J254*$Q254/$Q$375</f>
        <v>0</v>
      </c>
      <c r="AA254" s="28">
        <f>KALKULÁTOR!K254*$Q254/$Q$375</f>
        <v>0</v>
      </c>
      <c r="AB254" s="28">
        <f>KALKULÁTOR!L254*$Q254/$Q$375</f>
        <v>0</v>
      </c>
      <c r="AC254" s="41">
        <f>KALKULÁTOR!C254*Q254</f>
        <v>0</v>
      </c>
      <c r="AD254" s="378">
        <f t="shared" si="7"/>
        <v>0</v>
      </c>
      <c r="AH254" s="34"/>
      <c r="AI254" s="35"/>
    </row>
    <row r="255" spans="1:36" x14ac:dyDescent="0.25">
      <c r="A255" s="582"/>
      <c r="B255" s="520"/>
      <c r="C255" s="267"/>
      <c r="D255" s="27" t="s">
        <v>16</v>
      </c>
      <c r="E255" s="5"/>
      <c r="F255" s="4">
        <v>43</v>
      </c>
      <c r="G255" s="4">
        <v>1.5</v>
      </c>
      <c r="H255" s="4">
        <v>12</v>
      </c>
      <c r="I255" s="4">
        <v>1.47</v>
      </c>
      <c r="J255" s="4">
        <v>0.77</v>
      </c>
      <c r="K255" s="4">
        <v>3.1</v>
      </c>
      <c r="L255" s="4">
        <v>0.66</v>
      </c>
      <c r="M255" s="43"/>
      <c r="N255" s="472" t="s">
        <v>75</v>
      </c>
      <c r="O255" s="472"/>
      <c r="P255" s="472"/>
      <c r="Q255" s="145"/>
      <c r="R255" s="79" t="s">
        <v>149</v>
      </c>
      <c r="S255" s="398">
        <f>$P$11*0.25</f>
        <v>25</v>
      </c>
      <c r="T255" s="395">
        <f>$P$11*0.25</f>
        <v>25</v>
      </c>
      <c r="U255" s="36">
        <f>KALKULÁTOR!E255*Q255</f>
        <v>0</v>
      </c>
      <c r="V255" s="28">
        <f>KALKULÁTOR!F255*$Q255/$Q$375</f>
        <v>0</v>
      </c>
      <c r="W255" s="28">
        <f>KALKULÁTOR!G255*$Q255/$Q$375</f>
        <v>0</v>
      </c>
      <c r="X255" s="28">
        <f>KALKULÁTOR!H255*$Q255/$Q$375</f>
        <v>0</v>
      </c>
      <c r="Y255" s="28">
        <f>KALKULÁTOR!I255*$Q255/$Q$375</f>
        <v>0</v>
      </c>
      <c r="Z255" s="28">
        <f>KALKULÁTOR!J255*$Q255/$Q$375</f>
        <v>0</v>
      </c>
      <c r="AA255" s="28">
        <f>KALKULÁTOR!K255*$Q255/$Q$375</f>
        <v>0</v>
      </c>
      <c r="AB255" s="28">
        <f>KALKULÁTOR!L255*$Q255/$Q$375</f>
        <v>0</v>
      </c>
      <c r="AC255" s="41">
        <f>KALKULÁTOR!C255*Q255</f>
        <v>0</v>
      </c>
      <c r="AD255" s="378">
        <f t="shared" si="7"/>
        <v>0</v>
      </c>
      <c r="AH255" s="34"/>
      <c r="AI255" s="35"/>
    </row>
    <row r="256" spans="1:36" x14ac:dyDescent="0.25">
      <c r="A256" s="582"/>
      <c r="B256" s="520"/>
      <c r="C256" s="267"/>
      <c r="D256" s="27" t="s">
        <v>16</v>
      </c>
      <c r="E256" s="5">
        <v>8.85</v>
      </c>
      <c r="F256" s="4">
        <v>39.5</v>
      </c>
      <c r="G256" s="4">
        <v>0.8</v>
      </c>
      <c r="H256" s="4">
        <v>10</v>
      </c>
      <c r="I256" s="4">
        <v>2.2000000000000002</v>
      </c>
      <c r="J256" s="4">
        <v>0.65</v>
      </c>
      <c r="K256" s="4">
        <v>2</v>
      </c>
      <c r="L256" s="4">
        <v>0.95</v>
      </c>
      <c r="M256" s="273"/>
      <c r="N256" s="478" t="s">
        <v>201</v>
      </c>
      <c r="O256" s="478"/>
      <c r="P256" s="478"/>
      <c r="Q256" s="107"/>
      <c r="R256" s="103" t="s">
        <v>149</v>
      </c>
      <c r="S256" s="398">
        <f>$P$11*0.1</f>
        <v>10</v>
      </c>
      <c r="T256" s="395">
        <f>$P$11*0.1</f>
        <v>10</v>
      </c>
      <c r="U256" s="36">
        <f>KALKULÁTOR!E256*Q256</f>
        <v>0</v>
      </c>
      <c r="V256" s="28">
        <f>KALKULÁTOR!F256*$Q256/$Q$375</f>
        <v>0</v>
      </c>
      <c r="W256" s="28">
        <f>KALKULÁTOR!G256*$Q256/$Q$375</f>
        <v>0</v>
      </c>
      <c r="X256" s="28">
        <f>KALKULÁTOR!H256*$Q256/$Q$375</f>
        <v>0</v>
      </c>
      <c r="Y256" s="28">
        <f>KALKULÁTOR!I256*$Q256/$Q$375</f>
        <v>0</v>
      </c>
      <c r="Z256" s="28">
        <f>KALKULÁTOR!J256*$Q256/$Q$375</f>
        <v>0</v>
      </c>
      <c r="AA256" s="28">
        <f>KALKULÁTOR!K256*$Q256/$Q$375</f>
        <v>0</v>
      </c>
      <c r="AB256" s="28">
        <f>KALKULÁTOR!L256*$Q256/$Q$375</f>
        <v>0</v>
      </c>
      <c r="AC256" s="41">
        <f>KALKULÁTOR!C256*Q256</f>
        <v>0</v>
      </c>
      <c r="AD256" s="378">
        <f t="shared" si="7"/>
        <v>0</v>
      </c>
      <c r="AF256" s="393" t="s">
        <v>440</v>
      </c>
      <c r="AG256" s="393"/>
      <c r="AH256" s="400"/>
      <c r="AI256" s="104"/>
      <c r="AJ256" s="46"/>
    </row>
    <row r="257" spans="1:35" x14ac:dyDescent="0.25">
      <c r="A257" s="582"/>
      <c r="B257" s="520"/>
      <c r="C257" s="267"/>
      <c r="D257" s="27" t="s">
        <v>16</v>
      </c>
      <c r="E257" s="5"/>
      <c r="F257" s="4">
        <v>40</v>
      </c>
      <c r="G257" s="4">
        <v>1</v>
      </c>
      <c r="H257" s="4">
        <v>9</v>
      </c>
      <c r="I257" s="4">
        <v>0.55000000000000004</v>
      </c>
      <c r="J257" s="4">
        <v>1.04</v>
      </c>
      <c r="K257" s="4">
        <v>2.4300000000000002</v>
      </c>
      <c r="L257" s="4">
        <v>1.06</v>
      </c>
      <c r="M257" s="43"/>
      <c r="N257" s="472" t="s">
        <v>280</v>
      </c>
      <c r="O257" s="472"/>
      <c r="P257" s="472"/>
      <c r="Q257" s="107"/>
      <c r="R257" s="79" t="s">
        <v>149</v>
      </c>
      <c r="S257" s="398">
        <f>$P$11*0.26</f>
        <v>26</v>
      </c>
      <c r="T257" s="395">
        <f>$P$11*0.26</f>
        <v>26</v>
      </c>
      <c r="U257" s="36">
        <f>KALKULÁTOR!E257*Q257</f>
        <v>0</v>
      </c>
      <c r="V257" s="28">
        <f>KALKULÁTOR!F257*$Q257/$Q$375</f>
        <v>0</v>
      </c>
      <c r="W257" s="28">
        <f>KALKULÁTOR!G257*$Q257/$Q$375</f>
        <v>0</v>
      </c>
      <c r="X257" s="28">
        <f>KALKULÁTOR!H257*$Q257/$Q$375</f>
        <v>0</v>
      </c>
      <c r="Y257" s="28">
        <f>KALKULÁTOR!I257*$Q257/$Q$375</f>
        <v>0</v>
      </c>
      <c r="Z257" s="28">
        <f>KALKULÁTOR!J257*$Q257/$Q$375</f>
        <v>0</v>
      </c>
      <c r="AA257" s="28">
        <f>KALKULÁTOR!K257*$Q257/$Q$375</f>
        <v>0</v>
      </c>
      <c r="AB257" s="28">
        <f>KALKULÁTOR!L257*$Q257/$Q$375</f>
        <v>0</v>
      </c>
      <c r="AC257" s="41">
        <f>KALKULÁTOR!C257*Q257</f>
        <v>0</v>
      </c>
      <c r="AD257" s="378">
        <f t="shared" si="7"/>
        <v>0</v>
      </c>
      <c r="AF257" s="565"/>
      <c r="AG257" s="565"/>
      <c r="AH257" s="148"/>
      <c r="AI257" s="35"/>
    </row>
    <row r="258" spans="1:35" x14ac:dyDescent="0.25">
      <c r="A258" s="582"/>
      <c r="B258" s="520"/>
      <c r="C258" s="267"/>
      <c r="D258" s="27" t="s">
        <v>16</v>
      </c>
      <c r="E258" s="5"/>
      <c r="F258" s="4">
        <v>39.5</v>
      </c>
      <c r="G258" s="4">
        <v>0.7</v>
      </c>
      <c r="H258" s="4">
        <v>9</v>
      </c>
      <c r="I258" s="4">
        <v>3.2</v>
      </c>
      <c r="J258" s="4">
        <v>1.2</v>
      </c>
      <c r="K258" s="4">
        <v>2.2000000000000002</v>
      </c>
      <c r="L258" s="4">
        <v>0.75</v>
      </c>
      <c r="M258" s="43"/>
      <c r="N258" s="472" t="s">
        <v>380</v>
      </c>
      <c r="O258" s="472"/>
      <c r="P258" s="472"/>
      <c r="Q258" s="145"/>
      <c r="R258" s="79" t="s">
        <v>149</v>
      </c>
      <c r="S258" s="398">
        <f>$P$11*0.26</f>
        <v>26</v>
      </c>
      <c r="T258" s="395">
        <f>$P$11*0.26</f>
        <v>26</v>
      </c>
      <c r="U258" s="36">
        <f>KALKULÁTOR!E258*Q258</f>
        <v>0</v>
      </c>
      <c r="V258" s="28">
        <f>KALKULÁTOR!F258*$Q258/$Q$375</f>
        <v>0</v>
      </c>
      <c r="W258" s="28">
        <f>KALKULÁTOR!G258*$Q258/$Q$375</f>
        <v>0</v>
      </c>
      <c r="X258" s="28">
        <f>KALKULÁTOR!H258*$Q258/$Q$375</f>
        <v>0</v>
      </c>
      <c r="Y258" s="28">
        <f>KALKULÁTOR!I258*$Q258/$Q$375</f>
        <v>0</v>
      </c>
      <c r="Z258" s="28">
        <f>KALKULÁTOR!J258*$Q258/$Q$375</f>
        <v>0</v>
      </c>
      <c r="AA258" s="28">
        <f>KALKULÁTOR!K258*$Q258/$Q$375</f>
        <v>0</v>
      </c>
      <c r="AB258" s="28">
        <f>KALKULÁTOR!L258*$Q258/$Q$375</f>
        <v>0</v>
      </c>
      <c r="AC258" s="41">
        <f>KALKULÁTOR!C258*Q258</f>
        <v>0</v>
      </c>
      <c r="AD258" s="378">
        <f t="shared" si="7"/>
        <v>0</v>
      </c>
      <c r="AF258" s="282"/>
      <c r="AG258" s="282"/>
      <c r="AH258" s="148"/>
      <c r="AI258" s="35"/>
    </row>
    <row r="259" spans="1:35" x14ac:dyDescent="0.25">
      <c r="A259" s="582"/>
      <c r="B259" s="520"/>
      <c r="C259" s="267"/>
      <c r="D259" s="27" t="s">
        <v>16</v>
      </c>
      <c r="E259" s="36"/>
      <c r="F259" s="4"/>
      <c r="G259" s="4"/>
      <c r="H259" s="4"/>
      <c r="I259" s="4">
        <v>18</v>
      </c>
      <c r="J259" s="4">
        <v>10.5</v>
      </c>
      <c r="K259" s="4">
        <v>2.5</v>
      </c>
      <c r="L259" s="4">
        <v>1</v>
      </c>
      <c r="M259" s="43"/>
      <c r="N259" s="472" t="s">
        <v>303</v>
      </c>
      <c r="O259" s="472"/>
      <c r="P259" s="472"/>
      <c r="Q259" s="145"/>
      <c r="R259" s="79" t="s">
        <v>149</v>
      </c>
      <c r="S259" s="398">
        <f>$P$11*0.025</f>
        <v>2.5</v>
      </c>
      <c r="T259" s="395">
        <f>$P$11*0.025</f>
        <v>2.5</v>
      </c>
      <c r="U259" s="36">
        <f>KALKULÁTOR!E259*Q259</f>
        <v>0</v>
      </c>
      <c r="V259" s="28">
        <f>KALKULÁTOR!F259*$Q259/$Q$375</f>
        <v>0</v>
      </c>
      <c r="W259" s="28">
        <f>KALKULÁTOR!G259*$Q259/$Q$375</f>
        <v>0</v>
      </c>
      <c r="X259" s="28">
        <f>KALKULÁTOR!H259*$Q259/$Q$375</f>
        <v>0</v>
      </c>
      <c r="Y259" s="28">
        <f>KALKULÁTOR!I259*$Q259/$Q$375</f>
        <v>0</v>
      </c>
      <c r="Z259" s="28">
        <f>KALKULÁTOR!J259*$Q259/$Q$375</f>
        <v>0</v>
      </c>
      <c r="AA259" s="28">
        <f>KALKULÁTOR!K259*$Q259/$Q$375</f>
        <v>0</v>
      </c>
      <c r="AB259" s="28">
        <f>KALKULÁTOR!L259*$Q259/$Q$375</f>
        <v>0</v>
      </c>
      <c r="AC259" s="41">
        <f>KALKULÁTOR!C259*Q259</f>
        <v>0</v>
      </c>
      <c r="AD259" s="378">
        <f t="shared" si="7"/>
        <v>0</v>
      </c>
      <c r="AH259" s="34"/>
      <c r="AI259" s="35"/>
    </row>
    <row r="260" spans="1:35" x14ac:dyDescent="0.25">
      <c r="A260" s="582"/>
      <c r="B260" s="520"/>
      <c r="C260" s="267"/>
      <c r="D260" s="27" t="s">
        <v>16</v>
      </c>
      <c r="E260" s="36"/>
      <c r="F260" s="4"/>
      <c r="G260" s="4"/>
      <c r="H260" s="4"/>
      <c r="I260" s="4">
        <v>18</v>
      </c>
      <c r="J260" s="4">
        <v>10.5</v>
      </c>
      <c r="K260" s="4">
        <v>2.5</v>
      </c>
      <c r="L260" s="4">
        <v>1</v>
      </c>
      <c r="M260" s="43"/>
      <c r="N260" s="472" t="s">
        <v>461</v>
      </c>
      <c r="O260" s="472"/>
      <c r="P260" s="472"/>
      <c r="Q260" s="107"/>
      <c r="R260" s="79" t="s">
        <v>149</v>
      </c>
      <c r="S260" s="426">
        <f>$P$11*0.025</f>
        <v>2.5</v>
      </c>
      <c r="T260" s="424">
        <f>$P$11*0.025</f>
        <v>2.5</v>
      </c>
      <c r="U260" s="36">
        <f>KALKULÁTOR!E260*Q260</f>
        <v>0</v>
      </c>
      <c r="V260" s="28">
        <f>KALKULÁTOR!F260*$Q260/$Q$375</f>
        <v>0</v>
      </c>
      <c r="W260" s="28">
        <f>KALKULÁTOR!G260*$Q260/$Q$375</f>
        <v>0</v>
      </c>
      <c r="X260" s="28">
        <f>KALKULÁTOR!H260*$Q260/$Q$375</f>
        <v>0</v>
      </c>
      <c r="Y260" s="28">
        <f>KALKULÁTOR!I260*$Q260/$Q$375</f>
        <v>0</v>
      </c>
      <c r="Z260" s="28">
        <f>KALKULÁTOR!J260*$Q260/$Q$375</f>
        <v>0</v>
      </c>
      <c r="AA260" s="28">
        <f>KALKULÁTOR!K260*$Q260/$Q$375</f>
        <v>0</v>
      </c>
      <c r="AB260" s="28">
        <f>KALKULÁTOR!L260*$Q260/$Q$375</f>
        <v>0</v>
      </c>
      <c r="AC260" s="41">
        <f>KALKULÁTOR!C260*Q260</f>
        <v>0</v>
      </c>
      <c r="AD260" s="378">
        <f t="shared" ref="AD260" si="8">IF(AND(Q260&gt;=S260,Q260&lt;=T260),1,0)</f>
        <v>0</v>
      </c>
      <c r="AH260" s="34"/>
      <c r="AI260" s="35"/>
    </row>
    <row r="261" spans="1:35" x14ac:dyDescent="0.25">
      <c r="A261" s="582"/>
      <c r="B261" s="520"/>
      <c r="C261" s="267"/>
      <c r="D261" s="27" t="s">
        <v>16</v>
      </c>
      <c r="E261" s="36"/>
      <c r="F261" s="4"/>
      <c r="G261" s="4"/>
      <c r="H261" s="4"/>
      <c r="I261" s="4">
        <v>17.600000000000001</v>
      </c>
      <c r="J261" s="4">
        <v>10</v>
      </c>
      <c r="K261" s="4">
        <v>2.5</v>
      </c>
      <c r="L261" s="4">
        <v>0.9</v>
      </c>
      <c r="M261" s="43"/>
      <c r="N261" s="472" t="s">
        <v>462</v>
      </c>
      <c r="O261" s="472"/>
      <c r="P261" s="472"/>
      <c r="Q261" s="107"/>
      <c r="R261" s="79" t="s">
        <v>149</v>
      </c>
      <c r="S261" s="426">
        <f>$P$11*0.025</f>
        <v>2.5</v>
      </c>
      <c r="T261" s="424">
        <f>$P$11*0.025</f>
        <v>2.5</v>
      </c>
      <c r="U261" s="36">
        <f>KALKULÁTOR!E261*Q261</f>
        <v>0</v>
      </c>
      <c r="V261" s="28">
        <f>KALKULÁTOR!F261*$Q261/$Q$375</f>
        <v>0</v>
      </c>
      <c r="W261" s="28">
        <f>KALKULÁTOR!G261*$Q261/$Q$375</f>
        <v>0</v>
      </c>
      <c r="X261" s="28">
        <f>KALKULÁTOR!H261*$Q261/$Q$375</f>
        <v>0</v>
      </c>
      <c r="Y261" s="28">
        <f>KALKULÁTOR!I261*$Q261/$Q$375</f>
        <v>0</v>
      </c>
      <c r="Z261" s="28">
        <f>KALKULÁTOR!J261*$Q261/$Q$375</f>
        <v>0</v>
      </c>
      <c r="AA261" s="28">
        <f>KALKULÁTOR!K261*$Q261/$Q$375</f>
        <v>0</v>
      </c>
      <c r="AB261" s="28">
        <f>KALKULÁTOR!L261*$Q261/$Q$375</f>
        <v>0</v>
      </c>
      <c r="AC261" s="41">
        <f>KALKULÁTOR!C261*Q261</f>
        <v>0</v>
      </c>
      <c r="AD261" s="378">
        <f t="shared" ref="AD261" si="9">IF(AND(Q261&gt;=S261,Q261&lt;=T261),1,0)</f>
        <v>0</v>
      </c>
      <c r="AH261" s="34"/>
      <c r="AI261" s="35"/>
    </row>
    <row r="262" spans="1:35" x14ac:dyDescent="0.25">
      <c r="A262" s="582"/>
      <c r="B262" s="520"/>
      <c r="C262" s="267"/>
      <c r="D262" s="27" t="s">
        <v>16</v>
      </c>
      <c r="E262" s="5"/>
      <c r="F262" s="4"/>
      <c r="G262" s="4"/>
      <c r="H262" s="4"/>
      <c r="I262" s="4">
        <v>27.6</v>
      </c>
      <c r="J262" s="4">
        <v>5.3</v>
      </c>
      <c r="K262" s="4">
        <v>1.1299999999999999</v>
      </c>
      <c r="L262" s="4">
        <v>0.8</v>
      </c>
      <c r="M262" s="43"/>
      <c r="N262" s="472" t="s">
        <v>76</v>
      </c>
      <c r="O262" s="472"/>
      <c r="P262" s="472"/>
      <c r="Q262" s="145"/>
      <c r="R262" s="79" t="s">
        <v>149</v>
      </c>
      <c r="S262" s="398">
        <f>$P$11*0.05</f>
        <v>5</v>
      </c>
      <c r="T262" s="395">
        <f>$P$11*0.05</f>
        <v>5</v>
      </c>
      <c r="U262" s="36">
        <f>KALKULÁTOR!E262*Q262</f>
        <v>0</v>
      </c>
      <c r="V262" s="28">
        <f>KALKULÁTOR!F262*$Q262/$Q$375</f>
        <v>0</v>
      </c>
      <c r="W262" s="28">
        <f>KALKULÁTOR!G262*$Q262/$Q$375</f>
        <v>0</v>
      </c>
      <c r="X262" s="28">
        <f>KALKULÁTOR!H262*$Q262/$Q$375</f>
        <v>0</v>
      </c>
      <c r="Y262" s="28">
        <f>KALKULÁTOR!I262*$Q262/$Q$375</f>
        <v>0</v>
      </c>
      <c r="Z262" s="28">
        <f>KALKULÁTOR!J262*$Q262/$Q$375</f>
        <v>0</v>
      </c>
      <c r="AA262" s="28">
        <f>KALKULÁTOR!K262*$Q262/$Q$375</f>
        <v>0</v>
      </c>
      <c r="AB262" s="28">
        <f>KALKULÁTOR!L262*$Q262/$Q$375</f>
        <v>0</v>
      </c>
      <c r="AC262" s="41">
        <f>KALKULÁTOR!C262*Q262</f>
        <v>0</v>
      </c>
      <c r="AD262" s="378">
        <f t="shared" si="7"/>
        <v>0</v>
      </c>
      <c r="AH262" s="34"/>
      <c r="AI262" s="35"/>
    </row>
    <row r="263" spans="1:35" x14ac:dyDescent="0.25">
      <c r="A263" s="582"/>
      <c r="B263" s="520"/>
      <c r="C263" s="267"/>
      <c r="D263" s="27" t="s">
        <v>16</v>
      </c>
      <c r="E263" s="5"/>
      <c r="F263" s="4">
        <v>5.16</v>
      </c>
      <c r="G263" s="4">
        <v>0.56999999999999995</v>
      </c>
      <c r="H263" s="4">
        <v>1.1499999999999999</v>
      </c>
      <c r="I263" s="4">
        <v>21.97</v>
      </c>
      <c r="J263" s="4">
        <v>4.1399999999999997</v>
      </c>
      <c r="K263" s="4">
        <v>0.66</v>
      </c>
      <c r="L263" s="4">
        <v>3.29</v>
      </c>
      <c r="M263" s="43"/>
      <c r="N263" s="472" t="s">
        <v>386</v>
      </c>
      <c r="O263" s="472"/>
      <c r="P263" s="472"/>
      <c r="Q263" s="145"/>
      <c r="R263" s="79" t="s">
        <v>149</v>
      </c>
      <c r="S263" s="398">
        <f>$P$11*0.04</f>
        <v>4</v>
      </c>
      <c r="T263" s="395">
        <f>$P$11*0.04</f>
        <v>4</v>
      </c>
      <c r="U263" s="36">
        <f>KALKULÁTOR!E263*Q263</f>
        <v>0</v>
      </c>
      <c r="V263" s="28">
        <f>KALKULÁTOR!F263*$Q263/$Q$375</f>
        <v>0</v>
      </c>
      <c r="W263" s="28">
        <f>KALKULÁTOR!G263*$Q263/$Q$375</f>
        <v>0</v>
      </c>
      <c r="X263" s="28">
        <f>KALKULÁTOR!H263*$Q263/$Q$375</f>
        <v>0</v>
      </c>
      <c r="Y263" s="28">
        <f>KALKULÁTOR!I263*$Q263/$Q$375</f>
        <v>0</v>
      </c>
      <c r="Z263" s="28">
        <f>KALKULÁTOR!J263*$Q263/$Q$375</f>
        <v>0</v>
      </c>
      <c r="AA263" s="28">
        <f>KALKULÁTOR!K263*$Q263/$Q$375</f>
        <v>0</v>
      </c>
      <c r="AB263" s="28">
        <f>KALKULÁTOR!L263*$Q263/$Q$375</f>
        <v>0</v>
      </c>
      <c r="AC263" s="41">
        <f>KALKULÁTOR!C263*Q263</f>
        <v>0</v>
      </c>
      <c r="AD263" s="378">
        <f t="shared" si="7"/>
        <v>0</v>
      </c>
      <c r="AH263" s="34"/>
      <c r="AI263" s="35"/>
    </row>
    <row r="264" spans="1:35" x14ac:dyDescent="0.25">
      <c r="A264" s="582"/>
      <c r="B264" s="520"/>
      <c r="C264" s="267"/>
      <c r="D264" s="27" t="s">
        <v>16</v>
      </c>
      <c r="E264" s="5"/>
      <c r="F264" s="4"/>
      <c r="G264" s="4"/>
      <c r="H264" s="4"/>
      <c r="I264" s="4">
        <v>18</v>
      </c>
      <c r="J264" s="4">
        <v>10.5</v>
      </c>
      <c r="K264" s="4"/>
      <c r="L264" s="4">
        <v>6.5</v>
      </c>
      <c r="M264" s="43"/>
      <c r="N264" s="472" t="s">
        <v>77</v>
      </c>
      <c r="O264" s="472"/>
      <c r="P264" s="472"/>
      <c r="Q264" s="107"/>
      <c r="R264" s="79" t="s">
        <v>149</v>
      </c>
      <c r="S264" s="398">
        <f>$P$11*0.0125</f>
        <v>1.25</v>
      </c>
      <c r="T264" s="395">
        <f>$P$11*0.0125</f>
        <v>1.25</v>
      </c>
      <c r="U264" s="36">
        <f>KALKULÁTOR!E264*Q264</f>
        <v>0</v>
      </c>
      <c r="V264" s="28">
        <f>KALKULÁTOR!F264*$Q264/$Q$375</f>
        <v>0</v>
      </c>
      <c r="W264" s="28">
        <f>KALKULÁTOR!G264*$Q264/$Q$375</f>
        <v>0</v>
      </c>
      <c r="X264" s="28">
        <f>KALKULÁTOR!H264*$Q264/$Q$375</f>
        <v>0</v>
      </c>
      <c r="Y264" s="28">
        <f>KALKULÁTOR!I264*$Q264/$Q$375</f>
        <v>0</v>
      </c>
      <c r="Z264" s="28">
        <f>KALKULÁTOR!J264*$Q264/$Q$375</f>
        <v>0</v>
      </c>
      <c r="AA264" s="28">
        <f>KALKULÁTOR!K264*$Q264/$Q$375</f>
        <v>0</v>
      </c>
      <c r="AB264" s="28">
        <f>KALKULÁTOR!L264*$Q264/$Q$375</f>
        <v>0</v>
      </c>
      <c r="AC264" s="41">
        <f>KALKULÁTOR!C264*Q264</f>
        <v>0</v>
      </c>
      <c r="AD264" s="378">
        <f t="shared" si="7"/>
        <v>0</v>
      </c>
      <c r="AH264" s="34"/>
      <c r="AI264" s="35"/>
    </row>
    <row r="265" spans="1:35" ht="15.75" thickBot="1" x14ac:dyDescent="0.3">
      <c r="A265" s="582"/>
      <c r="B265" s="522"/>
      <c r="C265" s="266"/>
      <c r="D265" s="29" t="s">
        <v>16</v>
      </c>
      <c r="E265" s="51"/>
      <c r="F265" s="18"/>
      <c r="G265" s="18"/>
      <c r="H265" s="18"/>
      <c r="I265" s="18">
        <v>14.38</v>
      </c>
      <c r="J265" s="18">
        <v>1.667</v>
      </c>
      <c r="K265" s="18">
        <v>10.38</v>
      </c>
      <c r="L265" s="18">
        <v>1.4139999999999999</v>
      </c>
      <c r="M265" s="53"/>
      <c r="N265" s="489" t="s">
        <v>286</v>
      </c>
      <c r="O265" s="489"/>
      <c r="P265" s="489"/>
      <c r="Q265" s="107"/>
      <c r="R265" s="83" t="s">
        <v>149</v>
      </c>
      <c r="S265" s="376">
        <f>$P$11*0.03</f>
        <v>3</v>
      </c>
      <c r="T265" s="373">
        <f>$P$11*0.03</f>
        <v>3</v>
      </c>
      <c r="U265" s="38">
        <f>KALKULÁTOR!E265*Q265</f>
        <v>0</v>
      </c>
      <c r="V265" s="67">
        <f>KALKULÁTOR!F265*$Q265/$Q$375</f>
        <v>0</v>
      </c>
      <c r="W265" s="67">
        <f>KALKULÁTOR!G265*$Q265/$Q$375</f>
        <v>0</v>
      </c>
      <c r="X265" s="67">
        <f>KALKULÁTOR!H265*$Q265/$Q$375</f>
        <v>0</v>
      </c>
      <c r="Y265" s="67">
        <f>KALKULÁTOR!I265*$Q265/$Q$375</f>
        <v>0</v>
      </c>
      <c r="Z265" s="67">
        <f>KALKULÁTOR!J265*$Q265/$Q$375</f>
        <v>0</v>
      </c>
      <c r="AA265" s="67">
        <f>KALKULÁTOR!K265*$Q265/$Q$375</f>
        <v>0</v>
      </c>
      <c r="AB265" s="67">
        <f>KALKULÁTOR!L265*$Q265/$Q$375</f>
        <v>0</v>
      </c>
      <c r="AC265" s="68">
        <f>KALKULÁTOR!C265*Q265</f>
        <v>0</v>
      </c>
      <c r="AD265" s="378">
        <f t="shared" si="7"/>
        <v>0</v>
      </c>
      <c r="AH265" s="34"/>
      <c r="AI265" s="35"/>
    </row>
    <row r="266" spans="1:35" ht="15" customHeight="1" x14ac:dyDescent="0.25">
      <c r="A266" s="582"/>
      <c r="B266" s="504" t="s">
        <v>158</v>
      </c>
      <c r="C266" s="87"/>
      <c r="D266" s="78" t="s">
        <v>16</v>
      </c>
      <c r="E266" s="106"/>
      <c r="F266" s="77"/>
      <c r="G266" s="77"/>
      <c r="H266" s="77"/>
      <c r="I266" s="77">
        <v>8</v>
      </c>
      <c r="J266" s="77">
        <v>10.5</v>
      </c>
      <c r="K266" s="77"/>
      <c r="L266" s="77">
        <v>6.5</v>
      </c>
      <c r="M266" s="144"/>
      <c r="N266" s="481" t="s">
        <v>160</v>
      </c>
      <c r="O266" s="481"/>
      <c r="P266" s="481"/>
      <c r="Q266" s="145"/>
      <c r="R266" s="120" t="s">
        <v>149</v>
      </c>
      <c r="S266" s="89">
        <f>$P$11*0.0125</f>
        <v>1.25</v>
      </c>
      <c r="T266" s="90">
        <f>$P$11*0.0125</f>
        <v>1.25</v>
      </c>
      <c r="U266" s="32">
        <f>KALKULÁTOR!E266*Q266</f>
        <v>0</v>
      </c>
      <c r="V266" s="6">
        <f>KALKULÁTOR!F266*$Q266/$Q$375</f>
        <v>0</v>
      </c>
      <c r="W266" s="6">
        <f>KALKULÁTOR!G266*$Q266/$Q$375</f>
        <v>0</v>
      </c>
      <c r="X266" s="6">
        <f>KALKULÁTOR!H266*$Q266/$Q$375</f>
        <v>0</v>
      </c>
      <c r="Y266" s="6">
        <f>KALKULÁTOR!I266*$Q266/$Q$375</f>
        <v>0</v>
      </c>
      <c r="Z266" s="6">
        <f>KALKULÁTOR!J266*$Q266/$Q$375</f>
        <v>0</v>
      </c>
      <c r="AA266" s="6">
        <f>KALKULÁTOR!K266*$Q266/$Q$375</f>
        <v>0</v>
      </c>
      <c r="AB266" s="6">
        <f>KALKULÁTOR!L266*$Q266/$Q$375</f>
        <v>0</v>
      </c>
      <c r="AC266" s="50">
        <f>KALKULÁTOR!C266*Q266</f>
        <v>0</v>
      </c>
      <c r="AD266" s="378">
        <f t="shared" si="7"/>
        <v>0</v>
      </c>
      <c r="AF266" s="479" t="s">
        <v>157</v>
      </c>
      <c r="AG266" s="480"/>
      <c r="AH266" s="1"/>
      <c r="AI266" s="35"/>
    </row>
    <row r="267" spans="1:35" x14ac:dyDescent="0.25">
      <c r="A267" s="582"/>
      <c r="B267" s="504"/>
      <c r="C267" s="81"/>
      <c r="D267" s="27" t="s">
        <v>16</v>
      </c>
      <c r="E267" s="5"/>
      <c r="F267" s="4">
        <v>31</v>
      </c>
      <c r="G267" s="4">
        <v>1</v>
      </c>
      <c r="H267" s="4">
        <v>4.7</v>
      </c>
      <c r="I267" s="4">
        <v>11.5</v>
      </c>
      <c r="J267" s="4">
        <v>0.85</v>
      </c>
      <c r="K267" s="4">
        <v>2</v>
      </c>
      <c r="L267" s="4">
        <v>0.7</v>
      </c>
      <c r="M267" s="43"/>
      <c r="N267" s="472" t="s">
        <v>159</v>
      </c>
      <c r="O267" s="472"/>
      <c r="P267" s="472"/>
      <c r="Q267" s="145"/>
      <c r="R267" s="80" t="s">
        <v>149</v>
      </c>
      <c r="S267" s="123">
        <f>$P$11*0.3</f>
        <v>30</v>
      </c>
      <c r="T267" s="121">
        <f>$P$11*0.35</f>
        <v>35</v>
      </c>
      <c r="U267" s="36">
        <f>KALKULÁTOR!E267*Q267</f>
        <v>0</v>
      </c>
      <c r="V267" s="28">
        <f>KALKULÁTOR!F267*$Q267/$Q$375</f>
        <v>0</v>
      </c>
      <c r="W267" s="28">
        <f>KALKULÁTOR!G267*$Q267/$Q$375</f>
        <v>0</v>
      </c>
      <c r="X267" s="28">
        <f>KALKULÁTOR!H267*$Q267/$Q$375</f>
        <v>0</v>
      </c>
      <c r="Y267" s="28">
        <f>KALKULÁTOR!I267*$Q267/$Q$375</f>
        <v>0</v>
      </c>
      <c r="Z267" s="28">
        <f>KALKULÁTOR!J267*$Q267/$Q$375</f>
        <v>0</v>
      </c>
      <c r="AA267" s="28">
        <f>KALKULÁTOR!K267*$Q267/$Q$375</f>
        <v>0</v>
      </c>
      <c r="AB267" s="28">
        <f>KALKULÁTOR!L267*$Q267/$Q$375</f>
        <v>0</v>
      </c>
      <c r="AC267" s="41">
        <f>KALKULÁTOR!C267*Q267</f>
        <v>0</v>
      </c>
      <c r="AD267" s="378">
        <f t="shared" si="7"/>
        <v>0</v>
      </c>
      <c r="AF267" s="479" t="s">
        <v>157</v>
      </c>
      <c r="AG267" s="480"/>
      <c r="AH267" s="1"/>
      <c r="AI267" s="35"/>
    </row>
    <row r="268" spans="1:35" x14ac:dyDescent="0.25">
      <c r="A268" s="582"/>
      <c r="B268" s="504"/>
      <c r="C268" s="81"/>
      <c r="D268" s="27" t="s">
        <v>16</v>
      </c>
      <c r="E268" s="5"/>
      <c r="F268" s="4"/>
      <c r="G268" s="4"/>
      <c r="H268" s="4"/>
      <c r="I268" s="4">
        <v>8</v>
      </c>
      <c r="J268" s="4">
        <v>11</v>
      </c>
      <c r="K268" s="4">
        <v>2</v>
      </c>
      <c r="L268" s="4">
        <v>10</v>
      </c>
      <c r="M268" s="43"/>
      <c r="N268" s="472" t="s">
        <v>161</v>
      </c>
      <c r="O268" s="472"/>
      <c r="P268" s="472"/>
      <c r="Q268" s="107"/>
      <c r="R268" s="80" t="s">
        <v>149</v>
      </c>
      <c r="S268" s="123">
        <f>$P$11*0.015</f>
        <v>1.5</v>
      </c>
      <c r="T268" s="121">
        <f>$P$11*0.015</f>
        <v>1.5</v>
      </c>
      <c r="U268" s="36">
        <f>KALKULÁTOR!E268*Q268</f>
        <v>0</v>
      </c>
      <c r="V268" s="28">
        <f>KALKULÁTOR!F268*$Q268/$Q$375</f>
        <v>0</v>
      </c>
      <c r="W268" s="28">
        <f>KALKULÁTOR!G268*$Q268/$Q$375</f>
        <v>0</v>
      </c>
      <c r="X268" s="28">
        <f>KALKULÁTOR!H268*$Q268/$Q$375</f>
        <v>0</v>
      </c>
      <c r="Y268" s="28">
        <f>KALKULÁTOR!I268*$Q268/$Q$375</f>
        <v>0</v>
      </c>
      <c r="Z268" s="28">
        <f>KALKULÁTOR!J268*$Q268/$Q$375</f>
        <v>0</v>
      </c>
      <c r="AA268" s="28">
        <f>KALKULÁTOR!K268*$Q268/$Q$375</f>
        <v>0</v>
      </c>
      <c r="AB268" s="28">
        <f>KALKULÁTOR!L268*$Q268/$Q$375</f>
        <v>0</v>
      </c>
      <c r="AC268" s="41">
        <f>KALKULÁTOR!C268*Q268</f>
        <v>0</v>
      </c>
      <c r="AD268" s="378">
        <f t="shared" si="7"/>
        <v>0</v>
      </c>
      <c r="AF268" s="479" t="s">
        <v>157</v>
      </c>
      <c r="AG268" s="480"/>
      <c r="AH268" s="1"/>
      <c r="AI268" s="35"/>
    </row>
    <row r="269" spans="1:35" x14ac:dyDescent="0.25">
      <c r="A269" s="582"/>
      <c r="B269" s="504"/>
      <c r="C269" s="81"/>
      <c r="D269" s="27" t="s">
        <v>16</v>
      </c>
      <c r="E269" s="5"/>
      <c r="F269" s="4"/>
      <c r="G269" s="4"/>
      <c r="H269" s="4"/>
      <c r="I269" s="4">
        <v>8</v>
      </c>
      <c r="J269" s="4">
        <v>11</v>
      </c>
      <c r="K269" s="4">
        <v>2</v>
      </c>
      <c r="L269" s="4">
        <v>10</v>
      </c>
      <c r="M269" s="43"/>
      <c r="N269" s="472" t="s">
        <v>387</v>
      </c>
      <c r="O269" s="472"/>
      <c r="P269" s="472"/>
      <c r="Q269" s="107"/>
      <c r="R269" s="80" t="s">
        <v>149</v>
      </c>
      <c r="S269" s="123">
        <f>$P$11*0.015</f>
        <v>1.5</v>
      </c>
      <c r="T269" s="121">
        <f>$P$11*0.015</f>
        <v>1.5</v>
      </c>
      <c r="U269" s="36">
        <f>KALKULÁTOR!E269*Q269</f>
        <v>0</v>
      </c>
      <c r="V269" s="28">
        <f>KALKULÁTOR!F269*$Q269/$Q$375</f>
        <v>0</v>
      </c>
      <c r="W269" s="28">
        <f>KALKULÁTOR!G269*$Q269/$Q$375</f>
        <v>0</v>
      </c>
      <c r="X269" s="28">
        <f>KALKULÁTOR!H269*$Q269/$Q$375</f>
        <v>0</v>
      </c>
      <c r="Y269" s="28">
        <f>KALKULÁTOR!I269*$Q269/$Q$375</f>
        <v>0</v>
      </c>
      <c r="Z269" s="28">
        <f>KALKULÁTOR!J269*$Q269/$Q$375</f>
        <v>0</v>
      </c>
      <c r="AA269" s="28">
        <f>KALKULÁTOR!K269*$Q269/$Q$375</f>
        <v>0</v>
      </c>
      <c r="AB269" s="28">
        <f>KALKULÁTOR!L269*$Q269/$Q$375</f>
        <v>0</v>
      </c>
      <c r="AC269" s="41">
        <f>KALKULÁTOR!C269*Q269</f>
        <v>0</v>
      </c>
      <c r="AD269" s="378">
        <f t="shared" si="7"/>
        <v>0</v>
      </c>
      <c r="AF269" s="479" t="s">
        <v>157</v>
      </c>
      <c r="AG269" s="480"/>
      <c r="AH269" s="1"/>
      <c r="AI269" s="35"/>
    </row>
    <row r="270" spans="1:35" x14ac:dyDescent="0.25">
      <c r="A270" s="582"/>
      <c r="B270" s="504"/>
      <c r="C270" s="81"/>
      <c r="D270" s="27" t="s">
        <v>16</v>
      </c>
      <c r="E270" s="5"/>
      <c r="F270" s="4"/>
      <c r="G270" s="4"/>
      <c r="H270" s="4"/>
      <c r="I270" s="4">
        <v>20</v>
      </c>
      <c r="J270" s="4">
        <v>5.5</v>
      </c>
      <c r="K270" s="4">
        <v>10</v>
      </c>
      <c r="L270" s="4">
        <v>7</v>
      </c>
      <c r="M270" s="43"/>
      <c r="N270" s="472" t="s">
        <v>162</v>
      </c>
      <c r="O270" s="472"/>
      <c r="P270" s="472"/>
      <c r="Q270" s="145"/>
      <c r="R270" s="80" t="s">
        <v>149</v>
      </c>
      <c r="S270" s="123">
        <f>$P$11*0.035</f>
        <v>3.5000000000000004</v>
      </c>
      <c r="T270" s="121">
        <f>$P$11*0.035</f>
        <v>3.5000000000000004</v>
      </c>
      <c r="U270" s="36">
        <f>KALKULÁTOR!E270*Q270</f>
        <v>0</v>
      </c>
      <c r="V270" s="28">
        <f>KALKULÁTOR!F270*$Q270/$Q$375</f>
        <v>0</v>
      </c>
      <c r="W270" s="28">
        <f>KALKULÁTOR!G270*$Q270/$Q$375</f>
        <v>0</v>
      </c>
      <c r="X270" s="28">
        <f>KALKULÁTOR!H270*$Q270/$Q$375</f>
        <v>0</v>
      </c>
      <c r="Y270" s="28">
        <f>KALKULÁTOR!I270*$Q270/$Q$375</f>
        <v>0</v>
      </c>
      <c r="Z270" s="28">
        <f>KALKULÁTOR!J270*$Q270/$Q$375</f>
        <v>0</v>
      </c>
      <c r="AA270" s="28">
        <f>KALKULÁTOR!K270*$Q270/$Q$375</f>
        <v>0</v>
      </c>
      <c r="AB270" s="28">
        <f>KALKULÁTOR!L270*$Q270/$Q$375</f>
        <v>0</v>
      </c>
      <c r="AC270" s="41">
        <f>KALKULÁTOR!C270*Q270</f>
        <v>0</v>
      </c>
      <c r="AD270" s="378">
        <f t="shared" si="7"/>
        <v>0</v>
      </c>
      <c r="AF270" s="479" t="s">
        <v>157</v>
      </c>
      <c r="AG270" s="480"/>
      <c r="AH270" s="1"/>
      <c r="AI270" s="35"/>
    </row>
    <row r="271" spans="1:35" x14ac:dyDescent="0.25">
      <c r="A271" s="582"/>
      <c r="B271" s="504"/>
      <c r="C271" s="81"/>
      <c r="D271" s="27" t="s">
        <v>16</v>
      </c>
      <c r="E271" s="5"/>
      <c r="F271" s="4"/>
      <c r="G271" s="4"/>
      <c r="H271" s="4"/>
      <c r="I271" s="4">
        <v>11</v>
      </c>
      <c r="J271" s="4">
        <v>11.7</v>
      </c>
      <c r="K271" s="4"/>
      <c r="L271" s="4">
        <v>8</v>
      </c>
      <c r="M271" s="43"/>
      <c r="N271" s="472" t="s">
        <v>163</v>
      </c>
      <c r="O271" s="472"/>
      <c r="P271" s="472"/>
      <c r="Q271" s="145"/>
      <c r="R271" s="80" t="s">
        <v>149</v>
      </c>
      <c r="S271" s="123">
        <f>$P$11*0.015</f>
        <v>1.5</v>
      </c>
      <c r="T271" s="121">
        <f>$P$11*0.015</f>
        <v>1.5</v>
      </c>
      <c r="U271" s="36">
        <f>KALKULÁTOR!E271*Q271</f>
        <v>0</v>
      </c>
      <c r="V271" s="28">
        <f>KALKULÁTOR!F271*$Q271/$Q$375</f>
        <v>0</v>
      </c>
      <c r="W271" s="28">
        <f>KALKULÁTOR!G271*$Q271/$Q$375</f>
        <v>0</v>
      </c>
      <c r="X271" s="28">
        <f>KALKULÁTOR!H271*$Q271/$Q$375</f>
        <v>0</v>
      </c>
      <c r="Y271" s="28">
        <f>KALKULÁTOR!I271*$Q271/$Q$375</f>
        <v>0</v>
      </c>
      <c r="Z271" s="28">
        <f>KALKULÁTOR!J271*$Q271/$Q$375</f>
        <v>0</v>
      </c>
      <c r="AA271" s="28">
        <f>KALKULÁTOR!K271*$Q271/$Q$375</f>
        <v>0</v>
      </c>
      <c r="AB271" s="28">
        <f>KALKULÁTOR!L271*$Q271/$Q$375</f>
        <v>0</v>
      </c>
      <c r="AC271" s="41">
        <f>KALKULÁTOR!C271*Q271</f>
        <v>0</v>
      </c>
      <c r="AD271" s="378">
        <f t="shared" si="7"/>
        <v>0</v>
      </c>
      <c r="AF271" s="479" t="s">
        <v>157</v>
      </c>
      <c r="AG271" s="480"/>
      <c r="AH271" s="1"/>
      <c r="AI271" s="35"/>
    </row>
    <row r="272" spans="1:35" x14ac:dyDescent="0.25">
      <c r="A272" s="582"/>
      <c r="B272" s="504"/>
      <c r="C272" s="81"/>
      <c r="D272" s="27" t="s">
        <v>16</v>
      </c>
      <c r="E272" s="5"/>
      <c r="F272" s="4"/>
      <c r="G272" s="4"/>
      <c r="H272" s="4"/>
      <c r="I272" s="4">
        <v>23</v>
      </c>
      <c r="J272" s="4">
        <v>5.5</v>
      </c>
      <c r="K272" s="4">
        <v>5</v>
      </c>
      <c r="L272" s="4">
        <v>7.5</v>
      </c>
      <c r="M272" s="43"/>
      <c r="N272" s="472" t="s">
        <v>164</v>
      </c>
      <c r="O272" s="472"/>
      <c r="P272" s="472"/>
      <c r="Q272" s="107"/>
      <c r="R272" s="80" t="s">
        <v>149</v>
      </c>
      <c r="S272" s="123">
        <f>$P$11*0.03</f>
        <v>3</v>
      </c>
      <c r="T272" s="121">
        <f>$P$11*0.03</f>
        <v>3</v>
      </c>
      <c r="U272" s="36">
        <f>KALKULÁTOR!E272*Q272</f>
        <v>0</v>
      </c>
      <c r="V272" s="28">
        <f>KALKULÁTOR!F272*$Q272/$Q$375</f>
        <v>0</v>
      </c>
      <c r="W272" s="28">
        <f>KALKULÁTOR!G272*$Q272/$Q$375</f>
        <v>0</v>
      </c>
      <c r="X272" s="28">
        <f>KALKULÁTOR!H272*$Q272/$Q$375</f>
        <v>0</v>
      </c>
      <c r="Y272" s="28">
        <f>KALKULÁTOR!I272*$Q272/$Q$375</f>
        <v>0</v>
      </c>
      <c r="Z272" s="28">
        <f>KALKULÁTOR!J272*$Q272/$Q$375</f>
        <v>0</v>
      </c>
      <c r="AA272" s="28">
        <f>KALKULÁTOR!K272*$Q272/$Q$375</f>
        <v>0</v>
      </c>
      <c r="AB272" s="28">
        <f>KALKULÁTOR!L272*$Q272/$Q$375</f>
        <v>0</v>
      </c>
      <c r="AC272" s="41">
        <f>KALKULÁTOR!C272*Q272</f>
        <v>0</v>
      </c>
      <c r="AD272" s="378">
        <f t="shared" si="7"/>
        <v>0</v>
      </c>
      <c r="AF272" s="479" t="s">
        <v>157</v>
      </c>
      <c r="AG272" s="480"/>
      <c r="AH272" s="1"/>
      <c r="AI272" s="35"/>
    </row>
    <row r="273" spans="1:35" x14ac:dyDescent="0.25">
      <c r="A273" s="582"/>
      <c r="B273" s="504"/>
      <c r="C273" s="81"/>
      <c r="D273" s="27" t="s">
        <v>16</v>
      </c>
      <c r="E273" s="43"/>
      <c r="F273" s="17">
        <v>41</v>
      </c>
      <c r="G273" s="17">
        <v>1.8</v>
      </c>
      <c r="H273" s="17">
        <v>5.5</v>
      </c>
      <c r="I273" s="17">
        <v>2.8</v>
      </c>
      <c r="J273" s="17">
        <v>1.3</v>
      </c>
      <c r="K273" s="17">
        <v>2.9</v>
      </c>
      <c r="L273" s="17">
        <v>1.1000000000000001</v>
      </c>
      <c r="M273" s="43"/>
      <c r="N273" s="472" t="s">
        <v>451</v>
      </c>
      <c r="O273" s="472"/>
      <c r="P273" s="472"/>
      <c r="Q273" s="107"/>
      <c r="R273" s="80" t="s">
        <v>149</v>
      </c>
      <c r="S273" s="123">
        <f>$P$11*0.25</f>
        <v>25</v>
      </c>
      <c r="T273" s="121">
        <f>$P$11*0.37</f>
        <v>37</v>
      </c>
      <c r="U273" s="36">
        <f>KALKULÁTOR!E273*Q273</f>
        <v>0</v>
      </c>
      <c r="V273" s="28">
        <f>KALKULÁTOR!F273*$Q273/$Q$375</f>
        <v>0</v>
      </c>
      <c r="W273" s="28">
        <f>KALKULÁTOR!G273*$Q273/$Q$375</f>
        <v>0</v>
      </c>
      <c r="X273" s="28">
        <f>KALKULÁTOR!H273*$Q273/$Q$375</f>
        <v>0</v>
      </c>
      <c r="Y273" s="28">
        <f>KALKULÁTOR!I273*$Q273/$Q$375</f>
        <v>0</v>
      </c>
      <c r="Z273" s="28">
        <f>KALKULÁTOR!J273*$Q273/$Q$375</f>
        <v>0</v>
      </c>
      <c r="AA273" s="28">
        <f>KALKULÁTOR!K273*$Q273/$Q$375</f>
        <v>0</v>
      </c>
      <c r="AB273" s="28">
        <f>KALKULÁTOR!L273*$Q273/$Q$375</f>
        <v>0</v>
      </c>
      <c r="AC273" s="41">
        <f>KALKULÁTOR!C273*Q273</f>
        <v>0</v>
      </c>
      <c r="AD273" s="378">
        <f t="shared" si="7"/>
        <v>0</v>
      </c>
      <c r="AF273" s="479" t="s">
        <v>157</v>
      </c>
      <c r="AG273" s="480"/>
      <c r="AH273" s="1"/>
      <c r="AI273" s="35"/>
    </row>
    <row r="274" spans="1:35" ht="15.75" thickBot="1" x14ac:dyDescent="0.3">
      <c r="A274" s="582"/>
      <c r="B274" s="504"/>
      <c r="C274" s="94"/>
      <c r="D274" s="95" t="s">
        <v>16</v>
      </c>
      <c r="E274" s="118"/>
      <c r="F274" s="119">
        <v>41</v>
      </c>
      <c r="G274" s="119">
        <v>1</v>
      </c>
      <c r="H274" s="119">
        <v>6.3</v>
      </c>
      <c r="I274" s="119">
        <v>2.8</v>
      </c>
      <c r="J274" s="119">
        <v>1.3</v>
      </c>
      <c r="K274" s="119">
        <v>3</v>
      </c>
      <c r="L274" s="119">
        <v>1.1000000000000001</v>
      </c>
      <c r="M274" s="118"/>
      <c r="N274" s="476" t="s">
        <v>450</v>
      </c>
      <c r="O274" s="476"/>
      <c r="P274" s="476"/>
      <c r="Q274" s="145"/>
      <c r="R274" s="151" t="s">
        <v>149</v>
      </c>
      <c r="S274" s="433">
        <f>$P$11*0.23</f>
        <v>23</v>
      </c>
      <c r="T274" s="430">
        <f>$P$11*0.35</f>
        <v>35</v>
      </c>
      <c r="U274" s="22">
        <f>KALKULÁTOR!E274*Q274</f>
        <v>0</v>
      </c>
      <c r="V274" s="48">
        <f>KALKULÁTOR!F274*$Q274/$Q$375</f>
        <v>0</v>
      </c>
      <c r="W274" s="48">
        <f>KALKULÁTOR!G274*$Q274/$Q$375</f>
        <v>0</v>
      </c>
      <c r="X274" s="48">
        <f>KALKULÁTOR!H274*$Q274/$Q$375</f>
        <v>0</v>
      </c>
      <c r="Y274" s="48">
        <f>KALKULÁTOR!I274*$Q274/$Q$375</f>
        <v>0</v>
      </c>
      <c r="Z274" s="48">
        <f>KALKULÁTOR!J274*$Q274/$Q$375</f>
        <v>0</v>
      </c>
      <c r="AA274" s="48">
        <f>KALKULÁTOR!K274*$Q274/$Q$375</f>
        <v>0</v>
      </c>
      <c r="AB274" s="48">
        <f>KALKULÁTOR!L274*$Q274/$Q$375</f>
        <v>0</v>
      </c>
      <c r="AC274" s="49">
        <f>KALKULÁTOR!C274*Q274</f>
        <v>0</v>
      </c>
      <c r="AD274" s="378">
        <f t="shared" si="7"/>
        <v>0</v>
      </c>
      <c r="AF274" s="479" t="s">
        <v>157</v>
      </c>
      <c r="AG274" s="480"/>
      <c r="AH274" s="1"/>
      <c r="AI274" s="35"/>
    </row>
    <row r="275" spans="1:35" x14ac:dyDescent="0.25">
      <c r="A275" s="582"/>
      <c r="B275" s="620" t="s">
        <v>119</v>
      </c>
      <c r="C275" s="440"/>
      <c r="D275" s="25" t="s">
        <v>16</v>
      </c>
      <c r="E275" s="92">
        <v>3.16</v>
      </c>
      <c r="F275" s="19">
        <v>16.088999999999999</v>
      </c>
      <c r="G275" s="19"/>
      <c r="H275" s="19"/>
      <c r="I275" s="19">
        <v>16.126000000000001</v>
      </c>
      <c r="J275" s="19">
        <v>4.5410000000000004</v>
      </c>
      <c r="K275" s="19">
        <v>7.0209999999999999</v>
      </c>
      <c r="L275" s="19">
        <v>6.6040000000000001</v>
      </c>
      <c r="M275" s="42"/>
      <c r="N275" s="477" t="s">
        <v>476</v>
      </c>
      <c r="O275" s="477"/>
      <c r="P275" s="477"/>
      <c r="Q275" s="145"/>
      <c r="R275" s="66" t="s">
        <v>149</v>
      </c>
      <c r="S275" s="431">
        <f>$P$11*0.03</f>
        <v>3</v>
      </c>
      <c r="T275" s="428">
        <f>$P$11*0.03</f>
        <v>3</v>
      </c>
      <c r="U275" s="37">
        <f>KALKULÁTOR!E275*Q275</f>
        <v>0</v>
      </c>
      <c r="V275" s="26">
        <f>KALKULÁTOR!F275*$Q275/$Q$375</f>
        <v>0</v>
      </c>
      <c r="W275" s="26">
        <f>KALKULÁTOR!G275*$Q275/$Q$375</f>
        <v>0</v>
      </c>
      <c r="X275" s="26">
        <f>KALKULÁTOR!H275*$Q275/$Q$375</f>
        <v>0</v>
      </c>
      <c r="Y275" s="26">
        <f>KALKULÁTOR!I275*$Q275/$Q$375</f>
        <v>0</v>
      </c>
      <c r="Z275" s="26">
        <f>KALKULÁTOR!J275*$Q275/$Q$375</f>
        <v>0</v>
      </c>
      <c r="AA275" s="26">
        <f>KALKULÁTOR!K275*$Q275/$Q$375</f>
        <v>0</v>
      </c>
      <c r="AB275" s="26">
        <f>KALKULÁTOR!L275*$Q275/$Q$375</f>
        <v>0</v>
      </c>
      <c r="AC275" s="40">
        <f>KALKULÁTOR!C275*Q275</f>
        <v>0</v>
      </c>
      <c r="AD275" s="378">
        <f t="shared" si="7"/>
        <v>0</v>
      </c>
      <c r="AH275" s="34"/>
      <c r="AI275" s="35"/>
    </row>
    <row r="276" spans="1:35" x14ac:dyDescent="0.25">
      <c r="A276" s="582"/>
      <c r="B276" s="621"/>
      <c r="C276" s="401"/>
      <c r="D276" s="27" t="s">
        <v>16</v>
      </c>
      <c r="E276" s="5">
        <v>3.16</v>
      </c>
      <c r="F276" s="4">
        <v>19.088999999999999</v>
      </c>
      <c r="G276" s="4"/>
      <c r="H276" s="4"/>
      <c r="I276" s="4">
        <v>16.501000000000001</v>
      </c>
      <c r="J276" s="4">
        <v>4.5410000000000004</v>
      </c>
      <c r="K276" s="4">
        <v>7.0209999999999999</v>
      </c>
      <c r="L276" s="4">
        <v>6.6040000000000001</v>
      </c>
      <c r="M276" s="43"/>
      <c r="N276" s="472" t="s">
        <v>477</v>
      </c>
      <c r="O276" s="472"/>
      <c r="P276" s="472"/>
      <c r="Q276" s="107"/>
      <c r="R276" s="79" t="s">
        <v>149</v>
      </c>
      <c r="S276" s="432">
        <f>$P$11*0.03</f>
        <v>3</v>
      </c>
      <c r="T276" s="429">
        <f>$P$11*0.03</f>
        <v>3</v>
      </c>
      <c r="U276" s="36">
        <f>KALKULÁTOR!E276*Q276</f>
        <v>0</v>
      </c>
      <c r="V276" s="28">
        <f>KALKULÁTOR!F276*$Q276/$Q$375</f>
        <v>0</v>
      </c>
      <c r="W276" s="28">
        <f>KALKULÁTOR!G276*$Q276/$Q$375</f>
        <v>0</v>
      </c>
      <c r="X276" s="28">
        <f>KALKULÁTOR!H276*$Q276/$Q$375</f>
        <v>0</v>
      </c>
      <c r="Y276" s="28">
        <f>KALKULÁTOR!I276*$Q276/$Q$375</f>
        <v>0</v>
      </c>
      <c r="Z276" s="28">
        <f>KALKULÁTOR!J276*$Q276/$Q$375</f>
        <v>0</v>
      </c>
      <c r="AA276" s="28">
        <f>KALKULÁTOR!K276*$Q276/$Q$375</f>
        <v>0</v>
      </c>
      <c r="AB276" s="28">
        <f>KALKULÁTOR!L276*$Q276/$Q$375</f>
        <v>0</v>
      </c>
      <c r="AC276" s="41">
        <f>KALKULÁTOR!C276*Q276</f>
        <v>0</v>
      </c>
      <c r="AD276" s="378">
        <f t="shared" ref="AD276" si="10">IF(AND(Q276&gt;=S276,Q276&lt;=T276),1,0)</f>
        <v>0</v>
      </c>
      <c r="AH276" s="34"/>
      <c r="AI276" s="35"/>
    </row>
    <row r="277" spans="1:35" x14ac:dyDescent="0.25">
      <c r="A277" s="582"/>
      <c r="B277" s="621"/>
      <c r="C277" s="401"/>
      <c r="D277" s="27" t="s">
        <v>16</v>
      </c>
      <c r="E277" s="5">
        <v>2.9</v>
      </c>
      <c r="F277" s="4">
        <v>14.307</v>
      </c>
      <c r="G277" s="4"/>
      <c r="H277" s="4"/>
      <c r="I277" s="4">
        <v>18.456</v>
      </c>
      <c r="J277" s="4">
        <v>3.0289999999999999</v>
      </c>
      <c r="K277" s="4">
        <v>6.5060000000000002</v>
      </c>
      <c r="L277" s="4">
        <v>6.6040000000000001</v>
      </c>
      <c r="M277" s="43"/>
      <c r="N277" s="472" t="s">
        <v>478</v>
      </c>
      <c r="O277" s="472"/>
      <c r="P277" s="472"/>
      <c r="Q277" s="107"/>
      <c r="R277" s="79" t="s">
        <v>149</v>
      </c>
      <c r="S277" s="432">
        <f>$P$11*0.03</f>
        <v>3</v>
      </c>
      <c r="T277" s="429">
        <f>$P$11*0.03</f>
        <v>3</v>
      </c>
      <c r="U277" s="36">
        <f>KALKULÁTOR!E277*Q277</f>
        <v>0</v>
      </c>
      <c r="V277" s="28">
        <f>KALKULÁTOR!F277*$Q277/$Q$375</f>
        <v>0</v>
      </c>
      <c r="W277" s="28">
        <f>KALKULÁTOR!G277*$Q277/$Q$375</f>
        <v>0</v>
      </c>
      <c r="X277" s="28">
        <f>KALKULÁTOR!H277*$Q277/$Q$375</f>
        <v>0</v>
      </c>
      <c r="Y277" s="28">
        <f>KALKULÁTOR!I277*$Q277/$Q$375</f>
        <v>0</v>
      </c>
      <c r="Z277" s="28">
        <f>KALKULÁTOR!J277*$Q277/$Q$375</f>
        <v>0</v>
      </c>
      <c r="AA277" s="28">
        <f>KALKULÁTOR!K277*$Q277/$Q$375</f>
        <v>0</v>
      </c>
      <c r="AB277" s="28">
        <f>KALKULÁTOR!L277*$Q277/$Q$375</f>
        <v>0</v>
      </c>
      <c r="AC277" s="41">
        <f>KALKULÁTOR!C277*Q277</f>
        <v>0</v>
      </c>
      <c r="AD277" s="378">
        <f t="shared" si="7"/>
        <v>0</v>
      </c>
      <c r="AH277" s="34"/>
      <c r="AI277" s="35"/>
    </row>
    <row r="278" spans="1:35" x14ac:dyDescent="0.25">
      <c r="A278" s="582"/>
      <c r="B278" s="621"/>
      <c r="C278" s="401"/>
      <c r="D278" s="27" t="s">
        <v>16</v>
      </c>
      <c r="E278" s="5">
        <v>2.9</v>
      </c>
      <c r="F278" s="4">
        <v>14.307</v>
      </c>
      <c r="G278" s="4"/>
      <c r="H278" s="4"/>
      <c r="I278" s="4">
        <v>18.831</v>
      </c>
      <c r="J278" s="4">
        <v>3.0289999999999999</v>
      </c>
      <c r="K278" s="4">
        <v>6.5060000000000002</v>
      </c>
      <c r="L278" s="4">
        <v>6.6040000000000001</v>
      </c>
      <c r="M278" s="43"/>
      <c r="N278" s="472" t="s">
        <v>479</v>
      </c>
      <c r="O278" s="472"/>
      <c r="P278" s="472"/>
      <c r="Q278" s="145"/>
      <c r="R278" s="79" t="s">
        <v>149</v>
      </c>
      <c r="S278" s="432">
        <f>$P$11*0.03</f>
        <v>3</v>
      </c>
      <c r="T278" s="429">
        <f>$P$11*0.03</f>
        <v>3</v>
      </c>
      <c r="U278" s="36">
        <f>KALKULÁTOR!E278*Q278</f>
        <v>0</v>
      </c>
      <c r="V278" s="28">
        <f>KALKULÁTOR!F278*$Q278/$Q$375</f>
        <v>0</v>
      </c>
      <c r="W278" s="28">
        <f>KALKULÁTOR!G278*$Q278/$Q$375</f>
        <v>0</v>
      </c>
      <c r="X278" s="28">
        <f>KALKULÁTOR!H278*$Q278/$Q$375</f>
        <v>0</v>
      </c>
      <c r="Y278" s="28">
        <f>KALKULÁTOR!I278*$Q278/$Q$375</f>
        <v>0</v>
      </c>
      <c r="Z278" s="28">
        <f>KALKULÁTOR!J278*$Q278/$Q$375</f>
        <v>0</v>
      </c>
      <c r="AA278" s="28">
        <f>KALKULÁTOR!K278*$Q278/$Q$375</f>
        <v>0</v>
      </c>
      <c r="AB278" s="28">
        <f>KALKULÁTOR!L278*$Q278/$Q$375</f>
        <v>0</v>
      </c>
      <c r="AC278" s="41">
        <f>KALKULÁTOR!C278*Q278</f>
        <v>0</v>
      </c>
      <c r="AD278" s="378">
        <f t="shared" ref="AD278" si="11">IF(AND(Q278&gt;=S278,Q278&lt;=T278),1,0)</f>
        <v>0</v>
      </c>
      <c r="AH278" s="34"/>
      <c r="AI278" s="35"/>
    </row>
    <row r="279" spans="1:35" x14ac:dyDescent="0.25">
      <c r="A279" s="582"/>
      <c r="B279" s="621"/>
      <c r="C279" s="401"/>
      <c r="D279" s="27" t="s">
        <v>16</v>
      </c>
      <c r="E279" s="5">
        <v>2.38</v>
      </c>
      <c r="F279" s="4">
        <v>11.340999999999999</v>
      </c>
      <c r="G279" s="4"/>
      <c r="H279" s="4"/>
      <c r="I279" s="4">
        <v>18.138000000000002</v>
      </c>
      <c r="J279" s="4">
        <v>1.476</v>
      </c>
      <c r="K279" s="4">
        <v>5.0709999999999997</v>
      </c>
      <c r="L279" s="4">
        <v>5.94</v>
      </c>
      <c r="M279" s="43"/>
      <c r="N279" s="472" t="s">
        <v>480</v>
      </c>
      <c r="O279" s="472"/>
      <c r="P279" s="472"/>
      <c r="Q279" s="145"/>
      <c r="R279" s="79" t="s">
        <v>149</v>
      </c>
      <c r="S279" s="432">
        <f>$P$11*0.03</f>
        <v>3</v>
      </c>
      <c r="T279" s="429">
        <f>$P$11*0.03</f>
        <v>3</v>
      </c>
      <c r="U279" s="36">
        <f>KALKULÁTOR!E279*Q279</f>
        <v>0</v>
      </c>
      <c r="V279" s="28">
        <f>KALKULÁTOR!F279*$Q279/$Q$375</f>
        <v>0</v>
      </c>
      <c r="W279" s="28">
        <f>KALKULÁTOR!G279*$Q279/$Q$375</f>
        <v>0</v>
      </c>
      <c r="X279" s="28">
        <f>KALKULÁTOR!H279*$Q279/$Q$375</f>
        <v>0</v>
      </c>
      <c r="Y279" s="28">
        <f>KALKULÁTOR!I279*$Q279/$Q$375</f>
        <v>0</v>
      </c>
      <c r="Z279" s="28">
        <f>KALKULÁTOR!J279*$Q279/$Q$375</f>
        <v>0</v>
      </c>
      <c r="AA279" s="28">
        <f>KALKULÁTOR!K279*$Q279/$Q$375</f>
        <v>0</v>
      </c>
      <c r="AB279" s="28">
        <f>KALKULÁTOR!L279*$Q279/$Q$375</f>
        <v>0</v>
      </c>
      <c r="AC279" s="41">
        <f>KALKULÁTOR!C279*Q279</f>
        <v>0</v>
      </c>
      <c r="AD279" s="378">
        <f t="shared" si="7"/>
        <v>0</v>
      </c>
      <c r="AH279" s="34"/>
      <c r="AI279" s="35"/>
    </row>
    <row r="280" spans="1:35" x14ac:dyDescent="0.25">
      <c r="A280" s="582"/>
      <c r="B280" s="621"/>
      <c r="C280" s="401"/>
      <c r="D280" s="27" t="s">
        <v>16</v>
      </c>
      <c r="E280" s="5">
        <v>8.7100000000000009</v>
      </c>
      <c r="F280" s="4">
        <v>36.4</v>
      </c>
      <c r="G280" s="4">
        <v>4.2</v>
      </c>
      <c r="H280" s="4">
        <v>10.5</v>
      </c>
      <c r="I280" s="4">
        <v>2.73</v>
      </c>
      <c r="J280" s="4">
        <v>1.54</v>
      </c>
      <c r="K280" s="4">
        <v>1.5</v>
      </c>
      <c r="L280" s="4">
        <v>0.9</v>
      </c>
      <c r="M280" s="43"/>
      <c r="N280" s="472" t="s">
        <v>208</v>
      </c>
      <c r="O280" s="472"/>
      <c r="P280" s="472"/>
      <c r="Q280" s="107"/>
      <c r="R280" s="79" t="s">
        <v>149</v>
      </c>
      <c r="S280" s="432">
        <f>$P$11*0.3</f>
        <v>30</v>
      </c>
      <c r="T280" s="429">
        <f>$P$11*0.3</f>
        <v>30</v>
      </c>
      <c r="U280" s="36">
        <f>KALKULÁTOR!E280*Q280</f>
        <v>0</v>
      </c>
      <c r="V280" s="28">
        <f>KALKULÁTOR!F280*$Q280/$Q$375</f>
        <v>0</v>
      </c>
      <c r="W280" s="28">
        <f>KALKULÁTOR!G280*$Q280/$Q$375</f>
        <v>0</v>
      </c>
      <c r="X280" s="28">
        <f>KALKULÁTOR!H280*$Q280/$Q$375</f>
        <v>0</v>
      </c>
      <c r="Y280" s="28">
        <f>KALKULÁTOR!I280*$Q280/$Q$375</f>
        <v>0</v>
      </c>
      <c r="Z280" s="28">
        <f>KALKULÁTOR!J280*$Q280/$Q$375</f>
        <v>0</v>
      </c>
      <c r="AA280" s="28">
        <f>KALKULÁTOR!K280*$Q280/$Q$375</f>
        <v>0</v>
      </c>
      <c r="AB280" s="28">
        <f>KALKULÁTOR!L280*$Q280/$Q$375</f>
        <v>0</v>
      </c>
      <c r="AC280" s="41">
        <f>KALKULÁTOR!C280*Q280</f>
        <v>0</v>
      </c>
      <c r="AD280" s="378">
        <f t="shared" si="7"/>
        <v>0</v>
      </c>
      <c r="AH280" s="34"/>
      <c r="AI280" s="35"/>
    </row>
    <row r="281" spans="1:35" x14ac:dyDescent="0.25">
      <c r="A281" s="582"/>
      <c r="B281" s="621"/>
      <c r="C281" s="401"/>
      <c r="D281" s="27" t="s">
        <v>16</v>
      </c>
      <c r="E281" s="5"/>
      <c r="F281" s="4"/>
      <c r="G281" s="4"/>
      <c r="H281" s="4"/>
      <c r="I281" s="4">
        <v>19.559999999999999</v>
      </c>
      <c r="J281" s="4">
        <v>2.44</v>
      </c>
      <c r="K281" s="4">
        <v>3.55</v>
      </c>
      <c r="L281" s="4">
        <v>4.07</v>
      </c>
      <c r="M281" s="43"/>
      <c r="N281" s="472" t="s">
        <v>405</v>
      </c>
      <c r="O281" s="472"/>
      <c r="P281" s="472"/>
      <c r="Q281" s="107"/>
      <c r="R281" s="79" t="s">
        <v>149</v>
      </c>
      <c r="S281" s="432">
        <f>$P$11*0.025</f>
        <v>2.5</v>
      </c>
      <c r="T281" s="429">
        <f>$P$11*0.025</f>
        <v>2.5</v>
      </c>
      <c r="U281" s="36">
        <f>KALKULÁTOR!E281*Q281</f>
        <v>0</v>
      </c>
      <c r="V281" s="28">
        <f>KALKULÁTOR!F281*$Q281/$Q$375</f>
        <v>0</v>
      </c>
      <c r="W281" s="28">
        <f>KALKULÁTOR!G281*$Q281/$Q$375</f>
        <v>0</v>
      </c>
      <c r="X281" s="28">
        <f>KALKULÁTOR!H281*$Q281/$Q$375</f>
        <v>0</v>
      </c>
      <c r="Y281" s="28">
        <f>KALKULÁTOR!I281*$Q281/$Q$375</f>
        <v>0</v>
      </c>
      <c r="Z281" s="28">
        <f>KALKULÁTOR!J281*$Q281/$Q$375</f>
        <v>0</v>
      </c>
      <c r="AA281" s="28">
        <f>KALKULÁTOR!K281*$Q281/$Q$375</f>
        <v>0</v>
      </c>
      <c r="AB281" s="28">
        <f>KALKULÁTOR!L281*$Q281/$Q$375</f>
        <v>0</v>
      </c>
      <c r="AC281" s="41">
        <f>KALKULÁTOR!C281*Q281</f>
        <v>0</v>
      </c>
      <c r="AD281" s="378">
        <f t="shared" si="7"/>
        <v>0</v>
      </c>
      <c r="AH281" s="34"/>
      <c r="AI281" s="35"/>
    </row>
    <row r="282" spans="1:35" ht="15.75" thickBot="1" x14ac:dyDescent="0.3">
      <c r="A282" s="582"/>
      <c r="B282" s="622"/>
      <c r="C282" s="441"/>
      <c r="D282" s="29" t="s">
        <v>16</v>
      </c>
      <c r="E282" s="51"/>
      <c r="F282" s="18"/>
      <c r="G282" s="18"/>
      <c r="H282" s="18"/>
      <c r="I282" s="18">
        <v>19.559999999999999</v>
      </c>
      <c r="J282" s="18">
        <v>2.4300000000000002</v>
      </c>
      <c r="K282" s="18">
        <v>2.1</v>
      </c>
      <c r="L282" s="18">
        <v>4.0999999999999996</v>
      </c>
      <c r="M282" s="53"/>
      <c r="N282" s="489" t="s">
        <v>406</v>
      </c>
      <c r="O282" s="489"/>
      <c r="P282" s="489"/>
      <c r="Q282" s="145"/>
      <c r="R282" s="83" t="s">
        <v>149</v>
      </c>
      <c r="S282" s="376">
        <f>$P$11*0.025</f>
        <v>2.5</v>
      </c>
      <c r="T282" s="373">
        <f>$P$11*0.025</f>
        <v>2.5</v>
      </c>
      <c r="U282" s="38">
        <f>KALKULÁTOR!E282*Q282</f>
        <v>0</v>
      </c>
      <c r="V282" s="67">
        <f>KALKULÁTOR!F282*$Q282/$Q$375</f>
        <v>0</v>
      </c>
      <c r="W282" s="67">
        <f>KALKULÁTOR!G282*$Q282/$Q$375</f>
        <v>0</v>
      </c>
      <c r="X282" s="67">
        <f>KALKULÁTOR!H282*$Q282/$Q$375</f>
        <v>0</v>
      </c>
      <c r="Y282" s="67">
        <f>KALKULÁTOR!I282*$Q282/$Q$375</f>
        <v>0</v>
      </c>
      <c r="Z282" s="67">
        <f>KALKULÁTOR!J282*$Q282/$Q$375</f>
        <v>0</v>
      </c>
      <c r="AA282" s="67">
        <f>KALKULÁTOR!K282*$Q282/$Q$375</f>
        <v>0</v>
      </c>
      <c r="AB282" s="67">
        <f>KALKULÁTOR!L282*$Q282/$Q$375</f>
        <v>0</v>
      </c>
      <c r="AC282" s="68">
        <f>KALKULÁTOR!C282*Q282</f>
        <v>0</v>
      </c>
      <c r="AD282" s="378">
        <f t="shared" si="7"/>
        <v>0</v>
      </c>
      <c r="AH282" s="34"/>
      <c r="AI282" s="35"/>
    </row>
    <row r="283" spans="1:35" x14ac:dyDescent="0.25">
      <c r="A283" s="582"/>
      <c r="B283" s="578" t="s">
        <v>241</v>
      </c>
      <c r="C283" s="436"/>
      <c r="D283" s="165" t="s">
        <v>16</v>
      </c>
      <c r="E283" s="437"/>
      <c r="F283" s="438">
        <v>3.4350000000000001</v>
      </c>
      <c r="G283" s="438"/>
      <c r="H283" s="438"/>
      <c r="I283" s="438">
        <v>18.8</v>
      </c>
      <c r="J283" s="438">
        <v>9.1219999999999999</v>
      </c>
      <c r="K283" s="438">
        <v>0.78</v>
      </c>
      <c r="L283" s="438">
        <v>4.2569999999999997</v>
      </c>
      <c r="M283" s="144"/>
      <c r="N283" s="570" t="s">
        <v>242</v>
      </c>
      <c r="O283" s="570"/>
      <c r="P283" s="570"/>
      <c r="Q283" s="145"/>
      <c r="R283" s="439" t="s">
        <v>149</v>
      </c>
      <c r="S283" s="217">
        <f>$P$11*0.03</f>
        <v>3</v>
      </c>
      <c r="T283" s="218">
        <f>$P$11*0.03</f>
        <v>3</v>
      </c>
      <c r="U283" s="216">
        <f>KALKULÁTOR!E283*Q283</f>
        <v>0</v>
      </c>
      <c r="V283" s="219">
        <f>KALKULÁTOR!F283*$Q283/$Q$375</f>
        <v>0</v>
      </c>
      <c r="W283" s="219">
        <f>KALKULÁTOR!G283*$Q283/$Q$375</f>
        <v>0</v>
      </c>
      <c r="X283" s="219">
        <f>KALKULÁTOR!H283*$Q283/$Q$375</f>
        <v>0</v>
      </c>
      <c r="Y283" s="219">
        <f>KALKULÁTOR!I283*$Q283/$Q$375</f>
        <v>0</v>
      </c>
      <c r="Z283" s="219">
        <f>KALKULÁTOR!J283*$Q283/$Q$375</f>
        <v>0</v>
      </c>
      <c r="AA283" s="219">
        <f>KALKULÁTOR!K283*$Q283/$Q$375</f>
        <v>0</v>
      </c>
      <c r="AB283" s="219">
        <f>KALKULÁTOR!L283*$Q283/$Q$375</f>
        <v>0</v>
      </c>
      <c r="AC283" s="220">
        <f>KALKULÁTOR!C283*Q283</f>
        <v>0</v>
      </c>
      <c r="AD283" s="378">
        <f t="shared" si="7"/>
        <v>0</v>
      </c>
      <c r="AH283" s="34"/>
      <c r="AI283" s="35"/>
    </row>
    <row r="284" spans="1:35" x14ac:dyDescent="0.25">
      <c r="A284" s="582"/>
      <c r="B284" s="578"/>
      <c r="C284" s="94"/>
      <c r="D284" s="95" t="s">
        <v>16</v>
      </c>
      <c r="E284" s="44">
        <v>6.1849999999999996</v>
      </c>
      <c r="F284" s="21">
        <v>30.404</v>
      </c>
      <c r="G284" s="21">
        <v>1.04</v>
      </c>
      <c r="H284" s="21">
        <v>2.2949999999999999</v>
      </c>
      <c r="I284" s="21">
        <v>12.73</v>
      </c>
      <c r="J284" s="21">
        <v>1.3109999999999999</v>
      </c>
      <c r="K284" s="21">
        <v>2.4670000000000001</v>
      </c>
      <c r="L284" s="21">
        <v>0.84399999999999997</v>
      </c>
      <c r="M284" s="43"/>
      <c r="N284" s="472" t="s">
        <v>243</v>
      </c>
      <c r="O284" s="472"/>
      <c r="P284" s="472"/>
      <c r="Q284" s="107"/>
      <c r="R284" s="96" t="s">
        <v>149</v>
      </c>
      <c r="S284" s="147">
        <f>$P$11*0.3</f>
        <v>30</v>
      </c>
      <c r="T284" s="146">
        <f>$P$11*0.3</f>
        <v>30</v>
      </c>
      <c r="U284" s="22">
        <f>KALKULÁTOR!E284*Q284</f>
        <v>0</v>
      </c>
      <c r="V284" s="48">
        <f>KALKULÁTOR!F284*$Q284/$Q$375</f>
        <v>0</v>
      </c>
      <c r="W284" s="48">
        <f>KALKULÁTOR!G284*$Q284/$Q$375</f>
        <v>0</v>
      </c>
      <c r="X284" s="48">
        <f>KALKULÁTOR!H284*$Q284/$Q$375</f>
        <v>0</v>
      </c>
      <c r="Y284" s="48">
        <f>KALKULÁTOR!I284*$Q284/$Q$375</f>
        <v>0</v>
      </c>
      <c r="Z284" s="48">
        <f>KALKULÁTOR!J284*$Q284/$Q$375</f>
        <v>0</v>
      </c>
      <c r="AA284" s="48">
        <f>KALKULÁTOR!K284*$Q284/$Q$375</f>
        <v>0</v>
      </c>
      <c r="AB284" s="48">
        <f>KALKULÁTOR!L284*$Q284/$Q$375</f>
        <v>0</v>
      </c>
      <c r="AC284" s="49">
        <f>KALKULÁTOR!C284*Q284</f>
        <v>0</v>
      </c>
      <c r="AD284" s="378">
        <f t="shared" si="7"/>
        <v>0</v>
      </c>
      <c r="AH284" s="34"/>
      <c r="AI284" s="35"/>
    </row>
    <row r="285" spans="1:35" x14ac:dyDescent="0.25">
      <c r="A285" s="582"/>
      <c r="B285" s="578"/>
      <c r="C285" s="94"/>
      <c r="D285" s="95" t="s">
        <v>16</v>
      </c>
      <c r="E285" s="44">
        <v>8.7010000000000005</v>
      </c>
      <c r="F285" s="21">
        <v>42.652000000000001</v>
      </c>
      <c r="G285" s="21">
        <v>1.48</v>
      </c>
      <c r="H285" s="21">
        <v>3.12</v>
      </c>
      <c r="I285" s="21">
        <v>2.5609999999999999</v>
      </c>
      <c r="J285" s="21">
        <v>1.6539999999999999</v>
      </c>
      <c r="K285" s="21">
        <v>3.323</v>
      </c>
      <c r="L285" s="21">
        <v>1.1040000000000001</v>
      </c>
      <c r="M285" s="43"/>
      <c r="N285" s="472" t="s">
        <v>349</v>
      </c>
      <c r="O285" s="472"/>
      <c r="P285" s="472"/>
      <c r="Q285" s="107"/>
      <c r="R285" s="96" t="s">
        <v>149</v>
      </c>
      <c r="S285" s="264">
        <f>$P$11*0.25</f>
        <v>25</v>
      </c>
      <c r="T285" s="261">
        <f>$P$11*0.3</f>
        <v>30</v>
      </c>
      <c r="U285" s="22">
        <f>KALKULÁTOR!E285*Q285</f>
        <v>0</v>
      </c>
      <c r="V285" s="48">
        <f>KALKULÁTOR!F285*$Q285/$Q$375</f>
        <v>0</v>
      </c>
      <c r="W285" s="48">
        <f>KALKULÁTOR!G285*$Q285/$Q$375</f>
        <v>0</v>
      </c>
      <c r="X285" s="48">
        <f>KALKULÁTOR!H285*$Q285/$Q$375</f>
        <v>0</v>
      </c>
      <c r="Y285" s="48">
        <f>KALKULÁTOR!I285*$Q285/$Q$375</f>
        <v>0</v>
      </c>
      <c r="Z285" s="48">
        <f>KALKULÁTOR!J285*$Q285/$Q$375</f>
        <v>0</v>
      </c>
      <c r="AA285" s="48">
        <f>KALKULÁTOR!K285*$Q285/$Q$375</f>
        <v>0</v>
      </c>
      <c r="AB285" s="48">
        <f>KALKULÁTOR!L285*$Q285/$Q$375</f>
        <v>0</v>
      </c>
      <c r="AC285" s="49">
        <f>KALKULÁTOR!C285*Q285</f>
        <v>0</v>
      </c>
      <c r="AD285" s="378">
        <f t="shared" si="7"/>
        <v>0</v>
      </c>
      <c r="AH285" s="34"/>
      <c r="AI285" s="35"/>
    </row>
    <row r="286" spans="1:35" x14ac:dyDescent="0.25">
      <c r="A286" s="582"/>
      <c r="B286" s="578"/>
      <c r="C286" s="94"/>
      <c r="D286" s="95" t="s">
        <v>16</v>
      </c>
      <c r="E286" s="44"/>
      <c r="F286" s="21">
        <v>5.5129999999999999</v>
      </c>
      <c r="G286" s="21"/>
      <c r="H286" s="21"/>
      <c r="I286" s="21">
        <v>24.221</v>
      </c>
      <c r="J286" s="21">
        <v>6.6130000000000004</v>
      </c>
      <c r="K286" s="21">
        <v>2.73</v>
      </c>
      <c r="L286" s="21">
        <v>3.78</v>
      </c>
      <c r="M286" s="43"/>
      <c r="N286" s="476" t="s">
        <v>244</v>
      </c>
      <c r="O286" s="476"/>
      <c r="P286" s="476"/>
      <c r="Q286" s="145"/>
      <c r="R286" s="96" t="s">
        <v>149</v>
      </c>
      <c r="S286" s="147">
        <f>$P$11*0.05</f>
        <v>5</v>
      </c>
      <c r="T286" s="146">
        <f>$P$11*0.05</f>
        <v>5</v>
      </c>
      <c r="U286" s="22">
        <f>KALKULÁTOR!E286*Q286</f>
        <v>0</v>
      </c>
      <c r="V286" s="48">
        <f>KALKULÁTOR!F286*$Q286/$Q$375</f>
        <v>0</v>
      </c>
      <c r="W286" s="48">
        <f>KALKULÁTOR!G286*$Q286/$Q$375</f>
        <v>0</v>
      </c>
      <c r="X286" s="48">
        <f>KALKULÁTOR!H286*$Q286/$Q$375</f>
        <v>0</v>
      </c>
      <c r="Y286" s="48">
        <f>KALKULÁTOR!I286*$Q286/$Q$375</f>
        <v>0</v>
      </c>
      <c r="Z286" s="48">
        <f>KALKULÁTOR!J286*$Q286/$Q$375</f>
        <v>0</v>
      </c>
      <c r="AA286" s="48">
        <f>KALKULÁTOR!K286*$Q286/$Q$375</f>
        <v>0</v>
      </c>
      <c r="AB286" s="48">
        <f>KALKULÁTOR!L286*$Q286/$Q$375</f>
        <v>0</v>
      </c>
      <c r="AC286" s="49">
        <f>KALKULÁTOR!C286*Q286</f>
        <v>0</v>
      </c>
      <c r="AD286" s="378">
        <f t="shared" ref="AD286:AD313" si="12">IF(AND(Q286&gt;=S286,Q286&lt;=T286),1,0)</f>
        <v>0</v>
      </c>
      <c r="AH286" s="34"/>
      <c r="AI286" s="35"/>
    </row>
    <row r="287" spans="1:35" x14ac:dyDescent="0.25">
      <c r="A287" s="582"/>
      <c r="B287" s="578"/>
      <c r="C287" s="94"/>
      <c r="D287" s="95" t="s">
        <v>16</v>
      </c>
      <c r="E287" s="44"/>
      <c r="F287" s="21">
        <v>5.2859999999999996</v>
      </c>
      <c r="G287" s="21"/>
      <c r="H287" s="21"/>
      <c r="I287" s="21">
        <v>20.893999999999998</v>
      </c>
      <c r="J287" s="21">
        <v>8.4459999999999997</v>
      </c>
      <c r="K287" s="21">
        <v>2.34</v>
      </c>
      <c r="L287" s="21">
        <v>4.2080000000000002</v>
      </c>
      <c r="M287" s="43"/>
      <c r="N287" s="476" t="s">
        <v>245</v>
      </c>
      <c r="O287" s="476"/>
      <c r="P287" s="476"/>
      <c r="Q287" s="145"/>
      <c r="R287" s="96" t="s">
        <v>149</v>
      </c>
      <c r="S287" s="147">
        <f>$P$11*0.04</f>
        <v>4</v>
      </c>
      <c r="T287" s="146">
        <f>$P$11*0.04</f>
        <v>4</v>
      </c>
      <c r="U287" s="22">
        <f>KALKULÁTOR!E287*Q287</f>
        <v>0</v>
      </c>
      <c r="V287" s="48">
        <f>KALKULÁTOR!F287*$Q287/$Q$375</f>
        <v>0</v>
      </c>
      <c r="W287" s="48">
        <f>KALKULÁTOR!G287*$Q287/$Q$375</f>
        <v>0</v>
      </c>
      <c r="X287" s="48">
        <f>KALKULÁTOR!H287*$Q287/$Q$375</f>
        <v>0</v>
      </c>
      <c r="Y287" s="48">
        <f>KALKULÁTOR!I287*$Q287/$Q$375</f>
        <v>0</v>
      </c>
      <c r="Z287" s="48">
        <f>KALKULÁTOR!J287*$Q287/$Q$375</f>
        <v>0</v>
      </c>
      <c r="AA287" s="48">
        <f>KALKULÁTOR!K287*$Q287/$Q$375</f>
        <v>0</v>
      </c>
      <c r="AB287" s="48">
        <f>KALKULÁTOR!L287*$Q287/$Q$375</f>
        <v>0</v>
      </c>
      <c r="AC287" s="49">
        <f>KALKULÁTOR!C287*Q287</f>
        <v>0</v>
      </c>
      <c r="AD287" s="378">
        <f t="shared" si="12"/>
        <v>0</v>
      </c>
      <c r="AH287" s="34"/>
      <c r="AI287" s="35"/>
    </row>
    <row r="288" spans="1:35" x14ac:dyDescent="0.25">
      <c r="A288" s="582"/>
      <c r="B288" s="578"/>
      <c r="C288" s="94"/>
      <c r="D288" s="95" t="s">
        <v>16</v>
      </c>
      <c r="E288" s="44"/>
      <c r="F288" s="21"/>
      <c r="G288" s="21"/>
      <c r="H288" s="21"/>
      <c r="I288" s="21">
        <v>11.599</v>
      </c>
      <c r="J288" s="21">
        <v>15.875999999999999</v>
      </c>
      <c r="K288" s="21">
        <v>3.12</v>
      </c>
      <c r="L288" s="21">
        <v>2.7229999999999999</v>
      </c>
      <c r="M288" s="43"/>
      <c r="N288" s="476" t="s">
        <v>246</v>
      </c>
      <c r="O288" s="476"/>
      <c r="P288" s="476"/>
      <c r="Q288" s="107"/>
      <c r="R288" s="96" t="s">
        <v>149</v>
      </c>
      <c r="S288" s="147">
        <f>$P$11*0.025</f>
        <v>2.5</v>
      </c>
      <c r="T288" s="146">
        <f>$P$11*0.025</f>
        <v>2.5</v>
      </c>
      <c r="U288" s="22">
        <f>KALKULÁTOR!E288*Q288</f>
        <v>0</v>
      </c>
      <c r="V288" s="48">
        <f>KALKULÁTOR!F288*$Q288/$Q$375</f>
        <v>0</v>
      </c>
      <c r="W288" s="48">
        <f>KALKULÁTOR!G288*$Q288/$Q$375</f>
        <v>0</v>
      </c>
      <c r="X288" s="48">
        <f>KALKULÁTOR!H288*$Q288/$Q$375</f>
        <v>0</v>
      </c>
      <c r="Y288" s="48">
        <f>KALKULÁTOR!I288*$Q288/$Q$375</f>
        <v>0</v>
      </c>
      <c r="Z288" s="48">
        <f>KALKULÁTOR!J288*$Q288/$Q$375</f>
        <v>0</v>
      </c>
      <c r="AA288" s="48">
        <f>KALKULÁTOR!K288*$Q288/$Q$375</f>
        <v>0</v>
      </c>
      <c r="AB288" s="48">
        <f>KALKULÁTOR!L288*$Q288/$Q$375</f>
        <v>0</v>
      </c>
      <c r="AC288" s="49">
        <f>KALKULÁTOR!C288*Q288</f>
        <v>0</v>
      </c>
      <c r="AD288" s="378">
        <f t="shared" si="12"/>
        <v>0</v>
      </c>
      <c r="AH288" s="34"/>
      <c r="AI288" s="35"/>
    </row>
    <row r="289" spans="1:45" x14ac:dyDescent="0.25">
      <c r="A289" s="582"/>
      <c r="B289" s="578"/>
      <c r="C289" s="94"/>
      <c r="D289" s="95" t="s">
        <v>16</v>
      </c>
      <c r="E289" s="44"/>
      <c r="F289" s="21"/>
      <c r="G289" s="21"/>
      <c r="H289" s="21"/>
      <c r="I289" s="21">
        <v>11.013999999999999</v>
      </c>
      <c r="J289" s="21">
        <v>11.58</v>
      </c>
      <c r="K289" s="21"/>
      <c r="L289" s="21">
        <v>4.9009999999999998</v>
      </c>
      <c r="M289" s="43"/>
      <c r="N289" s="476" t="s">
        <v>247</v>
      </c>
      <c r="O289" s="476"/>
      <c r="P289" s="476"/>
      <c r="Q289" s="107"/>
      <c r="R289" s="96" t="s">
        <v>149</v>
      </c>
      <c r="S289" s="147">
        <f>$P$11*0.02</f>
        <v>2</v>
      </c>
      <c r="T289" s="146">
        <f>$P$11*0.02</f>
        <v>2</v>
      </c>
      <c r="U289" s="22">
        <f>KALKULÁTOR!E289*Q289</f>
        <v>0</v>
      </c>
      <c r="V289" s="48">
        <f>KALKULÁTOR!F289*$Q289/$Q$375</f>
        <v>0</v>
      </c>
      <c r="W289" s="48">
        <f>KALKULÁTOR!G289*$Q289/$Q$375</f>
        <v>0</v>
      </c>
      <c r="X289" s="48">
        <f>KALKULÁTOR!H289*$Q289/$Q$375</f>
        <v>0</v>
      </c>
      <c r="Y289" s="48">
        <f>KALKULÁTOR!I289*$Q289/$Q$375</f>
        <v>0</v>
      </c>
      <c r="Z289" s="48">
        <f>KALKULÁTOR!J289*$Q289/$Q$375</f>
        <v>0</v>
      </c>
      <c r="AA289" s="48">
        <f>KALKULÁTOR!K289*$Q289/$Q$375</f>
        <v>0</v>
      </c>
      <c r="AB289" s="48">
        <f>KALKULÁTOR!L289*$Q289/$Q$375</f>
        <v>0</v>
      </c>
      <c r="AC289" s="49">
        <f>KALKULÁTOR!C289*Q289</f>
        <v>0</v>
      </c>
      <c r="AD289" s="378">
        <f t="shared" si="12"/>
        <v>0</v>
      </c>
      <c r="AH289" s="34"/>
      <c r="AI289" s="35"/>
    </row>
    <row r="290" spans="1:45" x14ac:dyDescent="0.25">
      <c r="A290" s="582"/>
      <c r="B290" s="578"/>
      <c r="C290" s="94"/>
      <c r="D290" s="95" t="s">
        <v>16</v>
      </c>
      <c r="E290" s="44"/>
      <c r="F290" s="21">
        <v>3.4350000000000001</v>
      </c>
      <c r="G290" s="21"/>
      <c r="H290" s="21"/>
      <c r="I290" s="21">
        <v>19.335000000000001</v>
      </c>
      <c r="J290" s="21">
        <v>11.401</v>
      </c>
      <c r="K290" s="21">
        <v>0.78</v>
      </c>
      <c r="L290" s="21">
        <v>4.2569999999999997</v>
      </c>
      <c r="M290" s="43"/>
      <c r="N290" s="476" t="s">
        <v>248</v>
      </c>
      <c r="O290" s="476"/>
      <c r="P290" s="476"/>
      <c r="Q290" s="145"/>
      <c r="R290" s="96" t="s">
        <v>149</v>
      </c>
      <c r="S290" s="147">
        <f>$P$11*0.04</f>
        <v>4</v>
      </c>
      <c r="T290" s="146">
        <f>$P$11*0.04</f>
        <v>4</v>
      </c>
      <c r="U290" s="22">
        <f>KALKULÁTOR!E290*Q290</f>
        <v>0</v>
      </c>
      <c r="V290" s="48">
        <f>KALKULÁTOR!F290*$Q290/$Q$375</f>
        <v>0</v>
      </c>
      <c r="W290" s="48">
        <f>KALKULÁTOR!G290*$Q290/$Q$375</f>
        <v>0</v>
      </c>
      <c r="X290" s="48">
        <f>KALKULÁTOR!H290*$Q290/$Q$375</f>
        <v>0</v>
      </c>
      <c r="Y290" s="48">
        <f>KALKULÁTOR!I290*$Q290/$Q$375</f>
        <v>0</v>
      </c>
      <c r="Z290" s="48">
        <f>KALKULÁTOR!J290*$Q290/$Q$375</f>
        <v>0</v>
      </c>
      <c r="AA290" s="48">
        <f>KALKULÁTOR!K290*$Q290/$Q$375</f>
        <v>0</v>
      </c>
      <c r="AB290" s="48">
        <f>KALKULÁTOR!L290*$Q290/$Q$375</f>
        <v>0</v>
      </c>
      <c r="AC290" s="49">
        <f>KALKULÁTOR!C290*Q290</f>
        <v>0</v>
      </c>
      <c r="AD290" s="378">
        <f t="shared" si="12"/>
        <v>0</v>
      </c>
      <c r="AH290" s="34"/>
      <c r="AI290" s="35"/>
    </row>
    <row r="291" spans="1:45" x14ac:dyDescent="0.25">
      <c r="A291" s="582"/>
      <c r="B291" s="578"/>
      <c r="C291" s="94"/>
      <c r="D291" s="95" t="s">
        <v>16</v>
      </c>
      <c r="E291" s="44">
        <v>9.3249999999999993</v>
      </c>
      <c r="F291" s="21">
        <v>25.966999999999999</v>
      </c>
      <c r="G291" s="21">
        <v>12.38</v>
      </c>
      <c r="H291" s="21">
        <v>1.05</v>
      </c>
      <c r="I291" s="21">
        <v>5.86</v>
      </c>
      <c r="J291" s="21">
        <v>2.0880000000000001</v>
      </c>
      <c r="K291" s="21">
        <v>4.2450000000000001</v>
      </c>
      <c r="L291" s="21">
        <v>2.25</v>
      </c>
      <c r="M291" s="43"/>
      <c r="N291" s="476" t="s">
        <v>249</v>
      </c>
      <c r="O291" s="476"/>
      <c r="P291" s="476"/>
      <c r="Q291" s="145"/>
      <c r="R291" s="96" t="s">
        <v>149</v>
      </c>
      <c r="S291" s="147">
        <f>$P$11*0.1</f>
        <v>10</v>
      </c>
      <c r="T291" s="146">
        <f>$P$11*0.1</f>
        <v>10</v>
      </c>
      <c r="U291" s="22">
        <f>KALKULÁTOR!E291*Q291</f>
        <v>0</v>
      </c>
      <c r="V291" s="48">
        <f>KALKULÁTOR!F291*$Q291/$Q$375</f>
        <v>0</v>
      </c>
      <c r="W291" s="48">
        <f>KALKULÁTOR!G291*$Q291/$Q$375</f>
        <v>0</v>
      </c>
      <c r="X291" s="48">
        <f>KALKULÁTOR!H291*$Q291/$Q$375</f>
        <v>0</v>
      </c>
      <c r="Y291" s="48">
        <f>KALKULÁTOR!I291*$Q291/$Q$375</f>
        <v>0</v>
      </c>
      <c r="Z291" s="48">
        <f>KALKULÁTOR!J291*$Q291/$Q$375</f>
        <v>0</v>
      </c>
      <c r="AA291" s="48">
        <f>KALKULÁTOR!K291*$Q291/$Q$375</f>
        <v>0</v>
      </c>
      <c r="AB291" s="48">
        <f>KALKULÁTOR!L291*$Q291/$Q$375</f>
        <v>0</v>
      </c>
      <c r="AC291" s="49">
        <f>KALKULÁTOR!C291*Q291</f>
        <v>0</v>
      </c>
      <c r="AD291" s="378">
        <f t="shared" si="12"/>
        <v>0</v>
      </c>
      <c r="AH291" s="34"/>
      <c r="AI291" s="35"/>
    </row>
    <row r="292" spans="1:45" x14ac:dyDescent="0.25">
      <c r="A292" s="582"/>
      <c r="B292" s="578"/>
      <c r="C292" s="94"/>
      <c r="D292" s="95" t="s">
        <v>16</v>
      </c>
      <c r="E292" s="44">
        <v>0.53500000000000003</v>
      </c>
      <c r="F292" s="21">
        <v>15.259</v>
      </c>
      <c r="G292" s="21"/>
      <c r="H292" s="21"/>
      <c r="I292" s="21">
        <v>18.628</v>
      </c>
      <c r="J292" s="21">
        <v>3.9279999999999999</v>
      </c>
      <c r="K292" s="21">
        <v>9.1649999999999991</v>
      </c>
      <c r="L292" s="21">
        <v>2.94</v>
      </c>
      <c r="M292" s="43"/>
      <c r="N292" s="476" t="s">
        <v>250</v>
      </c>
      <c r="O292" s="476"/>
      <c r="P292" s="476"/>
      <c r="Q292" s="107"/>
      <c r="R292" s="96" t="s">
        <v>149</v>
      </c>
      <c r="S292" s="147">
        <f>$P$11*0.035</f>
        <v>3.5000000000000004</v>
      </c>
      <c r="T292" s="146">
        <f>$P$11*0.035</f>
        <v>3.5000000000000004</v>
      </c>
      <c r="U292" s="22">
        <f>KALKULÁTOR!E292*Q292</f>
        <v>0</v>
      </c>
      <c r="V292" s="48">
        <f>KALKULÁTOR!F292*$Q292/$Q$375</f>
        <v>0</v>
      </c>
      <c r="W292" s="48">
        <f>KALKULÁTOR!G292*$Q292/$Q$375</f>
        <v>0</v>
      </c>
      <c r="X292" s="48">
        <f>KALKULÁTOR!H292*$Q292/$Q$375</f>
        <v>0</v>
      </c>
      <c r="Y292" s="48">
        <f>KALKULÁTOR!I292*$Q292/$Q$375</f>
        <v>0</v>
      </c>
      <c r="Z292" s="48">
        <f>KALKULÁTOR!J292*$Q292/$Q$375</f>
        <v>0</v>
      </c>
      <c r="AA292" s="48">
        <f>KALKULÁTOR!K292*$Q292/$Q$375</f>
        <v>0</v>
      </c>
      <c r="AB292" s="48">
        <f>KALKULÁTOR!L292*$Q292/$Q$375</f>
        <v>0</v>
      </c>
      <c r="AC292" s="49">
        <f>KALKULÁTOR!C292*Q292</f>
        <v>0</v>
      </c>
      <c r="AD292" s="378">
        <f t="shared" si="12"/>
        <v>0</v>
      </c>
      <c r="AH292" s="34"/>
      <c r="AI292" s="35"/>
    </row>
    <row r="293" spans="1:45" x14ac:dyDescent="0.25">
      <c r="A293" s="582"/>
      <c r="B293" s="578"/>
      <c r="C293" s="94"/>
      <c r="D293" s="95" t="s">
        <v>16</v>
      </c>
      <c r="E293" s="44">
        <v>0.156</v>
      </c>
      <c r="F293" s="21">
        <v>7.4240000000000004</v>
      </c>
      <c r="G293" s="21"/>
      <c r="H293" s="21"/>
      <c r="I293" s="21">
        <v>22.896999999999998</v>
      </c>
      <c r="J293" s="21">
        <v>3.6949999999999998</v>
      </c>
      <c r="K293" s="21">
        <v>5.07</v>
      </c>
      <c r="L293" s="21">
        <v>1.008</v>
      </c>
      <c r="M293" s="43"/>
      <c r="N293" s="476" t="s">
        <v>251</v>
      </c>
      <c r="O293" s="476"/>
      <c r="P293" s="476"/>
      <c r="Q293" s="107"/>
      <c r="R293" s="96" t="s">
        <v>149</v>
      </c>
      <c r="S293" s="147">
        <f>$P$11*0.03</f>
        <v>3</v>
      </c>
      <c r="T293" s="146">
        <f>$P$11*0.03</f>
        <v>3</v>
      </c>
      <c r="U293" s="22">
        <f>KALKULÁTOR!E293*Q293</f>
        <v>0</v>
      </c>
      <c r="V293" s="48">
        <f>KALKULÁTOR!F293*$Q293/$Q$375</f>
        <v>0</v>
      </c>
      <c r="W293" s="48">
        <f>KALKULÁTOR!G293*$Q293/$Q$375</f>
        <v>0</v>
      </c>
      <c r="X293" s="48">
        <f>KALKULÁTOR!H293*$Q293/$Q$375</f>
        <v>0</v>
      </c>
      <c r="Y293" s="48">
        <f>KALKULÁTOR!I293*$Q293/$Q$375</f>
        <v>0</v>
      </c>
      <c r="Z293" s="48">
        <f>KALKULÁTOR!J293*$Q293/$Q$375</f>
        <v>0</v>
      </c>
      <c r="AA293" s="48">
        <f>KALKULÁTOR!K293*$Q293/$Q$375</f>
        <v>0</v>
      </c>
      <c r="AB293" s="48">
        <f>KALKULÁTOR!L293*$Q293/$Q$375</f>
        <v>0</v>
      </c>
      <c r="AC293" s="49">
        <f>KALKULÁTOR!C293*Q293</f>
        <v>0</v>
      </c>
      <c r="AD293" s="378">
        <f t="shared" si="12"/>
        <v>0</v>
      </c>
      <c r="AH293" s="34"/>
      <c r="AI293" s="35"/>
    </row>
    <row r="294" spans="1:45" x14ac:dyDescent="0.25">
      <c r="A294" s="582"/>
      <c r="B294" s="578"/>
      <c r="C294" s="94"/>
      <c r="D294" s="95" t="s">
        <v>16</v>
      </c>
      <c r="E294" s="44"/>
      <c r="F294" s="21">
        <v>0</v>
      </c>
      <c r="G294" s="21"/>
      <c r="H294" s="21"/>
      <c r="I294" s="21">
        <v>20.504000000000001</v>
      </c>
      <c r="J294" s="21">
        <v>3.6949999999999998</v>
      </c>
      <c r="K294" s="21">
        <v>8.0340000000000007</v>
      </c>
      <c r="L294" s="21">
        <v>1.68</v>
      </c>
      <c r="M294" s="43"/>
      <c r="N294" s="476" t="s">
        <v>252</v>
      </c>
      <c r="O294" s="476"/>
      <c r="P294" s="476"/>
      <c r="Q294" s="145"/>
      <c r="R294" s="96" t="s">
        <v>149</v>
      </c>
      <c r="S294" s="147">
        <f>$P$11*0.03</f>
        <v>3</v>
      </c>
      <c r="T294" s="146">
        <f>$P$11*0.03</f>
        <v>3</v>
      </c>
      <c r="U294" s="22">
        <f>KALKULÁTOR!E294*Q294</f>
        <v>0</v>
      </c>
      <c r="V294" s="48">
        <f>KALKULÁTOR!F294*$Q294/$Q$375</f>
        <v>0</v>
      </c>
      <c r="W294" s="48">
        <f>KALKULÁTOR!G294*$Q294/$Q$375</f>
        <v>0</v>
      </c>
      <c r="X294" s="48">
        <f>KALKULÁTOR!H294*$Q294/$Q$375</f>
        <v>0</v>
      </c>
      <c r="Y294" s="48">
        <f>KALKULÁTOR!I294*$Q294/$Q$375</f>
        <v>0</v>
      </c>
      <c r="Z294" s="48">
        <f>KALKULÁTOR!J294*$Q294/$Q$375</f>
        <v>0</v>
      </c>
      <c r="AA294" s="48">
        <f>KALKULÁTOR!K294*$Q294/$Q$375</f>
        <v>0</v>
      </c>
      <c r="AB294" s="48">
        <f>KALKULÁTOR!L294*$Q294/$Q$375</f>
        <v>0</v>
      </c>
      <c r="AC294" s="49">
        <f>KALKULÁTOR!C294*Q294</f>
        <v>0</v>
      </c>
      <c r="AD294" s="378">
        <f t="shared" si="12"/>
        <v>0</v>
      </c>
      <c r="AH294" s="34"/>
      <c r="AI294" s="35"/>
    </row>
    <row r="295" spans="1:45" x14ac:dyDescent="0.25">
      <c r="A295" s="582"/>
      <c r="B295" s="578"/>
      <c r="C295" s="94"/>
      <c r="D295" s="95" t="s">
        <v>16</v>
      </c>
      <c r="E295" s="44">
        <v>0.249</v>
      </c>
      <c r="F295" s="21">
        <v>12.643000000000001</v>
      </c>
      <c r="G295" s="21"/>
      <c r="H295" s="21"/>
      <c r="I295" s="21">
        <v>19.420999999999999</v>
      </c>
      <c r="J295" s="21">
        <v>3.6949999999999998</v>
      </c>
      <c r="K295" s="21">
        <v>8.0340000000000007</v>
      </c>
      <c r="L295" s="21">
        <v>1.68</v>
      </c>
      <c r="M295" s="43"/>
      <c r="N295" s="476" t="s">
        <v>253</v>
      </c>
      <c r="O295" s="476"/>
      <c r="P295" s="476"/>
      <c r="Q295" s="145"/>
      <c r="R295" s="96" t="s">
        <v>149</v>
      </c>
      <c r="S295" s="147">
        <f>$P$11*0.03</f>
        <v>3</v>
      </c>
      <c r="T295" s="146">
        <f>$P$11*0.03</f>
        <v>3</v>
      </c>
      <c r="U295" s="22">
        <f>KALKULÁTOR!E295*Q295</f>
        <v>0</v>
      </c>
      <c r="V295" s="48">
        <f>KALKULÁTOR!F295*$Q295/$Q$375</f>
        <v>0</v>
      </c>
      <c r="W295" s="48">
        <f>KALKULÁTOR!G295*$Q295/$Q$375</f>
        <v>0</v>
      </c>
      <c r="X295" s="48">
        <f>KALKULÁTOR!H295*$Q295/$Q$375</f>
        <v>0</v>
      </c>
      <c r="Y295" s="48">
        <f>KALKULÁTOR!I295*$Q295/$Q$375</f>
        <v>0</v>
      </c>
      <c r="Z295" s="48">
        <f>KALKULÁTOR!J295*$Q295/$Q$375</f>
        <v>0</v>
      </c>
      <c r="AA295" s="48">
        <f>KALKULÁTOR!K295*$Q295/$Q$375</f>
        <v>0</v>
      </c>
      <c r="AB295" s="48">
        <f>KALKULÁTOR!L295*$Q295/$Q$375</f>
        <v>0</v>
      </c>
      <c r="AC295" s="49">
        <f>KALKULÁTOR!C295*Q295</f>
        <v>0</v>
      </c>
      <c r="AD295" s="378">
        <f t="shared" si="12"/>
        <v>0</v>
      </c>
      <c r="AH295" s="34"/>
      <c r="AI295" s="35"/>
    </row>
    <row r="296" spans="1:45" x14ac:dyDescent="0.25">
      <c r="A296" s="582"/>
      <c r="B296" s="578"/>
      <c r="C296" s="94"/>
      <c r="D296" s="95" t="s">
        <v>16</v>
      </c>
      <c r="E296" s="44"/>
      <c r="F296" s="21">
        <v>0</v>
      </c>
      <c r="G296" s="21"/>
      <c r="H296" s="21"/>
      <c r="I296" s="21">
        <v>18.901</v>
      </c>
      <c r="J296" s="21">
        <v>3.6949999999999998</v>
      </c>
      <c r="K296" s="21">
        <v>8.0340000000000007</v>
      </c>
      <c r="L296" s="21">
        <v>1.6830000000000001</v>
      </c>
      <c r="M296" s="43"/>
      <c r="N296" s="476" t="s">
        <v>254</v>
      </c>
      <c r="O296" s="476"/>
      <c r="P296" s="476"/>
      <c r="Q296" s="107"/>
      <c r="R296" s="96" t="s">
        <v>149</v>
      </c>
      <c r="S296" s="147">
        <f>$P$11*0.03</f>
        <v>3</v>
      </c>
      <c r="T296" s="146">
        <f>$P$11*0.03</f>
        <v>3</v>
      </c>
      <c r="U296" s="22">
        <f>KALKULÁTOR!E296*Q296</f>
        <v>0</v>
      </c>
      <c r="V296" s="48">
        <f>KALKULÁTOR!F296*$Q296/$Q$375</f>
        <v>0</v>
      </c>
      <c r="W296" s="48">
        <f>KALKULÁTOR!G296*$Q296/$Q$375</f>
        <v>0</v>
      </c>
      <c r="X296" s="48">
        <f>KALKULÁTOR!H296*$Q296/$Q$375</f>
        <v>0</v>
      </c>
      <c r="Y296" s="48">
        <f>KALKULÁTOR!I296*$Q296/$Q$375</f>
        <v>0</v>
      </c>
      <c r="Z296" s="48">
        <f>KALKULÁTOR!J296*$Q296/$Q$375</f>
        <v>0</v>
      </c>
      <c r="AA296" s="48">
        <f>KALKULÁTOR!K296*$Q296/$Q$375</f>
        <v>0</v>
      </c>
      <c r="AB296" s="48">
        <f>KALKULÁTOR!L296*$Q296/$Q$375</f>
        <v>0</v>
      </c>
      <c r="AC296" s="49">
        <f>KALKULÁTOR!C296*Q296</f>
        <v>0</v>
      </c>
      <c r="AD296" s="378">
        <f t="shared" si="12"/>
        <v>0</v>
      </c>
      <c r="AH296" s="34"/>
      <c r="AI296" s="35"/>
    </row>
    <row r="297" spans="1:45" x14ac:dyDescent="0.25">
      <c r="A297" s="582"/>
      <c r="B297" s="578"/>
      <c r="C297" s="94"/>
      <c r="D297" s="95" t="s">
        <v>16</v>
      </c>
      <c r="E297" s="44">
        <v>0.21</v>
      </c>
      <c r="F297" s="21">
        <v>7.9279999999999999</v>
      </c>
      <c r="G297" s="21"/>
      <c r="H297" s="21"/>
      <c r="I297" s="21">
        <v>23.475999999999999</v>
      </c>
      <c r="J297" s="21">
        <v>4.516</v>
      </c>
      <c r="K297" s="21">
        <v>4.992</v>
      </c>
      <c r="L297" s="21">
        <v>1.5960000000000001</v>
      </c>
      <c r="M297" s="43"/>
      <c r="N297" s="476" t="s">
        <v>255</v>
      </c>
      <c r="O297" s="476"/>
      <c r="P297" s="476"/>
      <c r="Q297" s="107"/>
      <c r="R297" s="96" t="s">
        <v>149</v>
      </c>
      <c r="S297" s="147">
        <f>$P$11*0.035</f>
        <v>3.5000000000000004</v>
      </c>
      <c r="T297" s="146">
        <f>$P$11*0.035</f>
        <v>3.5000000000000004</v>
      </c>
      <c r="U297" s="22">
        <f>KALKULÁTOR!E297*Q297</f>
        <v>0</v>
      </c>
      <c r="V297" s="48">
        <f>KALKULÁTOR!F297*$Q297/$Q$375</f>
        <v>0</v>
      </c>
      <c r="W297" s="48">
        <f>KALKULÁTOR!G297*$Q297/$Q$375</f>
        <v>0</v>
      </c>
      <c r="X297" s="48">
        <f>KALKULÁTOR!H297*$Q297/$Q$375</f>
        <v>0</v>
      </c>
      <c r="Y297" s="48">
        <f>KALKULÁTOR!I297*$Q297/$Q$375</f>
        <v>0</v>
      </c>
      <c r="Z297" s="48">
        <f>KALKULÁTOR!J297*$Q297/$Q$375</f>
        <v>0</v>
      </c>
      <c r="AA297" s="48">
        <f>KALKULÁTOR!K297*$Q297/$Q$375</f>
        <v>0</v>
      </c>
      <c r="AB297" s="48">
        <f>KALKULÁTOR!L297*$Q297/$Q$375</f>
        <v>0</v>
      </c>
      <c r="AC297" s="49">
        <f>KALKULÁTOR!C297*Q297</f>
        <v>0</v>
      </c>
      <c r="AD297" s="378">
        <f t="shared" si="12"/>
        <v>0</v>
      </c>
      <c r="AH297" s="34"/>
      <c r="AI297" s="35"/>
    </row>
    <row r="298" spans="1:45" x14ac:dyDescent="0.25">
      <c r="A298" s="582"/>
      <c r="B298" s="578"/>
      <c r="C298" s="94"/>
      <c r="D298" s="95" t="s">
        <v>16</v>
      </c>
      <c r="E298" s="44">
        <v>0.187</v>
      </c>
      <c r="F298" s="21">
        <v>4.8550000000000004</v>
      </c>
      <c r="G298" s="21"/>
      <c r="H298" s="21"/>
      <c r="I298" s="21">
        <v>23.725999999999999</v>
      </c>
      <c r="J298" s="21">
        <v>4.6070000000000002</v>
      </c>
      <c r="K298" s="21">
        <v>3.0030000000000001</v>
      </c>
      <c r="L298" s="21">
        <v>0.63</v>
      </c>
      <c r="M298" s="43"/>
      <c r="N298" s="476" t="s">
        <v>256</v>
      </c>
      <c r="O298" s="476"/>
      <c r="P298" s="476"/>
      <c r="Q298" s="145"/>
      <c r="R298" s="96" t="s">
        <v>149</v>
      </c>
      <c r="S298" s="147">
        <f>$P$11*0.035</f>
        <v>3.5000000000000004</v>
      </c>
      <c r="T298" s="146">
        <f>$P$11*0.035</f>
        <v>3.5000000000000004</v>
      </c>
      <c r="U298" s="22">
        <f>KALKULÁTOR!E298*Q298</f>
        <v>0</v>
      </c>
      <c r="V298" s="48">
        <f>KALKULÁTOR!F298*$Q298/$Q$375</f>
        <v>0</v>
      </c>
      <c r="W298" s="48">
        <f>KALKULÁTOR!G298*$Q298/$Q$375</f>
        <v>0</v>
      </c>
      <c r="X298" s="48">
        <f>KALKULÁTOR!H298*$Q298/$Q$375</f>
        <v>0</v>
      </c>
      <c r="Y298" s="48">
        <f>KALKULÁTOR!I298*$Q298/$Q$375</f>
        <v>0</v>
      </c>
      <c r="Z298" s="48">
        <f>KALKULÁTOR!J298*$Q298/$Q$375</f>
        <v>0</v>
      </c>
      <c r="AA298" s="48">
        <f>KALKULÁTOR!K298*$Q298/$Q$375</f>
        <v>0</v>
      </c>
      <c r="AB298" s="48">
        <f>KALKULÁTOR!L298*$Q298/$Q$375</f>
        <v>0</v>
      </c>
      <c r="AC298" s="49">
        <f>KALKULÁTOR!C298*Q298</f>
        <v>0</v>
      </c>
      <c r="AD298" s="378">
        <f t="shared" si="12"/>
        <v>0</v>
      </c>
      <c r="AH298" s="34"/>
      <c r="AI298" s="35"/>
    </row>
    <row r="299" spans="1:45" x14ac:dyDescent="0.25">
      <c r="A299" s="582"/>
      <c r="B299" s="578"/>
      <c r="C299" s="94"/>
      <c r="D299" s="95" t="s">
        <v>16</v>
      </c>
      <c r="E299" s="44"/>
      <c r="F299" s="21"/>
      <c r="G299" s="21"/>
      <c r="H299" s="21"/>
      <c r="I299" s="21">
        <v>20.292999999999999</v>
      </c>
      <c r="J299" s="21">
        <v>4.1740000000000004</v>
      </c>
      <c r="K299" s="21"/>
      <c r="L299" s="21"/>
      <c r="M299" s="43"/>
      <c r="N299" s="476" t="s">
        <v>257</v>
      </c>
      <c r="O299" s="476"/>
      <c r="P299" s="476"/>
      <c r="Q299" s="145"/>
      <c r="R299" s="96" t="s">
        <v>149</v>
      </c>
      <c r="S299" s="147">
        <f>$P$11*0.04</f>
        <v>4</v>
      </c>
      <c r="T299" s="146">
        <f>$P$11*0.04</f>
        <v>4</v>
      </c>
      <c r="U299" s="22">
        <f>KALKULÁTOR!E299*Q299</f>
        <v>0</v>
      </c>
      <c r="V299" s="48">
        <f>KALKULÁTOR!F299*$Q299/$Q$375</f>
        <v>0</v>
      </c>
      <c r="W299" s="48">
        <f>KALKULÁTOR!G299*$Q299/$Q$375</f>
        <v>0</v>
      </c>
      <c r="X299" s="48">
        <f>KALKULÁTOR!H299*$Q299/$Q$375</f>
        <v>0</v>
      </c>
      <c r="Y299" s="48">
        <f>KALKULÁTOR!I299*$Q299/$Q$375</f>
        <v>0</v>
      </c>
      <c r="Z299" s="48">
        <f>KALKULÁTOR!J299*$Q299/$Q$375</f>
        <v>0</v>
      </c>
      <c r="AA299" s="48">
        <f>KALKULÁTOR!K299*$Q299/$Q$375</f>
        <v>0</v>
      </c>
      <c r="AB299" s="48">
        <f>KALKULÁTOR!L299*$Q299/$Q$375</f>
        <v>0</v>
      </c>
      <c r="AC299" s="49">
        <f>KALKULÁTOR!C299*Q299</f>
        <v>0</v>
      </c>
      <c r="AD299" s="378">
        <f t="shared" si="12"/>
        <v>0</v>
      </c>
      <c r="AH299" s="34"/>
      <c r="AI299" s="35"/>
    </row>
    <row r="300" spans="1:45" x14ac:dyDescent="0.25">
      <c r="A300" s="582"/>
      <c r="B300" s="578"/>
      <c r="C300" s="94"/>
      <c r="D300" s="95" t="s">
        <v>16</v>
      </c>
      <c r="E300" s="44"/>
      <c r="F300" s="21"/>
      <c r="G300" s="21"/>
      <c r="H300" s="21"/>
      <c r="I300" s="21">
        <v>17.568999999999999</v>
      </c>
      <c r="J300" s="21">
        <v>7.9809999999999999</v>
      </c>
      <c r="K300" s="21"/>
      <c r="L300" s="21"/>
      <c r="M300" s="43"/>
      <c r="N300" s="476" t="s">
        <v>258</v>
      </c>
      <c r="O300" s="476"/>
      <c r="P300" s="476"/>
      <c r="Q300" s="107"/>
      <c r="R300" s="96" t="s">
        <v>149</v>
      </c>
      <c r="S300" s="147">
        <f>$P$11*0.04</f>
        <v>4</v>
      </c>
      <c r="T300" s="146">
        <f>$P$11*0.04</f>
        <v>4</v>
      </c>
      <c r="U300" s="22">
        <f>KALKULÁTOR!E300*Q300</f>
        <v>0</v>
      </c>
      <c r="V300" s="48">
        <f>KALKULÁTOR!F300*$Q300/$Q$375</f>
        <v>0</v>
      </c>
      <c r="W300" s="48">
        <f>KALKULÁTOR!G300*$Q300/$Q$375</f>
        <v>0</v>
      </c>
      <c r="X300" s="48">
        <f>KALKULÁTOR!H300*$Q300/$Q$375</f>
        <v>0</v>
      </c>
      <c r="Y300" s="48">
        <f>KALKULÁTOR!I300*$Q300/$Q$375</f>
        <v>0</v>
      </c>
      <c r="Z300" s="48">
        <f>KALKULÁTOR!J300*$Q300/$Q$375</f>
        <v>0</v>
      </c>
      <c r="AA300" s="48">
        <f>KALKULÁTOR!K300*$Q300/$Q$375</f>
        <v>0</v>
      </c>
      <c r="AB300" s="48">
        <f>KALKULÁTOR!L300*$Q300/$Q$375</f>
        <v>0</v>
      </c>
      <c r="AC300" s="49">
        <f>KALKULÁTOR!C300*Q300</f>
        <v>0</v>
      </c>
      <c r="AD300" s="378">
        <f t="shared" si="12"/>
        <v>0</v>
      </c>
      <c r="AH300" s="34"/>
      <c r="AI300" s="35"/>
    </row>
    <row r="301" spans="1:45" x14ac:dyDescent="0.25">
      <c r="A301" s="582"/>
      <c r="B301" s="578"/>
      <c r="C301" s="94"/>
      <c r="D301" s="95" t="s">
        <v>16</v>
      </c>
      <c r="E301" s="44"/>
      <c r="F301" s="21"/>
      <c r="G301" s="21"/>
      <c r="H301" s="21"/>
      <c r="I301" s="21">
        <v>4.3920000000000003</v>
      </c>
      <c r="J301" s="21">
        <v>3.5350000000000001</v>
      </c>
      <c r="K301" s="21"/>
      <c r="L301" s="21"/>
      <c r="M301" s="43"/>
      <c r="N301" s="476" t="s">
        <v>259</v>
      </c>
      <c r="O301" s="476"/>
      <c r="P301" s="476"/>
      <c r="Q301" s="107"/>
      <c r="R301" s="96" t="s">
        <v>149</v>
      </c>
      <c r="S301" s="147">
        <f>$P$11*0.02</f>
        <v>2</v>
      </c>
      <c r="T301" s="146">
        <f>$P$11*0.02</f>
        <v>2</v>
      </c>
      <c r="U301" s="22">
        <f>KALKULÁTOR!E301*Q301</f>
        <v>0</v>
      </c>
      <c r="V301" s="48">
        <f>KALKULÁTOR!F301*$Q301/$Q$375</f>
        <v>0</v>
      </c>
      <c r="W301" s="48">
        <f>KALKULÁTOR!G301*$Q301/$Q$375</f>
        <v>0</v>
      </c>
      <c r="X301" s="48">
        <f>KALKULÁTOR!H301*$Q301/$Q$375</f>
        <v>0</v>
      </c>
      <c r="Y301" s="48">
        <f>KALKULÁTOR!I301*$Q301/$Q$375</f>
        <v>0</v>
      </c>
      <c r="Z301" s="48">
        <f>KALKULÁTOR!J301*$Q301/$Q$375</f>
        <v>0</v>
      </c>
      <c r="AA301" s="48">
        <f>KALKULÁTOR!K301*$Q301/$Q$375</f>
        <v>0</v>
      </c>
      <c r="AB301" s="48">
        <f>KALKULÁTOR!L301*$Q301/$Q$375</f>
        <v>0</v>
      </c>
      <c r="AC301" s="49">
        <f>KALKULÁTOR!C301*Q301</f>
        <v>0</v>
      </c>
      <c r="AD301" s="378">
        <f t="shared" si="12"/>
        <v>0</v>
      </c>
      <c r="AH301" s="34"/>
      <c r="AI301" s="35"/>
    </row>
    <row r="302" spans="1:45" x14ac:dyDescent="0.25">
      <c r="A302" s="582"/>
      <c r="B302" s="578"/>
      <c r="C302" s="94"/>
      <c r="D302" s="95" t="s">
        <v>16</v>
      </c>
      <c r="E302" s="44"/>
      <c r="F302" s="21"/>
      <c r="G302" s="21"/>
      <c r="H302" s="21"/>
      <c r="I302" s="21">
        <v>19.733000000000001</v>
      </c>
      <c r="J302" s="21">
        <v>6.0430000000000001</v>
      </c>
      <c r="K302" s="21"/>
      <c r="L302" s="21"/>
      <c r="M302" s="43"/>
      <c r="N302" s="476" t="s">
        <v>260</v>
      </c>
      <c r="O302" s="476"/>
      <c r="P302" s="476"/>
      <c r="Q302" s="145"/>
      <c r="R302" s="96" t="s">
        <v>149</v>
      </c>
      <c r="S302" s="147">
        <f>$P$11*0.015</f>
        <v>1.5</v>
      </c>
      <c r="T302" s="146">
        <f>$P$11*0.015</f>
        <v>1.5</v>
      </c>
      <c r="U302" s="22">
        <f>KALKULÁTOR!E302*Q302</f>
        <v>0</v>
      </c>
      <c r="V302" s="48">
        <f>KALKULÁTOR!F302*$Q302/$Q$375</f>
        <v>0</v>
      </c>
      <c r="W302" s="48">
        <f>KALKULÁTOR!G302*$Q302/$Q$375</f>
        <v>0</v>
      </c>
      <c r="X302" s="48">
        <f>KALKULÁTOR!H302*$Q302/$Q$375</f>
        <v>0</v>
      </c>
      <c r="Y302" s="48">
        <f>KALKULÁTOR!I302*$Q302/$Q$375</f>
        <v>0</v>
      </c>
      <c r="Z302" s="48">
        <f>KALKULÁTOR!J302*$Q302/$Q$375</f>
        <v>0</v>
      </c>
      <c r="AA302" s="48">
        <f>KALKULÁTOR!K302*$Q302/$Q$375</f>
        <v>0</v>
      </c>
      <c r="AB302" s="48">
        <f>KALKULÁTOR!L302*$Q302/$Q$375</f>
        <v>0</v>
      </c>
      <c r="AC302" s="49">
        <f>KALKULÁTOR!C302*Q302</f>
        <v>0</v>
      </c>
      <c r="AD302" s="378">
        <f t="shared" si="12"/>
        <v>0</v>
      </c>
      <c r="AH302" s="34"/>
      <c r="AI302" s="35"/>
    </row>
    <row r="303" spans="1:45" ht="15.75" thickBot="1" x14ac:dyDescent="0.3">
      <c r="A303" s="582"/>
      <c r="B303" s="579"/>
      <c r="C303" s="82"/>
      <c r="D303" s="29" t="s">
        <v>16</v>
      </c>
      <c r="E303" s="51"/>
      <c r="F303" s="18"/>
      <c r="G303" s="18"/>
      <c r="H303" s="18"/>
      <c r="I303" s="18">
        <v>18</v>
      </c>
      <c r="J303" s="18">
        <v>6</v>
      </c>
      <c r="K303" s="18"/>
      <c r="L303" s="18"/>
      <c r="M303" s="53"/>
      <c r="N303" s="574" t="s">
        <v>261</v>
      </c>
      <c r="O303" s="575"/>
      <c r="P303" s="576"/>
      <c r="Q303" s="145"/>
      <c r="R303" s="83" t="s">
        <v>149</v>
      </c>
      <c r="S303" s="124">
        <f>$P$11*0.025</f>
        <v>2.5</v>
      </c>
      <c r="T303" s="122">
        <f>$P$11*0.025</f>
        <v>2.5</v>
      </c>
      <c r="U303" s="38">
        <f>KALKULÁTOR!E303*Q303</f>
        <v>0</v>
      </c>
      <c r="V303" s="67">
        <f>KALKULÁTOR!F303*$Q303/$Q$375</f>
        <v>0</v>
      </c>
      <c r="W303" s="67">
        <f>KALKULÁTOR!G303*$Q303/$Q$375</f>
        <v>0</v>
      </c>
      <c r="X303" s="67">
        <f>KALKULÁTOR!H303*$Q303/$Q$375</f>
        <v>0</v>
      </c>
      <c r="Y303" s="67">
        <f>KALKULÁTOR!I303*$Q303/$Q$375</f>
        <v>0</v>
      </c>
      <c r="Z303" s="67">
        <f>KALKULÁTOR!J303*$Q303/$Q$375</f>
        <v>0</v>
      </c>
      <c r="AA303" s="67">
        <f>KALKULÁTOR!K303*$Q303/$Q$375</f>
        <v>0</v>
      </c>
      <c r="AB303" s="67">
        <f>KALKULÁTOR!L303*$Q303/$Q$375</f>
        <v>0</v>
      </c>
      <c r="AC303" s="68">
        <f>KALKULÁTOR!C303*Q303</f>
        <v>0</v>
      </c>
      <c r="AD303" s="378">
        <f t="shared" si="12"/>
        <v>0</v>
      </c>
      <c r="AH303" s="34"/>
      <c r="AI303" s="35"/>
    </row>
    <row r="304" spans="1:45" ht="15.75" thickBot="1" x14ac:dyDescent="0.3">
      <c r="A304" s="582"/>
      <c r="B304" s="577" t="s">
        <v>202</v>
      </c>
      <c r="C304" s="268"/>
      <c r="D304" s="78" t="s">
        <v>16</v>
      </c>
      <c r="E304" s="106"/>
      <c r="F304" s="77">
        <v>37.799999999999997</v>
      </c>
      <c r="G304" s="77">
        <v>4.5999999999999996</v>
      </c>
      <c r="H304" s="77">
        <v>3.8</v>
      </c>
      <c r="I304" s="77">
        <v>4.7</v>
      </c>
      <c r="J304" s="77">
        <v>1</v>
      </c>
      <c r="K304" s="77">
        <v>4.33</v>
      </c>
      <c r="L304" s="77">
        <v>0.94</v>
      </c>
      <c r="M304" s="144"/>
      <c r="N304" s="481" t="s">
        <v>203</v>
      </c>
      <c r="O304" s="481"/>
      <c r="P304" s="481"/>
      <c r="Q304" s="107"/>
      <c r="R304" s="120" t="s">
        <v>149</v>
      </c>
      <c r="S304" s="89">
        <f>$P$11*0.11</f>
        <v>11</v>
      </c>
      <c r="T304" s="90">
        <f>$P$11*0.16</f>
        <v>16</v>
      </c>
      <c r="U304" s="32">
        <f>KALKULÁTOR!E304*Q304</f>
        <v>0</v>
      </c>
      <c r="V304" s="6">
        <f>KALKULÁTOR!F304*$Q304/$Q$375</f>
        <v>0</v>
      </c>
      <c r="W304" s="6">
        <f>KALKULÁTOR!G304*$Q304/$Q$375</f>
        <v>0</v>
      </c>
      <c r="X304" s="6">
        <f>KALKULÁTOR!H304*$Q304/$Q$375</f>
        <v>0</v>
      </c>
      <c r="Y304" s="6">
        <f>KALKULÁTOR!I304*$Q304/$Q$375</f>
        <v>0</v>
      </c>
      <c r="Z304" s="6">
        <f>KALKULÁTOR!J304*$Q304/$Q$375</f>
        <v>0</v>
      </c>
      <c r="AA304" s="6">
        <f>KALKULÁTOR!K304*$Q304/$Q$375</f>
        <v>0</v>
      </c>
      <c r="AB304" s="6">
        <f>KALKULÁTOR!L304*$Q304/$Q$375</f>
        <v>0</v>
      </c>
      <c r="AC304" s="50">
        <f>KALKULÁTOR!C304*Q304</f>
        <v>0</v>
      </c>
      <c r="AD304" s="378">
        <f t="shared" si="12"/>
        <v>0</v>
      </c>
      <c r="AF304" s="108" t="s">
        <v>204</v>
      </c>
      <c r="AG304" s="108"/>
      <c r="AH304" s="114"/>
      <c r="AI304" s="115"/>
      <c r="AJ304" s="101"/>
      <c r="AK304" s="108"/>
      <c r="AL304" s="108"/>
      <c r="AM304" s="108"/>
      <c r="AN304" s="108"/>
      <c r="AO304" s="108"/>
      <c r="AP304" s="108"/>
      <c r="AQ304" s="108"/>
      <c r="AR304" s="108"/>
      <c r="AS304" s="110"/>
    </row>
    <row r="305" spans="1:35" ht="15.75" thickBot="1" x14ac:dyDescent="0.3">
      <c r="A305" s="582"/>
      <c r="B305" s="579"/>
      <c r="C305" s="266"/>
      <c r="D305" s="29" t="s">
        <v>16</v>
      </c>
      <c r="E305" s="51"/>
      <c r="F305" s="18">
        <v>41.2</v>
      </c>
      <c r="G305" s="18">
        <v>4</v>
      </c>
      <c r="H305" s="18">
        <v>3.7</v>
      </c>
      <c r="I305" s="18">
        <v>3.2</v>
      </c>
      <c r="J305" s="18">
        <v>1.37</v>
      </c>
      <c r="K305" s="18">
        <v>3.49</v>
      </c>
      <c r="L305" s="18">
        <v>1.55</v>
      </c>
      <c r="M305" s="53"/>
      <c r="N305" s="489" t="s">
        <v>205</v>
      </c>
      <c r="O305" s="489"/>
      <c r="P305" s="489"/>
      <c r="Q305" s="107"/>
      <c r="R305" s="83" t="s">
        <v>149</v>
      </c>
      <c r="S305" s="124">
        <f>$P$11*0.18</f>
        <v>18</v>
      </c>
      <c r="T305" s="122">
        <f>$P$11*0.4</f>
        <v>40</v>
      </c>
      <c r="U305" s="38">
        <f>KALKULÁTOR!E305*Q305</f>
        <v>0</v>
      </c>
      <c r="V305" s="67">
        <f>KALKULÁTOR!F305*$Q305/$Q$375</f>
        <v>0</v>
      </c>
      <c r="W305" s="67">
        <f>KALKULÁTOR!G305*$Q305/$Q$375</f>
        <v>0</v>
      </c>
      <c r="X305" s="67">
        <f>KALKULÁTOR!H305*$Q305/$Q$375</f>
        <v>0</v>
      </c>
      <c r="Y305" s="67">
        <f>KALKULÁTOR!I305*$Q305/$Q$375</f>
        <v>0</v>
      </c>
      <c r="Z305" s="67">
        <f>KALKULÁTOR!J305*$Q305/$Q$375</f>
        <v>0</v>
      </c>
      <c r="AA305" s="67">
        <f>KALKULÁTOR!K305*$Q305/$Q$375</f>
        <v>0</v>
      </c>
      <c r="AB305" s="67">
        <f>KALKULÁTOR!L305*$Q305/$Q$375</f>
        <v>0</v>
      </c>
      <c r="AC305" s="68">
        <f>KALKULÁTOR!C305*Q305</f>
        <v>0</v>
      </c>
      <c r="AD305" s="378">
        <f t="shared" si="12"/>
        <v>0</v>
      </c>
      <c r="AH305" s="34"/>
      <c r="AI305" s="35"/>
    </row>
    <row r="306" spans="1:35" x14ac:dyDescent="0.25">
      <c r="A306" s="582"/>
      <c r="B306" s="577" t="s">
        <v>114</v>
      </c>
      <c r="C306" s="268"/>
      <c r="D306" s="78" t="s">
        <v>16</v>
      </c>
      <c r="E306" s="106"/>
      <c r="F306" s="77">
        <v>40.5</v>
      </c>
      <c r="G306" s="77">
        <v>5</v>
      </c>
      <c r="H306" s="77">
        <v>4.9400000000000004</v>
      </c>
      <c r="I306" s="77">
        <v>2.2000000000000002</v>
      </c>
      <c r="J306" s="77">
        <v>1.19</v>
      </c>
      <c r="K306" s="77">
        <v>3.13</v>
      </c>
      <c r="L306" s="77">
        <v>1.36</v>
      </c>
      <c r="M306" s="144"/>
      <c r="N306" s="570" t="s">
        <v>432</v>
      </c>
      <c r="O306" s="570"/>
      <c r="P306" s="570"/>
      <c r="Q306" s="145"/>
      <c r="R306" s="64" t="s">
        <v>149</v>
      </c>
      <c r="S306" s="89">
        <f>$P$11*0.35</f>
        <v>35</v>
      </c>
      <c r="T306" s="90">
        <f>$P$11*0.35</f>
        <v>35</v>
      </c>
      <c r="U306" s="32">
        <f>KALKULÁTOR!E306*Q306</f>
        <v>0</v>
      </c>
      <c r="V306" s="6">
        <f>KALKULÁTOR!F306*$Q306/$Q$375</f>
        <v>0</v>
      </c>
      <c r="W306" s="6">
        <f>KALKULÁTOR!G306*$Q306/$Q$375</f>
        <v>0</v>
      </c>
      <c r="X306" s="6">
        <f>KALKULÁTOR!H306*$Q306/$Q$375</f>
        <v>0</v>
      </c>
      <c r="Y306" s="6">
        <f>KALKULÁTOR!I306*$Q306/$Q$375</f>
        <v>0</v>
      </c>
      <c r="Z306" s="6">
        <f>KALKULÁTOR!J306*$Q306/$Q$375</f>
        <v>0</v>
      </c>
      <c r="AA306" s="6">
        <f>KALKULÁTOR!K306*$Q306/$Q$375</f>
        <v>0</v>
      </c>
      <c r="AB306" s="6">
        <f>KALKULÁTOR!L306*$Q306/$Q$375</f>
        <v>0</v>
      </c>
      <c r="AC306" s="50">
        <f>KALKULÁTOR!C306*Q306</f>
        <v>0</v>
      </c>
      <c r="AD306" s="378">
        <f t="shared" si="12"/>
        <v>0</v>
      </c>
      <c r="AH306" s="34"/>
      <c r="AI306" s="35"/>
    </row>
    <row r="307" spans="1:35" x14ac:dyDescent="0.25">
      <c r="A307" s="582"/>
      <c r="B307" s="578"/>
      <c r="C307" s="269"/>
      <c r="D307" s="95" t="s">
        <v>16</v>
      </c>
      <c r="E307" s="44"/>
      <c r="F307" s="21">
        <v>29.34</v>
      </c>
      <c r="G307" s="21">
        <v>4.5</v>
      </c>
      <c r="H307" s="21">
        <v>6.42</v>
      </c>
      <c r="I307" s="21">
        <v>9.4700000000000006</v>
      </c>
      <c r="J307" s="21">
        <v>0.97</v>
      </c>
      <c r="K307" s="21">
        <v>1.87</v>
      </c>
      <c r="L307" s="21">
        <v>0.86</v>
      </c>
      <c r="M307" s="118"/>
      <c r="N307" s="476" t="s">
        <v>433</v>
      </c>
      <c r="O307" s="476"/>
      <c r="P307" s="476"/>
      <c r="Q307" s="145"/>
      <c r="R307" s="96" t="s">
        <v>149</v>
      </c>
      <c r="S307" s="161">
        <f>$P$11*0.4</f>
        <v>40</v>
      </c>
      <c r="T307" s="164">
        <f>$P$11*0.4</f>
        <v>40</v>
      </c>
      <c r="U307" s="22">
        <f>KALKULÁTOR!E307*Q307</f>
        <v>0</v>
      </c>
      <c r="V307" s="48">
        <f>KALKULÁTOR!F307*$Q307/$Q$375</f>
        <v>0</v>
      </c>
      <c r="W307" s="48">
        <f>KALKULÁTOR!G307*$Q307/$Q$375</f>
        <v>0</v>
      </c>
      <c r="X307" s="48">
        <f>KALKULÁTOR!H307*$Q307/$Q$375</f>
        <v>0</v>
      </c>
      <c r="Y307" s="48">
        <f>KALKULÁTOR!I307*$Q307/$Q$375</f>
        <v>0</v>
      </c>
      <c r="Z307" s="48">
        <f>KALKULÁTOR!J307*$Q307/$Q$375</f>
        <v>0</v>
      </c>
      <c r="AA307" s="48">
        <f>KALKULÁTOR!K307*$Q307/$Q$375</f>
        <v>0</v>
      </c>
      <c r="AB307" s="48">
        <f>KALKULÁTOR!L307*$Q307/$Q$375</f>
        <v>0</v>
      </c>
      <c r="AC307" s="49">
        <f>KALKULÁTOR!C307*Q307</f>
        <v>0</v>
      </c>
      <c r="AD307" s="378">
        <f t="shared" si="12"/>
        <v>0</v>
      </c>
      <c r="AH307" s="34"/>
      <c r="AI307" s="35"/>
    </row>
    <row r="308" spans="1:35" ht="15.75" thickBot="1" x14ac:dyDescent="0.3">
      <c r="A308" s="582"/>
      <c r="B308" s="579"/>
      <c r="C308" s="269"/>
      <c r="D308" s="95" t="s">
        <v>16</v>
      </c>
      <c r="E308" s="44"/>
      <c r="F308" s="21">
        <v>38.4</v>
      </c>
      <c r="G308" s="21">
        <v>4.05</v>
      </c>
      <c r="H308" s="21">
        <v>6.67</v>
      </c>
      <c r="I308" s="21">
        <v>2.6</v>
      </c>
      <c r="J308" s="21">
        <v>1.21</v>
      </c>
      <c r="K308" s="21">
        <v>4.03</v>
      </c>
      <c r="L308" s="21">
        <v>1.03</v>
      </c>
      <c r="M308" s="118"/>
      <c r="N308" s="476" t="s">
        <v>434</v>
      </c>
      <c r="O308" s="476"/>
      <c r="P308" s="476"/>
      <c r="Q308" s="107"/>
      <c r="R308" s="96" t="s">
        <v>149</v>
      </c>
      <c r="S308" s="264">
        <f>$P$11*0.15</f>
        <v>15</v>
      </c>
      <c r="T308" s="261">
        <f>$P$11*0.2</f>
        <v>20</v>
      </c>
      <c r="U308" s="22">
        <f>KALKULÁTOR!E308*Q308</f>
        <v>0</v>
      </c>
      <c r="V308" s="48">
        <f>KALKULÁTOR!F308*$Q308/$Q$375</f>
        <v>0</v>
      </c>
      <c r="W308" s="48">
        <f>KALKULÁTOR!G308*$Q308/$Q$375</f>
        <v>0</v>
      </c>
      <c r="X308" s="48">
        <f>KALKULÁTOR!H308*$Q308/$Q$375</f>
        <v>0</v>
      </c>
      <c r="Y308" s="48">
        <f>KALKULÁTOR!I308*$Q308/$Q$375</f>
        <v>0</v>
      </c>
      <c r="Z308" s="48">
        <f>KALKULÁTOR!J308*$Q308/$Q$375</f>
        <v>0</v>
      </c>
      <c r="AA308" s="48">
        <f>KALKULÁTOR!K308*$Q308/$Q$375</f>
        <v>0</v>
      </c>
      <c r="AB308" s="48">
        <f>KALKULÁTOR!L308*$Q308/$Q$375</f>
        <v>0</v>
      </c>
      <c r="AC308" s="49">
        <f>KALKULÁTOR!C308*Q308</f>
        <v>0</v>
      </c>
      <c r="AD308" s="378">
        <f t="shared" si="12"/>
        <v>0</v>
      </c>
      <c r="AH308" s="34"/>
      <c r="AI308" s="35"/>
    </row>
    <row r="309" spans="1:35" x14ac:dyDescent="0.25">
      <c r="A309" s="582"/>
      <c r="B309" s="577" t="s">
        <v>291</v>
      </c>
      <c r="C309" s="265"/>
      <c r="D309" s="25" t="s">
        <v>16</v>
      </c>
      <c r="E309" s="37"/>
      <c r="F309" s="19"/>
      <c r="G309" s="19"/>
      <c r="H309" s="19"/>
      <c r="I309" s="19">
        <v>23.35</v>
      </c>
      <c r="J309" s="19">
        <v>6.23</v>
      </c>
      <c r="K309" s="19">
        <v>2.9</v>
      </c>
      <c r="L309" s="19">
        <v>4.57</v>
      </c>
      <c r="M309" s="42"/>
      <c r="N309" s="477" t="s">
        <v>292</v>
      </c>
      <c r="O309" s="477"/>
      <c r="P309" s="477"/>
      <c r="Q309" s="107"/>
      <c r="R309" s="66" t="s">
        <v>149</v>
      </c>
      <c r="S309" s="159">
        <f>$P$11*0.035</f>
        <v>3.5000000000000004</v>
      </c>
      <c r="T309" s="162">
        <f>$P$11*0.035</f>
        <v>3.5000000000000004</v>
      </c>
      <c r="U309" s="37">
        <f>KALKULÁTOR!E309*Q309</f>
        <v>0</v>
      </c>
      <c r="V309" s="26">
        <f>KALKULÁTOR!F309*$Q309/$Q$375</f>
        <v>0</v>
      </c>
      <c r="W309" s="26">
        <f>KALKULÁTOR!G309*$Q309/$Q$375</f>
        <v>0</v>
      </c>
      <c r="X309" s="26">
        <f>KALKULÁTOR!H309*$Q309/$Q$375</f>
        <v>0</v>
      </c>
      <c r="Y309" s="26">
        <f>KALKULÁTOR!I309*$Q309/$Q$375</f>
        <v>0</v>
      </c>
      <c r="Z309" s="26">
        <f>KALKULÁTOR!J309*$Q309/$Q$375</f>
        <v>0</v>
      </c>
      <c r="AA309" s="26">
        <f>KALKULÁTOR!K309*$Q309/$Q$375</f>
        <v>0</v>
      </c>
      <c r="AB309" s="26">
        <f>KALKULÁTOR!L309*$Q309/$Q$375</f>
        <v>0</v>
      </c>
      <c r="AC309" s="40">
        <f>KALKULÁTOR!C309*Q309</f>
        <v>0</v>
      </c>
      <c r="AD309" s="378">
        <f t="shared" si="12"/>
        <v>0</v>
      </c>
      <c r="AH309" s="34"/>
      <c r="AI309" s="35"/>
    </row>
    <row r="310" spans="1:35" ht="15.75" thickBot="1" x14ac:dyDescent="0.3">
      <c r="A310" s="582"/>
      <c r="B310" s="579"/>
      <c r="C310" s="270"/>
      <c r="D310" s="166" t="s">
        <v>16</v>
      </c>
      <c r="E310" s="167"/>
      <c r="F310" s="168"/>
      <c r="G310" s="168"/>
      <c r="H310" s="168"/>
      <c r="I310" s="168">
        <v>26.45</v>
      </c>
      <c r="J310" s="168">
        <v>4.59</v>
      </c>
      <c r="K310" s="168">
        <v>1.97</v>
      </c>
      <c r="L310" s="168">
        <v>1.99</v>
      </c>
      <c r="M310" s="53"/>
      <c r="N310" s="498" t="s">
        <v>293</v>
      </c>
      <c r="O310" s="498"/>
      <c r="P310" s="498"/>
      <c r="Q310" s="145"/>
      <c r="R310" s="169" t="s">
        <v>149</v>
      </c>
      <c r="S310" s="99">
        <f>$P$11*0.04</f>
        <v>4</v>
      </c>
      <c r="T310" s="100">
        <f>$P$11*0.04</f>
        <v>4</v>
      </c>
      <c r="U310" s="167">
        <f>KALKULÁTOR!E310*Q310</f>
        <v>0</v>
      </c>
      <c r="V310" s="170">
        <f>KALKULÁTOR!F310*$Q310/$Q$375</f>
        <v>0</v>
      </c>
      <c r="W310" s="170">
        <f>KALKULÁTOR!G310*$Q310/$Q$375</f>
        <v>0</v>
      </c>
      <c r="X310" s="170">
        <f>KALKULÁTOR!H310*$Q310/$Q$375</f>
        <v>0</v>
      </c>
      <c r="Y310" s="170">
        <f>KALKULÁTOR!I310*$Q310/$Q$375</f>
        <v>0</v>
      </c>
      <c r="Z310" s="170">
        <f>KALKULÁTOR!J310*$Q310/$Q$375</f>
        <v>0</v>
      </c>
      <c r="AA310" s="170">
        <f>KALKULÁTOR!K310*$Q310/$Q$375</f>
        <v>0</v>
      </c>
      <c r="AB310" s="170">
        <f>KALKULÁTOR!L310*$Q310/$Q$375</f>
        <v>0</v>
      </c>
      <c r="AC310" s="171">
        <f>KALKULÁTOR!C310*Q310</f>
        <v>0</v>
      </c>
      <c r="AD310" s="378">
        <f t="shared" si="12"/>
        <v>0</v>
      </c>
      <c r="AH310" s="34"/>
      <c r="AI310" s="35"/>
    </row>
    <row r="311" spans="1:35" x14ac:dyDescent="0.25">
      <c r="A311" s="582"/>
      <c r="B311" s="577" t="s">
        <v>294</v>
      </c>
      <c r="C311" s="265"/>
      <c r="D311" s="25" t="s">
        <v>16</v>
      </c>
      <c r="E311" s="37"/>
      <c r="F311" s="19"/>
      <c r="G311" s="19"/>
      <c r="H311" s="19"/>
      <c r="I311" s="19">
        <v>16.04</v>
      </c>
      <c r="J311" s="19">
        <v>4.93</v>
      </c>
      <c r="K311" s="19"/>
      <c r="L311" s="19"/>
      <c r="M311" s="42"/>
      <c r="N311" s="477" t="s">
        <v>295</v>
      </c>
      <c r="O311" s="477"/>
      <c r="P311" s="477"/>
      <c r="Q311" s="145"/>
      <c r="R311" s="66" t="s">
        <v>149</v>
      </c>
      <c r="S311" s="159">
        <f>$P$11*0.02</f>
        <v>2</v>
      </c>
      <c r="T311" s="162">
        <f>$P$11*0.02</f>
        <v>2</v>
      </c>
      <c r="U311" s="37">
        <f>KALKULÁTOR!E311*Q311</f>
        <v>0</v>
      </c>
      <c r="V311" s="26">
        <f>KALKULÁTOR!F311*$Q311/$Q$375</f>
        <v>0</v>
      </c>
      <c r="W311" s="26">
        <f>KALKULÁTOR!G311*$Q311/$Q$375</f>
        <v>0</v>
      </c>
      <c r="X311" s="26">
        <f>KALKULÁTOR!H311*$Q311/$Q$375</f>
        <v>0</v>
      </c>
      <c r="Y311" s="26">
        <f>KALKULÁTOR!I311*$Q311/$Q$375</f>
        <v>0</v>
      </c>
      <c r="Z311" s="26">
        <f>KALKULÁTOR!J311*$Q311/$Q$375</f>
        <v>0</v>
      </c>
      <c r="AA311" s="26">
        <f>KALKULÁTOR!K311*$Q311/$Q$375</f>
        <v>0</v>
      </c>
      <c r="AB311" s="26">
        <f>KALKULÁTOR!L311*$Q311/$Q$375</f>
        <v>0</v>
      </c>
      <c r="AC311" s="40">
        <f>KALKULÁTOR!C311*Q311</f>
        <v>0</v>
      </c>
      <c r="AD311" s="378">
        <f t="shared" si="12"/>
        <v>0</v>
      </c>
      <c r="AH311" s="34"/>
      <c r="AI311" s="35"/>
    </row>
    <row r="312" spans="1:35" ht="15.75" thickBot="1" x14ac:dyDescent="0.3">
      <c r="A312" s="582"/>
      <c r="B312" s="579"/>
      <c r="C312" s="270"/>
      <c r="D312" s="166" t="s">
        <v>16</v>
      </c>
      <c r="E312" s="167"/>
      <c r="F312" s="168"/>
      <c r="G312" s="168"/>
      <c r="H312" s="168"/>
      <c r="I312" s="168">
        <v>29.63</v>
      </c>
      <c r="J312" s="168">
        <v>2.46</v>
      </c>
      <c r="K312" s="168"/>
      <c r="L312" s="168"/>
      <c r="M312" s="53"/>
      <c r="N312" s="498" t="s">
        <v>296</v>
      </c>
      <c r="O312" s="498"/>
      <c r="P312" s="498"/>
      <c r="Q312" s="107"/>
      <c r="R312" s="169" t="s">
        <v>149</v>
      </c>
      <c r="S312" s="99">
        <f>$P$11*0.05</f>
        <v>5</v>
      </c>
      <c r="T312" s="100">
        <f>$P$11*0.05</f>
        <v>5</v>
      </c>
      <c r="U312" s="167">
        <f>KALKULÁTOR!E312*Q312</f>
        <v>0</v>
      </c>
      <c r="V312" s="170">
        <f>KALKULÁTOR!F312*$Q312/$Q$375</f>
        <v>0</v>
      </c>
      <c r="W312" s="170">
        <f>KALKULÁTOR!G312*$Q312/$Q$375</f>
        <v>0</v>
      </c>
      <c r="X312" s="170">
        <f>KALKULÁTOR!H312*$Q312/$Q$375</f>
        <v>0</v>
      </c>
      <c r="Y312" s="170">
        <f>KALKULÁTOR!I312*$Q312/$Q$375</f>
        <v>0</v>
      </c>
      <c r="Z312" s="170">
        <f>KALKULÁTOR!J312*$Q312/$Q$375</f>
        <v>0</v>
      </c>
      <c r="AA312" s="170">
        <f>KALKULÁTOR!K312*$Q312/$Q$375</f>
        <v>0</v>
      </c>
      <c r="AB312" s="170">
        <f>KALKULÁTOR!L312*$Q312/$Q$375</f>
        <v>0</v>
      </c>
      <c r="AC312" s="171">
        <f>KALKULÁTOR!C312*Q312</f>
        <v>0</v>
      </c>
      <c r="AD312" s="378">
        <f t="shared" si="12"/>
        <v>0</v>
      </c>
      <c r="AH312" s="34"/>
      <c r="AI312" s="35"/>
    </row>
    <row r="313" spans="1:35" x14ac:dyDescent="0.25">
      <c r="A313" s="582"/>
      <c r="B313" s="577" t="s">
        <v>297</v>
      </c>
      <c r="C313" s="265"/>
      <c r="D313" s="25" t="s">
        <v>16</v>
      </c>
      <c r="E313" s="37"/>
      <c r="F313" s="19">
        <v>36.81</v>
      </c>
      <c r="G313" s="19">
        <v>2.36</v>
      </c>
      <c r="H313" s="19">
        <v>7.29</v>
      </c>
      <c r="I313" s="19">
        <v>2.2999999999999998</v>
      </c>
      <c r="J313" s="19">
        <v>0.79</v>
      </c>
      <c r="K313" s="19">
        <v>2.1800000000000002</v>
      </c>
      <c r="L313" s="19">
        <v>0.51</v>
      </c>
      <c r="M313" s="42"/>
      <c r="N313" s="477" t="s">
        <v>298</v>
      </c>
      <c r="O313" s="477"/>
      <c r="P313" s="477"/>
      <c r="Q313" s="107"/>
      <c r="R313" s="66" t="s">
        <v>149</v>
      </c>
      <c r="S313" s="159">
        <f>$P$11*0.35</f>
        <v>35</v>
      </c>
      <c r="T313" s="162">
        <f>$P$11*0.35</f>
        <v>35</v>
      </c>
      <c r="U313" s="37">
        <f>KALKULÁTOR!E313*Q313</f>
        <v>0</v>
      </c>
      <c r="V313" s="26">
        <f>KALKULÁTOR!F313*$Q313/$Q$375</f>
        <v>0</v>
      </c>
      <c r="W313" s="26">
        <f>KALKULÁTOR!G313*$Q313/$Q$375</f>
        <v>0</v>
      </c>
      <c r="X313" s="26">
        <f>KALKULÁTOR!H313*$Q313/$Q$375</f>
        <v>0</v>
      </c>
      <c r="Y313" s="26">
        <f>KALKULÁTOR!I313*$Q313/$Q$375</f>
        <v>0</v>
      </c>
      <c r="Z313" s="26">
        <f>KALKULÁTOR!J313*$Q313/$Q$375</f>
        <v>0</v>
      </c>
      <c r="AA313" s="26">
        <f>KALKULÁTOR!K313*$Q313/$Q$375</f>
        <v>0</v>
      </c>
      <c r="AB313" s="26">
        <f>KALKULÁTOR!L313*$Q313/$Q$375</f>
        <v>0</v>
      </c>
      <c r="AC313" s="40">
        <f>KALKULÁTOR!C313*Q313</f>
        <v>0</v>
      </c>
      <c r="AD313" s="378">
        <f t="shared" si="12"/>
        <v>0</v>
      </c>
      <c r="AH313" s="34"/>
      <c r="AI313" s="35"/>
    </row>
    <row r="314" spans="1:35" ht="15" customHeight="1" thickBot="1" x14ac:dyDescent="0.3">
      <c r="A314" s="582"/>
      <c r="B314" s="578"/>
      <c r="C314" s="269"/>
      <c r="D314" s="165" t="s">
        <v>16</v>
      </c>
      <c r="E314" s="22"/>
      <c r="F314" s="21">
        <v>32.450000000000003</v>
      </c>
      <c r="G314" s="21">
        <v>8.86</v>
      </c>
      <c r="H314" s="21">
        <v>17.28</v>
      </c>
      <c r="I314" s="21">
        <v>0.13</v>
      </c>
      <c r="J314" s="21">
        <v>0.24</v>
      </c>
      <c r="K314" s="21">
        <v>1.79</v>
      </c>
      <c r="L314" s="21">
        <v>0.56999999999999995</v>
      </c>
      <c r="M314" s="118"/>
      <c r="N314" s="476" t="s">
        <v>299</v>
      </c>
      <c r="O314" s="476"/>
      <c r="P314" s="476"/>
      <c r="Q314" s="145"/>
      <c r="R314" s="96" t="s">
        <v>149</v>
      </c>
      <c r="S314" s="222" t="s">
        <v>197</v>
      </c>
      <c r="T314" s="223" t="s">
        <v>198</v>
      </c>
      <c r="U314" s="22">
        <f>KALKULÁTOR!E314*Q314</f>
        <v>0</v>
      </c>
      <c r="V314" s="48">
        <f>KALKULÁTOR!F314*$Q314/$Q$375</f>
        <v>0</v>
      </c>
      <c r="W314" s="48">
        <f>KALKULÁTOR!G314*$Q314/$Q$375</f>
        <v>0</v>
      </c>
      <c r="X314" s="48">
        <f>KALKULÁTOR!H314*$Q314/$Q$375</f>
        <v>0</v>
      </c>
      <c r="Y314" s="48">
        <f>KALKULÁTOR!I314*$Q314/$Q$375</f>
        <v>0</v>
      </c>
      <c r="Z314" s="48">
        <f>KALKULÁTOR!J314*$Q314/$Q$375</f>
        <v>0</v>
      </c>
      <c r="AA314" s="48">
        <f>KALKULÁTOR!K314*$Q314/$Q$375</f>
        <v>0</v>
      </c>
      <c r="AB314" s="48">
        <f>KALKULÁTOR!L314*$Q314/$Q$375</f>
        <v>0</v>
      </c>
      <c r="AC314" s="49">
        <f>KALKULÁTOR!C314*Q314</f>
        <v>0</v>
      </c>
      <c r="AD314" s="434"/>
      <c r="AE314" s="434"/>
      <c r="AH314" s="34"/>
      <c r="AI314" s="35"/>
    </row>
    <row r="315" spans="1:35" ht="15" customHeight="1" x14ac:dyDescent="0.25">
      <c r="A315" s="582"/>
      <c r="B315" s="519" t="s">
        <v>165</v>
      </c>
      <c r="C315" s="265"/>
      <c r="D315" s="25" t="s">
        <v>16</v>
      </c>
      <c r="E315" s="37">
        <v>6.44</v>
      </c>
      <c r="F315" s="19">
        <v>32.21</v>
      </c>
      <c r="G315" s="19">
        <v>1.88</v>
      </c>
      <c r="H315" s="19">
        <v>12.05</v>
      </c>
      <c r="I315" s="19">
        <v>4.57</v>
      </c>
      <c r="J315" s="19">
        <v>2.4500000000000002</v>
      </c>
      <c r="K315" s="19">
        <v>1.54</v>
      </c>
      <c r="L315" s="19">
        <v>0.64</v>
      </c>
      <c r="M315" s="42"/>
      <c r="N315" s="477" t="s">
        <v>323</v>
      </c>
      <c r="O315" s="477"/>
      <c r="P315" s="477"/>
      <c r="Q315" s="145"/>
      <c r="R315" s="66" t="s">
        <v>149</v>
      </c>
      <c r="S315" s="214">
        <f>$P$11*0.27</f>
        <v>27</v>
      </c>
      <c r="T315" s="212">
        <f>$P$11*0.27</f>
        <v>27</v>
      </c>
      <c r="U315" s="37">
        <f>KALKULÁTOR!E315*Q315</f>
        <v>0</v>
      </c>
      <c r="V315" s="26">
        <f>KALKULÁTOR!F315*$Q315/$Q$375</f>
        <v>0</v>
      </c>
      <c r="W315" s="26">
        <f>KALKULÁTOR!G315*$Q315/$Q$375</f>
        <v>0</v>
      </c>
      <c r="X315" s="26">
        <f>KALKULÁTOR!H315*$Q315/$Q$375</f>
        <v>0</v>
      </c>
      <c r="Y315" s="26">
        <f>KALKULÁTOR!I315*$Q315/$Q$375</f>
        <v>0</v>
      </c>
      <c r="Z315" s="26">
        <f>KALKULÁTOR!J315*$Q315/$Q$375</f>
        <v>0</v>
      </c>
      <c r="AA315" s="26">
        <f>KALKULÁTOR!K315*$Q315/$Q$375</f>
        <v>0</v>
      </c>
      <c r="AB315" s="26">
        <f>KALKULÁTOR!L315*$Q315/$Q$375</f>
        <v>0</v>
      </c>
      <c r="AC315" s="40">
        <f>KALKULÁTOR!C315*Q315</f>
        <v>0</v>
      </c>
      <c r="AD315" s="378">
        <f t="shared" ref="AD315:AD348" si="13">IF(AND(Q315&gt;=S315,Q315&lt;=T315),1,0)</f>
        <v>0</v>
      </c>
      <c r="AH315" s="34"/>
      <c r="AI315" s="35"/>
    </row>
    <row r="316" spans="1:35" ht="15" customHeight="1" x14ac:dyDescent="0.25">
      <c r="A316" s="582"/>
      <c r="B316" s="520"/>
      <c r="C316" s="267"/>
      <c r="D316" s="27" t="s">
        <v>16</v>
      </c>
      <c r="E316" s="36">
        <v>6.01</v>
      </c>
      <c r="F316" s="4">
        <v>29.5</v>
      </c>
      <c r="G316" s="4">
        <v>1.43</v>
      </c>
      <c r="H316" s="4">
        <v>3.24</v>
      </c>
      <c r="I316" s="4">
        <v>12.75</v>
      </c>
      <c r="J316" s="4">
        <v>1.26</v>
      </c>
      <c r="K316" s="4">
        <v>1.86</v>
      </c>
      <c r="L316" s="4">
        <v>0.78</v>
      </c>
      <c r="M316" s="43"/>
      <c r="N316" s="472" t="s">
        <v>324</v>
      </c>
      <c r="O316" s="472"/>
      <c r="P316" s="472"/>
      <c r="Q316" s="107"/>
      <c r="R316" s="79" t="s">
        <v>149</v>
      </c>
      <c r="S316" s="215">
        <f>$P$11*0.35</f>
        <v>35</v>
      </c>
      <c r="T316" s="213">
        <f>$P$11*0.35</f>
        <v>35</v>
      </c>
      <c r="U316" s="36">
        <f>KALKULÁTOR!E316*Q316</f>
        <v>0</v>
      </c>
      <c r="V316" s="28">
        <f>KALKULÁTOR!F316*$Q316/$Q$375</f>
        <v>0</v>
      </c>
      <c r="W316" s="28">
        <f>KALKULÁTOR!G316*$Q316/$Q$375</f>
        <v>0</v>
      </c>
      <c r="X316" s="28">
        <f>KALKULÁTOR!H316*$Q316/$Q$375</f>
        <v>0</v>
      </c>
      <c r="Y316" s="28">
        <f>KALKULÁTOR!I316*$Q316/$Q$375</f>
        <v>0</v>
      </c>
      <c r="Z316" s="28">
        <f>KALKULÁTOR!J316*$Q316/$Q$375</f>
        <v>0</v>
      </c>
      <c r="AA316" s="28">
        <f>KALKULÁTOR!K316*$Q316/$Q$375</f>
        <v>0</v>
      </c>
      <c r="AB316" s="28">
        <f>KALKULÁTOR!L316*$Q316/$Q$375</f>
        <v>0</v>
      </c>
      <c r="AC316" s="41">
        <f>KALKULÁTOR!C316*Q316</f>
        <v>0</v>
      </c>
      <c r="AD316" s="378">
        <f t="shared" si="13"/>
        <v>0</v>
      </c>
      <c r="AH316" s="34"/>
      <c r="AI316" s="35"/>
    </row>
    <row r="317" spans="1:35" ht="15" customHeight="1" thickBot="1" x14ac:dyDescent="0.3">
      <c r="A317" s="582"/>
      <c r="B317" s="521"/>
      <c r="C317" s="269"/>
      <c r="D317" s="95" t="s">
        <v>16</v>
      </c>
      <c r="E317" s="22"/>
      <c r="F317" s="21"/>
      <c r="G317" s="21"/>
      <c r="H317" s="21"/>
      <c r="I317" s="21">
        <v>21.16</v>
      </c>
      <c r="J317" s="21">
        <v>4.62</v>
      </c>
      <c r="K317" s="21">
        <v>0.08</v>
      </c>
      <c r="L317" s="21">
        <v>0.04</v>
      </c>
      <c r="M317" s="118"/>
      <c r="N317" s="476" t="s">
        <v>325</v>
      </c>
      <c r="O317" s="476"/>
      <c r="P317" s="476"/>
      <c r="Q317" s="107"/>
      <c r="R317" s="96" t="s">
        <v>149</v>
      </c>
      <c r="S317" s="423">
        <f>$P$11*0.05</f>
        <v>5</v>
      </c>
      <c r="T317" s="422">
        <f>$P$11*0.05</f>
        <v>5</v>
      </c>
      <c r="U317" s="22">
        <f>KALKULÁTOR!E317*Q317</f>
        <v>0</v>
      </c>
      <c r="V317" s="48">
        <f>KALKULÁTOR!F317*$Q317/$Q$375</f>
        <v>0</v>
      </c>
      <c r="W317" s="48">
        <f>KALKULÁTOR!G317*$Q317/$Q$375</f>
        <v>0</v>
      </c>
      <c r="X317" s="48">
        <f>KALKULÁTOR!H317*$Q317/$Q$375</f>
        <v>0</v>
      </c>
      <c r="Y317" s="48">
        <f>KALKULÁTOR!I317*$Q317/$Q$375</f>
        <v>0</v>
      </c>
      <c r="Z317" s="48">
        <f>KALKULÁTOR!J317*$Q317/$Q$375</f>
        <v>0</v>
      </c>
      <c r="AA317" s="48">
        <f>KALKULÁTOR!K317*$Q317/$Q$375</f>
        <v>0</v>
      </c>
      <c r="AB317" s="48">
        <f>KALKULÁTOR!L317*$Q317/$Q$375</f>
        <v>0</v>
      </c>
      <c r="AC317" s="49">
        <f>KALKULÁTOR!C317*Q317</f>
        <v>0</v>
      </c>
      <c r="AD317" s="378">
        <f t="shared" si="13"/>
        <v>0</v>
      </c>
      <c r="AH317" s="34"/>
      <c r="AI317" s="35"/>
    </row>
    <row r="318" spans="1:35" ht="15" customHeight="1" x14ac:dyDescent="0.25">
      <c r="A318" s="582"/>
      <c r="B318" s="519" t="s">
        <v>457</v>
      </c>
      <c r="C318" s="265"/>
      <c r="D318" s="25" t="s">
        <v>16</v>
      </c>
      <c r="E318" s="37"/>
      <c r="F318" s="19"/>
      <c r="G318" s="19"/>
      <c r="H318" s="19"/>
      <c r="I318" s="19">
        <v>26.46</v>
      </c>
      <c r="J318" s="19">
        <v>4.29</v>
      </c>
      <c r="K318" s="19"/>
      <c r="L318" s="19">
        <v>1.98</v>
      </c>
      <c r="M318" s="42"/>
      <c r="N318" s="580" t="s">
        <v>458</v>
      </c>
      <c r="O318" s="580"/>
      <c r="P318" s="580"/>
      <c r="Q318" s="145"/>
      <c r="R318" s="66" t="s">
        <v>149</v>
      </c>
      <c r="S318" s="450">
        <f>$P$11*0.025</f>
        <v>2.5</v>
      </c>
      <c r="T318" s="448">
        <f>$P$11*0.025</f>
        <v>2.5</v>
      </c>
      <c r="U318" s="37">
        <f>KALKULÁTOR!E318*Q318</f>
        <v>0</v>
      </c>
      <c r="V318" s="26">
        <f>KALKULÁTOR!F318*$Q318/$Q$375</f>
        <v>0</v>
      </c>
      <c r="W318" s="26">
        <f>KALKULÁTOR!G318*$Q318/$Q$375</f>
        <v>0</v>
      </c>
      <c r="X318" s="26">
        <f>KALKULÁTOR!H318*$Q318/$Q$375</f>
        <v>0</v>
      </c>
      <c r="Y318" s="26">
        <f>KALKULÁTOR!I318*$Q318/$Q$375</f>
        <v>0</v>
      </c>
      <c r="Z318" s="26">
        <f>KALKULÁTOR!J318*$Q318/$Q$375</f>
        <v>0</v>
      </c>
      <c r="AA318" s="26">
        <f>KALKULÁTOR!K318*$Q318/$Q$375</f>
        <v>0</v>
      </c>
      <c r="AB318" s="26">
        <f>KALKULÁTOR!L318*$Q318/$Q$375</f>
        <v>0</v>
      </c>
      <c r="AC318" s="40">
        <f>KALKULÁTOR!C318*Q318</f>
        <v>0</v>
      </c>
      <c r="AD318" s="378">
        <f t="shared" si="13"/>
        <v>0</v>
      </c>
      <c r="AH318" s="34"/>
      <c r="AI318" s="35"/>
    </row>
    <row r="319" spans="1:35" ht="15" customHeight="1" x14ac:dyDescent="0.25">
      <c r="A319" s="582"/>
      <c r="B319" s="520"/>
      <c r="C319" s="267"/>
      <c r="D319" s="27" t="s">
        <v>16</v>
      </c>
      <c r="E319" s="36"/>
      <c r="F319" s="4"/>
      <c r="G319" s="4"/>
      <c r="H319" s="4"/>
      <c r="I319" s="4">
        <v>25.71</v>
      </c>
      <c r="J319" s="4">
        <v>4.29</v>
      </c>
      <c r="K319" s="4"/>
      <c r="L319" s="4">
        <v>1.98</v>
      </c>
      <c r="M319" s="43"/>
      <c r="N319" s="503" t="s">
        <v>488</v>
      </c>
      <c r="O319" s="503"/>
      <c r="P319" s="503"/>
      <c r="Q319" s="145"/>
      <c r="R319" s="79" t="s">
        <v>149</v>
      </c>
      <c r="S319" s="451">
        <f>$P$11*0.025</f>
        <v>2.5</v>
      </c>
      <c r="T319" s="449">
        <f>$P$11*0.025</f>
        <v>2.5</v>
      </c>
      <c r="U319" s="36">
        <f>KALKULÁTOR!E319*Q319</f>
        <v>0</v>
      </c>
      <c r="V319" s="28">
        <f>KALKULÁTOR!F319*$Q319/$Q$375</f>
        <v>0</v>
      </c>
      <c r="W319" s="28">
        <f>KALKULÁTOR!G319*$Q319/$Q$375</f>
        <v>0</v>
      </c>
      <c r="X319" s="28">
        <f>KALKULÁTOR!H319*$Q319/$Q$375</f>
        <v>0</v>
      </c>
      <c r="Y319" s="28">
        <f>KALKULÁTOR!I319*$Q319/$Q$375</f>
        <v>0</v>
      </c>
      <c r="Z319" s="28">
        <f>KALKULÁTOR!J319*$Q319/$Q$375</f>
        <v>0</v>
      </c>
      <c r="AA319" s="28">
        <f>KALKULÁTOR!K319*$Q319/$Q$375</f>
        <v>0</v>
      </c>
      <c r="AB319" s="28">
        <f>KALKULÁTOR!L319*$Q319/$Q$375</f>
        <v>0</v>
      </c>
      <c r="AC319" s="41">
        <f>KALKULÁTOR!C319*Q319</f>
        <v>0</v>
      </c>
      <c r="AD319" s="378">
        <f t="shared" ref="AD319" si="14">IF(AND(Q319&gt;=S319,Q319&lt;=T319),1,0)</f>
        <v>0</v>
      </c>
      <c r="AH319" s="34"/>
      <c r="AI319" s="35"/>
    </row>
    <row r="320" spans="1:35" ht="15" customHeight="1" thickBot="1" x14ac:dyDescent="0.3">
      <c r="A320" s="582"/>
      <c r="B320" s="522"/>
      <c r="C320" s="266"/>
      <c r="D320" s="29" t="s">
        <v>16</v>
      </c>
      <c r="E320" s="38"/>
      <c r="F320" s="18"/>
      <c r="G320" s="18"/>
      <c r="H320" s="18"/>
      <c r="I320" s="18">
        <v>23.33</v>
      </c>
      <c r="J320" s="18"/>
      <c r="K320" s="18">
        <v>4</v>
      </c>
      <c r="L320" s="18">
        <v>1</v>
      </c>
      <c r="M320" s="53"/>
      <c r="N320" s="581" t="s">
        <v>459</v>
      </c>
      <c r="O320" s="581"/>
      <c r="P320" s="581"/>
      <c r="Q320" s="107"/>
      <c r="R320" s="83" t="s">
        <v>149</v>
      </c>
      <c r="S320" s="376">
        <f>$P$11*0.01</f>
        <v>1</v>
      </c>
      <c r="T320" s="373">
        <f>$P$11*0.01</f>
        <v>1</v>
      </c>
      <c r="U320" s="38">
        <f>KALKULÁTOR!E320*Q320</f>
        <v>0</v>
      </c>
      <c r="V320" s="67">
        <f>KALKULÁTOR!F320*$Q320/$Q$375</f>
        <v>0</v>
      </c>
      <c r="W320" s="67">
        <f>KALKULÁTOR!G320*$Q320/$Q$375</f>
        <v>0</v>
      </c>
      <c r="X320" s="67">
        <f>KALKULÁTOR!H320*$Q320/$Q$375</f>
        <v>0</v>
      </c>
      <c r="Y320" s="67">
        <f>KALKULÁTOR!I320*$Q320/$Q$375</f>
        <v>0</v>
      </c>
      <c r="Z320" s="67">
        <f>KALKULÁTOR!J320*$Q320/$Q$375</f>
        <v>0</v>
      </c>
      <c r="AA320" s="67">
        <f>KALKULÁTOR!K320*$Q320/$Q$375</f>
        <v>0</v>
      </c>
      <c r="AB320" s="67">
        <f>KALKULÁTOR!L320*$Q320/$Q$375</f>
        <v>0</v>
      </c>
      <c r="AC320" s="68">
        <f>KALKULÁTOR!C320*Q320</f>
        <v>0</v>
      </c>
      <c r="AD320" s="378">
        <f t="shared" si="13"/>
        <v>0</v>
      </c>
      <c r="AH320" s="34"/>
      <c r="AI320" s="35"/>
    </row>
    <row r="321" spans="1:36" ht="15" customHeight="1" x14ac:dyDescent="0.25">
      <c r="A321" s="582"/>
      <c r="B321" s="578" t="s">
        <v>320</v>
      </c>
      <c r="C321" s="268"/>
      <c r="D321" s="78" t="s">
        <v>16</v>
      </c>
      <c r="E321" s="32"/>
      <c r="F321" s="77">
        <v>28.42</v>
      </c>
      <c r="G321" s="77">
        <v>1.1599999999999999</v>
      </c>
      <c r="H321" s="77">
        <v>7.19</v>
      </c>
      <c r="I321" s="77">
        <v>8.6999999999999993</v>
      </c>
      <c r="J321" s="77">
        <v>1.37</v>
      </c>
      <c r="K321" s="77">
        <v>1.91</v>
      </c>
      <c r="L321" s="77">
        <v>0.6</v>
      </c>
      <c r="M321" s="144"/>
      <c r="N321" s="481" t="s">
        <v>321</v>
      </c>
      <c r="O321" s="481"/>
      <c r="P321" s="481"/>
      <c r="Q321" s="107"/>
      <c r="R321" s="64" t="s">
        <v>149</v>
      </c>
      <c r="S321" s="89">
        <f>$P$11*0.35</f>
        <v>35</v>
      </c>
      <c r="T321" s="90">
        <f>$P$11*0.4</f>
        <v>40</v>
      </c>
      <c r="U321" s="216">
        <f>KALKULÁTOR!E321*Q321</f>
        <v>0</v>
      </c>
      <c r="V321" s="219">
        <f>KALKULÁTOR!F321*$Q321/$Q$375</f>
        <v>0</v>
      </c>
      <c r="W321" s="219">
        <f>KALKULÁTOR!G321*$Q321/$Q$375</f>
        <v>0</v>
      </c>
      <c r="X321" s="219">
        <f>KALKULÁTOR!H321*$Q321/$Q$375</f>
        <v>0</v>
      </c>
      <c r="Y321" s="219">
        <f>KALKULÁTOR!I321*$Q321/$Q$375</f>
        <v>0</v>
      </c>
      <c r="Z321" s="219">
        <f>KALKULÁTOR!J321*$Q321/$Q$375</f>
        <v>0</v>
      </c>
      <c r="AA321" s="219">
        <f>KALKULÁTOR!K321*$Q321/$Q$375</f>
        <v>0</v>
      </c>
      <c r="AB321" s="219">
        <f>KALKULÁTOR!L321*$Q321/$Q$375</f>
        <v>0</v>
      </c>
      <c r="AC321" s="220">
        <f>KALKULÁTOR!C321*Q321</f>
        <v>0</v>
      </c>
      <c r="AD321" s="378">
        <f t="shared" si="13"/>
        <v>0</v>
      </c>
      <c r="AH321" s="34"/>
      <c r="AI321" s="35"/>
    </row>
    <row r="322" spans="1:36" ht="15" customHeight="1" thickBot="1" x14ac:dyDescent="0.3">
      <c r="A322" s="582"/>
      <c r="B322" s="578"/>
      <c r="C322" s="269"/>
      <c r="D322" s="165" t="s">
        <v>16</v>
      </c>
      <c r="E322" s="22"/>
      <c r="F322" s="21">
        <v>31.8</v>
      </c>
      <c r="G322" s="21">
        <v>0.9</v>
      </c>
      <c r="H322" s="21">
        <v>4.37</v>
      </c>
      <c r="I322" s="21">
        <v>9.3800000000000008</v>
      </c>
      <c r="J322" s="21">
        <v>1.1499999999999999</v>
      </c>
      <c r="K322" s="21">
        <v>2.11</v>
      </c>
      <c r="L322" s="21">
        <v>0.85</v>
      </c>
      <c r="M322" s="118"/>
      <c r="N322" s="476" t="s">
        <v>322</v>
      </c>
      <c r="O322" s="476"/>
      <c r="P322" s="476"/>
      <c r="Q322" s="145"/>
      <c r="R322" s="96" t="s">
        <v>149</v>
      </c>
      <c r="S322" s="264">
        <f>$P$11*0.35</f>
        <v>35</v>
      </c>
      <c r="T322" s="261">
        <f>$P$11*0.35</f>
        <v>35</v>
      </c>
      <c r="U322" s="22">
        <f>KALKULÁTOR!E322*Q322</f>
        <v>0</v>
      </c>
      <c r="V322" s="48">
        <f>KALKULÁTOR!F322*$Q322/$Q$375</f>
        <v>0</v>
      </c>
      <c r="W322" s="48">
        <f>KALKULÁTOR!G322*$Q322/$Q$375</f>
        <v>0</v>
      </c>
      <c r="X322" s="48">
        <f>KALKULÁTOR!H322*$Q322/$Q$375</f>
        <v>0</v>
      </c>
      <c r="Y322" s="48">
        <f>KALKULÁTOR!I322*$Q322/$Q$375</f>
        <v>0</v>
      </c>
      <c r="Z322" s="48">
        <f>KALKULÁTOR!J322*$Q322/$Q$375</f>
        <v>0</v>
      </c>
      <c r="AA322" s="48">
        <f>KALKULÁTOR!K322*$Q322/$Q$375</f>
        <v>0</v>
      </c>
      <c r="AB322" s="48">
        <f>KALKULÁTOR!L322*$Q322/$Q$375</f>
        <v>0</v>
      </c>
      <c r="AC322" s="49">
        <f>KALKULÁTOR!C322*Q322</f>
        <v>0</v>
      </c>
      <c r="AD322" s="378">
        <f t="shared" si="13"/>
        <v>0</v>
      </c>
      <c r="AH322" s="34"/>
      <c r="AI322" s="35"/>
    </row>
    <row r="323" spans="1:36" ht="15" customHeight="1" thickBot="1" x14ac:dyDescent="0.3">
      <c r="A323" s="582"/>
      <c r="B323" s="320" t="s">
        <v>408</v>
      </c>
      <c r="C323" s="321"/>
      <c r="D323" s="322" t="s">
        <v>16</v>
      </c>
      <c r="E323" s="323"/>
      <c r="F323" s="324">
        <v>30</v>
      </c>
      <c r="G323" s="324">
        <v>4.76</v>
      </c>
      <c r="H323" s="324">
        <v>5.62</v>
      </c>
      <c r="I323" s="324">
        <v>9.1999999999999993</v>
      </c>
      <c r="J323" s="324">
        <v>1.2</v>
      </c>
      <c r="K323" s="324">
        <v>2.77</v>
      </c>
      <c r="L323" s="324">
        <v>0.73</v>
      </c>
      <c r="M323" s="325"/>
      <c r="N323" s="571" t="s">
        <v>409</v>
      </c>
      <c r="O323" s="571"/>
      <c r="P323" s="571"/>
      <c r="Q323" s="145"/>
      <c r="R323" s="326" t="s">
        <v>149</v>
      </c>
      <c r="S323" s="327">
        <f>$P$11*0.4</f>
        <v>40</v>
      </c>
      <c r="T323" s="328">
        <f>$P$11*0.4</f>
        <v>40</v>
      </c>
      <c r="U323" s="323">
        <f>KALKULÁTOR!E323*Q323</f>
        <v>0</v>
      </c>
      <c r="V323" s="329">
        <f>KALKULÁTOR!F323*$Q323/$Q$375</f>
        <v>0</v>
      </c>
      <c r="W323" s="329">
        <f>KALKULÁTOR!G323*$Q323/$Q$375</f>
        <v>0</v>
      </c>
      <c r="X323" s="329">
        <f>KALKULÁTOR!H323*$Q323/$Q$375</f>
        <v>0</v>
      </c>
      <c r="Y323" s="329">
        <f>KALKULÁTOR!I323*$Q323/$Q$375</f>
        <v>0</v>
      </c>
      <c r="Z323" s="329">
        <f>KALKULÁTOR!J323*$Q323/$Q$375</f>
        <v>0</v>
      </c>
      <c r="AA323" s="329">
        <f>KALKULÁTOR!K323*$Q323/$Q$375</f>
        <v>0</v>
      </c>
      <c r="AB323" s="329">
        <f>KALKULÁTOR!L323*$Q323/$Q$375</f>
        <v>0</v>
      </c>
      <c r="AC323" s="330">
        <f>KALKULÁTOR!C323*Q323</f>
        <v>0</v>
      </c>
      <c r="AD323" s="378">
        <f t="shared" si="13"/>
        <v>0</v>
      </c>
      <c r="AH323" s="34"/>
      <c r="AI323" s="35"/>
    </row>
    <row r="324" spans="1:36" ht="15" customHeight="1" thickBot="1" x14ac:dyDescent="0.3">
      <c r="A324" s="582"/>
      <c r="B324" s="584" t="s">
        <v>308</v>
      </c>
      <c r="C324" s="268"/>
      <c r="D324" s="78" t="s">
        <v>16</v>
      </c>
      <c r="E324" s="32"/>
      <c r="F324" s="77"/>
      <c r="G324" s="77"/>
      <c r="H324" s="77"/>
      <c r="I324" s="77">
        <v>31.5</v>
      </c>
      <c r="J324" s="77">
        <v>5</v>
      </c>
      <c r="K324" s="77"/>
      <c r="L324" s="77">
        <v>0.15</v>
      </c>
      <c r="M324" s="144"/>
      <c r="N324" s="570" t="s">
        <v>305</v>
      </c>
      <c r="O324" s="570"/>
      <c r="P324" s="570"/>
      <c r="Q324" s="107"/>
      <c r="R324" s="221" t="s">
        <v>149</v>
      </c>
      <c r="S324" s="217">
        <f>$P$11*0.054</f>
        <v>5.4</v>
      </c>
      <c r="T324" s="218">
        <f>$P$11*0.077</f>
        <v>7.7</v>
      </c>
      <c r="U324" s="216">
        <f>KALKULÁTOR!E324*Q324</f>
        <v>0</v>
      </c>
      <c r="V324" s="219">
        <f>KALKULÁTOR!F324*$Q324/$Q$375</f>
        <v>0</v>
      </c>
      <c r="W324" s="219">
        <f>KALKULÁTOR!G324*$Q324/$Q$375</f>
        <v>0</v>
      </c>
      <c r="X324" s="219">
        <f>KALKULÁTOR!H324*$Q324/$Q$375</f>
        <v>0</v>
      </c>
      <c r="Y324" s="219">
        <f>KALKULÁTOR!I324*$Q324/$Q$375</f>
        <v>0</v>
      </c>
      <c r="Z324" s="219">
        <f>KALKULÁTOR!J324*$Q324/$Q$375</f>
        <v>0</v>
      </c>
      <c r="AA324" s="219">
        <f>KALKULÁTOR!K324*$Q324/$Q$375</f>
        <v>0</v>
      </c>
      <c r="AB324" s="219">
        <f>KALKULÁTOR!L324*$Q324/$Q$375</f>
        <v>0</v>
      </c>
      <c r="AC324" s="220">
        <f>KALKULÁTOR!C324*Q324</f>
        <v>0</v>
      </c>
      <c r="AD324" s="378">
        <f t="shared" si="13"/>
        <v>0</v>
      </c>
      <c r="AF324" s="619" t="s">
        <v>304</v>
      </c>
      <c r="AG324" s="563"/>
      <c r="AH324" s="563"/>
      <c r="AI324" s="564"/>
    </row>
    <row r="325" spans="1:36" ht="15" customHeight="1" x14ac:dyDescent="0.25">
      <c r="A325" s="582"/>
      <c r="B325" s="520"/>
      <c r="C325" s="267"/>
      <c r="D325" s="27" t="s">
        <v>16</v>
      </c>
      <c r="E325" s="36"/>
      <c r="F325" s="4"/>
      <c r="G325" s="4"/>
      <c r="H325" s="4"/>
      <c r="I325" s="4">
        <v>34</v>
      </c>
      <c r="J325" s="4">
        <v>3</v>
      </c>
      <c r="K325" s="4">
        <v>0</v>
      </c>
      <c r="L325" s="4">
        <v>0</v>
      </c>
      <c r="M325" s="43"/>
      <c r="N325" s="476" t="s">
        <v>306</v>
      </c>
      <c r="O325" s="476"/>
      <c r="P325" s="476"/>
      <c r="Q325" s="107"/>
      <c r="R325" s="96" t="s">
        <v>149</v>
      </c>
      <c r="S325" s="161">
        <f>$P$11*0.054</f>
        <v>5.4</v>
      </c>
      <c r="T325" s="164">
        <f>$P$11*0.08</f>
        <v>8</v>
      </c>
      <c r="U325" s="22">
        <f>KALKULÁTOR!E325*Q325</f>
        <v>0</v>
      </c>
      <c r="V325" s="48">
        <f>KALKULÁTOR!F325*$Q325/$Q$375</f>
        <v>0</v>
      </c>
      <c r="W325" s="48">
        <f>KALKULÁTOR!G325*$Q325/$Q$375</f>
        <v>0</v>
      </c>
      <c r="X325" s="48">
        <f>KALKULÁTOR!H325*$Q325/$Q$375</f>
        <v>0</v>
      </c>
      <c r="Y325" s="48">
        <f>KALKULÁTOR!I325*$Q325/$Q$375</f>
        <v>0</v>
      </c>
      <c r="Z325" s="48">
        <f>KALKULÁTOR!J325*$Q325/$Q$375</f>
        <v>0</v>
      </c>
      <c r="AA325" s="48">
        <f>KALKULÁTOR!K325*$Q325/$Q$375</f>
        <v>0</v>
      </c>
      <c r="AB325" s="48">
        <f>KALKULÁTOR!L325*$Q325/$Q$375</f>
        <v>0</v>
      </c>
      <c r="AC325" s="49">
        <f>KALKULÁTOR!C325*Q325</f>
        <v>0</v>
      </c>
      <c r="AD325" s="434">
        <f>IF(AND(Q325&gt;=S325,Q325&lt;=T325),1,0)</f>
        <v>0</v>
      </c>
      <c r="AE325" s="434"/>
      <c r="AH325" s="34"/>
      <c r="AI325" s="35"/>
    </row>
    <row r="326" spans="1:36" ht="15" customHeight="1" x14ac:dyDescent="0.25">
      <c r="A326" s="582"/>
      <c r="B326" s="521"/>
      <c r="C326" s="267"/>
      <c r="D326" s="27" t="s">
        <v>16</v>
      </c>
      <c r="E326" s="36"/>
      <c r="F326" s="4">
        <v>26.5</v>
      </c>
      <c r="G326" s="4">
        <v>1.1499999999999999</v>
      </c>
      <c r="H326" s="4">
        <v>3.8</v>
      </c>
      <c r="I326" s="4">
        <v>14</v>
      </c>
      <c r="J326" s="4">
        <v>1.2</v>
      </c>
      <c r="K326" s="4">
        <v>1.4</v>
      </c>
      <c r="L326" s="4">
        <v>0.9</v>
      </c>
      <c r="M326" s="43"/>
      <c r="N326" s="476" t="s">
        <v>495</v>
      </c>
      <c r="O326" s="476"/>
      <c r="P326" s="476"/>
      <c r="Q326" s="107"/>
      <c r="R326" s="467" t="s">
        <v>149</v>
      </c>
      <c r="S326" s="461">
        <f>$P$11*0.1</f>
        <v>10</v>
      </c>
      <c r="T326" s="460">
        <f>$P$11*0.1</f>
        <v>10</v>
      </c>
      <c r="U326" s="22">
        <f>KALKULÁTOR!E326*Q326</f>
        <v>0</v>
      </c>
      <c r="V326" s="48">
        <f>KALKULÁTOR!F326*$Q326/$Q$375</f>
        <v>0</v>
      </c>
      <c r="W326" s="48">
        <f>KALKULÁTOR!G326*$Q326/$Q$375</f>
        <v>0</v>
      </c>
      <c r="X326" s="48">
        <f>KALKULÁTOR!H326*$Q326/$Q$375</f>
        <v>0</v>
      </c>
      <c r="Y326" s="48">
        <f>KALKULÁTOR!I326*$Q326/$Q$375</f>
        <v>0</v>
      </c>
      <c r="Z326" s="48">
        <f>KALKULÁTOR!J326*$Q326/$Q$375</f>
        <v>0</v>
      </c>
      <c r="AA326" s="48">
        <f>KALKULÁTOR!K326*$Q326/$Q$375</f>
        <v>0</v>
      </c>
      <c r="AB326" s="48">
        <f>KALKULÁTOR!L326*$Q326/$Q$375</f>
        <v>0</v>
      </c>
      <c r="AC326" s="49">
        <f>KALKULÁTOR!C326*Q326</f>
        <v>0</v>
      </c>
      <c r="AD326" s="434">
        <f>IF(AND(Q326&gt;=S326,Q326&lt;=T326),1,0)</f>
        <v>0</v>
      </c>
      <c r="AE326" s="434"/>
      <c r="AF326" s="459" t="s">
        <v>440</v>
      </c>
      <c r="AG326" s="464"/>
      <c r="AH326" s="465"/>
      <c r="AI326" s="466"/>
    </row>
    <row r="327" spans="1:36" ht="15" customHeight="1" thickBot="1" x14ac:dyDescent="0.3">
      <c r="A327" s="582"/>
      <c r="B327" s="521"/>
      <c r="C327" s="269"/>
      <c r="D327" s="95" t="s">
        <v>16</v>
      </c>
      <c r="E327" s="22"/>
      <c r="F327" s="21"/>
      <c r="G327" s="21"/>
      <c r="H327" s="21"/>
      <c r="I327" s="21">
        <v>38</v>
      </c>
      <c r="J327" s="21"/>
      <c r="K327" s="21">
        <v>0</v>
      </c>
      <c r="L327" s="21">
        <v>0</v>
      </c>
      <c r="M327" s="118"/>
      <c r="N327" s="476" t="s">
        <v>307</v>
      </c>
      <c r="O327" s="476"/>
      <c r="P327" s="476"/>
      <c r="Q327" s="145"/>
      <c r="R327" s="96" t="s">
        <v>149</v>
      </c>
      <c r="S327" s="457">
        <f>$P$11*0.005</f>
        <v>0.5</v>
      </c>
      <c r="T327" s="455">
        <f>$P$11*0.1</f>
        <v>10</v>
      </c>
      <c r="U327" s="22">
        <f>KALKULÁTOR!E327*Q327</f>
        <v>0</v>
      </c>
      <c r="V327" s="48">
        <f>KALKULÁTOR!F327*$Q327/$Q$375</f>
        <v>0</v>
      </c>
      <c r="W327" s="48">
        <f>KALKULÁTOR!G327*$Q327/$Q$375</f>
        <v>0</v>
      </c>
      <c r="X327" s="48">
        <f>KALKULÁTOR!H327*$Q327/$Q$375</f>
        <v>0</v>
      </c>
      <c r="Y327" s="48">
        <f>KALKULÁTOR!I327*$Q327/$Q$375</f>
        <v>0</v>
      </c>
      <c r="Z327" s="48">
        <f>KALKULÁTOR!J327*$Q327/$Q$375</f>
        <v>0</v>
      </c>
      <c r="AA327" s="48">
        <f>KALKULÁTOR!K327*$Q327/$Q$375</f>
        <v>0</v>
      </c>
      <c r="AB327" s="48">
        <f>KALKULÁTOR!L327*$Q327/$Q$375</f>
        <v>0</v>
      </c>
      <c r="AC327" s="49">
        <f>KALKULÁTOR!C327*Q327</f>
        <v>0</v>
      </c>
      <c r="AD327" s="434">
        <f>IF(AND(Q327&gt;=S327,Q327&lt;=T327),1,0)</f>
        <v>0</v>
      </c>
      <c r="AE327" s="434"/>
      <c r="AH327" s="34"/>
      <c r="AI327" s="35"/>
    </row>
    <row r="328" spans="1:36" ht="15" customHeight="1" x14ac:dyDescent="0.25">
      <c r="A328" s="582"/>
      <c r="B328" s="577" t="s">
        <v>490</v>
      </c>
      <c r="C328" s="265"/>
      <c r="D328" s="25" t="s">
        <v>16</v>
      </c>
      <c r="E328" s="37"/>
      <c r="F328" s="19"/>
      <c r="G328" s="19"/>
      <c r="H328" s="19"/>
      <c r="I328" s="19">
        <v>15</v>
      </c>
      <c r="J328" s="19">
        <v>13</v>
      </c>
      <c r="K328" s="19">
        <v>2</v>
      </c>
      <c r="L328" s="19">
        <v>6</v>
      </c>
      <c r="M328" s="42"/>
      <c r="N328" s="477" t="s">
        <v>492</v>
      </c>
      <c r="O328" s="477"/>
      <c r="P328" s="477"/>
      <c r="Q328" s="145"/>
      <c r="R328" s="66" t="s">
        <v>149</v>
      </c>
      <c r="S328" s="456">
        <f>$P$11*0.02</f>
        <v>2</v>
      </c>
      <c r="T328" s="454">
        <f>$P$11*0.02</f>
        <v>2</v>
      </c>
      <c r="U328" s="37">
        <f>KALKULÁTOR!E328*Q328</f>
        <v>0</v>
      </c>
      <c r="V328" s="26">
        <f>KALKULÁTOR!F328*$Q328/$Q$375</f>
        <v>0</v>
      </c>
      <c r="W328" s="26">
        <f>KALKULÁTOR!G328*$Q328/$Q$375</f>
        <v>0</v>
      </c>
      <c r="X328" s="26">
        <f>KALKULÁTOR!H328*$Q328/$Q$375</f>
        <v>0</v>
      </c>
      <c r="Y328" s="26">
        <f>KALKULÁTOR!I328*$Q328/$Q$375</f>
        <v>0</v>
      </c>
      <c r="Z328" s="26">
        <f>KALKULÁTOR!J328*$Q328/$Q$375</f>
        <v>0</v>
      </c>
      <c r="AA328" s="26">
        <f>KALKULÁTOR!K328*$Q328/$Q$375</f>
        <v>0</v>
      </c>
      <c r="AB328" s="26">
        <f>KALKULÁTOR!L328*$Q328/$Q$375</f>
        <v>0</v>
      </c>
      <c r="AC328" s="40">
        <f>KALKULÁTOR!C328*Q328</f>
        <v>0</v>
      </c>
      <c r="AD328" s="434"/>
      <c r="AE328" s="434"/>
      <c r="AH328" s="34"/>
      <c r="AI328" s="35"/>
    </row>
    <row r="329" spans="1:36" ht="15" customHeight="1" x14ac:dyDescent="0.25">
      <c r="A329" s="582"/>
      <c r="B329" s="578"/>
      <c r="C329" s="268"/>
      <c r="D329" s="78" t="s">
        <v>16</v>
      </c>
      <c r="E329" s="32"/>
      <c r="F329" s="77"/>
      <c r="G329" s="77"/>
      <c r="H329" s="77"/>
      <c r="I329" s="77">
        <v>16</v>
      </c>
      <c r="J329" s="77">
        <v>13.5</v>
      </c>
      <c r="K329" s="77"/>
      <c r="L329" s="77">
        <v>5</v>
      </c>
      <c r="M329" s="144"/>
      <c r="N329" s="481" t="s">
        <v>493</v>
      </c>
      <c r="O329" s="481"/>
      <c r="P329" s="481"/>
      <c r="Q329" s="107"/>
      <c r="R329" s="64" t="s">
        <v>149</v>
      </c>
      <c r="S329" s="89">
        <f>$P$11*0.02</f>
        <v>2</v>
      </c>
      <c r="T329" s="90">
        <f>$P$11*0.02</f>
        <v>2</v>
      </c>
      <c r="U329" s="32">
        <f>KALKULÁTOR!E329*Q329</f>
        <v>0</v>
      </c>
      <c r="V329" s="6">
        <f>KALKULÁTOR!F329*$Q329/$Q$375</f>
        <v>0</v>
      </c>
      <c r="W329" s="6">
        <f>KALKULÁTOR!G329*$Q329/$Q$375</f>
        <v>0</v>
      </c>
      <c r="X329" s="6">
        <f>KALKULÁTOR!H329*$Q329/$Q$375</f>
        <v>0</v>
      </c>
      <c r="Y329" s="6">
        <f>KALKULÁTOR!I329*$Q329/$Q$375</f>
        <v>0</v>
      </c>
      <c r="Z329" s="6">
        <f>KALKULÁTOR!J329*$Q329/$Q$375</f>
        <v>0</v>
      </c>
      <c r="AA329" s="6">
        <f>KALKULÁTOR!K329*$Q329/$Q$375</f>
        <v>0</v>
      </c>
      <c r="AB329" s="6">
        <f>KALKULÁTOR!L329*$Q329/$Q$375</f>
        <v>0</v>
      </c>
      <c r="AC329" s="50">
        <f>KALKULÁTOR!C329*Q329</f>
        <v>0</v>
      </c>
      <c r="AD329" s="434"/>
      <c r="AE329" s="434"/>
      <c r="AH329" s="34"/>
      <c r="AI329" s="35"/>
    </row>
    <row r="330" spans="1:36" ht="15" customHeight="1" thickBot="1" x14ac:dyDescent="0.3">
      <c r="A330" s="582"/>
      <c r="B330" s="579"/>
      <c r="C330" s="270"/>
      <c r="D330" s="166" t="s">
        <v>16</v>
      </c>
      <c r="E330" s="167"/>
      <c r="F330" s="168">
        <v>0.106</v>
      </c>
      <c r="G330" s="168">
        <v>0</v>
      </c>
      <c r="H330" s="168"/>
      <c r="I330" s="168"/>
      <c r="J330" s="168"/>
      <c r="K330" s="168"/>
      <c r="L330" s="168"/>
      <c r="M330" s="458"/>
      <c r="N330" s="574" t="s">
        <v>491</v>
      </c>
      <c r="O330" s="575"/>
      <c r="P330" s="576"/>
      <c r="Q330" s="107"/>
      <c r="R330" s="169" t="s">
        <v>149</v>
      </c>
      <c r="S330" s="99">
        <f>$P$11*0.002</f>
        <v>0.2</v>
      </c>
      <c r="T330" s="100">
        <f>$P$11*0.01</f>
        <v>1</v>
      </c>
      <c r="U330" s="167">
        <f>KALKULÁTOR!E330*Q330</f>
        <v>0</v>
      </c>
      <c r="V330" s="170">
        <f>KALKULÁTOR!F330*$Q330/$Q$375</f>
        <v>0</v>
      </c>
      <c r="W330" s="170">
        <f>KALKULÁTOR!G330*$Q330/$Q$375</f>
        <v>0</v>
      </c>
      <c r="X330" s="170">
        <f>KALKULÁTOR!H330*$Q330/$Q$375</f>
        <v>0</v>
      </c>
      <c r="Y330" s="170">
        <f>KALKULÁTOR!I330*$Q330/$Q$375</f>
        <v>0</v>
      </c>
      <c r="Z330" s="170">
        <f>KALKULÁTOR!J330*$Q330/$Q$375</f>
        <v>0</v>
      </c>
      <c r="AA330" s="170">
        <f>KALKULÁTOR!K330*$Q330/$Q$375</f>
        <v>0</v>
      </c>
      <c r="AB330" s="170">
        <f>KALKULÁTOR!L330*$Q330/$Q$375</f>
        <v>0</v>
      </c>
      <c r="AC330" s="171">
        <f>KALKULÁTOR!C330*Q330</f>
        <v>0</v>
      </c>
      <c r="AD330" s="434"/>
      <c r="AE330" s="434"/>
      <c r="AH330" s="34"/>
      <c r="AI330" s="35"/>
    </row>
    <row r="331" spans="1:36" ht="15" customHeight="1" x14ac:dyDescent="0.25">
      <c r="A331" s="582"/>
      <c r="B331" s="578" t="s">
        <v>300</v>
      </c>
      <c r="C331" s="268"/>
      <c r="D331" s="78" t="s">
        <v>16</v>
      </c>
      <c r="E331" s="32"/>
      <c r="F331" s="77"/>
      <c r="G331" s="77"/>
      <c r="H331" s="77"/>
      <c r="I331" s="77">
        <v>27</v>
      </c>
      <c r="J331" s="77">
        <v>0.26800000000000002</v>
      </c>
      <c r="K331" s="77">
        <v>0.22</v>
      </c>
      <c r="L331" s="77">
        <v>0.81</v>
      </c>
      <c r="M331" s="144"/>
      <c r="N331" s="481" t="s">
        <v>219</v>
      </c>
      <c r="O331" s="481"/>
      <c r="P331" s="481"/>
      <c r="Q331" s="145"/>
      <c r="R331" s="64" t="s">
        <v>149</v>
      </c>
      <c r="S331" s="89">
        <f>$P$11*0.1</f>
        <v>10</v>
      </c>
      <c r="T331" s="90">
        <f>$P$11*0.1</f>
        <v>10</v>
      </c>
      <c r="U331" s="32">
        <f>KALKULÁTOR!E331*Q331</f>
        <v>0</v>
      </c>
      <c r="V331" s="6">
        <f>KALKULÁTOR!F331*$Q331/$Q$375</f>
        <v>0</v>
      </c>
      <c r="W331" s="6">
        <f>KALKULÁTOR!G331*$Q331/$Q$375</f>
        <v>0</v>
      </c>
      <c r="X331" s="6">
        <f>KALKULÁTOR!H331*$Q331/$Q$375</f>
        <v>0</v>
      </c>
      <c r="Y331" s="6">
        <f>KALKULÁTOR!I331*$Q331/$Q$375</f>
        <v>0</v>
      </c>
      <c r="Z331" s="6">
        <f>KALKULÁTOR!J331*$Q331/$Q$375</f>
        <v>0</v>
      </c>
      <c r="AA331" s="6">
        <f>KALKULÁTOR!K331*$Q331/$Q$375</f>
        <v>0</v>
      </c>
      <c r="AB331" s="6">
        <f>KALKULÁTOR!L331*$Q331/$Q$375</f>
        <v>0</v>
      </c>
      <c r="AC331" s="50">
        <f>KALKULÁTOR!C331*Q331</f>
        <v>0</v>
      </c>
      <c r="AD331" s="378">
        <f t="shared" si="13"/>
        <v>0</v>
      </c>
      <c r="AH331" s="34"/>
      <c r="AI331" s="35"/>
    </row>
    <row r="332" spans="1:36" ht="15" customHeight="1" x14ac:dyDescent="0.25">
      <c r="A332" s="582"/>
      <c r="B332" s="578"/>
      <c r="C332" s="268"/>
      <c r="D332" s="78" t="s">
        <v>16</v>
      </c>
      <c r="E332" s="32"/>
      <c r="F332" s="77"/>
      <c r="G332" s="77"/>
      <c r="H332" s="77"/>
      <c r="I332" s="77">
        <v>3</v>
      </c>
      <c r="J332" s="77"/>
      <c r="K332" s="77"/>
      <c r="L332" s="77">
        <v>1</v>
      </c>
      <c r="M332" s="144"/>
      <c r="N332" s="481" t="s">
        <v>456</v>
      </c>
      <c r="O332" s="481"/>
      <c r="P332" s="481"/>
      <c r="Q332" s="145"/>
      <c r="R332" s="64" t="s">
        <v>149</v>
      </c>
      <c r="S332" s="89">
        <f>$P$11*0.01</f>
        <v>1</v>
      </c>
      <c r="T332" s="90">
        <f>$P$11*0.01</f>
        <v>1</v>
      </c>
      <c r="U332" s="32">
        <f>KALKULÁTOR!E332*Q332</f>
        <v>0</v>
      </c>
      <c r="V332" s="6">
        <f>KALKULÁTOR!F332*$Q332/$Q$375</f>
        <v>0</v>
      </c>
      <c r="W332" s="6">
        <f>KALKULÁTOR!G332*$Q332/$Q$375</f>
        <v>0</v>
      </c>
      <c r="X332" s="6">
        <f>KALKULÁTOR!H332*$Q332/$Q$375</f>
        <v>0</v>
      </c>
      <c r="Y332" s="6">
        <f>KALKULÁTOR!I332*$Q332/$Q$375</f>
        <v>0</v>
      </c>
      <c r="Z332" s="6">
        <f>KALKULÁTOR!J332*$Q332/$Q$375</f>
        <v>0</v>
      </c>
      <c r="AA332" s="6">
        <f>KALKULÁTOR!K332*$Q332/$Q$375</f>
        <v>0</v>
      </c>
      <c r="AB332" s="6">
        <f>KALKULÁTOR!L332*$Q332/$Q$375</f>
        <v>0</v>
      </c>
      <c r="AC332" s="50">
        <f>KALKULÁTOR!C332*Q332</f>
        <v>0</v>
      </c>
      <c r="AD332" s="378">
        <f t="shared" si="13"/>
        <v>0</v>
      </c>
      <c r="AH332" s="34"/>
      <c r="AI332" s="35"/>
    </row>
    <row r="333" spans="1:36" ht="15" customHeight="1" x14ac:dyDescent="0.25">
      <c r="A333" s="582"/>
      <c r="B333" s="578"/>
      <c r="C333" s="269"/>
      <c r="D333" s="165" t="s">
        <v>16</v>
      </c>
      <c r="E333" s="22">
        <v>9.6999999999999993</v>
      </c>
      <c r="F333" s="21">
        <v>32.1</v>
      </c>
      <c r="G333" s="21">
        <v>7</v>
      </c>
      <c r="H333" s="21">
        <v>6</v>
      </c>
      <c r="I333" s="21">
        <v>2.14</v>
      </c>
      <c r="J333" s="21">
        <v>1.05</v>
      </c>
      <c r="K333" s="21">
        <v>2.5</v>
      </c>
      <c r="L333" s="21">
        <v>0.48</v>
      </c>
      <c r="M333" s="118"/>
      <c r="N333" s="476" t="s">
        <v>452</v>
      </c>
      <c r="O333" s="476"/>
      <c r="P333" s="476"/>
      <c r="Q333" s="107"/>
      <c r="R333" s="96" t="s">
        <v>149</v>
      </c>
      <c r="S333" s="161">
        <f>$P$11*0.25</f>
        <v>25</v>
      </c>
      <c r="T333" s="164">
        <f>$P$11*0.3</f>
        <v>30</v>
      </c>
      <c r="U333" s="22">
        <f>KALKULÁTOR!E333*Q333</f>
        <v>0</v>
      </c>
      <c r="V333" s="48">
        <f>KALKULÁTOR!F333*$Q333/$Q$375</f>
        <v>0</v>
      </c>
      <c r="W333" s="48">
        <f>KALKULÁTOR!G333*$Q333/$Q$375</f>
        <v>0</v>
      </c>
      <c r="X333" s="48">
        <f>KALKULÁTOR!H333*$Q333/$Q$375</f>
        <v>0</v>
      </c>
      <c r="Y333" s="48">
        <f>KALKULÁTOR!I333*$Q333/$Q$375</f>
        <v>0</v>
      </c>
      <c r="Z333" s="48">
        <f>KALKULÁTOR!J333*$Q333/$Q$375</f>
        <v>0</v>
      </c>
      <c r="AA333" s="48">
        <f>KALKULÁTOR!K333*$Q333/$Q$375</f>
        <v>0</v>
      </c>
      <c r="AB333" s="48">
        <f>KALKULÁTOR!L333*$Q333/$Q$375</f>
        <v>0</v>
      </c>
      <c r="AC333" s="49">
        <f>KALKULÁTOR!C333*Q333</f>
        <v>0</v>
      </c>
      <c r="AD333" s="378">
        <f t="shared" si="13"/>
        <v>0</v>
      </c>
      <c r="AH333" s="34"/>
      <c r="AI333" s="35"/>
    </row>
    <row r="334" spans="1:36" ht="15" customHeight="1" thickBot="1" x14ac:dyDescent="0.3">
      <c r="A334" s="582"/>
      <c r="B334" s="579"/>
      <c r="C334" s="269"/>
      <c r="D334" s="165" t="s">
        <v>16</v>
      </c>
      <c r="E334" s="22">
        <v>6.8</v>
      </c>
      <c r="F334" s="21">
        <v>29</v>
      </c>
      <c r="G334" s="21">
        <v>2.7</v>
      </c>
      <c r="H334" s="21">
        <v>6</v>
      </c>
      <c r="I334" s="21">
        <v>11</v>
      </c>
      <c r="J334" s="21">
        <v>0.48</v>
      </c>
      <c r="K334" s="21">
        <v>2.5</v>
      </c>
      <c r="L334" s="21">
        <v>0.48</v>
      </c>
      <c r="M334" s="118"/>
      <c r="N334" s="476" t="s">
        <v>453</v>
      </c>
      <c r="O334" s="476"/>
      <c r="P334" s="476"/>
      <c r="Q334" s="107"/>
      <c r="R334" s="96" t="s">
        <v>149</v>
      </c>
      <c r="S334" s="415">
        <f>$P$11*0.25</f>
        <v>25</v>
      </c>
      <c r="T334" s="414">
        <f>$P$11*0.25</f>
        <v>25</v>
      </c>
      <c r="U334" s="22">
        <f>KALKULÁTOR!E334*Q334</f>
        <v>0</v>
      </c>
      <c r="V334" s="48">
        <f>KALKULÁTOR!F334*$Q334/$Q$375</f>
        <v>0</v>
      </c>
      <c r="W334" s="48">
        <f>KALKULÁTOR!G334*$Q334/$Q$375</f>
        <v>0</v>
      </c>
      <c r="X334" s="48">
        <f>KALKULÁTOR!H334*$Q334/$Q$375</f>
        <v>0</v>
      </c>
      <c r="Y334" s="48">
        <f>KALKULÁTOR!I334*$Q334/$Q$375</f>
        <v>0</v>
      </c>
      <c r="Z334" s="48">
        <f>KALKULÁTOR!J334*$Q334/$Q$375</f>
        <v>0</v>
      </c>
      <c r="AA334" s="48">
        <f>KALKULÁTOR!K334*$Q334/$Q$375</f>
        <v>0</v>
      </c>
      <c r="AB334" s="48">
        <f>KALKULÁTOR!L334*$Q334/$Q$375</f>
        <v>0</v>
      </c>
      <c r="AC334" s="49">
        <f>KALKULÁTOR!C334*Q334</f>
        <v>0</v>
      </c>
      <c r="AD334" s="378">
        <f t="shared" ref="AD334" si="15">IF(AND(Q334&gt;=S334,Q334&lt;=T334),1,0)</f>
        <v>0</v>
      </c>
      <c r="AH334" s="34"/>
      <c r="AI334" s="35"/>
    </row>
    <row r="335" spans="1:36" ht="15.75" customHeight="1" x14ac:dyDescent="0.25">
      <c r="A335" s="582"/>
      <c r="B335" s="500" t="s">
        <v>301</v>
      </c>
      <c r="C335" s="88"/>
      <c r="D335" s="25" t="s">
        <v>16</v>
      </c>
      <c r="E335" s="37"/>
      <c r="F335" s="19">
        <v>17.010000000000002</v>
      </c>
      <c r="G335" s="19">
        <v>3</v>
      </c>
      <c r="H335" s="19">
        <v>6</v>
      </c>
      <c r="I335" s="19">
        <v>0.59</v>
      </c>
      <c r="J335" s="19">
        <v>6.0999999999999999E-2</v>
      </c>
      <c r="K335" s="19"/>
      <c r="L335" s="19"/>
      <c r="M335" s="42"/>
      <c r="N335" s="477" t="s">
        <v>14</v>
      </c>
      <c r="O335" s="477"/>
      <c r="P335" s="477"/>
      <c r="Q335" s="145"/>
      <c r="R335" s="66" t="s">
        <v>149</v>
      </c>
      <c r="S335" s="342">
        <f>$P$11*0.12</f>
        <v>12</v>
      </c>
      <c r="T335" s="339">
        <f>$P$11*0.15</f>
        <v>15</v>
      </c>
      <c r="U335" s="37">
        <f>KALKULÁTOR!E335*Q335</f>
        <v>0</v>
      </c>
      <c r="V335" s="26">
        <f>KALKULÁTOR!F335*$Q335/$Q$375</f>
        <v>0</v>
      </c>
      <c r="W335" s="26">
        <f>KALKULÁTOR!G335*$Q335/$Q$375</f>
        <v>0</v>
      </c>
      <c r="X335" s="26">
        <f>KALKULÁTOR!H335*$Q335/$Q$375</f>
        <v>0</v>
      </c>
      <c r="Y335" s="26">
        <f>KALKULÁTOR!I335*$Q335/$Q$375</f>
        <v>0</v>
      </c>
      <c r="Z335" s="26">
        <f>KALKULÁTOR!J335*$Q335/$Q$375</f>
        <v>0</v>
      </c>
      <c r="AA335" s="26">
        <f>KALKULÁTOR!K335*$Q335/$Q$375</f>
        <v>0</v>
      </c>
      <c r="AB335" s="26">
        <f>KALKULÁTOR!L335*$Q335/$Q$375</f>
        <v>0</v>
      </c>
      <c r="AC335" s="40">
        <f>KALKULÁTOR!C335*Q335</f>
        <v>0</v>
      </c>
      <c r="AD335" s="378">
        <f t="shared" si="13"/>
        <v>0</v>
      </c>
      <c r="AF335" s="133"/>
      <c r="AG335" s="9"/>
      <c r="AH335" s="9"/>
      <c r="AI335" s="1"/>
      <c r="AJ335" s="1"/>
    </row>
    <row r="336" spans="1:36" ht="15.75" customHeight="1" x14ac:dyDescent="0.25">
      <c r="A336" s="582"/>
      <c r="B336" s="490"/>
      <c r="C336" s="81"/>
      <c r="D336" s="27" t="s">
        <v>16</v>
      </c>
      <c r="E336" s="36"/>
      <c r="F336" s="4"/>
      <c r="G336" s="4"/>
      <c r="H336" s="4"/>
      <c r="I336" s="4">
        <v>21.4</v>
      </c>
      <c r="J336" s="4"/>
      <c r="K336" s="4"/>
      <c r="L336" s="4">
        <v>5.5</v>
      </c>
      <c r="M336" s="43"/>
      <c r="N336" s="472" t="s">
        <v>487</v>
      </c>
      <c r="O336" s="472"/>
      <c r="P336" s="472"/>
      <c r="Q336" s="145"/>
      <c r="R336" s="79" t="s">
        <v>149</v>
      </c>
      <c r="S336" s="446">
        <f>$P$11*0.02</f>
        <v>2</v>
      </c>
      <c r="T336" s="444">
        <f>$P$11*0.02</f>
        <v>2</v>
      </c>
      <c r="U336" s="36">
        <f>KALKULÁTOR!E336*Q336</f>
        <v>0</v>
      </c>
      <c r="V336" s="28">
        <f>KALKULÁTOR!F336*$Q336/$Q$375</f>
        <v>0</v>
      </c>
      <c r="W336" s="28">
        <f>KALKULÁTOR!G336*$Q336/$Q$375</f>
        <v>0</v>
      </c>
      <c r="X336" s="28">
        <f>KALKULÁTOR!H336*$Q336/$Q$375</f>
        <v>0</v>
      </c>
      <c r="Y336" s="28">
        <f>KALKULÁTOR!I336*$Q336/$Q$375</f>
        <v>0</v>
      </c>
      <c r="Z336" s="28">
        <f>KALKULÁTOR!J336*$Q336/$Q$375</f>
        <v>0</v>
      </c>
      <c r="AA336" s="28">
        <f>KALKULÁTOR!K336*$Q336/$Q$375</f>
        <v>0</v>
      </c>
      <c r="AB336" s="28">
        <f>KALKULÁTOR!L336*$Q336/$Q$375</f>
        <v>0</v>
      </c>
      <c r="AC336" s="41">
        <f>KALKULÁTOR!C336*Q336</f>
        <v>0</v>
      </c>
      <c r="AD336" s="378">
        <f t="shared" ref="AD336" si="16">IF(AND(Q336&gt;=S336,Q336&lt;=T336),1,0)</f>
        <v>0</v>
      </c>
      <c r="AF336" s="133"/>
      <c r="AG336" s="9"/>
      <c r="AH336" s="9"/>
      <c r="AI336" s="1"/>
      <c r="AJ336" s="1"/>
    </row>
    <row r="337" spans="1:36" ht="15.75" customHeight="1" x14ac:dyDescent="0.25">
      <c r="A337" s="582"/>
      <c r="B337" s="490"/>
      <c r="C337" s="81"/>
      <c r="D337" s="27" t="s">
        <v>16</v>
      </c>
      <c r="E337" s="36"/>
      <c r="F337" s="4">
        <v>3.06</v>
      </c>
      <c r="G337" s="4">
        <v>0.59</v>
      </c>
      <c r="H337" s="4">
        <v>0.71</v>
      </c>
      <c r="I337" s="4">
        <v>22.155000000000001</v>
      </c>
      <c r="J337" s="4">
        <v>2.823</v>
      </c>
      <c r="K337" s="4">
        <v>0.88400000000000001</v>
      </c>
      <c r="L337" s="4">
        <v>3.7999999999999999E-2</v>
      </c>
      <c r="M337" s="43"/>
      <c r="N337" s="472" t="s">
        <v>422</v>
      </c>
      <c r="O337" s="472"/>
      <c r="P337" s="472"/>
      <c r="Q337" s="107"/>
      <c r="R337" s="79" t="s">
        <v>149</v>
      </c>
      <c r="S337" s="343">
        <f>$P$11*0.03</f>
        <v>3</v>
      </c>
      <c r="T337" s="340">
        <f>$P$11*0.03</f>
        <v>3</v>
      </c>
      <c r="U337" s="36">
        <f>KALKULÁTOR!E337*Q337</f>
        <v>0</v>
      </c>
      <c r="V337" s="28">
        <f>KALKULÁTOR!F337*$Q337/$Q$375</f>
        <v>0</v>
      </c>
      <c r="W337" s="28">
        <f>KALKULÁTOR!G337*$Q337/$Q$375</f>
        <v>0</v>
      </c>
      <c r="X337" s="28">
        <f>KALKULÁTOR!H337*$Q337/$Q$375</f>
        <v>0</v>
      </c>
      <c r="Y337" s="28">
        <f>KALKULÁTOR!I337*$Q337/$Q$375</f>
        <v>0</v>
      </c>
      <c r="Z337" s="28">
        <f>KALKULÁTOR!J337*$Q337/$Q$375</f>
        <v>0</v>
      </c>
      <c r="AA337" s="28">
        <f>KALKULÁTOR!K337*$Q337/$Q$375</f>
        <v>0</v>
      </c>
      <c r="AB337" s="28">
        <f>KALKULÁTOR!L337*$Q337/$Q$375</f>
        <v>0</v>
      </c>
      <c r="AC337" s="41">
        <f>KALKULÁTOR!C337*Q337</f>
        <v>0</v>
      </c>
      <c r="AD337" s="378">
        <f t="shared" si="13"/>
        <v>0</v>
      </c>
      <c r="AF337" s="133"/>
      <c r="AG337" s="9"/>
      <c r="AH337" s="9"/>
      <c r="AI337" s="1"/>
      <c r="AJ337" s="1"/>
    </row>
    <row r="338" spans="1:36" ht="15.75" customHeight="1" x14ac:dyDescent="0.25">
      <c r="A338" s="582"/>
      <c r="B338" s="490"/>
      <c r="C338" s="81"/>
      <c r="D338" s="27" t="s">
        <v>16</v>
      </c>
      <c r="E338" s="36"/>
      <c r="F338" s="4"/>
      <c r="G338" s="4"/>
      <c r="H338" s="4"/>
      <c r="I338" s="4">
        <v>19</v>
      </c>
      <c r="J338" s="4">
        <v>5.5</v>
      </c>
      <c r="K338" s="4">
        <v>5</v>
      </c>
      <c r="L338" s="4">
        <v>7.5</v>
      </c>
      <c r="M338" s="43"/>
      <c r="N338" s="472" t="s">
        <v>271</v>
      </c>
      <c r="O338" s="472"/>
      <c r="P338" s="472"/>
      <c r="Q338" s="107"/>
      <c r="R338" s="79" t="s">
        <v>149</v>
      </c>
      <c r="S338" s="343">
        <f>$P$11*0.02</f>
        <v>2</v>
      </c>
      <c r="T338" s="340">
        <f>$P$11*0.02</f>
        <v>2</v>
      </c>
      <c r="U338" s="36">
        <f>KALKULÁTOR!E338*Q338</f>
        <v>0</v>
      </c>
      <c r="V338" s="28">
        <f>KALKULÁTOR!F338*$Q338/$Q$375</f>
        <v>0</v>
      </c>
      <c r="W338" s="28">
        <f>KALKULÁTOR!G338*$Q338/$Q$375</f>
        <v>0</v>
      </c>
      <c r="X338" s="28">
        <f>KALKULÁTOR!H338*$Q338/$Q$375</f>
        <v>0</v>
      </c>
      <c r="Y338" s="28">
        <f>KALKULÁTOR!I338*$Q338/$Q$375</f>
        <v>0</v>
      </c>
      <c r="Z338" s="28">
        <f>KALKULÁTOR!J338*$Q338/$Q$375</f>
        <v>0</v>
      </c>
      <c r="AA338" s="28">
        <f>KALKULÁTOR!K338*$Q338/$Q$375</f>
        <v>0</v>
      </c>
      <c r="AB338" s="28">
        <f>KALKULÁTOR!L338*$Q338/$Q$375</f>
        <v>0</v>
      </c>
      <c r="AC338" s="41">
        <f>KALKULÁTOR!C338*Q338</f>
        <v>0</v>
      </c>
      <c r="AD338" s="378">
        <f t="shared" si="13"/>
        <v>0</v>
      </c>
      <c r="AF338" s="133"/>
      <c r="AG338" s="9"/>
      <c r="AH338" s="9"/>
      <c r="AI338" s="1"/>
      <c r="AJ338" s="1"/>
    </row>
    <row r="339" spans="1:36" ht="15.75" customHeight="1" x14ac:dyDescent="0.25">
      <c r="A339" s="582"/>
      <c r="B339" s="490"/>
      <c r="C339" s="81"/>
      <c r="D339" s="27" t="s">
        <v>16</v>
      </c>
      <c r="E339" s="36"/>
      <c r="F339" s="4"/>
      <c r="G339" s="4"/>
      <c r="H339" s="4"/>
      <c r="I339" s="4">
        <v>21.63</v>
      </c>
      <c r="J339" s="4">
        <v>6.27</v>
      </c>
      <c r="K339" s="4">
        <v>2.7</v>
      </c>
      <c r="L339" s="4">
        <v>3.7</v>
      </c>
      <c r="M339" s="43"/>
      <c r="N339" s="472" t="s">
        <v>412</v>
      </c>
      <c r="O339" s="472"/>
      <c r="P339" s="472"/>
      <c r="Q339" s="145"/>
      <c r="R339" s="79" t="s">
        <v>149</v>
      </c>
      <c r="S339" s="343">
        <f>$P$11*0.03</f>
        <v>3</v>
      </c>
      <c r="T339" s="340">
        <f>$P$11*0.03</f>
        <v>3</v>
      </c>
      <c r="U339" s="36">
        <f>KALKULÁTOR!E339*Q339</f>
        <v>0</v>
      </c>
      <c r="V339" s="28">
        <f>KALKULÁTOR!F339*$Q339/$Q$375</f>
        <v>0</v>
      </c>
      <c r="W339" s="28">
        <f>KALKULÁTOR!G339*$Q339/$Q$375</f>
        <v>0</v>
      </c>
      <c r="X339" s="28">
        <f>KALKULÁTOR!H339*$Q339/$Q$375</f>
        <v>0</v>
      </c>
      <c r="Y339" s="28">
        <f>KALKULÁTOR!I339*$Q339/$Q$375</f>
        <v>0</v>
      </c>
      <c r="Z339" s="28">
        <f>KALKULÁTOR!J339*$Q339/$Q$375</f>
        <v>0</v>
      </c>
      <c r="AA339" s="28">
        <f>KALKULÁTOR!K339*$Q339/$Q$375</f>
        <v>0</v>
      </c>
      <c r="AB339" s="28">
        <f>KALKULÁTOR!L339*$Q339/$Q$375</f>
        <v>0</v>
      </c>
      <c r="AC339" s="41">
        <f>KALKULÁTOR!C339*Q339</f>
        <v>0</v>
      </c>
      <c r="AD339" s="378">
        <f t="shared" si="13"/>
        <v>0</v>
      </c>
      <c r="AF339" s="133"/>
      <c r="AG339" s="9"/>
      <c r="AH339" s="9"/>
      <c r="AI339" s="1"/>
      <c r="AJ339" s="1"/>
    </row>
    <row r="340" spans="1:36" ht="15.75" customHeight="1" x14ac:dyDescent="0.25">
      <c r="A340" s="582"/>
      <c r="B340" s="490"/>
      <c r="C340" s="81"/>
      <c r="D340" s="27" t="s">
        <v>16</v>
      </c>
      <c r="E340" s="36"/>
      <c r="F340" s="4"/>
      <c r="G340" s="4"/>
      <c r="H340" s="4"/>
      <c r="I340" s="4">
        <v>8.1</v>
      </c>
      <c r="J340" s="4">
        <v>11.27</v>
      </c>
      <c r="K340" s="4">
        <v>7.03</v>
      </c>
      <c r="L340" s="4">
        <v>8.91</v>
      </c>
      <c r="M340" s="43"/>
      <c r="N340" s="472" t="s">
        <v>290</v>
      </c>
      <c r="O340" s="472"/>
      <c r="P340" s="472"/>
      <c r="Q340" s="145"/>
      <c r="R340" s="79" t="s">
        <v>149</v>
      </c>
      <c r="S340" s="343">
        <f>$P$11*0.02</f>
        <v>2</v>
      </c>
      <c r="T340" s="340">
        <f>$P$11*0.02</f>
        <v>2</v>
      </c>
      <c r="U340" s="36">
        <f>KALKULÁTOR!E340*Q340</f>
        <v>0</v>
      </c>
      <c r="V340" s="28">
        <f>KALKULÁTOR!F340*$Q340/$Q$375</f>
        <v>0</v>
      </c>
      <c r="W340" s="28">
        <f>KALKULÁTOR!G340*$Q340/$Q$375</f>
        <v>0</v>
      </c>
      <c r="X340" s="28">
        <f>KALKULÁTOR!H340*$Q340/$Q$375</f>
        <v>0</v>
      </c>
      <c r="Y340" s="28">
        <f>KALKULÁTOR!I340*$Q340/$Q$375</f>
        <v>0</v>
      </c>
      <c r="Z340" s="28">
        <f>KALKULÁTOR!J340*$Q340/$Q$375</f>
        <v>0</v>
      </c>
      <c r="AA340" s="28">
        <f>KALKULÁTOR!K340*$Q340/$Q$375</f>
        <v>0</v>
      </c>
      <c r="AB340" s="28">
        <f>KALKULÁTOR!L340*$Q340/$Q$375</f>
        <v>0</v>
      </c>
      <c r="AC340" s="41">
        <f>KALKULÁTOR!C340*Q340</f>
        <v>0</v>
      </c>
      <c r="AD340" s="378">
        <f t="shared" si="13"/>
        <v>0</v>
      </c>
      <c r="AF340" s="133"/>
      <c r="AG340" s="9"/>
      <c r="AH340" s="9"/>
      <c r="AI340" s="1"/>
      <c r="AJ340" s="1"/>
    </row>
    <row r="341" spans="1:36" ht="15.75" customHeight="1" thickBot="1" x14ac:dyDescent="0.3">
      <c r="A341" s="582"/>
      <c r="B341" s="504"/>
      <c r="C341" s="81"/>
      <c r="D341" s="27" t="s">
        <v>16</v>
      </c>
      <c r="E341" s="36"/>
      <c r="F341" s="4"/>
      <c r="G341" s="4"/>
      <c r="H341" s="4"/>
      <c r="I341" s="4">
        <v>19.170000000000002</v>
      </c>
      <c r="J341" s="4">
        <v>5</v>
      </c>
      <c r="K341" s="4"/>
      <c r="L341" s="4">
        <v>5.45</v>
      </c>
      <c r="M341" s="43"/>
      <c r="N341" s="472" t="s">
        <v>413</v>
      </c>
      <c r="O341" s="472"/>
      <c r="P341" s="472"/>
      <c r="Q341" s="107"/>
      <c r="R341" s="79" t="s">
        <v>149</v>
      </c>
      <c r="S341" s="343">
        <f>$P$11*0.02</f>
        <v>2</v>
      </c>
      <c r="T341" s="340">
        <f>$P$11*0.02</f>
        <v>2</v>
      </c>
      <c r="U341" s="36">
        <f>KALKULÁTOR!E341*Q341</f>
        <v>0</v>
      </c>
      <c r="V341" s="28">
        <f>KALKULÁTOR!F341*$Q341/$Q$375</f>
        <v>0</v>
      </c>
      <c r="W341" s="28">
        <f>KALKULÁTOR!G341*$Q341/$Q$375</f>
        <v>0</v>
      </c>
      <c r="X341" s="28">
        <f>KALKULÁTOR!H341*$Q341/$Q$375</f>
        <v>0</v>
      </c>
      <c r="Y341" s="28">
        <f>KALKULÁTOR!I341*$Q341/$Q$375</f>
        <v>0</v>
      </c>
      <c r="Z341" s="28">
        <f>KALKULÁTOR!J341*$Q341/$Q$375</f>
        <v>0</v>
      </c>
      <c r="AA341" s="28">
        <f>KALKULÁTOR!K341*$Q341/$Q$375</f>
        <v>0</v>
      </c>
      <c r="AB341" s="28">
        <f>KALKULÁTOR!L341*$Q341/$Q$375</f>
        <v>0</v>
      </c>
      <c r="AC341" s="41">
        <f>KALKULÁTOR!C341*Q341</f>
        <v>0</v>
      </c>
      <c r="AD341" s="378">
        <f t="shared" si="13"/>
        <v>0</v>
      </c>
      <c r="AF341" s="133"/>
      <c r="AG341" s="9"/>
      <c r="AH341" s="9"/>
      <c r="AI341" s="1"/>
      <c r="AJ341" s="1"/>
    </row>
    <row r="342" spans="1:36" ht="15.75" customHeight="1" thickBot="1" x14ac:dyDescent="0.3">
      <c r="A342" s="582"/>
      <c r="B342" s="492"/>
      <c r="C342" s="81"/>
      <c r="D342" s="27" t="s">
        <v>16</v>
      </c>
      <c r="E342" s="36"/>
      <c r="F342" s="4">
        <v>26.8</v>
      </c>
      <c r="G342" s="4">
        <v>1.42</v>
      </c>
      <c r="H342" s="4">
        <v>8.5399999999999991</v>
      </c>
      <c r="I342" s="4">
        <v>10.73</v>
      </c>
      <c r="J342" s="4">
        <v>1.1200000000000001</v>
      </c>
      <c r="K342" s="4">
        <v>1.75</v>
      </c>
      <c r="L342" s="4">
        <v>0.64</v>
      </c>
      <c r="M342" s="273"/>
      <c r="N342" s="478" t="s">
        <v>209</v>
      </c>
      <c r="O342" s="478"/>
      <c r="P342" s="478"/>
      <c r="Q342" s="107"/>
      <c r="R342" s="103" t="s">
        <v>149</v>
      </c>
      <c r="S342" s="343">
        <f>$P$11*0.3</f>
        <v>30</v>
      </c>
      <c r="T342" s="340">
        <f>$P$11*0.35</f>
        <v>35</v>
      </c>
      <c r="U342" s="36">
        <f>KALKULÁTOR!E342*Q342</f>
        <v>0</v>
      </c>
      <c r="V342" s="28">
        <f>KALKULÁTOR!F342*$Q342/$Q$375</f>
        <v>0</v>
      </c>
      <c r="W342" s="28">
        <f>KALKULÁTOR!G342*$Q342/$Q$375</f>
        <v>0</v>
      </c>
      <c r="X342" s="28">
        <f>KALKULÁTOR!H342*$Q342/$Q$375</f>
        <v>0</v>
      </c>
      <c r="Y342" s="28">
        <f>KALKULÁTOR!I342*$Q342/$Q$375</f>
        <v>0</v>
      </c>
      <c r="Z342" s="28">
        <f>KALKULÁTOR!J342*$Q342/$Q$375</f>
        <v>0</v>
      </c>
      <c r="AA342" s="28">
        <f>KALKULÁTOR!K342*$Q342/$Q$375</f>
        <v>0</v>
      </c>
      <c r="AB342" s="28">
        <f>KALKULÁTOR!L342*$Q342/$Q$375</f>
        <v>0</v>
      </c>
      <c r="AC342" s="41">
        <f>KALKULÁTOR!C342*Q342</f>
        <v>0</v>
      </c>
      <c r="AD342" s="378">
        <f t="shared" si="13"/>
        <v>0</v>
      </c>
      <c r="AF342" s="276" t="s">
        <v>353</v>
      </c>
      <c r="AG342" s="9"/>
      <c r="AH342" s="9"/>
      <c r="AI342" s="1"/>
      <c r="AJ342" s="1"/>
    </row>
    <row r="343" spans="1:36" ht="15.75" customHeight="1" x14ac:dyDescent="0.25">
      <c r="A343" s="582"/>
      <c r="B343" s="492"/>
      <c r="C343" s="81"/>
      <c r="D343" s="27" t="s">
        <v>16</v>
      </c>
      <c r="E343" s="36">
        <v>10.59</v>
      </c>
      <c r="F343" s="4">
        <v>29.2</v>
      </c>
      <c r="G343" s="4">
        <v>1.89</v>
      </c>
      <c r="H343" s="4">
        <v>8.77</v>
      </c>
      <c r="I343" s="4">
        <v>5.41</v>
      </c>
      <c r="J343" s="4">
        <v>1.1299999999999999</v>
      </c>
      <c r="K343" s="4">
        <v>1.66</v>
      </c>
      <c r="L343" s="4">
        <v>0.68</v>
      </c>
      <c r="M343" s="43"/>
      <c r="N343" s="472" t="s">
        <v>281</v>
      </c>
      <c r="O343" s="472"/>
      <c r="P343" s="472"/>
      <c r="Q343" s="145"/>
      <c r="R343" s="79" t="s">
        <v>149</v>
      </c>
      <c r="S343" s="343">
        <f>$P$11*0.3</f>
        <v>30</v>
      </c>
      <c r="T343" s="340">
        <f>$P$11*0.3</f>
        <v>30</v>
      </c>
      <c r="U343" s="36">
        <f>KALKULÁTOR!E343*Q343</f>
        <v>0</v>
      </c>
      <c r="V343" s="28">
        <f>KALKULÁTOR!F343*$Q343/$Q$375</f>
        <v>0</v>
      </c>
      <c r="W343" s="28">
        <f>KALKULÁTOR!G343*$Q343/$Q$375</f>
        <v>0</v>
      </c>
      <c r="X343" s="28">
        <f>KALKULÁTOR!H343*$Q343/$Q$375</f>
        <v>0</v>
      </c>
      <c r="Y343" s="28">
        <f>KALKULÁTOR!I343*$Q343/$Q$375</f>
        <v>0</v>
      </c>
      <c r="Z343" s="28">
        <f>KALKULÁTOR!J343*$Q343/$Q$375</f>
        <v>0</v>
      </c>
      <c r="AA343" s="28">
        <f>KALKULÁTOR!K343*$Q343/$Q$375</f>
        <v>0</v>
      </c>
      <c r="AB343" s="28">
        <f>KALKULÁTOR!L343*$Q343/$Q$375</f>
        <v>0</v>
      </c>
      <c r="AC343" s="41">
        <f>KALKULÁTOR!C343*Q343</f>
        <v>0</v>
      </c>
      <c r="AD343" s="378">
        <f t="shared" si="13"/>
        <v>0</v>
      </c>
      <c r="AF343" s="133"/>
      <c r="AG343" s="9"/>
      <c r="AH343" s="9"/>
      <c r="AI343" s="1"/>
      <c r="AJ343" s="1"/>
    </row>
    <row r="344" spans="1:36" ht="15.75" customHeight="1" x14ac:dyDescent="0.25">
      <c r="A344" s="582"/>
      <c r="B344" s="492"/>
      <c r="C344" s="81"/>
      <c r="D344" s="27" t="s">
        <v>16</v>
      </c>
      <c r="E344" s="36">
        <v>5.3</v>
      </c>
      <c r="F344" s="4">
        <v>25.8</v>
      </c>
      <c r="G344" s="4">
        <v>1.6</v>
      </c>
      <c r="H344" s="4">
        <v>8</v>
      </c>
      <c r="I344" s="4">
        <v>1.1000000000000001</v>
      </c>
      <c r="J344" s="4">
        <v>1.7</v>
      </c>
      <c r="K344" s="4">
        <v>1.6</v>
      </c>
      <c r="L344" s="4">
        <v>0.8</v>
      </c>
      <c r="M344" s="43"/>
      <c r="N344" s="472" t="s">
        <v>419</v>
      </c>
      <c r="O344" s="472"/>
      <c r="P344" s="472"/>
      <c r="Q344" s="145"/>
      <c r="R344" s="79" t="s">
        <v>149</v>
      </c>
      <c r="S344" s="343">
        <f>$P$11*0.25</f>
        <v>25</v>
      </c>
      <c r="T344" s="340">
        <f>$P$11*0.3</f>
        <v>30</v>
      </c>
      <c r="U344" s="36">
        <f>KALKULÁTOR!E344*Q344</f>
        <v>0</v>
      </c>
      <c r="V344" s="28">
        <f>KALKULÁTOR!F344*$Q344/$Q$375</f>
        <v>0</v>
      </c>
      <c r="W344" s="28">
        <f>KALKULÁTOR!G344*$Q344/$Q$375</f>
        <v>0</v>
      </c>
      <c r="X344" s="28">
        <f>KALKULÁTOR!H344*$Q344/$Q$375</f>
        <v>0</v>
      </c>
      <c r="Y344" s="28">
        <f>KALKULÁTOR!I344*$Q344/$Q$375</f>
        <v>0</v>
      </c>
      <c r="Z344" s="28">
        <f>KALKULÁTOR!J344*$Q344/$Q$375</f>
        <v>0</v>
      </c>
      <c r="AA344" s="28">
        <f>KALKULÁTOR!K344*$Q344/$Q$375</f>
        <v>0</v>
      </c>
      <c r="AB344" s="28">
        <f>KALKULÁTOR!L344*$Q344/$Q$375</f>
        <v>0</v>
      </c>
      <c r="AC344" s="41">
        <f>KALKULÁTOR!C344*Q344</f>
        <v>0</v>
      </c>
      <c r="AD344" s="378">
        <f t="shared" si="13"/>
        <v>0</v>
      </c>
      <c r="AF344" s="133"/>
      <c r="AG344" s="9"/>
      <c r="AH344" s="9"/>
      <c r="AI344" s="1"/>
      <c r="AJ344" s="1"/>
    </row>
    <row r="345" spans="1:36" ht="15.75" customHeight="1" x14ac:dyDescent="0.25">
      <c r="A345" s="582"/>
      <c r="B345" s="492"/>
      <c r="C345" s="81"/>
      <c r="D345" s="27" t="s">
        <v>16</v>
      </c>
      <c r="E345" s="36"/>
      <c r="F345" s="4">
        <v>21.59</v>
      </c>
      <c r="G345" s="4">
        <v>10.06</v>
      </c>
      <c r="H345" s="4">
        <v>6.3</v>
      </c>
      <c r="I345" s="4">
        <v>5.1100000000000003</v>
      </c>
      <c r="J345" s="4">
        <v>2.82</v>
      </c>
      <c r="K345" s="4">
        <v>1.25</v>
      </c>
      <c r="L345" s="4">
        <v>0.33</v>
      </c>
      <c r="M345" s="43"/>
      <c r="N345" s="472" t="s">
        <v>444</v>
      </c>
      <c r="O345" s="472"/>
      <c r="P345" s="472"/>
      <c r="Q345" s="107"/>
      <c r="R345" s="79" t="s">
        <v>149</v>
      </c>
      <c r="S345" s="408">
        <f>$P$11*0.16</f>
        <v>16</v>
      </c>
      <c r="T345" s="407">
        <f>$P$11*0.25</f>
        <v>25</v>
      </c>
      <c r="U345" s="36">
        <f>KALKULÁTOR!E345*Q345</f>
        <v>0</v>
      </c>
      <c r="V345" s="28">
        <f>KALKULÁTOR!F345*$Q345/$Q$375</f>
        <v>0</v>
      </c>
      <c r="W345" s="28">
        <f>KALKULÁTOR!G345*$Q345/$Q$375</f>
        <v>0</v>
      </c>
      <c r="X345" s="28">
        <f>KALKULÁTOR!H345*$Q345/$Q$375</f>
        <v>0</v>
      </c>
      <c r="Y345" s="28">
        <f>KALKULÁTOR!I345*$Q345/$Q$375</f>
        <v>0</v>
      </c>
      <c r="Z345" s="28">
        <f>KALKULÁTOR!J345*$Q345/$Q$375</f>
        <v>0</v>
      </c>
      <c r="AA345" s="28">
        <f>KALKULÁTOR!K345*$Q345/$Q$375</f>
        <v>0</v>
      </c>
      <c r="AB345" s="28">
        <f>KALKULÁTOR!L345*$Q345/$Q$375</f>
        <v>0</v>
      </c>
      <c r="AC345" s="41">
        <f>KALKULÁTOR!C345*Q345</f>
        <v>0</v>
      </c>
      <c r="AD345" s="378">
        <f t="shared" si="13"/>
        <v>0</v>
      </c>
      <c r="AF345" s="133"/>
      <c r="AG345" s="9"/>
      <c r="AH345" s="9"/>
      <c r="AI345" s="1"/>
      <c r="AJ345" s="1"/>
    </row>
    <row r="346" spans="1:36" ht="15.75" customHeight="1" x14ac:dyDescent="0.25">
      <c r="A346" s="582"/>
      <c r="B346" s="492"/>
      <c r="C346" s="81"/>
      <c r="D346" s="27" t="s">
        <v>16</v>
      </c>
      <c r="E346" s="36">
        <v>8.3000000000000007</v>
      </c>
      <c r="F346" s="4">
        <v>39.299999999999997</v>
      </c>
      <c r="G346" s="4">
        <v>1.5</v>
      </c>
      <c r="H346" s="4">
        <v>7</v>
      </c>
      <c r="I346" s="4">
        <v>3.8</v>
      </c>
      <c r="J346" s="4">
        <v>1.19</v>
      </c>
      <c r="K346" s="4">
        <v>2.39</v>
      </c>
      <c r="L346" s="4">
        <v>0.71</v>
      </c>
      <c r="M346" s="43"/>
      <c r="N346" s="472" t="s">
        <v>262</v>
      </c>
      <c r="O346" s="472"/>
      <c r="P346" s="472"/>
      <c r="Q346" s="107"/>
      <c r="R346" s="79" t="s">
        <v>149</v>
      </c>
      <c r="S346" s="343">
        <f>$P$11*0.26</f>
        <v>26</v>
      </c>
      <c r="T346" s="340">
        <f>$P$11*0.26</f>
        <v>26</v>
      </c>
      <c r="U346" s="36">
        <f>KALKULÁTOR!E346*Q346</f>
        <v>0</v>
      </c>
      <c r="V346" s="28">
        <f>KALKULÁTOR!F346*$Q346/$Q$375</f>
        <v>0</v>
      </c>
      <c r="W346" s="28">
        <f>KALKULÁTOR!G346*$Q346/$Q$375</f>
        <v>0</v>
      </c>
      <c r="X346" s="28">
        <f>KALKULÁTOR!H346*$Q346/$Q$375</f>
        <v>0</v>
      </c>
      <c r="Y346" s="28">
        <f>KALKULÁTOR!I346*$Q346/$Q$375</f>
        <v>0</v>
      </c>
      <c r="Z346" s="28">
        <f>KALKULÁTOR!J346*$Q346/$Q$375</f>
        <v>0</v>
      </c>
      <c r="AA346" s="28">
        <f>KALKULÁTOR!K346*$Q346/$Q$375</f>
        <v>0</v>
      </c>
      <c r="AB346" s="28">
        <f>KALKULÁTOR!L346*$Q346/$Q$375</f>
        <v>0</v>
      </c>
      <c r="AC346" s="41">
        <f>KALKULÁTOR!C346*Q346</f>
        <v>0</v>
      </c>
      <c r="AD346" s="378">
        <f t="shared" si="13"/>
        <v>0</v>
      </c>
      <c r="AF346" s="133"/>
      <c r="AG346" s="9"/>
      <c r="AH346" s="9"/>
      <c r="AI346" s="1"/>
      <c r="AJ346" s="1"/>
    </row>
    <row r="347" spans="1:36" ht="15.75" customHeight="1" x14ac:dyDescent="0.25">
      <c r="A347" s="582"/>
      <c r="B347" s="492"/>
      <c r="C347" s="81"/>
      <c r="D347" s="27" t="s">
        <v>16</v>
      </c>
      <c r="E347" s="36">
        <v>6.3949999999999996</v>
      </c>
      <c r="F347" s="4">
        <v>28.786000000000001</v>
      </c>
      <c r="G347" s="4">
        <v>1.456</v>
      </c>
      <c r="H347" s="4">
        <v>5.9989999999999997</v>
      </c>
      <c r="I347" s="4">
        <v>10.878</v>
      </c>
      <c r="J347" s="4">
        <v>0.94599999999999995</v>
      </c>
      <c r="K347" s="4">
        <v>2.2869999999999999</v>
      </c>
      <c r="L347" s="4">
        <v>1.07</v>
      </c>
      <c r="M347" s="43"/>
      <c r="N347" s="472" t="s">
        <v>418</v>
      </c>
      <c r="O347" s="472"/>
      <c r="P347" s="472"/>
      <c r="Q347" s="145"/>
      <c r="R347" s="79" t="s">
        <v>149</v>
      </c>
      <c r="S347" s="343">
        <f>$P$11*0.35</f>
        <v>35</v>
      </c>
      <c r="T347" s="340">
        <f>$P$11*0.4</f>
        <v>40</v>
      </c>
      <c r="U347" s="36">
        <f>KALKULÁTOR!E347*Q347</f>
        <v>0</v>
      </c>
      <c r="V347" s="28">
        <f>KALKULÁTOR!F347*$Q347/$Q$375</f>
        <v>0</v>
      </c>
      <c r="W347" s="28">
        <f>KALKULÁTOR!G347*$Q347/$Q$375</f>
        <v>0</v>
      </c>
      <c r="X347" s="28">
        <f>KALKULÁTOR!H347*$Q347/$Q$375</f>
        <v>0</v>
      </c>
      <c r="Y347" s="28">
        <f>KALKULÁTOR!I347*$Q347/$Q$375</f>
        <v>0</v>
      </c>
      <c r="Z347" s="28">
        <f>KALKULÁTOR!J347*$Q347/$Q$375</f>
        <v>0</v>
      </c>
      <c r="AA347" s="28">
        <f>KALKULÁTOR!K347*$Q347/$Q$375</f>
        <v>0</v>
      </c>
      <c r="AB347" s="28">
        <f>KALKULÁTOR!L347*$Q347/$Q$375</f>
        <v>0</v>
      </c>
      <c r="AC347" s="41">
        <f>KALKULÁTOR!C347*Q347</f>
        <v>0</v>
      </c>
      <c r="AD347" s="378">
        <f t="shared" si="13"/>
        <v>0</v>
      </c>
      <c r="AF347" s="133"/>
      <c r="AG347" s="9"/>
      <c r="AH347" s="9"/>
      <c r="AI347" s="1"/>
      <c r="AJ347" s="1"/>
    </row>
    <row r="348" spans="1:36" ht="15.75" customHeight="1" x14ac:dyDescent="0.25">
      <c r="A348" s="582"/>
      <c r="B348" s="492"/>
      <c r="C348" s="81"/>
      <c r="D348" s="27" t="s">
        <v>16</v>
      </c>
      <c r="E348" s="36"/>
      <c r="F348" s="4">
        <v>30.67</v>
      </c>
      <c r="G348" s="4">
        <v>2.42</v>
      </c>
      <c r="H348" s="4">
        <v>8.18</v>
      </c>
      <c r="I348" s="4">
        <v>9.2799999999999994</v>
      </c>
      <c r="J348" s="4">
        <v>0.9</v>
      </c>
      <c r="K348" s="4">
        <v>1.62</v>
      </c>
      <c r="L348" s="4">
        <v>0.67</v>
      </c>
      <c r="M348" s="43"/>
      <c r="N348" s="472" t="s">
        <v>426</v>
      </c>
      <c r="O348" s="472"/>
      <c r="P348" s="472"/>
      <c r="Q348" s="145"/>
      <c r="R348" s="79" t="s">
        <v>149</v>
      </c>
      <c r="S348" s="349">
        <f>$P$11*0.35</f>
        <v>35</v>
      </c>
      <c r="T348" s="348">
        <f>$P$11*0.45</f>
        <v>45</v>
      </c>
      <c r="U348" s="36">
        <f>KALKULÁTOR!E348*Q348</f>
        <v>0</v>
      </c>
      <c r="V348" s="28">
        <f>KALKULÁTOR!F348*$Q348/$Q$375</f>
        <v>0</v>
      </c>
      <c r="W348" s="28">
        <f>KALKULÁTOR!G348*$Q348/$Q$375</f>
        <v>0</v>
      </c>
      <c r="X348" s="28">
        <f>KALKULÁTOR!H348*$Q348/$Q$375</f>
        <v>0</v>
      </c>
      <c r="Y348" s="28">
        <f>KALKULÁTOR!I348*$Q348/$Q$375</f>
        <v>0</v>
      </c>
      <c r="Z348" s="28">
        <f>KALKULÁTOR!J348*$Q348/$Q$375</f>
        <v>0</v>
      </c>
      <c r="AA348" s="28">
        <f>KALKULÁTOR!K348*$Q348/$Q$375</f>
        <v>0</v>
      </c>
      <c r="AB348" s="28">
        <f>KALKULÁTOR!L348*$Q348/$Q$375</f>
        <v>0</v>
      </c>
      <c r="AC348" s="41">
        <f>KALKULÁTOR!C348*Q348</f>
        <v>0</v>
      </c>
      <c r="AD348" s="378">
        <f t="shared" si="13"/>
        <v>0</v>
      </c>
      <c r="AF348" s="133"/>
      <c r="AG348" s="9"/>
      <c r="AH348" s="9"/>
      <c r="AI348" s="1"/>
      <c r="AJ348" s="1"/>
    </row>
    <row r="349" spans="1:36" ht="15.75" customHeight="1" x14ac:dyDescent="0.25">
      <c r="A349" s="582"/>
      <c r="B349" s="492"/>
      <c r="C349" s="81"/>
      <c r="D349" s="27" t="s">
        <v>16</v>
      </c>
      <c r="E349" s="36"/>
      <c r="F349" s="4">
        <v>13.32</v>
      </c>
      <c r="G349" s="4">
        <v>4.01</v>
      </c>
      <c r="H349" s="4">
        <v>2.86</v>
      </c>
      <c r="I349" s="4">
        <v>0.66</v>
      </c>
      <c r="J349" s="4">
        <v>0.39</v>
      </c>
      <c r="K349" s="4">
        <v>0.53</v>
      </c>
      <c r="L349" s="4">
        <v>0.47</v>
      </c>
      <c r="M349" s="43"/>
      <c r="N349" s="472" t="s">
        <v>319</v>
      </c>
      <c r="O349" s="472"/>
      <c r="P349" s="472"/>
      <c r="Q349" s="107"/>
      <c r="R349" s="79" t="s">
        <v>149</v>
      </c>
      <c r="S349" s="343"/>
      <c r="T349" s="340"/>
      <c r="U349" s="36">
        <f>KALKULÁTOR!E349*Q349</f>
        <v>0</v>
      </c>
      <c r="V349" s="28">
        <f>KALKULÁTOR!F349*$Q349/$Q$375</f>
        <v>0</v>
      </c>
      <c r="W349" s="28">
        <f>KALKULÁTOR!G349*$Q349/$Q$375</f>
        <v>0</v>
      </c>
      <c r="X349" s="28">
        <f>KALKULÁTOR!H349*$Q349/$Q$375</f>
        <v>0</v>
      </c>
      <c r="Y349" s="28">
        <f>KALKULÁTOR!I349*$Q349/$Q$375</f>
        <v>0</v>
      </c>
      <c r="Z349" s="28">
        <f>KALKULÁTOR!J349*$Q349/$Q$375</f>
        <v>0</v>
      </c>
      <c r="AA349" s="28">
        <f>KALKULÁTOR!K349*$Q349/$Q$375</f>
        <v>0</v>
      </c>
      <c r="AB349" s="28">
        <f>KALKULÁTOR!L349*$Q349/$Q$375</f>
        <v>0</v>
      </c>
      <c r="AC349" s="41">
        <f>KALKULÁTOR!C349*Q349</f>
        <v>0</v>
      </c>
      <c r="AF349" s="133"/>
      <c r="AG349" s="9"/>
      <c r="AH349" s="9"/>
      <c r="AI349" s="1"/>
      <c r="AJ349" s="1"/>
    </row>
    <row r="350" spans="1:36" ht="15.75" customHeight="1" x14ac:dyDescent="0.25">
      <c r="A350" s="582"/>
      <c r="B350" s="492"/>
      <c r="C350" s="81"/>
      <c r="D350" s="27" t="s">
        <v>16</v>
      </c>
      <c r="E350" s="36"/>
      <c r="F350" s="4"/>
      <c r="G350" s="4"/>
      <c r="H350" s="4"/>
      <c r="I350" s="4">
        <v>4.5</v>
      </c>
      <c r="J350" s="4">
        <v>0.1</v>
      </c>
      <c r="K350" s="4"/>
      <c r="L350" s="4"/>
      <c r="M350" s="43"/>
      <c r="N350" s="472" t="s">
        <v>401</v>
      </c>
      <c r="O350" s="472"/>
      <c r="P350" s="472"/>
      <c r="Q350" s="107"/>
      <c r="R350" s="79" t="s">
        <v>149</v>
      </c>
      <c r="S350" s="343">
        <f>$P$11*0.007</f>
        <v>0.70000000000000007</v>
      </c>
      <c r="T350" s="340">
        <f>$P$11*0.01</f>
        <v>1</v>
      </c>
      <c r="U350" s="36">
        <f>KALKULÁTOR!E350*Q350</f>
        <v>0</v>
      </c>
      <c r="V350" s="28">
        <f>KALKULÁTOR!F350*$Q350/$Q$375</f>
        <v>0</v>
      </c>
      <c r="W350" s="28">
        <f>KALKULÁTOR!G350*$Q350/$Q$375</f>
        <v>0</v>
      </c>
      <c r="X350" s="28">
        <f>KALKULÁTOR!H350*$Q350/$Q$375</f>
        <v>0</v>
      </c>
      <c r="Y350" s="28">
        <f>KALKULÁTOR!I350*$Q350/$Q$375</f>
        <v>0</v>
      </c>
      <c r="Z350" s="28">
        <f>KALKULÁTOR!J350*$Q350/$Q$375</f>
        <v>0</v>
      </c>
      <c r="AA350" s="28">
        <f>KALKULÁTOR!K350*$Q350/$Q$375</f>
        <v>0</v>
      </c>
      <c r="AB350" s="28">
        <f>KALKULÁTOR!L350*$Q350/$Q$375</f>
        <v>0</v>
      </c>
      <c r="AC350" s="41">
        <f>KALKULÁTOR!C350*Q350</f>
        <v>0</v>
      </c>
      <c r="AD350" s="434">
        <f>IF(AND(Q350&gt;=S350,Q350&lt;=T350),1,0)</f>
        <v>0</v>
      </c>
      <c r="AE350" s="434"/>
      <c r="AF350" s="133"/>
      <c r="AG350" s="9"/>
      <c r="AH350" s="9"/>
      <c r="AI350" s="1"/>
      <c r="AJ350" s="1"/>
    </row>
    <row r="351" spans="1:36" ht="15.75" customHeight="1" x14ac:dyDescent="0.25">
      <c r="A351" s="582"/>
      <c r="B351" s="492"/>
      <c r="C351" s="81"/>
      <c r="D351" s="27" t="s">
        <v>16</v>
      </c>
      <c r="E351" s="36">
        <v>5.5</v>
      </c>
      <c r="F351" s="4">
        <v>6.7</v>
      </c>
      <c r="G351" s="4">
        <v>1.66</v>
      </c>
      <c r="H351" s="4">
        <v>24.76</v>
      </c>
      <c r="I351" s="4"/>
      <c r="J351" s="4"/>
      <c r="K351" s="4"/>
      <c r="L351" s="4"/>
      <c r="M351" s="43"/>
      <c r="N351" s="472" t="s">
        <v>402</v>
      </c>
      <c r="O351" s="472"/>
      <c r="P351" s="472"/>
      <c r="Q351" s="145"/>
      <c r="R351" s="79" t="s">
        <v>149</v>
      </c>
      <c r="S351" s="343">
        <f>$P$11*0</f>
        <v>0</v>
      </c>
      <c r="T351" s="340">
        <f>$P$11*0.05</f>
        <v>5</v>
      </c>
      <c r="U351" s="36">
        <f>KALKULÁTOR!E351*Q351</f>
        <v>0</v>
      </c>
      <c r="V351" s="28">
        <f>KALKULÁTOR!F351*$Q351/$Q$375</f>
        <v>0</v>
      </c>
      <c r="W351" s="28">
        <f>KALKULÁTOR!G351*$Q351/$Q$375</f>
        <v>0</v>
      </c>
      <c r="X351" s="28">
        <f>KALKULÁTOR!H351*$Q351/$Q$375</f>
        <v>0</v>
      </c>
      <c r="Y351" s="28">
        <f>KALKULÁTOR!I351*$Q351/$Q$375</f>
        <v>0</v>
      </c>
      <c r="Z351" s="28">
        <f>KALKULÁTOR!J351*$Q351/$Q$375</f>
        <v>0</v>
      </c>
      <c r="AA351" s="28">
        <f>KALKULÁTOR!K351*$Q351/$Q$375</f>
        <v>0</v>
      </c>
      <c r="AB351" s="28">
        <f>KALKULÁTOR!L351*$Q351/$Q$375</f>
        <v>0</v>
      </c>
      <c r="AC351" s="41">
        <f>KALKULÁTOR!C351*Q351</f>
        <v>0</v>
      </c>
      <c r="AF351" s="133"/>
      <c r="AG351" s="9"/>
      <c r="AH351" s="9"/>
      <c r="AI351" s="1"/>
      <c r="AJ351" s="1"/>
    </row>
    <row r="352" spans="1:36" ht="15.75" customHeight="1" x14ac:dyDescent="0.25">
      <c r="A352" s="582"/>
      <c r="B352" s="492"/>
      <c r="C352" s="81"/>
      <c r="D352" s="27" t="s">
        <v>16</v>
      </c>
      <c r="E352" s="36"/>
      <c r="F352" s="4">
        <v>11.73</v>
      </c>
      <c r="G352" s="4">
        <v>2.71</v>
      </c>
      <c r="H352" s="4">
        <v>4.2699999999999996</v>
      </c>
      <c r="I352" s="4">
        <v>0.73</v>
      </c>
      <c r="J352" s="4">
        <v>0.28999999999999998</v>
      </c>
      <c r="K352" s="4">
        <v>0.44</v>
      </c>
      <c r="L352" s="4">
        <v>0.22</v>
      </c>
      <c r="M352" s="43"/>
      <c r="N352" s="472" t="s">
        <v>214</v>
      </c>
      <c r="O352" s="472"/>
      <c r="P352" s="472"/>
      <c r="Q352" s="145"/>
      <c r="R352" s="79" t="s">
        <v>149</v>
      </c>
      <c r="S352" s="343"/>
      <c r="T352" s="340"/>
      <c r="U352" s="36">
        <f>KALKULÁTOR!E352*Q352</f>
        <v>0</v>
      </c>
      <c r="V352" s="28">
        <f>KALKULÁTOR!F352*$Q352/$Q$375</f>
        <v>0</v>
      </c>
      <c r="W352" s="28">
        <f>KALKULÁTOR!G352*$Q352/$Q$375</f>
        <v>0</v>
      </c>
      <c r="X352" s="28">
        <f>KALKULÁTOR!H352*$Q352/$Q$375</f>
        <v>0</v>
      </c>
      <c r="Y352" s="28">
        <f>KALKULÁTOR!I352*$Q352/$Q$375</f>
        <v>0</v>
      </c>
      <c r="Z352" s="28">
        <f>KALKULÁTOR!J352*$Q352/$Q$375</f>
        <v>0</v>
      </c>
      <c r="AA352" s="28">
        <f>KALKULÁTOR!K352*$Q352/$Q$375</f>
        <v>0</v>
      </c>
      <c r="AB352" s="28">
        <f>KALKULÁTOR!L352*$Q352/$Q$375</f>
        <v>0</v>
      </c>
      <c r="AC352" s="41">
        <f>KALKULÁTOR!C352*Q352</f>
        <v>0</v>
      </c>
      <c r="AF352" s="133"/>
      <c r="AG352" s="9"/>
      <c r="AH352" s="9"/>
      <c r="AI352" s="1"/>
      <c r="AJ352" s="1"/>
    </row>
    <row r="353" spans="1:36" ht="15.75" customHeight="1" x14ac:dyDescent="0.25">
      <c r="A353" s="582"/>
      <c r="B353" s="492"/>
      <c r="C353" s="81"/>
      <c r="D353" s="27" t="s">
        <v>16</v>
      </c>
      <c r="E353" s="36">
        <v>13.5</v>
      </c>
      <c r="F353" s="4">
        <v>21</v>
      </c>
      <c r="G353" s="4">
        <v>5</v>
      </c>
      <c r="H353" s="4">
        <v>7</v>
      </c>
      <c r="I353" s="4"/>
      <c r="J353" s="4"/>
      <c r="K353" s="4">
        <v>1.18</v>
      </c>
      <c r="L353" s="4"/>
      <c r="M353" s="43"/>
      <c r="N353" s="472" t="s">
        <v>288</v>
      </c>
      <c r="O353" s="472"/>
      <c r="P353" s="472"/>
      <c r="Q353" s="107"/>
      <c r="R353" s="79" t="s">
        <v>149</v>
      </c>
      <c r="S353" s="343">
        <f>$P$11*0</f>
        <v>0</v>
      </c>
      <c r="T353" s="340">
        <f>$P$11*0.11</f>
        <v>11</v>
      </c>
      <c r="U353" s="36">
        <f>KALKULÁTOR!E353*Q353</f>
        <v>0</v>
      </c>
      <c r="V353" s="28">
        <f>KALKULÁTOR!F353*$Q353/$Q$375</f>
        <v>0</v>
      </c>
      <c r="W353" s="28">
        <f>KALKULÁTOR!G353*$Q353/$Q$375</f>
        <v>0</v>
      </c>
      <c r="X353" s="28">
        <f>KALKULÁTOR!H353*$Q353/$Q$375</f>
        <v>0</v>
      </c>
      <c r="Y353" s="28">
        <f>KALKULÁTOR!I353*$Q353/$Q$375</f>
        <v>0</v>
      </c>
      <c r="Z353" s="28">
        <f>KALKULÁTOR!J353*$Q353/$Q$375</f>
        <v>0</v>
      </c>
      <c r="AA353" s="28">
        <f>KALKULÁTOR!K353*$Q353/$Q$375</f>
        <v>0</v>
      </c>
      <c r="AB353" s="28">
        <f>KALKULÁTOR!L353*$Q353/$Q$375</f>
        <v>0</v>
      </c>
      <c r="AC353" s="41">
        <f>KALKULÁTOR!C353*Q353</f>
        <v>0</v>
      </c>
      <c r="AF353" s="133"/>
      <c r="AG353" s="9"/>
      <c r="AH353" s="9"/>
      <c r="AI353" s="1"/>
      <c r="AJ353" s="1"/>
    </row>
    <row r="354" spans="1:36" ht="15.75" customHeight="1" thickBot="1" x14ac:dyDescent="0.3">
      <c r="A354" s="582"/>
      <c r="B354" s="492"/>
      <c r="C354" s="81"/>
      <c r="D354" s="27" t="s">
        <v>16</v>
      </c>
      <c r="E354" s="36">
        <v>13.673999999999999</v>
      </c>
      <c r="F354" s="4">
        <v>24.25</v>
      </c>
      <c r="G354" s="4">
        <v>6.25</v>
      </c>
      <c r="H354" s="4">
        <v>7.5399999999999991</v>
      </c>
      <c r="I354" s="4">
        <v>0.16500000000000001</v>
      </c>
      <c r="J354" s="4">
        <v>0.51500000000000001</v>
      </c>
      <c r="K354" s="4">
        <v>1.4640000000000002</v>
      </c>
      <c r="L354" s="4">
        <v>0.23600000000000002</v>
      </c>
      <c r="M354" s="43"/>
      <c r="N354" s="472" t="s">
        <v>336</v>
      </c>
      <c r="O354" s="472"/>
      <c r="P354" s="472"/>
      <c r="Q354" s="107"/>
      <c r="R354" s="79" t="s">
        <v>149</v>
      </c>
      <c r="S354" s="343">
        <f>$P$11*0</f>
        <v>0</v>
      </c>
      <c r="T354" s="340">
        <f>$P$11*0.11</f>
        <v>11</v>
      </c>
      <c r="U354" s="36">
        <f>KALKULÁTOR!E354*Q354</f>
        <v>0</v>
      </c>
      <c r="V354" s="28">
        <f>KALKULÁTOR!F354*$Q354/$Q$375</f>
        <v>0</v>
      </c>
      <c r="W354" s="28">
        <f>KALKULÁTOR!G354*$Q354/$Q$375</f>
        <v>0</v>
      </c>
      <c r="X354" s="28">
        <f>KALKULÁTOR!H354*$Q354/$Q$375</f>
        <v>0</v>
      </c>
      <c r="Y354" s="28">
        <f>KALKULÁTOR!I354*$Q354/$Q$375</f>
        <v>0</v>
      </c>
      <c r="Z354" s="28">
        <f>KALKULÁTOR!J354*$Q354/$Q$375</f>
        <v>0</v>
      </c>
      <c r="AA354" s="28">
        <f>KALKULÁTOR!K354*$Q354/$Q$375</f>
        <v>0</v>
      </c>
      <c r="AB354" s="28">
        <f>KALKULÁTOR!L354*$Q354/$Q$375</f>
        <v>0</v>
      </c>
      <c r="AC354" s="41">
        <f>KALKULÁTOR!C354*Q354</f>
        <v>0</v>
      </c>
      <c r="AF354" s="133"/>
      <c r="AG354" s="9"/>
      <c r="AH354" s="9"/>
      <c r="AI354" s="1"/>
      <c r="AJ354" s="1"/>
    </row>
    <row r="355" spans="1:36" ht="15.75" customHeight="1" thickBot="1" x14ac:dyDescent="0.3">
      <c r="A355" s="582"/>
      <c r="B355" s="507"/>
      <c r="C355" s="82"/>
      <c r="D355" s="29" t="s">
        <v>16</v>
      </c>
      <c r="E355" s="38">
        <v>13.5</v>
      </c>
      <c r="F355" s="18">
        <v>21</v>
      </c>
      <c r="G355" s="18">
        <v>5</v>
      </c>
      <c r="H355" s="18">
        <v>7</v>
      </c>
      <c r="I355" s="18">
        <v>1</v>
      </c>
      <c r="J355" s="18">
        <v>0.82</v>
      </c>
      <c r="K355" s="18">
        <v>1.18</v>
      </c>
      <c r="L355" s="18">
        <v>0.45</v>
      </c>
      <c r="M355" s="53"/>
      <c r="N355" s="489" t="s">
        <v>199</v>
      </c>
      <c r="O355" s="489"/>
      <c r="P355" s="489"/>
      <c r="Q355" s="145"/>
      <c r="R355" s="83" t="s">
        <v>149</v>
      </c>
      <c r="S355" s="344">
        <f>$P$11*0.1</f>
        <v>10</v>
      </c>
      <c r="T355" s="341">
        <f>$P$11*0.3</f>
        <v>30</v>
      </c>
      <c r="U355" s="38">
        <f>KALKULÁTOR!E355*Q355</f>
        <v>0</v>
      </c>
      <c r="V355" s="67">
        <f>KALKULÁTOR!F355*$Q355/$Q$375</f>
        <v>0</v>
      </c>
      <c r="W355" s="67">
        <f>KALKULÁTOR!G355*$Q355/$Q$375</f>
        <v>0</v>
      </c>
      <c r="X355" s="67">
        <f>KALKULÁTOR!H355*$Q355/$Q$375</f>
        <v>0</v>
      </c>
      <c r="Y355" s="67">
        <f>KALKULÁTOR!I355*$Q355/$Q$375</f>
        <v>0</v>
      </c>
      <c r="Z355" s="67">
        <f>KALKULÁTOR!J355*$Q355/$Q$375</f>
        <v>0</v>
      </c>
      <c r="AA355" s="67">
        <f>KALKULÁTOR!K355*$Q355/$Q$375</f>
        <v>0</v>
      </c>
      <c r="AB355" s="67">
        <f>KALKULÁTOR!L355*$Q355/$Q$375</f>
        <v>0</v>
      </c>
      <c r="AC355" s="68">
        <f>KALKULÁTOR!C355*Q355</f>
        <v>0</v>
      </c>
      <c r="AF355" s="134" t="s">
        <v>200</v>
      </c>
      <c r="AG355" s="101"/>
      <c r="AH355" s="102"/>
      <c r="AI355" s="1"/>
      <c r="AJ355" s="1"/>
    </row>
    <row r="356" spans="1:36" x14ac:dyDescent="0.25">
      <c r="A356" s="582"/>
      <c r="B356" s="584" t="s">
        <v>302</v>
      </c>
      <c r="C356" s="268"/>
      <c r="D356" s="78" t="s">
        <v>16</v>
      </c>
      <c r="E356" s="32">
        <v>37.65</v>
      </c>
      <c r="F356" s="77"/>
      <c r="G356" s="77">
        <v>100</v>
      </c>
      <c r="H356" s="77"/>
      <c r="I356" s="77"/>
      <c r="J356" s="77">
        <v>2E-3</v>
      </c>
      <c r="K356" s="77"/>
      <c r="L356" s="77"/>
      <c r="M356" s="144"/>
      <c r="N356" s="481" t="s">
        <v>166</v>
      </c>
      <c r="O356" s="481"/>
      <c r="P356" s="481"/>
      <c r="Q356" s="145"/>
      <c r="R356" s="64" t="s">
        <v>149</v>
      </c>
      <c r="S356" s="89">
        <f>$P$11*0.01</f>
        <v>1</v>
      </c>
      <c r="T356" s="90">
        <f>$P$11*0.01</f>
        <v>1</v>
      </c>
      <c r="U356" s="32">
        <f>KALKULÁTOR!E356*Q356</f>
        <v>0</v>
      </c>
      <c r="V356" s="6">
        <f>KALKULÁTOR!F356*$Q356/$Q$375</f>
        <v>0</v>
      </c>
      <c r="W356" s="6">
        <f>KALKULÁTOR!G356*$Q356/$Q$375</f>
        <v>0</v>
      </c>
      <c r="X356" s="6">
        <f>KALKULÁTOR!H356*$Q356/$Q$375</f>
        <v>0</v>
      </c>
      <c r="Y356" s="6">
        <f>KALKULÁTOR!I356*$Q356/$Q$375</f>
        <v>0</v>
      </c>
      <c r="Z356" s="6">
        <f>KALKULÁTOR!J356*$Q356/$Q$375</f>
        <v>0</v>
      </c>
      <c r="AA356" s="6">
        <f>KALKULÁTOR!K356*$Q356/$Q$375</f>
        <v>0</v>
      </c>
      <c r="AB356" s="6">
        <f>KALKULÁTOR!L356*$Q356/$Q$375</f>
        <v>0</v>
      </c>
      <c r="AC356" s="50">
        <f>KALKULÁTOR!C356*Q356</f>
        <v>0</v>
      </c>
      <c r="AD356" s="434">
        <f t="shared" ref="AD356:AD361" si="17">IF(AND(Q356&gt;=S356,Q356&lt;=T356),1,0)</f>
        <v>0</v>
      </c>
      <c r="AE356" s="434"/>
    </row>
    <row r="357" spans="1:36" x14ac:dyDescent="0.25">
      <c r="A357" s="582"/>
      <c r="B357" s="520"/>
      <c r="C357" s="267"/>
      <c r="D357" s="78" t="s">
        <v>16</v>
      </c>
      <c r="E357" s="36">
        <v>37.65</v>
      </c>
      <c r="F357" s="4"/>
      <c r="G357" s="4">
        <v>100</v>
      </c>
      <c r="H357" s="4"/>
      <c r="I357" s="4"/>
      <c r="J357" s="4"/>
      <c r="K357" s="4"/>
      <c r="L357" s="4"/>
      <c r="M357" s="43"/>
      <c r="N357" s="472" t="s">
        <v>167</v>
      </c>
      <c r="O357" s="472"/>
      <c r="P357" s="472"/>
      <c r="Q357" s="107"/>
      <c r="R357" s="79" t="s">
        <v>149</v>
      </c>
      <c r="S357" s="123">
        <f>$P$11*0.01</f>
        <v>1</v>
      </c>
      <c r="T357" s="121">
        <f>$P$11*0.01</f>
        <v>1</v>
      </c>
      <c r="U357" s="36">
        <f>KALKULÁTOR!E357*Q357</f>
        <v>0</v>
      </c>
      <c r="V357" s="28">
        <f>KALKULÁTOR!F357*$Q357/$Q$375</f>
        <v>0</v>
      </c>
      <c r="W357" s="28">
        <f>KALKULÁTOR!G357*$Q357/$Q$375</f>
        <v>0</v>
      </c>
      <c r="X357" s="28">
        <f>KALKULÁTOR!H357*$Q357/$Q$375</f>
        <v>0</v>
      </c>
      <c r="Y357" s="28">
        <f>KALKULÁTOR!I357*$Q357/$Q$375</f>
        <v>0</v>
      </c>
      <c r="Z357" s="28">
        <f>KALKULÁTOR!J357*$Q357/$Q$375</f>
        <v>0</v>
      </c>
      <c r="AA357" s="28">
        <f>KALKULÁTOR!K357*$Q357/$Q$375</f>
        <v>0</v>
      </c>
      <c r="AB357" s="28">
        <f>KALKULÁTOR!L357*$Q357/$Q$375</f>
        <v>0</v>
      </c>
      <c r="AC357" s="41">
        <f>KALKULÁTOR!C357*Q357</f>
        <v>0</v>
      </c>
      <c r="AD357" s="434">
        <f t="shared" si="17"/>
        <v>0</v>
      </c>
      <c r="AE357" s="434"/>
    </row>
    <row r="358" spans="1:36" x14ac:dyDescent="0.25">
      <c r="A358" s="582"/>
      <c r="B358" s="520"/>
      <c r="C358" s="267"/>
      <c r="D358" s="78" t="s">
        <v>16</v>
      </c>
      <c r="E358" s="36">
        <v>35.549999999999997</v>
      </c>
      <c r="F358" s="4"/>
      <c r="G358" s="4">
        <v>100</v>
      </c>
      <c r="H358" s="4"/>
      <c r="I358" s="4"/>
      <c r="J358" s="4"/>
      <c r="K358" s="4"/>
      <c r="L358" s="4"/>
      <c r="M358" s="43"/>
      <c r="N358" s="472" t="s">
        <v>168</v>
      </c>
      <c r="O358" s="472"/>
      <c r="P358" s="472"/>
      <c r="Q358" s="107"/>
      <c r="R358" s="79" t="s">
        <v>149</v>
      </c>
      <c r="S358" s="123">
        <f>$P$11*0.01</f>
        <v>1</v>
      </c>
      <c r="T358" s="121">
        <f>$P$11*0.01</f>
        <v>1</v>
      </c>
      <c r="U358" s="36">
        <f>KALKULÁTOR!E358*Q358</f>
        <v>0</v>
      </c>
      <c r="V358" s="28">
        <f>KALKULÁTOR!F358*$Q358/$Q$375</f>
        <v>0</v>
      </c>
      <c r="W358" s="28">
        <f>KALKULÁTOR!G358*$Q358/$Q$375</f>
        <v>0</v>
      </c>
      <c r="X358" s="28">
        <f>KALKULÁTOR!H358*$Q358/$Q$375</f>
        <v>0</v>
      </c>
      <c r="Y358" s="28">
        <f>KALKULÁTOR!I358*$Q358/$Q$375</f>
        <v>0</v>
      </c>
      <c r="Z358" s="28">
        <f>KALKULÁTOR!J358*$Q358/$Q$375</f>
        <v>0</v>
      </c>
      <c r="AA358" s="28">
        <f>KALKULÁTOR!K358*$Q358/$Q$375</f>
        <v>0</v>
      </c>
      <c r="AB358" s="28">
        <f>KALKULÁTOR!L358*$Q358/$Q$375</f>
        <v>0</v>
      </c>
      <c r="AC358" s="41">
        <f>KALKULÁTOR!C358*Q358</f>
        <v>0</v>
      </c>
      <c r="AD358" s="434">
        <f t="shared" si="17"/>
        <v>0</v>
      </c>
      <c r="AE358" s="434"/>
    </row>
    <row r="359" spans="1:36" x14ac:dyDescent="0.25">
      <c r="A359" s="582"/>
      <c r="B359" s="520"/>
      <c r="C359" s="267"/>
      <c r="D359" s="78" t="s">
        <v>16</v>
      </c>
      <c r="E359" s="36">
        <v>35.549999999999997</v>
      </c>
      <c r="F359" s="4"/>
      <c r="G359" s="4">
        <v>100</v>
      </c>
      <c r="H359" s="4"/>
      <c r="I359" s="4"/>
      <c r="J359" s="4"/>
      <c r="K359" s="4"/>
      <c r="L359" s="4"/>
      <c r="M359" s="43"/>
      <c r="N359" s="472" t="s">
        <v>234</v>
      </c>
      <c r="O359" s="472"/>
      <c r="P359" s="472"/>
      <c r="Q359" s="145"/>
      <c r="R359" s="79" t="s">
        <v>149</v>
      </c>
      <c r="S359" s="123">
        <f>$P$11*0.01</f>
        <v>1</v>
      </c>
      <c r="T359" s="121">
        <f>$P$11*0.01</f>
        <v>1</v>
      </c>
      <c r="U359" s="36">
        <f>KALKULÁTOR!E359*Q359</f>
        <v>0</v>
      </c>
      <c r="V359" s="28">
        <f>KALKULÁTOR!F359*$Q359/$Q$375</f>
        <v>0</v>
      </c>
      <c r="W359" s="28">
        <f>KALKULÁTOR!G359*$Q359/$Q$375</f>
        <v>0</v>
      </c>
      <c r="X359" s="28">
        <f>KALKULÁTOR!H359*$Q359/$Q$375</f>
        <v>0</v>
      </c>
      <c r="Y359" s="28">
        <f>KALKULÁTOR!I359*$Q359/$Q$375</f>
        <v>0</v>
      </c>
      <c r="Z359" s="28">
        <f>KALKULÁTOR!J359*$Q359/$Q$375</f>
        <v>0</v>
      </c>
      <c r="AA359" s="28">
        <f>KALKULÁTOR!K359*$Q359/$Q$375</f>
        <v>0</v>
      </c>
      <c r="AB359" s="28">
        <f>KALKULÁTOR!L359*$Q359/$Q$375</f>
        <v>0</v>
      </c>
      <c r="AC359" s="41">
        <f>KALKULÁTOR!C359*Q359</f>
        <v>0</v>
      </c>
      <c r="AD359" s="434">
        <f t="shared" si="17"/>
        <v>0</v>
      </c>
      <c r="AE359" s="434"/>
    </row>
    <row r="360" spans="1:36" x14ac:dyDescent="0.25">
      <c r="A360" s="582"/>
      <c r="B360" s="520"/>
      <c r="C360" s="267"/>
      <c r="D360" s="78" t="s">
        <v>16</v>
      </c>
      <c r="E360" s="36">
        <v>23</v>
      </c>
      <c r="F360" s="4">
        <v>2</v>
      </c>
      <c r="G360" s="4">
        <v>50</v>
      </c>
      <c r="H360" s="4">
        <v>5</v>
      </c>
      <c r="I360" s="4"/>
      <c r="J360" s="4"/>
      <c r="K360" s="4"/>
      <c r="L360" s="4"/>
      <c r="M360" s="43"/>
      <c r="N360" s="472" t="s">
        <v>399</v>
      </c>
      <c r="O360" s="472"/>
      <c r="P360" s="472"/>
      <c r="Q360" s="145"/>
      <c r="R360" s="79" t="s">
        <v>149</v>
      </c>
      <c r="S360" s="314">
        <f>$P$11*0.01</f>
        <v>1</v>
      </c>
      <c r="T360" s="313">
        <f>$P$11*0.1</f>
        <v>10</v>
      </c>
      <c r="U360" s="36">
        <f>KALKULÁTOR!E360*Q360</f>
        <v>0</v>
      </c>
      <c r="V360" s="28">
        <f>KALKULÁTOR!F360*$Q360/$Q$375</f>
        <v>0</v>
      </c>
      <c r="W360" s="28">
        <f>KALKULÁTOR!G360*$Q360/$Q$375</f>
        <v>0</v>
      </c>
      <c r="X360" s="28">
        <f>KALKULÁTOR!H360*$Q360/$Q$375</f>
        <v>0</v>
      </c>
      <c r="Y360" s="28">
        <f>KALKULÁTOR!I360*$Q360/$Q$375</f>
        <v>0</v>
      </c>
      <c r="Z360" s="28">
        <f>KALKULÁTOR!J360*$Q360/$Q$375</f>
        <v>0</v>
      </c>
      <c r="AA360" s="28">
        <f>KALKULÁTOR!K360*$Q360/$Q$375</f>
        <v>0</v>
      </c>
      <c r="AB360" s="28">
        <f>KALKULÁTOR!L360*$Q360/$Q$375</f>
        <v>0</v>
      </c>
      <c r="AC360" s="41">
        <f>KALKULÁTOR!C360*Q360</f>
        <v>0</v>
      </c>
      <c r="AD360" s="434">
        <f t="shared" si="17"/>
        <v>0</v>
      </c>
      <c r="AE360" s="434"/>
    </row>
    <row r="361" spans="1:36" x14ac:dyDescent="0.25">
      <c r="A361" s="582"/>
      <c r="B361" s="520"/>
      <c r="C361" s="267"/>
      <c r="D361" s="78" t="s">
        <v>16</v>
      </c>
      <c r="E361" s="36">
        <v>21.2</v>
      </c>
      <c r="F361" s="4">
        <v>2</v>
      </c>
      <c r="G361" s="4">
        <v>40</v>
      </c>
      <c r="H361" s="4">
        <v>5</v>
      </c>
      <c r="I361" s="4"/>
      <c r="J361" s="4"/>
      <c r="K361" s="4"/>
      <c r="L361" s="4"/>
      <c r="M361" s="43"/>
      <c r="N361" s="472" t="s">
        <v>400</v>
      </c>
      <c r="O361" s="472"/>
      <c r="P361" s="472"/>
      <c r="Q361" s="107"/>
      <c r="R361" s="79" t="s">
        <v>149</v>
      </c>
      <c r="S361" s="314">
        <f>$P$11*0.01</f>
        <v>1</v>
      </c>
      <c r="T361" s="313">
        <f>$P$11*0.06</f>
        <v>6</v>
      </c>
      <c r="U361" s="36">
        <f>KALKULÁTOR!E361*Q361</f>
        <v>0</v>
      </c>
      <c r="V361" s="28">
        <f>KALKULÁTOR!F361*$Q361/$Q$375</f>
        <v>0</v>
      </c>
      <c r="W361" s="28">
        <f>KALKULÁTOR!G361*$Q361/$Q$375</f>
        <v>0</v>
      </c>
      <c r="X361" s="28">
        <f>KALKULÁTOR!H361*$Q361/$Q$375</f>
        <v>0</v>
      </c>
      <c r="Y361" s="28">
        <f>KALKULÁTOR!I361*$Q361/$Q$375</f>
        <v>0</v>
      </c>
      <c r="Z361" s="28">
        <f>KALKULÁTOR!J361*$Q361/$Q$375</f>
        <v>0</v>
      </c>
      <c r="AA361" s="28">
        <f>KALKULÁTOR!K361*$Q361/$Q$375</f>
        <v>0</v>
      </c>
      <c r="AB361" s="28">
        <f>KALKULÁTOR!L361*$Q361/$Q$375</f>
        <v>0</v>
      </c>
      <c r="AC361" s="41">
        <f>KALKULÁTOR!C361*Q361</f>
        <v>0</v>
      </c>
      <c r="AD361" s="434">
        <f t="shared" si="17"/>
        <v>0</v>
      </c>
      <c r="AE361" s="434"/>
    </row>
    <row r="362" spans="1:36" x14ac:dyDescent="0.25">
      <c r="A362" s="582"/>
      <c r="B362" s="520"/>
      <c r="C362" s="267"/>
      <c r="D362" s="27" t="s">
        <v>16</v>
      </c>
      <c r="E362" s="36">
        <v>4</v>
      </c>
      <c r="F362" s="4">
        <v>16.7</v>
      </c>
      <c r="G362" s="4">
        <v>9</v>
      </c>
      <c r="H362" s="4">
        <v>0</v>
      </c>
      <c r="I362" s="4"/>
      <c r="J362" s="4"/>
      <c r="K362" s="4"/>
      <c r="L362" s="4"/>
      <c r="M362" s="43"/>
      <c r="N362" s="472" t="s">
        <v>113</v>
      </c>
      <c r="O362" s="472"/>
      <c r="P362" s="472"/>
      <c r="Q362" s="107"/>
      <c r="R362" s="79" t="s">
        <v>149</v>
      </c>
      <c r="S362" s="375">
        <f>$P$11*0</f>
        <v>0</v>
      </c>
      <c r="T362" s="372">
        <f>$P$11*0.05</f>
        <v>5</v>
      </c>
      <c r="U362" s="36">
        <f>KALKULÁTOR!E362*Q362</f>
        <v>0</v>
      </c>
      <c r="V362" s="28">
        <f>KALKULÁTOR!F362*$Q362/$Q$375</f>
        <v>0</v>
      </c>
      <c r="W362" s="28">
        <f>KALKULÁTOR!G362*$Q362/$Q$375</f>
        <v>0</v>
      </c>
      <c r="X362" s="28">
        <f>KALKULÁTOR!H362*$Q362/$Q$375</f>
        <v>0</v>
      </c>
      <c r="Y362" s="28">
        <f>KALKULÁTOR!I362*$Q362/$Q$375</f>
        <v>0</v>
      </c>
      <c r="Z362" s="28">
        <f>KALKULÁTOR!J362*$Q362/$Q$375</f>
        <v>0</v>
      </c>
      <c r="AA362" s="28">
        <f>KALKULÁTOR!K362*$Q362/$Q$375</f>
        <v>0</v>
      </c>
      <c r="AB362" s="28">
        <f>KALKULÁTOR!L362*$Q362/$Q$375</f>
        <v>0</v>
      </c>
      <c r="AC362" s="41">
        <f>KALKULÁTOR!C362*Q362</f>
        <v>0</v>
      </c>
    </row>
    <row r="363" spans="1:36" x14ac:dyDescent="0.25">
      <c r="A363" s="582"/>
      <c r="B363" s="520"/>
      <c r="C363" s="267"/>
      <c r="D363" s="27" t="s">
        <v>16</v>
      </c>
      <c r="E363" s="36">
        <v>2.85</v>
      </c>
      <c r="F363" s="4">
        <v>12.7</v>
      </c>
      <c r="G363" s="4">
        <v>5</v>
      </c>
      <c r="H363" s="4">
        <v>0</v>
      </c>
      <c r="I363" s="4"/>
      <c r="J363" s="4"/>
      <c r="K363" s="4"/>
      <c r="L363" s="4"/>
      <c r="M363" s="43"/>
      <c r="N363" s="472" t="s">
        <v>108</v>
      </c>
      <c r="O363" s="472"/>
      <c r="P363" s="472"/>
      <c r="Q363" s="145"/>
      <c r="R363" s="79" t="s">
        <v>149</v>
      </c>
      <c r="S363" s="375">
        <f>$P$11*0</f>
        <v>0</v>
      </c>
      <c r="T363" s="372">
        <f>$P$11*0.05</f>
        <v>5</v>
      </c>
      <c r="U363" s="36">
        <f>KALKULÁTOR!E363*Q363</f>
        <v>0</v>
      </c>
      <c r="V363" s="28">
        <f>KALKULÁTOR!F363*$Q363/$Q$375</f>
        <v>0</v>
      </c>
      <c r="W363" s="28">
        <f>KALKULÁTOR!G363*$Q363/$Q$375</f>
        <v>0</v>
      </c>
      <c r="X363" s="28">
        <f>KALKULÁTOR!H363*$Q363/$Q$375</f>
        <v>0</v>
      </c>
      <c r="Y363" s="28">
        <f>KALKULÁTOR!I363*$Q363/$Q$375</f>
        <v>0</v>
      </c>
      <c r="Z363" s="28">
        <f>KALKULÁTOR!J363*$Q363/$Q$375</f>
        <v>0</v>
      </c>
      <c r="AA363" s="28">
        <f>KALKULÁTOR!K363*$Q363/$Q$375</f>
        <v>0</v>
      </c>
      <c r="AB363" s="28">
        <f>KALKULÁTOR!L363*$Q363/$Q$375</f>
        <v>0</v>
      </c>
      <c r="AC363" s="41">
        <f>KALKULÁTOR!C363*Q363</f>
        <v>0</v>
      </c>
    </row>
    <row r="364" spans="1:36" x14ac:dyDescent="0.25">
      <c r="A364" s="582"/>
      <c r="B364" s="520"/>
      <c r="C364" s="267"/>
      <c r="D364" s="27" t="s">
        <v>16</v>
      </c>
      <c r="E364" s="36">
        <v>3.2240000000000002</v>
      </c>
      <c r="F364" s="4">
        <v>30</v>
      </c>
      <c r="G364" s="4">
        <v>55</v>
      </c>
      <c r="H364" s="4">
        <v>0</v>
      </c>
      <c r="I364" s="4"/>
      <c r="J364" s="4"/>
      <c r="K364" s="4"/>
      <c r="L364" s="4"/>
      <c r="M364" s="43"/>
      <c r="N364" s="472" t="s">
        <v>216</v>
      </c>
      <c r="O364" s="472"/>
      <c r="P364" s="472"/>
      <c r="Q364" s="145"/>
      <c r="R364" s="79" t="s">
        <v>149</v>
      </c>
      <c r="S364" s="123">
        <f>$P$11*0</f>
        <v>0</v>
      </c>
      <c r="T364" s="121">
        <f>$P$11*0.1</f>
        <v>10</v>
      </c>
      <c r="U364" s="36">
        <f>KALKULÁTOR!E364*Q364</f>
        <v>0</v>
      </c>
      <c r="V364" s="28">
        <f>KALKULÁTOR!F364*$Q364/$Q$375</f>
        <v>0</v>
      </c>
      <c r="W364" s="28">
        <f>KALKULÁTOR!G364*$Q364/$Q$375</f>
        <v>0</v>
      </c>
      <c r="X364" s="28">
        <f>KALKULÁTOR!H364*$Q364/$Q$375</f>
        <v>0</v>
      </c>
      <c r="Y364" s="28">
        <f>KALKULÁTOR!I364*$Q364/$Q$375</f>
        <v>0</v>
      </c>
      <c r="Z364" s="28">
        <f>KALKULÁTOR!J364*$Q364/$Q$375</f>
        <v>0</v>
      </c>
      <c r="AA364" s="28">
        <f>KALKULÁTOR!K364*$Q364/$Q$375</f>
        <v>0</v>
      </c>
      <c r="AB364" s="28">
        <f>KALKULÁTOR!L364*$Q364/$Q$375</f>
        <v>0</v>
      </c>
      <c r="AC364" s="41">
        <f>KALKULÁTOR!C364*Q364</f>
        <v>0</v>
      </c>
    </row>
    <row r="365" spans="1:36" x14ac:dyDescent="0.25">
      <c r="A365" s="582"/>
      <c r="B365" s="520"/>
      <c r="C365" s="267"/>
      <c r="D365" s="27" t="s">
        <v>16</v>
      </c>
      <c r="E365" s="36">
        <v>2.0099999999999998</v>
      </c>
      <c r="F365" s="4">
        <v>83</v>
      </c>
      <c r="G365" s="4">
        <v>0</v>
      </c>
      <c r="H365" s="4">
        <v>0</v>
      </c>
      <c r="I365" s="4"/>
      <c r="J365" s="4"/>
      <c r="K365" s="4"/>
      <c r="L365" s="4"/>
      <c r="M365" s="43"/>
      <c r="N365" s="472" t="s">
        <v>217</v>
      </c>
      <c r="O365" s="472"/>
      <c r="P365" s="472"/>
      <c r="Q365" s="107"/>
      <c r="R365" s="79" t="s">
        <v>149</v>
      </c>
      <c r="S365" s="123">
        <f>$P$11*0</f>
        <v>0</v>
      </c>
      <c r="T365" s="121">
        <f>$P$11*0.2</f>
        <v>20</v>
      </c>
      <c r="U365" s="36">
        <f>KALKULÁTOR!E365*Q365</f>
        <v>0</v>
      </c>
      <c r="V365" s="28">
        <f>KALKULÁTOR!F365*$Q365/$Q$375</f>
        <v>0</v>
      </c>
      <c r="W365" s="28">
        <f>KALKULÁTOR!G365*$Q365/$Q$375</f>
        <v>0</v>
      </c>
      <c r="X365" s="28">
        <f>KALKULÁTOR!H365*$Q365/$Q$375</f>
        <v>0</v>
      </c>
      <c r="Y365" s="28">
        <f>KALKULÁTOR!I365*$Q365/$Q$375</f>
        <v>0</v>
      </c>
      <c r="Z365" s="28">
        <f>KALKULÁTOR!J365*$Q365/$Q$375</f>
        <v>0</v>
      </c>
      <c r="AA365" s="28">
        <f>KALKULÁTOR!K365*$Q365/$Q$375</f>
        <v>0</v>
      </c>
      <c r="AB365" s="28">
        <f>KALKULÁTOR!L365*$Q365/$Q$375</f>
        <v>0</v>
      </c>
      <c r="AC365" s="41">
        <f>KALKULÁTOR!C365*Q365</f>
        <v>0</v>
      </c>
    </row>
    <row r="366" spans="1:36" x14ac:dyDescent="0.25">
      <c r="A366" s="582"/>
      <c r="B366" s="520"/>
      <c r="C366" s="267"/>
      <c r="D366" s="27" t="s">
        <v>16</v>
      </c>
      <c r="E366" s="36">
        <v>2.17</v>
      </c>
      <c r="F366" s="4">
        <v>44.8</v>
      </c>
      <c r="G366" s="4">
        <v>36.9</v>
      </c>
      <c r="H366" s="4">
        <v>0</v>
      </c>
      <c r="I366" s="4"/>
      <c r="J366" s="4"/>
      <c r="K366" s="4"/>
      <c r="L366" s="4"/>
      <c r="M366" s="43"/>
      <c r="N366" s="472" t="s">
        <v>218</v>
      </c>
      <c r="O366" s="472"/>
      <c r="P366" s="472"/>
      <c r="Q366" s="107"/>
      <c r="R366" s="79" t="s">
        <v>149</v>
      </c>
      <c r="S366" s="123">
        <f>$P$11*0</f>
        <v>0</v>
      </c>
      <c r="T366" s="121">
        <f>$P$11*0.15</f>
        <v>15</v>
      </c>
      <c r="U366" s="36">
        <f>KALKULÁTOR!E366*Q366</f>
        <v>0</v>
      </c>
      <c r="V366" s="28">
        <f>KALKULÁTOR!F366*$Q366/$Q$375</f>
        <v>0</v>
      </c>
      <c r="W366" s="28">
        <f>KALKULÁTOR!G366*$Q366/$Q$375</f>
        <v>0</v>
      </c>
      <c r="X366" s="28">
        <f>KALKULÁTOR!H366*$Q366/$Q$375</f>
        <v>0</v>
      </c>
      <c r="Y366" s="28">
        <f>KALKULÁTOR!I366*$Q366/$Q$375</f>
        <v>0</v>
      </c>
      <c r="Z366" s="28">
        <f>KALKULÁTOR!J366*$Q366/$Q$375</f>
        <v>0</v>
      </c>
      <c r="AA366" s="28">
        <f>KALKULÁTOR!K366*$Q366/$Q$375</f>
        <v>0</v>
      </c>
      <c r="AB366" s="28">
        <f>KALKULÁTOR!L366*$Q366/$Q$375</f>
        <v>0</v>
      </c>
      <c r="AC366" s="41">
        <f>KALKULÁTOR!C366*Q366</f>
        <v>0</v>
      </c>
    </row>
    <row r="367" spans="1:36" x14ac:dyDescent="0.25">
      <c r="A367" s="582"/>
      <c r="B367" s="520"/>
      <c r="C367" s="267"/>
      <c r="D367" s="27" t="s">
        <v>16</v>
      </c>
      <c r="E367" s="36"/>
      <c r="F367" s="4"/>
      <c r="G367" s="4"/>
      <c r="H367" s="4"/>
      <c r="I367" s="4">
        <v>45</v>
      </c>
      <c r="J367" s="4"/>
      <c r="K367" s="4"/>
      <c r="L367" s="4"/>
      <c r="M367" s="43"/>
      <c r="N367" s="472" t="s">
        <v>341</v>
      </c>
      <c r="O367" s="472"/>
      <c r="P367" s="472"/>
      <c r="Q367" s="145"/>
      <c r="R367" s="79" t="s">
        <v>149</v>
      </c>
      <c r="S367" s="247">
        <f>$P$11*0</f>
        <v>0</v>
      </c>
      <c r="T367" s="246">
        <v>10</v>
      </c>
      <c r="U367" s="36">
        <f>KALKULÁTOR!E367*Q367</f>
        <v>0</v>
      </c>
      <c r="V367" s="28">
        <f>KALKULÁTOR!F367*$Q367/$Q$375</f>
        <v>0</v>
      </c>
      <c r="W367" s="28">
        <f>KALKULÁTOR!G367*$Q367/$Q$375</f>
        <v>0</v>
      </c>
      <c r="X367" s="28">
        <f>KALKULÁTOR!H367*$Q367/$Q$375</f>
        <v>0</v>
      </c>
      <c r="Y367" s="28">
        <f>KALKULÁTOR!I367*$Q367/$Q$375</f>
        <v>0</v>
      </c>
      <c r="Z367" s="28">
        <f>KALKULÁTOR!J367*$Q367/$Q$375</f>
        <v>0</v>
      </c>
      <c r="AA367" s="28">
        <f>KALKULÁTOR!K367*$Q367/$Q$375</f>
        <v>0</v>
      </c>
      <c r="AB367" s="28">
        <f>KALKULÁTOR!L367*$Q367/$Q$375</f>
        <v>0</v>
      </c>
      <c r="AC367" s="41">
        <f>KALKULÁTOR!C367*Q367</f>
        <v>0</v>
      </c>
    </row>
    <row r="368" spans="1:36" x14ac:dyDescent="0.25">
      <c r="A368" s="582"/>
      <c r="B368" s="520"/>
      <c r="C368" s="267"/>
      <c r="D368" s="27" t="s">
        <v>16</v>
      </c>
      <c r="E368" s="36"/>
      <c r="F368" s="4">
        <v>25.7</v>
      </c>
      <c r="G368" s="4">
        <v>0</v>
      </c>
      <c r="H368" s="4">
        <v>29</v>
      </c>
      <c r="I368" s="4">
        <v>11.14</v>
      </c>
      <c r="J368" s="4">
        <v>41</v>
      </c>
      <c r="K368" s="4">
        <v>0.75</v>
      </c>
      <c r="L368" s="4">
        <v>0.21</v>
      </c>
      <c r="M368" s="43"/>
      <c r="N368" s="472" t="s">
        <v>140</v>
      </c>
      <c r="O368" s="472"/>
      <c r="P368" s="472"/>
      <c r="Q368" s="145"/>
      <c r="R368" s="79" t="s">
        <v>149</v>
      </c>
      <c r="S368" s="123">
        <f>$P$11*0</f>
        <v>0</v>
      </c>
      <c r="T368" s="121">
        <f>$P$11*0.08</f>
        <v>8</v>
      </c>
      <c r="U368" s="36">
        <f>KALKULÁTOR!E368*Q368</f>
        <v>0</v>
      </c>
      <c r="V368" s="28">
        <f>KALKULÁTOR!F368*$Q368/$Q$375</f>
        <v>0</v>
      </c>
      <c r="W368" s="28">
        <f>KALKULÁTOR!G368*$Q368/$Q$375</f>
        <v>0</v>
      </c>
      <c r="X368" s="28">
        <f>KALKULÁTOR!H368*$Q368/$Q$375</f>
        <v>0</v>
      </c>
      <c r="Y368" s="28">
        <f>KALKULÁTOR!I368*$Q368/$Q$375</f>
        <v>0</v>
      </c>
      <c r="Z368" s="28">
        <f>KALKULÁTOR!J368*$Q368/$Q$375</f>
        <v>0</v>
      </c>
      <c r="AA368" s="28">
        <f>KALKULÁTOR!K368*$Q368/$Q$375</f>
        <v>0</v>
      </c>
      <c r="AB368" s="28">
        <f>KALKULÁTOR!L368*$Q368/$Q$375</f>
        <v>0</v>
      </c>
      <c r="AC368" s="41">
        <f>KALKULÁTOR!C368*Q368</f>
        <v>0</v>
      </c>
    </row>
    <row r="369" spans="1:37" x14ac:dyDescent="0.25">
      <c r="A369" s="582"/>
      <c r="B369" s="520"/>
      <c r="C369" s="267"/>
      <c r="D369" s="27" t="s">
        <v>16</v>
      </c>
      <c r="E369" s="36">
        <v>11.3</v>
      </c>
      <c r="F369" s="4">
        <v>8.1999999999999993</v>
      </c>
      <c r="G369" s="4">
        <v>3.6</v>
      </c>
      <c r="H369" s="4">
        <v>2.2999999999999998</v>
      </c>
      <c r="I369" s="4"/>
      <c r="J369" s="4"/>
      <c r="K369" s="4"/>
      <c r="L369" s="4"/>
      <c r="M369" s="43"/>
      <c r="N369" s="472" t="s">
        <v>397</v>
      </c>
      <c r="O369" s="472"/>
      <c r="P369" s="472"/>
      <c r="Q369" s="107"/>
      <c r="R369" s="79" t="s">
        <v>149</v>
      </c>
      <c r="S369" s="312">
        <f>$P$11*0</f>
        <v>0</v>
      </c>
      <c r="T369" s="311">
        <f>$P$11*0.05</f>
        <v>5</v>
      </c>
      <c r="U369" s="36">
        <f>KALKULÁTOR!E369*Q369</f>
        <v>0</v>
      </c>
      <c r="V369" s="28">
        <f>KALKULÁTOR!F369*$Q369/$Q$375</f>
        <v>0</v>
      </c>
      <c r="W369" s="28">
        <f>KALKULÁTOR!G369*$Q369/$Q$375</f>
        <v>0</v>
      </c>
      <c r="X369" s="28">
        <f>KALKULÁTOR!H369*$Q369/$Q$375</f>
        <v>0</v>
      </c>
      <c r="Y369" s="28">
        <f>KALKULÁTOR!I369*$Q369/$Q$375</f>
        <v>0</v>
      </c>
      <c r="Z369" s="28">
        <f>KALKULÁTOR!J369*$Q369/$Q$375</f>
        <v>0</v>
      </c>
      <c r="AA369" s="28">
        <f>KALKULÁTOR!K369*$Q369/$Q$375</f>
        <v>0</v>
      </c>
      <c r="AB369" s="28">
        <f>KALKULÁTOR!L369*$Q369/$Q$375</f>
        <v>0</v>
      </c>
      <c r="AC369" s="41">
        <f>KALKULÁTOR!C369*Q369</f>
        <v>0</v>
      </c>
    </row>
    <row r="370" spans="1:37" x14ac:dyDescent="0.25">
      <c r="A370" s="582"/>
      <c r="B370" s="520"/>
      <c r="C370" s="267"/>
      <c r="D370" s="27" t="s">
        <v>16</v>
      </c>
      <c r="E370" s="36">
        <v>6</v>
      </c>
      <c r="F370" s="4">
        <v>1.95</v>
      </c>
      <c r="G370" s="4">
        <v>1</v>
      </c>
      <c r="H370" s="4">
        <v>3</v>
      </c>
      <c r="I370" s="4">
        <v>8</v>
      </c>
      <c r="J370" s="4">
        <v>8</v>
      </c>
      <c r="K370" s="4"/>
      <c r="L370" s="4"/>
      <c r="M370" s="43"/>
      <c r="N370" s="472" t="s">
        <v>396</v>
      </c>
      <c r="O370" s="472"/>
      <c r="P370" s="472"/>
      <c r="Q370" s="107"/>
      <c r="R370" s="79" t="s">
        <v>149</v>
      </c>
      <c r="S370" s="123">
        <f>$P$11*0</f>
        <v>0</v>
      </c>
      <c r="T370" s="121">
        <f>$P$11*0.1</f>
        <v>10</v>
      </c>
      <c r="U370" s="36">
        <f>KALKULÁTOR!E370*Q370</f>
        <v>0</v>
      </c>
      <c r="V370" s="28">
        <f>KALKULÁTOR!F370*$Q370/$Q$375</f>
        <v>0</v>
      </c>
      <c r="W370" s="28">
        <f>KALKULÁTOR!G370*$Q370/$Q$375</f>
        <v>0</v>
      </c>
      <c r="X370" s="28">
        <f>KALKULÁTOR!H370*$Q370/$Q$375</f>
        <v>0</v>
      </c>
      <c r="Y370" s="28">
        <f>KALKULÁTOR!I370*$Q370/$Q$375</f>
        <v>0</v>
      </c>
      <c r="Z370" s="28">
        <f>KALKULÁTOR!J370*$Q370/$Q$375</f>
        <v>0</v>
      </c>
      <c r="AA370" s="28">
        <f>KALKULÁTOR!K370*$Q370/$Q$375</f>
        <v>0</v>
      </c>
      <c r="AB370" s="28">
        <f>KALKULÁTOR!L370*$Q370/$Q$375</f>
        <v>0</v>
      </c>
      <c r="AC370" s="41">
        <f>KALKULÁTOR!C370*Q370</f>
        <v>0</v>
      </c>
    </row>
    <row r="371" spans="1:37" x14ac:dyDescent="0.25">
      <c r="A371" s="582"/>
      <c r="B371" s="520"/>
      <c r="C371" s="267"/>
      <c r="D371" s="27" t="s">
        <v>16</v>
      </c>
      <c r="E371" s="36"/>
      <c r="F371" s="4"/>
      <c r="G371" s="4"/>
      <c r="H371" s="4"/>
      <c r="I371" s="4"/>
      <c r="J371" s="4"/>
      <c r="K371" s="4"/>
      <c r="L371" s="4"/>
      <c r="M371" s="43"/>
      <c r="N371" s="472" t="s">
        <v>133</v>
      </c>
      <c r="O371" s="472"/>
      <c r="P371" s="472"/>
      <c r="Q371" s="145"/>
      <c r="R371" s="79" t="s">
        <v>149</v>
      </c>
      <c r="S371" s="353">
        <f>$P$11*0.0003</f>
        <v>0.03</v>
      </c>
      <c r="T371" s="352">
        <f>$P$11*0.0005</f>
        <v>0.05</v>
      </c>
      <c r="U371" s="36">
        <f>KALKULÁTOR!E371*Q371</f>
        <v>0</v>
      </c>
      <c r="V371" s="28">
        <f>KALKULÁTOR!F371*$Q371/$Q$375</f>
        <v>0</v>
      </c>
      <c r="W371" s="28">
        <f>KALKULÁTOR!G371*$Q371/$Q$375</f>
        <v>0</v>
      </c>
      <c r="X371" s="28">
        <f>KALKULÁTOR!H371*$Q371/$Q$375</f>
        <v>0</v>
      </c>
      <c r="Y371" s="28">
        <f>KALKULÁTOR!I371*$Q371/$Q$375</f>
        <v>0</v>
      </c>
      <c r="Z371" s="28">
        <f>KALKULÁTOR!J371*$Q371/$Q$375</f>
        <v>0</v>
      </c>
      <c r="AA371" s="28">
        <f>KALKULÁTOR!K371*$Q371/$Q$375</f>
        <v>0</v>
      </c>
      <c r="AB371" s="28">
        <f>KALKULÁTOR!L371*$Q371/$Q$375</f>
        <v>0</v>
      </c>
      <c r="AC371" s="41">
        <f>KALKULÁTOR!C371*Q371</f>
        <v>0</v>
      </c>
      <c r="AD371" s="434">
        <f>IF(AND(Q371&gt;=S371,Q371&lt;=T371),1,0)</f>
        <v>0</v>
      </c>
      <c r="AE371" s="434"/>
    </row>
    <row r="372" spans="1:37" ht="15.75" thickBot="1" x14ac:dyDescent="0.3">
      <c r="A372" s="582"/>
      <c r="B372" s="520"/>
      <c r="C372" s="267"/>
      <c r="D372" s="27" t="s">
        <v>16</v>
      </c>
      <c r="E372" s="36"/>
      <c r="F372" s="4"/>
      <c r="G372" s="4"/>
      <c r="H372" s="4"/>
      <c r="I372" s="4"/>
      <c r="J372" s="4"/>
      <c r="K372" s="4"/>
      <c r="L372" s="4"/>
      <c r="M372" s="43"/>
      <c r="N372" s="472" t="s">
        <v>110</v>
      </c>
      <c r="O372" s="472"/>
      <c r="P372" s="472"/>
      <c r="Q372" s="145"/>
      <c r="R372" s="79" t="s">
        <v>149</v>
      </c>
      <c r="S372" s="123">
        <f>$P$11*0.0001</f>
        <v>0.01</v>
      </c>
      <c r="T372" s="121">
        <f>$P$11*0.0001</f>
        <v>0.01</v>
      </c>
      <c r="U372" s="36">
        <f>KALKULÁTOR!E372*Q372</f>
        <v>0</v>
      </c>
      <c r="V372" s="28">
        <f>KALKULÁTOR!F372*$Q372/$Q$375</f>
        <v>0</v>
      </c>
      <c r="W372" s="28">
        <f>KALKULÁTOR!G372*$Q372/$Q$375</f>
        <v>0</v>
      </c>
      <c r="X372" s="28">
        <f>KALKULÁTOR!H372*$Q372/$Q$375</f>
        <v>0</v>
      </c>
      <c r="Y372" s="28">
        <f>KALKULÁTOR!I372*$Q372/$Q$375</f>
        <v>0</v>
      </c>
      <c r="Z372" s="28">
        <f>KALKULÁTOR!J372*$Q372/$Q$375</f>
        <v>0</v>
      </c>
      <c r="AA372" s="28">
        <f>KALKULÁTOR!K372*$Q372/$Q$375</f>
        <v>0</v>
      </c>
      <c r="AB372" s="28">
        <f>KALKULÁTOR!L372*$Q372/$Q$375</f>
        <v>0</v>
      </c>
      <c r="AC372" s="41">
        <f>KALKULÁTOR!C372*Q372</f>
        <v>0</v>
      </c>
      <c r="AD372" s="434">
        <f>IF(AND(Q372&gt;=S372,Q372&lt;=T372),1,0)</f>
        <v>0</v>
      </c>
      <c r="AE372" s="434"/>
    </row>
    <row r="373" spans="1:37" ht="15.75" thickBot="1" x14ac:dyDescent="0.3">
      <c r="A373" s="582"/>
      <c r="B373" s="520"/>
      <c r="C373" s="267"/>
      <c r="D373" s="27" t="s">
        <v>16</v>
      </c>
      <c r="E373" s="36"/>
      <c r="F373" s="4"/>
      <c r="G373" s="4"/>
      <c r="H373" s="4"/>
      <c r="I373" s="4"/>
      <c r="J373" s="4"/>
      <c r="K373" s="4"/>
      <c r="L373" s="4"/>
      <c r="M373" s="43"/>
      <c r="N373" s="472" t="s">
        <v>109</v>
      </c>
      <c r="O373" s="472"/>
      <c r="P373" s="472"/>
      <c r="Q373" s="107"/>
      <c r="R373" s="80" t="s">
        <v>149</v>
      </c>
      <c r="S373" s="123">
        <f>$P$11*0.001</f>
        <v>0.1</v>
      </c>
      <c r="T373" s="121">
        <f>$P$11*0.001</f>
        <v>0.1</v>
      </c>
      <c r="U373" s="36">
        <f>KALKULÁTOR!E373*Q373</f>
        <v>0</v>
      </c>
      <c r="V373" s="28">
        <f>KALKULÁTOR!F373*$Q373/$Q$375</f>
        <v>0</v>
      </c>
      <c r="W373" s="28">
        <f>KALKULÁTOR!G373*$Q373/$Q$375</f>
        <v>0</v>
      </c>
      <c r="X373" s="28">
        <f>KALKULÁTOR!H373*$Q373/$Q$375</f>
        <v>0</v>
      </c>
      <c r="Y373" s="28">
        <f>KALKULÁTOR!I373*$Q373/$Q$375</f>
        <v>0</v>
      </c>
      <c r="Z373" s="28">
        <f>KALKULÁTOR!J373*$Q373/$Q$375</f>
        <v>0</v>
      </c>
      <c r="AA373" s="28">
        <f>KALKULÁTOR!K373*$Q373/$Q$375</f>
        <v>0</v>
      </c>
      <c r="AB373" s="28">
        <f>KALKULÁTOR!L373*$Q373/$Q$375</f>
        <v>0</v>
      </c>
      <c r="AC373" s="41">
        <f>KALKULÁTOR!C373*Q373</f>
        <v>0</v>
      </c>
      <c r="AD373" s="434">
        <f>IF(AND(Q373&gt;=S373,Q373&lt;=T373),1,0)</f>
        <v>0</v>
      </c>
      <c r="AE373" s="434"/>
      <c r="AF373" s="135" t="s">
        <v>111</v>
      </c>
      <c r="AG373" s="116"/>
      <c r="AH373" s="116"/>
      <c r="AI373" s="117"/>
    </row>
    <row r="374" spans="1:37" ht="15.75" thickBot="1" x14ac:dyDescent="0.3">
      <c r="A374" s="583"/>
      <c r="B374" s="522"/>
      <c r="C374" s="266"/>
      <c r="D374" s="29" t="s">
        <v>16</v>
      </c>
      <c r="E374" s="38"/>
      <c r="F374" s="18"/>
      <c r="G374" s="18"/>
      <c r="H374" s="18"/>
      <c r="I374" s="18"/>
      <c r="J374" s="18"/>
      <c r="K374" s="18"/>
      <c r="L374" s="18"/>
      <c r="M374" s="53"/>
      <c r="N374" s="489" t="s">
        <v>13</v>
      </c>
      <c r="O374" s="489"/>
      <c r="P374" s="489"/>
      <c r="Q374" s="107"/>
      <c r="R374" s="83" t="s">
        <v>149</v>
      </c>
      <c r="S374" s="124">
        <f>$P$11*0.003</f>
        <v>0.3</v>
      </c>
      <c r="T374" s="122">
        <f>$P$11*0.005</f>
        <v>0.5</v>
      </c>
      <c r="U374" s="38">
        <f>KALKULÁTOR!E374*Q374</f>
        <v>0</v>
      </c>
      <c r="V374" s="67">
        <f>KALKULÁTOR!F374*$Q374/$Q$375</f>
        <v>0</v>
      </c>
      <c r="W374" s="67">
        <f>KALKULÁTOR!G374*$Q374/$Q$375</f>
        <v>0</v>
      </c>
      <c r="X374" s="67">
        <f>KALKULÁTOR!H374*$Q374/$Q$375</f>
        <v>0</v>
      </c>
      <c r="Y374" s="67">
        <f>KALKULÁTOR!I374*$Q374/$Q$375</f>
        <v>0</v>
      </c>
      <c r="Z374" s="67">
        <f>KALKULÁTOR!J374*$Q374/$Q$375</f>
        <v>0</v>
      </c>
      <c r="AA374" s="67">
        <f>KALKULÁTOR!K374*$Q374/$Q$375</f>
        <v>0</v>
      </c>
      <c r="AB374" s="67">
        <f>KALKULÁTOR!L374*$Q374/$Q$375</f>
        <v>0</v>
      </c>
      <c r="AC374" s="68">
        <f>KALKULÁTOR!C374*Q374</f>
        <v>0</v>
      </c>
      <c r="AD374" s="434">
        <f>IF(AND(Q374&gt;=S374,Q374&lt;=T374),1,0)</f>
        <v>0</v>
      </c>
      <c r="AE374" s="434"/>
    </row>
    <row r="375" spans="1:37" ht="15.75" thickBot="1" x14ac:dyDescent="0.3">
      <c r="N375" s="572" t="s">
        <v>3</v>
      </c>
      <c r="O375" s="573"/>
      <c r="P375" s="573"/>
      <c r="Q375" s="62">
        <f>SUM(Q32:Q374)+1E-70</f>
        <v>1E-70</v>
      </c>
      <c r="R375" s="1" t="s">
        <v>9</v>
      </c>
      <c r="U375" s="62">
        <f>SUM(U32:U374)/Q375</f>
        <v>0</v>
      </c>
      <c r="V375" s="62">
        <f>SUM(V32:V374)</f>
        <v>0</v>
      </c>
      <c r="W375" s="62">
        <f>SUM(W32:W374)</f>
        <v>0</v>
      </c>
      <c r="X375" s="62">
        <f>SUM(X32:X374)</f>
        <v>0</v>
      </c>
      <c r="Y375" s="62">
        <f>SUM(Y32:Y374)</f>
        <v>0</v>
      </c>
      <c r="Z375" s="62">
        <f>SUM(Z32:Z374)</f>
        <v>0</v>
      </c>
      <c r="AA375" s="62">
        <f>SUM(AA32:AA374)</f>
        <v>0</v>
      </c>
      <c r="AB375" s="62">
        <f>SUM(AB32:AB374)</f>
        <v>0</v>
      </c>
      <c r="AC375" s="62">
        <f>SUM(AC32:AC374)</f>
        <v>0</v>
      </c>
      <c r="AD375" s="47"/>
      <c r="AE375" s="47"/>
      <c r="AG375" s="1" t="s">
        <v>112</v>
      </c>
    </row>
    <row r="376" spans="1:37" ht="15.75" thickBot="1" x14ac:dyDescent="0.3">
      <c r="N376" s="33"/>
      <c r="O376" s="33"/>
      <c r="P376" s="33"/>
      <c r="Q376" s="46" t="s">
        <v>9</v>
      </c>
      <c r="U376" s="47" t="s">
        <v>80</v>
      </c>
      <c r="V376" s="7" t="s">
        <v>17</v>
      </c>
      <c r="W376" s="7" t="s">
        <v>17</v>
      </c>
      <c r="X376" s="7" t="s">
        <v>17</v>
      </c>
      <c r="Y376" s="7" t="s">
        <v>17</v>
      </c>
      <c r="Z376" s="7" t="s">
        <v>17</v>
      </c>
      <c r="AA376" s="7" t="s">
        <v>17</v>
      </c>
      <c r="AB376" s="7" t="s">
        <v>17</v>
      </c>
      <c r="AC376" s="7" t="s">
        <v>16</v>
      </c>
    </row>
    <row r="377" spans="1:37" ht="15.75" thickBot="1" x14ac:dyDescent="0.3">
      <c r="AC377" s="45">
        <f>AC375/Q375</f>
        <v>0</v>
      </c>
      <c r="AD377" s="47"/>
      <c r="AE377" s="47"/>
    </row>
    <row r="378" spans="1:37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3"/>
      <c r="N378" s="11"/>
      <c r="O378" s="11"/>
      <c r="P378" s="11"/>
      <c r="Q378" s="9"/>
      <c r="R378" s="9"/>
      <c r="S378" s="9"/>
      <c r="T378" s="9"/>
      <c r="U378" s="9"/>
      <c r="V378" s="9"/>
      <c r="W378" s="11"/>
      <c r="X378" s="11"/>
      <c r="Y378" s="9"/>
      <c r="Z378" s="9"/>
      <c r="AA378" s="9"/>
      <c r="AB378" s="9"/>
      <c r="AC378" s="9"/>
      <c r="AD378" s="377"/>
      <c r="AE378" s="377"/>
      <c r="AF378" s="31"/>
      <c r="AG378" s="12"/>
      <c r="AH378" s="11"/>
      <c r="AI378" s="13"/>
      <c r="AJ378" s="13"/>
      <c r="AK378" s="11"/>
    </row>
    <row r="380" spans="1:37" x14ac:dyDescent="0.25">
      <c r="V380" s="158"/>
      <c r="W380" s="158"/>
      <c r="X380" s="158"/>
      <c r="Y380" s="158"/>
      <c r="Z380" s="158"/>
      <c r="AA380" s="158"/>
      <c r="AB380" s="158"/>
    </row>
  </sheetData>
  <autoFilter ref="M31:M377"/>
  <mergeCells count="470">
    <mergeCell ref="AB12:AC12"/>
    <mergeCell ref="Y12:Z12"/>
    <mergeCell ref="AF324:AI324"/>
    <mergeCell ref="N285:P285"/>
    <mergeCell ref="N275:P275"/>
    <mergeCell ref="N280:P280"/>
    <mergeCell ref="N290:P290"/>
    <mergeCell ref="B283:B303"/>
    <mergeCell ref="B306:B308"/>
    <mergeCell ref="N309:P309"/>
    <mergeCell ref="N307:P307"/>
    <mergeCell ref="N308:P308"/>
    <mergeCell ref="B324:B327"/>
    <mergeCell ref="B313:B314"/>
    <mergeCell ref="B309:B310"/>
    <mergeCell ref="B311:B312"/>
    <mergeCell ref="N312:P312"/>
    <mergeCell ref="N310:P310"/>
    <mergeCell ref="N313:P313"/>
    <mergeCell ref="N314:P314"/>
    <mergeCell ref="B304:B305"/>
    <mergeCell ref="B275:B282"/>
    <mergeCell ref="N284:P284"/>
    <mergeCell ref="N304:P304"/>
    <mergeCell ref="N306:P306"/>
    <mergeCell ref="N276:P276"/>
    <mergeCell ref="N277:P277"/>
    <mergeCell ref="B64:B85"/>
    <mergeCell ref="N130:P130"/>
    <mergeCell ref="N216:P216"/>
    <mergeCell ref="N217:P217"/>
    <mergeCell ref="N219:P219"/>
    <mergeCell ref="B250:B265"/>
    <mergeCell ref="N265:P265"/>
    <mergeCell ref="N222:P222"/>
    <mergeCell ref="B221:B222"/>
    <mergeCell ref="N246:P246"/>
    <mergeCell ref="N257:P257"/>
    <mergeCell ref="N252:P252"/>
    <mergeCell ref="N253:P253"/>
    <mergeCell ref="N241:P241"/>
    <mergeCell ref="N264:P264"/>
    <mergeCell ref="N191:P191"/>
    <mergeCell ref="N190:P190"/>
    <mergeCell ref="N187:P187"/>
    <mergeCell ref="N120:P120"/>
    <mergeCell ref="N138:P138"/>
    <mergeCell ref="N82:P82"/>
    <mergeCell ref="N85:P85"/>
    <mergeCell ref="N83:P83"/>
    <mergeCell ref="A5:M5"/>
    <mergeCell ref="N31:P31"/>
    <mergeCell ref="N37:P37"/>
    <mergeCell ref="A34:A63"/>
    <mergeCell ref="N52:P52"/>
    <mergeCell ref="B34:B38"/>
    <mergeCell ref="N53:P53"/>
    <mergeCell ref="N54:P54"/>
    <mergeCell ref="N55:P55"/>
    <mergeCell ref="B39:B63"/>
    <mergeCell ref="N57:P57"/>
    <mergeCell ref="N42:P42"/>
    <mergeCell ref="N43:P43"/>
    <mergeCell ref="N44:P44"/>
    <mergeCell ref="N45:P45"/>
    <mergeCell ref="N46:P46"/>
    <mergeCell ref="N58:P58"/>
    <mergeCell ref="N32:P32"/>
    <mergeCell ref="N36:P36"/>
    <mergeCell ref="N40:P40"/>
    <mergeCell ref="N41:P41"/>
    <mergeCell ref="N34:P34"/>
    <mergeCell ref="N60:P60"/>
    <mergeCell ref="N61:P61"/>
    <mergeCell ref="N75:P75"/>
    <mergeCell ref="N106:P106"/>
    <mergeCell ref="N111:P111"/>
    <mergeCell ref="N92:P92"/>
    <mergeCell ref="N89:P89"/>
    <mergeCell ref="T39:T63"/>
    <mergeCell ref="S39:S63"/>
    <mergeCell ref="AF67:AJ67"/>
    <mergeCell ref="N96:P96"/>
    <mergeCell ref="N49:P49"/>
    <mergeCell ref="N87:P87"/>
    <mergeCell ref="N84:P84"/>
    <mergeCell ref="N66:P66"/>
    <mergeCell ref="N78:P78"/>
    <mergeCell ref="N79:P79"/>
    <mergeCell ref="R29:T29"/>
    <mergeCell ref="AF37:AH37"/>
    <mergeCell ref="AF34:AH34"/>
    <mergeCell ref="V12:W12"/>
    <mergeCell ref="N98:P98"/>
    <mergeCell ref="N114:P114"/>
    <mergeCell ref="N70:P70"/>
    <mergeCell ref="AF65:AJ65"/>
    <mergeCell ref="AF66:AJ66"/>
    <mergeCell ref="N48:P48"/>
    <mergeCell ref="N67:P67"/>
    <mergeCell ref="AF64:AJ64"/>
    <mergeCell ref="N56:P56"/>
    <mergeCell ref="N63:P63"/>
    <mergeCell ref="N62:P62"/>
    <mergeCell ref="N64:P64"/>
    <mergeCell ref="N65:P65"/>
    <mergeCell ref="AF83:AI83"/>
    <mergeCell ref="AF84:AJ84"/>
    <mergeCell ref="AF85:AJ85"/>
    <mergeCell ref="AF86:AW86"/>
    <mergeCell ref="N50:P50"/>
    <mergeCell ref="N90:P90"/>
    <mergeCell ref="N35:P35"/>
    <mergeCell ref="A216:A374"/>
    <mergeCell ref="B335:B355"/>
    <mergeCell ref="B356:B374"/>
    <mergeCell ref="N322:P322"/>
    <mergeCell ref="N316:P316"/>
    <mergeCell ref="N311:P311"/>
    <mergeCell ref="N315:P315"/>
    <mergeCell ref="N361:P361"/>
    <mergeCell ref="N354:P354"/>
    <mergeCell ref="N358:P358"/>
    <mergeCell ref="N355:P355"/>
    <mergeCell ref="N367:P367"/>
    <mergeCell ref="N346:P346"/>
    <mergeCell ref="N350:P350"/>
    <mergeCell ref="N351:P351"/>
    <mergeCell ref="N357:P357"/>
    <mergeCell ref="N359:P359"/>
    <mergeCell ref="N348:P348"/>
    <mergeCell ref="N343:P343"/>
    <mergeCell ref="B223:B249"/>
    <mergeCell ref="B216:B220"/>
    <mergeCell ref="N303:P303"/>
    <mergeCell ref="N345:P345"/>
    <mergeCell ref="B266:B274"/>
    <mergeCell ref="N352:P352"/>
    <mergeCell ref="N341:P341"/>
    <mergeCell ref="N328:P328"/>
    <mergeCell ref="B328:B330"/>
    <mergeCell ref="B315:B317"/>
    <mergeCell ref="B321:B322"/>
    <mergeCell ref="N340:P340"/>
    <mergeCell ref="N317:P317"/>
    <mergeCell ref="N329:P329"/>
    <mergeCell ref="N324:P324"/>
    <mergeCell ref="N327:P327"/>
    <mergeCell ref="B331:B334"/>
    <mergeCell ref="N332:P332"/>
    <mergeCell ref="B318:B320"/>
    <mergeCell ref="N318:P318"/>
    <mergeCell ref="N320:P320"/>
    <mergeCell ref="N335:P335"/>
    <mergeCell ref="N333:P333"/>
    <mergeCell ref="N334:P334"/>
    <mergeCell ref="N337:P337"/>
    <mergeCell ref="N278:P278"/>
    <mergeCell ref="N297:P297"/>
    <mergeCell ref="N374:P374"/>
    <mergeCell ref="N356:P356"/>
    <mergeCell ref="N362:P362"/>
    <mergeCell ref="N363:P363"/>
    <mergeCell ref="N368:P368"/>
    <mergeCell ref="N339:P339"/>
    <mergeCell ref="N321:P321"/>
    <mergeCell ref="N349:P349"/>
    <mergeCell ref="N342:P342"/>
    <mergeCell ref="N373:P373"/>
    <mergeCell ref="N369:P369"/>
    <mergeCell ref="N371:P371"/>
    <mergeCell ref="N372:P372"/>
    <mergeCell ref="N347:P347"/>
    <mergeCell ref="N344:P344"/>
    <mergeCell ref="N360:P360"/>
    <mergeCell ref="N370:P370"/>
    <mergeCell ref="N325:P325"/>
    <mergeCell ref="N364:P364"/>
    <mergeCell ref="N365:P365"/>
    <mergeCell ref="N366:P366"/>
    <mergeCell ref="N281:P281"/>
    <mergeCell ref="N375:P375"/>
    <mergeCell ref="AF169:AI169"/>
    <mergeCell ref="AF172:AI172"/>
    <mergeCell ref="N226:P226"/>
    <mergeCell ref="N214:P214"/>
    <mergeCell ref="N194:P194"/>
    <mergeCell ref="N221:P221"/>
    <mergeCell ref="N201:P201"/>
    <mergeCell ref="N202:P202"/>
    <mergeCell ref="N224:P224"/>
    <mergeCell ref="N225:P225"/>
    <mergeCell ref="N243:P243"/>
    <mergeCell ref="N230:P230"/>
    <mergeCell ref="N213:P213"/>
    <mergeCell ref="N215:P215"/>
    <mergeCell ref="N196:P196"/>
    <mergeCell ref="N208:P208"/>
    <mergeCell ref="N330:P330"/>
    <mergeCell ref="N353:P353"/>
    <mergeCell ref="N338:P338"/>
    <mergeCell ref="N302:P302"/>
    <mergeCell ref="N220:P220"/>
    <mergeCell ref="N218:P218"/>
    <mergeCell ref="N174:P174"/>
    <mergeCell ref="N299:P299"/>
    <mergeCell ref="N336:P336"/>
    <mergeCell ref="N319:P319"/>
    <mergeCell ref="N323:P323"/>
    <mergeCell ref="N331:P331"/>
    <mergeCell ref="N305:P305"/>
    <mergeCell ref="N288:P288"/>
    <mergeCell ref="N289:P289"/>
    <mergeCell ref="N291:P291"/>
    <mergeCell ref="N300:P300"/>
    <mergeCell ref="N301:P301"/>
    <mergeCell ref="N326:P326"/>
    <mergeCell ref="N282:P282"/>
    <mergeCell ref="N294:P294"/>
    <mergeCell ref="N295:P295"/>
    <mergeCell ref="N283:P283"/>
    <mergeCell ref="N279:P279"/>
    <mergeCell ref="N298:P298"/>
    <mergeCell ref="N296:P296"/>
    <mergeCell ref="N293:P293"/>
    <mergeCell ref="N292:P292"/>
    <mergeCell ref="N287:P287"/>
    <mergeCell ref="N286:P286"/>
    <mergeCell ref="AF143:AJ143"/>
    <mergeCell ref="AF164:AI164"/>
    <mergeCell ref="AF144:AJ144"/>
    <mergeCell ref="AF159:AI159"/>
    <mergeCell ref="N189:P189"/>
    <mergeCell ref="N182:P182"/>
    <mergeCell ref="N145:P145"/>
    <mergeCell ref="N162:P162"/>
    <mergeCell ref="N168:P168"/>
    <mergeCell ref="N148:P148"/>
    <mergeCell ref="N170:P170"/>
    <mergeCell ref="N183:P183"/>
    <mergeCell ref="N153:P153"/>
    <mergeCell ref="N154:P154"/>
    <mergeCell ref="AF165:AI165"/>
    <mergeCell ref="AF166:AI166"/>
    <mergeCell ref="AF163:AI163"/>
    <mergeCell ref="AF161:AI161"/>
    <mergeCell ref="AF162:AI162"/>
    <mergeCell ref="AF160:AI160"/>
    <mergeCell ref="AF167:AI167"/>
    <mergeCell ref="N147:P147"/>
    <mergeCell ref="N160:P160"/>
    <mergeCell ref="AF168:AI168"/>
    <mergeCell ref="AF257:AG257"/>
    <mergeCell ref="AF270:AG270"/>
    <mergeCell ref="N271:P271"/>
    <mergeCell ref="N223:P223"/>
    <mergeCell ref="N227:P227"/>
    <mergeCell ref="N228:P228"/>
    <mergeCell ref="N238:P238"/>
    <mergeCell ref="N207:P207"/>
    <mergeCell ref="N229:P229"/>
    <mergeCell ref="N232:P232"/>
    <mergeCell ref="N161:P161"/>
    <mergeCell ref="N197:P197"/>
    <mergeCell ref="N204:P204"/>
    <mergeCell ref="N185:P185"/>
    <mergeCell ref="N186:P186"/>
    <mergeCell ref="N180:P180"/>
    <mergeCell ref="N169:P169"/>
    <mergeCell ref="N163:P163"/>
    <mergeCell ref="N171:P171"/>
    <mergeCell ref="N179:P179"/>
    <mergeCell ref="N167:P167"/>
    <mergeCell ref="N195:P195"/>
    <mergeCell ref="Q12:T12"/>
    <mergeCell ref="N38:P38"/>
    <mergeCell ref="N39:P39"/>
    <mergeCell ref="AF94:AI94"/>
    <mergeCell ref="AF113:AH113"/>
    <mergeCell ref="N135:P135"/>
    <mergeCell ref="N95:P95"/>
    <mergeCell ref="N132:P132"/>
    <mergeCell ref="N118:P118"/>
    <mergeCell ref="N113:P113"/>
    <mergeCell ref="N121:P121"/>
    <mergeCell ref="N122:P122"/>
    <mergeCell ref="N115:P115"/>
    <mergeCell ref="N116:P116"/>
    <mergeCell ref="N128:P128"/>
    <mergeCell ref="N129:P129"/>
    <mergeCell ref="N94:P94"/>
    <mergeCell ref="N86:P86"/>
    <mergeCell ref="N77:P77"/>
    <mergeCell ref="N47:P47"/>
    <mergeCell ref="N51:P51"/>
    <mergeCell ref="N59:P59"/>
    <mergeCell ref="N134:P134"/>
    <mergeCell ref="AF82:AL82"/>
    <mergeCell ref="AX93:BA93"/>
    <mergeCell ref="AF87:AW87"/>
    <mergeCell ref="AF88:AW88"/>
    <mergeCell ref="AF89:AW89"/>
    <mergeCell ref="AF90:AW90"/>
    <mergeCell ref="AF91:AW91"/>
    <mergeCell ref="AF92:AW92"/>
    <mergeCell ref="AF93:AW93"/>
    <mergeCell ref="N101:P101"/>
    <mergeCell ref="N88:P88"/>
    <mergeCell ref="AF35:AH35"/>
    <mergeCell ref="AF36:AH36"/>
    <mergeCell ref="AF38:AH38"/>
    <mergeCell ref="AF81:AL81"/>
    <mergeCell ref="AF77:AI77"/>
    <mergeCell ref="AF80:AL80"/>
    <mergeCell ref="AF73:AI73"/>
    <mergeCell ref="AF74:AI74"/>
    <mergeCell ref="AF68:AN68"/>
    <mergeCell ref="AF75:AI75"/>
    <mergeCell ref="AF76:AI76"/>
    <mergeCell ref="AC1:AF1"/>
    <mergeCell ref="N33:P33"/>
    <mergeCell ref="Q9:T9"/>
    <mergeCell ref="Q10:T10"/>
    <mergeCell ref="Q8:T8"/>
    <mergeCell ref="B8:P10"/>
    <mergeCell ref="A3:M3"/>
    <mergeCell ref="R11:X11"/>
    <mergeCell ref="Z11:AB11"/>
    <mergeCell ref="A1:P1"/>
    <mergeCell ref="B7:AC7"/>
    <mergeCell ref="N12:O12"/>
    <mergeCell ref="N5:S5"/>
    <mergeCell ref="Q1:T1"/>
    <mergeCell ref="Q2:S2"/>
    <mergeCell ref="D12:M12"/>
    <mergeCell ref="A2:P2"/>
    <mergeCell ref="N3:O3"/>
    <mergeCell ref="P3:S3"/>
    <mergeCell ref="AC3:AG3"/>
    <mergeCell ref="B11:O11"/>
    <mergeCell ref="A4:M4"/>
    <mergeCell ref="N4:O4"/>
    <mergeCell ref="B12:C12"/>
    <mergeCell ref="B86:B94"/>
    <mergeCell ref="N126:P126"/>
    <mergeCell ref="N81:P81"/>
    <mergeCell ref="B95:B109"/>
    <mergeCell ref="B122:B135"/>
    <mergeCell ref="B114:B121"/>
    <mergeCell ref="A110:B113"/>
    <mergeCell ref="A64:A109"/>
    <mergeCell ref="N73:P73"/>
    <mergeCell ref="N80:P80"/>
    <mergeCell ref="A114:A215"/>
    <mergeCell ref="B211:B215"/>
    <mergeCell ref="N72:P72"/>
    <mergeCell ref="N74:P74"/>
    <mergeCell ref="N177:P177"/>
    <mergeCell ref="N184:P184"/>
    <mergeCell ref="N71:P71"/>
    <mergeCell ref="N69:P69"/>
    <mergeCell ref="N176:P176"/>
    <mergeCell ref="N166:P166"/>
    <mergeCell ref="N76:P76"/>
    <mergeCell ref="N105:P105"/>
    <mergeCell ref="N100:P100"/>
    <mergeCell ref="N211:P211"/>
    <mergeCell ref="N262:P262"/>
    <mergeCell ref="N263:P263"/>
    <mergeCell ref="N245:P245"/>
    <mergeCell ref="N248:P248"/>
    <mergeCell ref="N258:P258"/>
    <mergeCell ref="N259:P259"/>
    <mergeCell ref="N233:P233"/>
    <mergeCell ref="N141:P141"/>
    <mergeCell ref="N123:P123"/>
    <mergeCell ref="N144:P144"/>
    <mergeCell ref="N124:P124"/>
    <mergeCell ref="N178:P178"/>
    <mergeCell ref="N155:P155"/>
    <mergeCell ref="N149:P149"/>
    <mergeCell ref="N175:P175"/>
    <mergeCell ref="N205:P205"/>
    <mergeCell ref="N209:P209"/>
    <mergeCell ref="N143:P143"/>
    <mergeCell ref="N192:P192"/>
    <mergeCell ref="N212:P212"/>
    <mergeCell ref="N172:P172"/>
    <mergeCell ref="N173:P173"/>
    <mergeCell ref="N255:P255"/>
    <mergeCell ref="N251:P251"/>
    <mergeCell ref="N231:P231"/>
    <mergeCell ref="AF176:AI176"/>
    <mergeCell ref="N91:P91"/>
    <mergeCell ref="N142:P142"/>
    <mergeCell ref="N103:P103"/>
    <mergeCell ref="N137:P137"/>
    <mergeCell ref="N109:P109"/>
    <mergeCell ref="N108:P108"/>
    <mergeCell ref="N93:P93"/>
    <mergeCell ref="N125:P125"/>
    <mergeCell ref="N127:P127"/>
    <mergeCell ref="N99:P99"/>
    <mergeCell ref="N131:P131"/>
    <mergeCell ref="N97:P97"/>
    <mergeCell ref="N107:P107"/>
    <mergeCell ref="N110:P110"/>
    <mergeCell ref="N102:P102"/>
    <mergeCell ref="N104:P104"/>
    <mergeCell ref="N119:P119"/>
    <mergeCell ref="N117:P117"/>
    <mergeCell ref="N112:P112"/>
    <mergeCell ref="N140:P140"/>
    <mergeCell ref="N136:P136"/>
    <mergeCell ref="N133:P133"/>
    <mergeCell ref="B136:B142"/>
    <mergeCell ref="N165:P165"/>
    <mergeCell ref="N210:P210"/>
    <mergeCell ref="N203:P203"/>
    <mergeCell ref="B198:B199"/>
    <mergeCell ref="N199:P199"/>
    <mergeCell ref="B143:B196"/>
    <mergeCell ref="N188:P188"/>
    <mergeCell ref="N198:P198"/>
    <mergeCell ref="N164:P164"/>
    <mergeCell ref="N181:P181"/>
    <mergeCell ref="N193:P193"/>
    <mergeCell ref="N206:P206"/>
    <mergeCell ref="B200:B210"/>
    <mergeCell ref="N146:P146"/>
    <mergeCell ref="N150:P150"/>
    <mergeCell ref="N158:P158"/>
    <mergeCell ref="N200:P200"/>
    <mergeCell ref="N157:P157"/>
    <mergeCell ref="N156:P156"/>
    <mergeCell ref="N151:P151"/>
    <mergeCell ref="N152:P152"/>
    <mergeCell ref="N159:P159"/>
    <mergeCell ref="N139:P139"/>
    <mergeCell ref="AF274:AG274"/>
    <mergeCell ref="AF266:AG266"/>
    <mergeCell ref="AF267:AG267"/>
    <mergeCell ref="AF268:AG268"/>
    <mergeCell ref="N273:P273"/>
    <mergeCell ref="N268:P268"/>
    <mergeCell ref="AF271:AG271"/>
    <mergeCell ref="AF272:AG272"/>
    <mergeCell ref="AF273:AG273"/>
    <mergeCell ref="N274:P274"/>
    <mergeCell ref="N270:P270"/>
    <mergeCell ref="N272:P272"/>
    <mergeCell ref="N269:P269"/>
    <mergeCell ref="AF269:AG269"/>
    <mergeCell ref="N267:P267"/>
    <mergeCell ref="N266:P266"/>
    <mergeCell ref="N260:P260"/>
    <mergeCell ref="N261:P261"/>
    <mergeCell ref="N234:P234"/>
    <mergeCell ref="N235:P235"/>
    <mergeCell ref="N236:P236"/>
    <mergeCell ref="N237:P237"/>
    <mergeCell ref="N242:P242"/>
    <mergeCell ref="N254:P254"/>
    <mergeCell ref="N249:P249"/>
    <mergeCell ref="N244:P244"/>
    <mergeCell ref="N240:P240"/>
    <mergeCell ref="N247:P247"/>
    <mergeCell ref="N250:P250"/>
    <mergeCell ref="N239:P239"/>
    <mergeCell ref="N256:P256"/>
  </mergeCells>
  <printOptions horizontalCentered="1" verticalCentered="1"/>
  <pageMargins left="0" right="0" top="0" bottom="0" header="0" footer="0"/>
  <pageSetup paperSize="8" scale="5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KALKULÁTOR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Holvay Csaba</cp:lastModifiedBy>
  <cp:lastPrinted>2023-02-17T10:26:24Z</cp:lastPrinted>
  <dcterms:created xsi:type="dcterms:W3CDTF">2014-08-27T18:25:17Z</dcterms:created>
  <dcterms:modified xsi:type="dcterms:W3CDTF">2025-04-30T06:38:50Z</dcterms:modified>
</cp:coreProperties>
</file>