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tenzooo/Desktop/サンプル/"/>
    </mc:Choice>
  </mc:AlternateContent>
  <xr:revisionPtr revIDLastSave="0" documentId="8_{F175FFF5-9503-E34F-9C71-A20A44405EF3}" xr6:coauthVersionLast="47" xr6:coauthVersionMax="47" xr10:uidLastSave="{00000000-0000-0000-0000-000000000000}"/>
  <bookViews>
    <workbookView xWindow="0" yWindow="680" windowWidth="29400" windowHeight="17560" tabRatio="952" activeTab="1" xr2:uid="{9B05138F-707E-1F4A-911B-1432DD4A6958}"/>
  </bookViews>
  <sheets>
    <sheet name="周東いる班(積分回路)" sheetId="21" r:id="rId1"/>
    <sheet name="周東いる班(反転増幅回路の交流)" sheetId="22" r:id="rId2"/>
    <sheet name="周東いる班(加算・減算回路の交流)" sheetId="25" r:id="rId3"/>
    <sheet name="いない班(積分回路)" sheetId="3" r:id="rId4"/>
    <sheet name="いない班(反転増幅回路の交流)" sheetId="23" r:id="rId5"/>
    <sheet name="　いない班(加算・減算回路の交流) " sheetId="24" r:id="rId6"/>
    <sheet name="コピー元" sheetId="1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22" l="1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26" i="22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67" i="21"/>
  <c r="F68" i="21"/>
  <c r="F69" i="21"/>
  <c r="F70" i="21"/>
  <c r="F71" i="21"/>
  <c r="F72" i="21"/>
  <c r="F73" i="21"/>
  <c r="F74" i="21"/>
  <c r="F75" i="21"/>
  <c r="F76" i="21"/>
  <c r="F77" i="21"/>
  <c r="F78" i="21"/>
  <c r="F79" i="21"/>
  <c r="F80" i="21"/>
  <c r="F81" i="21"/>
  <c r="F82" i="21"/>
  <c r="F83" i="21"/>
  <c r="F84" i="21"/>
  <c r="F85" i="21"/>
  <c r="F86" i="21"/>
  <c r="F87" i="21"/>
  <c r="F88" i="21"/>
  <c r="F89" i="21"/>
  <c r="F90" i="21"/>
  <c r="F67" i="21"/>
  <c r="E68" i="21"/>
  <c r="E69" i="21"/>
  <c r="E70" i="21"/>
  <c r="E71" i="21"/>
  <c r="E72" i="21"/>
  <c r="E73" i="21"/>
  <c r="E74" i="21"/>
  <c r="E75" i="21"/>
  <c r="E76" i="21"/>
  <c r="E77" i="21"/>
  <c r="E78" i="21"/>
  <c r="E79" i="21"/>
  <c r="E80" i="21"/>
  <c r="E81" i="21"/>
  <c r="E82" i="21"/>
  <c r="E83" i="21"/>
  <c r="E84" i="21"/>
  <c r="E85" i="21"/>
  <c r="E86" i="21"/>
  <c r="E87" i="21"/>
  <c r="E88" i="21"/>
  <c r="E89" i="21"/>
  <c r="E90" i="21"/>
  <c r="E67" i="21"/>
  <c r="D68" i="21"/>
  <c r="D69" i="21"/>
  <c r="D70" i="21"/>
  <c r="D71" i="21"/>
  <c r="D72" i="21"/>
  <c r="D73" i="21"/>
  <c r="D74" i="21"/>
  <c r="D75" i="21"/>
  <c r="D76" i="21"/>
  <c r="D77" i="21"/>
  <c r="D78" i="21"/>
  <c r="D79" i="21"/>
  <c r="D80" i="21"/>
  <c r="D81" i="21"/>
  <c r="D82" i="21"/>
  <c r="D83" i="21"/>
  <c r="D84" i="21"/>
  <c r="D85" i="21"/>
  <c r="D86" i="21"/>
  <c r="D87" i="21"/>
  <c r="D88" i="21"/>
  <c r="D89" i="21"/>
  <c r="D90" i="21"/>
  <c r="D67" i="21"/>
  <c r="C68" i="21"/>
  <c r="C69" i="21"/>
  <c r="C70" i="21"/>
  <c r="C71" i="21"/>
  <c r="C72" i="21"/>
  <c r="C73" i="21"/>
  <c r="C74" i="21"/>
  <c r="C75" i="21"/>
  <c r="C76" i="21"/>
  <c r="C77" i="21"/>
  <c r="C78" i="21"/>
  <c r="C79" i="21"/>
  <c r="C80" i="21"/>
  <c r="C81" i="21"/>
  <c r="C82" i="21"/>
  <c r="C83" i="21"/>
  <c r="C84" i="21"/>
  <c r="C85" i="21"/>
  <c r="C86" i="21"/>
  <c r="C87" i="21"/>
  <c r="C88" i="21"/>
  <c r="C89" i="21"/>
  <c r="C90" i="21"/>
  <c r="C67" i="21"/>
  <c r="B84" i="21"/>
  <c r="B85" i="21"/>
  <c r="B86" i="21"/>
  <c r="B87" i="21"/>
  <c r="B88" i="21"/>
  <c r="B89" i="21"/>
  <c r="B90" i="21"/>
  <c r="B68" i="21"/>
  <c r="B69" i="21"/>
  <c r="B70" i="21"/>
  <c r="B71" i="21"/>
  <c r="B72" i="21"/>
  <c r="B73" i="21"/>
  <c r="B74" i="21"/>
  <c r="B75" i="21"/>
  <c r="B76" i="21"/>
  <c r="B77" i="21"/>
  <c r="B78" i="21"/>
  <c r="B79" i="21"/>
  <c r="B80" i="21"/>
  <c r="B81" i="21"/>
  <c r="B82" i="21"/>
  <c r="B83" i="21"/>
  <c r="B67" i="21"/>
  <c r="K27" i="21"/>
  <c r="K28" i="21"/>
  <c r="K29" i="21"/>
  <c r="K30" i="21"/>
  <c r="K31" i="21"/>
  <c r="K32" i="21"/>
  <c r="K33" i="21"/>
  <c r="K34" i="21"/>
  <c r="K35" i="21"/>
  <c r="K36" i="21"/>
  <c r="K37" i="21"/>
  <c r="K38" i="21"/>
  <c r="K39" i="21"/>
  <c r="K40" i="21"/>
  <c r="K41" i="21"/>
  <c r="K42" i="21"/>
  <c r="K43" i="21"/>
  <c r="K44" i="21"/>
  <c r="K45" i="21"/>
  <c r="K46" i="21"/>
  <c r="K47" i="21"/>
  <c r="K48" i="21"/>
  <c r="K26" i="21"/>
  <c r="J27" i="21"/>
  <c r="J28" i="21"/>
  <c r="J29" i="21"/>
  <c r="J30" i="21"/>
  <c r="J31" i="21"/>
  <c r="J32" i="21"/>
  <c r="J33" i="21"/>
  <c r="J34" i="21"/>
  <c r="J35" i="21"/>
  <c r="J36" i="21"/>
  <c r="J37" i="21"/>
  <c r="J38" i="21"/>
  <c r="J39" i="21"/>
  <c r="J40" i="21"/>
  <c r="J41" i="21"/>
  <c r="J42" i="21"/>
  <c r="J43" i="21"/>
  <c r="J44" i="21"/>
  <c r="J45" i="21"/>
  <c r="J46" i="21"/>
  <c r="J47" i="21"/>
  <c r="J48" i="21"/>
  <c r="J26" i="21"/>
  <c r="G27" i="21"/>
  <c r="E20" i="21"/>
  <c r="D27" i="22" l="1"/>
  <c r="A48" i="22"/>
  <c r="D48" i="22" s="1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26" i="23"/>
  <c r="A47" i="22"/>
  <c r="D47" i="22" s="1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26" i="22"/>
  <c r="A46" i="22"/>
  <c r="E45" i="22"/>
  <c r="G45" i="22" s="1"/>
  <c r="A45" i="22"/>
  <c r="E44" i="22"/>
  <c r="G44" i="22" s="1"/>
  <c r="A44" i="22"/>
  <c r="E43" i="22"/>
  <c r="G43" i="22" s="1"/>
  <c r="A43" i="22"/>
  <c r="F42" i="22"/>
  <c r="E42" i="22"/>
  <c r="G42" i="22" s="1"/>
  <c r="A42" i="22"/>
  <c r="F41" i="22"/>
  <c r="G41" i="22" s="1"/>
  <c r="E41" i="22"/>
  <c r="A41" i="22"/>
  <c r="E40" i="22"/>
  <c r="G40" i="22" s="1"/>
  <c r="A40" i="22"/>
  <c r="E39" i="22"/>
  <c r="A39" i="22"/>
  <c r="E38" i="22"/>
  <c r="G38" i="22" s="1"/>
  <c r="A38" i="22"/>
  <c r="E37" i="22"/>
  <c r="A37" i="22"/>
  <c r="E36" i="22"/>
  <c r="G36" i="22" s="1"/>
  <c r="A36" i="22"/>
  <c r="E35" i="22"/>
  <c r="A35" i="22"/>
  <c r="E34" i="22"/>
  <c r="G34" i="22" s="1"/>
  <c r="A34" i="22"/>
  <c r="E33" i="22"/>
  <c r="G33" i="22" s="1"/>
  <c r="A33" i="22"/>
  <c r="E32" i="22"/>
  <c r="G32" i="22" s="1"/>
  <c r="A32" i="22"/>
  <c r="E31" i="22"/>
  <c r="G31" i="22" s="1"/>
  <c r="A31" i="22"/>
  <c r="E30" i="22"/>
  <c r="G30" i="22" s="1"/>
  <c r="A30" i="22"/>
  <c r="E29" i="22"/>
  <c r="A29" i="22"/>
  <c r="E28" i="22"/>
  <c r="G28" i="22"/>
  <c r="A28" i="22"/>
  <c r="E27" i="22"/>
  <c r="G27" i="22" s="1"/>
  <c r="A27" i="22"/>
  <c r="E26" i="22"/>
  <c r="A26" i="22"/>
  <c r="G26" i="23"/>
  <c r="I26" i="23"/>
  <c r="G27" i="23"/>
  <c r="I27" i="23"/>
  <c r="G28" i="23"/>
  <c r="I28" i="23"/>
  <c r="G29" i="23"/>
  <c r="I29" i="23"/>
  <c r="G30" i="23"/>
  <c r="I30" i="23"/>
  <c r="G31" i="23"/>
  <c r="I31" i="23"/>
  <c r="G32" i="23"/>
  <c r="I32" i="23"/>
  <c r="G33" i="23"/>
  <c r="I33" i="23"/>
  <c r="G34" i="23"/>
  <c r="I34" i="23"/>
  <c r="B35" i="23"/>
  <c r="I35" i="23" s="1"/>
  <c r="G35" i="23"/>
  <c r="B36" i="23"/>
  <c r="G36" i="23"/>
  <c r="B37" i="23"/>
  <c r="I37" i="23" s="1"/>
  <c r="G37" i="23"/>
  <c r="B38" i="23"/>
  <c r="G38" i="23"/>
  <c r="B39" i="23"/>
  <c r="I39" i="23" s="1"/>
  <c r="G39" i="23"/>
  <c r="B40" i="23"/>
  <c r="G40" i="23"/>
  <c r="B41" i="23"/>
  <c r="I41" i="23" s="1"/>
  <c r="G41" i="23"/>
  <c r="B42" i="23"/>
  <c r="G42" i="23"/>
  <c r="B43" i="23"/>
  <c r="I43" i="23" s="1"/>
  <c r="G43" i="23"/>
  <c r="B44" i="23"/>
  <c r="G44" i="23"/>
  <c r="B45" i="23"/>
  <c r="I45" i="23" s="1"/>
  <c r="G45" i="23"/>
  <c r="B46" i="23"/>
  <c r="G46" i="23"/>
  <c r="B47" i="23"/>
  <c r="I47" i="23" s="1"/>
  <c r="G47" i="23"/>
  <c r="B48" i="23"/>
  <c r="G48" i="23"/>
  <c r="D20" i="23"/>
  <c r="G26" i="22"/>
  <c r="G29" i="22"/>
  <c r="B35" i="22"/>
  <c r="G35" i="22"/>
  <c r="B36" i="22"/>
  <c r="B37" i="22"/>
  <c r="G37" i="22"/>
  <c r="B38" i="22"/>
  <c r="B39" i="22"/>
  <c r="G39" i="22"/>
  <c r="B40" i="22"/>
  <c r="B42" i="22"/>
  <c r="B43" i="22"/>
  <c r="B44" i="22"/>
  <c r="B46" i="22"/>
  <c r="G46" i="22"/>
  <c r="B47" i="22"/>
  <c r="G47" i="22"/>
  <c r="B48" i="22"/>
  <c r="G48" i="22"/>
  <c r="D20" i="22"/>
  <c r="A26" i="21"/>
  <c r="D26" i="21"/>
  <c r="G26" i="21"/>
  <c r="I26" i="21"/>
  <c r="A27" i="21"/>
  <c r="D27" i="21" s="1"/>
  <c r="I27" i="21"/>
  <c r="A28" i="21"/>
  <c r="D28" i="21"/>
  <c r="G28" i="21"/>
  <c r="I28" i="21"/>
  <c r="A29" i="21"/>
  <c r="D29" i="21"/>
  <c r="G29" i="21"/>
  <c r="I29" i="21"/>
  <c r="A30" i="21"/>
  <c r="D30" i="21"/>
  <c r="G30" i="21"/>
  <c r="I30" i="21"/>
  <c r="A31" i="21"/>
  <c r="D31" i="21"/>
  <c r="G31" i="21"/>
  <c r="I31" i="21"/>
  <c r="A32" i="21"/>
  <c r="D32" i="21"/>
  <c r="G32" i="21"/>
  <c r="I32" i="21"/>
  <c r="A33" i="21"/>
  <c r="D33" i="21"/>
  <c r="G33" i="21"/>
  <c r="I33" i="21"/>
  <c r="A34" i="21"/>
  <c r="D34" i="21"/>
  <c r="G34" i="21"/>
  <c r="I34" i="21"/>
  <c r="A35" i="21"/>
  <c r="B35" i="21"/>
  <c r="D35" i="21"/>
  <c r="G35" i="21"/>
  <c r="I35" i="21"/>
  <c r="A36" i="21"/>
  <c r="B36" i="21"/>
  <c r="D36" i="21"/>
  <c r="G36" i="21"/>
  <c r="I36" i="21"/>
  <c r="A37" i="21"/>
  <c r="D37" i="21" s="1"/>
  <c r="B37" i="21"/>
  <c r="G37" i="21"/>
  <c r="I37" i="21"/>
  <c r="A38" i="21"/>
  <c r="D38" i="21" s="1"/>
  <c r="B38" i="21"/>
  <c r="G38" i="21"/>
  <c r="I38" i="21"/>
  <c r="A39" i="21"/>
  <c r="D39" i="21" s="1"/>
  <c r="B39" i="21"/>
  <c r="I39" i="21" s="1"/>
  <c r="G39" i="21"/>
  <c r="A40" i="21"/>
  <c r="D40" i="21" s="1"/>
  <c r="B40" i="21"/>
  <c r="I40" i="21" s="1"/>
  <c r="G40" i="21"/>
  <c r="A41" i="21"/>
  <c r="B41" i="21"/>
  <c r="D41" i="21" s="1"/>
  <c r="G41" i="21"/>
  <c r="I41" i="21"/>
  <c r="A42" i="21"/>
  <c r="B42" i="21"/>
  <c r="D42" i="21"/>
  <c r="G42" i="21"/>
  <c r="I42" i="21"/>
  <c r="A43" i="21"/>
  <c r="B43" i="21"/>
  <c r="D43" i="21"/>
  <c r="G43" i="21"/>
  <c r="I43" i="21"/>
  <c r="A44" i="21"/>
  <c r="G44" i="21"/>
  <c r="A45" i="21"/>
  <c r="G45" i="21"/>
  <c r="A46" i="21"/>
  <c r="D46" i="21" s="1"/>
  <c r="B46" i="21"/>
  <c r="G46" i="21"/>
  <c r="I46" i="21"/>
  <c r="A47" i="21"/>
  <c r="B47" i="21"/>
  <c r="D47" i="21"/>
  <c r="G47" i="21"/>
  <c r="I47" i="21"/>
  <c r="A48" i="21"/>
  <c r="G48" i="21"/>
  <c r="D20" i="21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26" i="3"/>
  <c r="A27" i="3"/>
  <c r="A26" i="3"/>
  <c r="B44" i="3"/>
  <c r="B45" i="3"/>
  <c r="B46" i="3"/>
  <c r="B47" i="3"/>
  <c r="B48" i="3"/>
  <c r="B31" i="3"/>
  <c r="B32" i="3"/>
  <c r="B33" i="3"/>
  <c r="B34" i="3"/>
  <c r="B35" i="3"/>
  <c r="B39" i="3" s="1"/>
  <c r="B36" i="3"/>
  <c r="B40" i="3" s="1"/>
  <c r="B37" i="3"/>
  <c r="B41" i="3" s="1"/>
  <c r="B38" i="3"/>
  <c r="B42" i="3" s="1"/>
  <c r="B30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26" i="3"/>
  <c r="D20" i="3"/>
  <c r="G17" i="1"/>
  <c r="I15" i="1"/>
  <c r="G1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2" i="1"/>
  <c r="I48" i="23" l="1"/>
  <c r="I46" i="23"/>
  <c r="I44" i="23"/>
  <c r="I42" i="23"/>
  <c r="I40" i="23"/>
  <c r="I38" i="23"/>
  <c r="I36" i="23"/>
  <c r="B41" i="22"/>
  <c r="B45" i="21"/>
  <c r="I45" i="21" s="1"/>
  <c r="B44" i="21"/>
  <c r="B43" i="3"/>
  <c r="B45" i="22" l="1"/>
  <c r="B48" i="21"/>
  <c r="D44" i="21"/>
  <c r="I44" i="21"/>
  <c r="D45" i="21"/>
  <c r="I48" i="21" l="1"/>
  <c r="D48" i="21"/>
</calcChain>
</file>

<file path=xl/sharedStrings.xml><?xml version="1.0" encoding="utf-8"?>
<sst xmlns="http://schemas.openxmlformats.org/spreadsheetml/2006/main" count="127" uniqueCount="63">
  <si>
    <t>4-3.1-1</t>
    <phoneticPr fontId="1"/>
  </si>
  <si>
    <t>4-3.3-1</t>
    <phoneticPr fontId="1"/>
  </si>
  <si>
    <t>300kHz</t>
    <phoneticPr fontId="1"/>
  </si>
  <si>
    <t>10kH</t>
    <phoneticPr fontId="1"/>
  </si>
  <si>
    <t>↑入力電圧がデカすぎて本来飽和するところが飽和されていない。「</t>
    <rPh sb="1" eb="5">
      <t>ニュウリョク</t>
    </rPh>
    <rPh sb="11" eb="15">
      <t>ホn</t>
    </rPh>
    <rPh sb="21" eb="23">
      <t>ホウワ</t>
    </rPh>
    <phoneticPr fontId="1"/>
  </si>
  <si>
    <t>実験4-3.1-2</t>
    <rPh sb="0" eb="2">
      <t>ジッケn</t>
    </rPh>
    <phoneticPr fontId="1"/>
  </si>
  <si>
    <t>Δt[µs]</t>
    <phoneticPr fontId="1"/>
  </si>
  <si>
    <t>f[kHz]</t>
    <phoneticPr fontId="1"/>
  </si>
  <si>
    <t>θ[°]</t>
    <phoneticPr fontId="1"/>
  </si>
  <si>
    <t>位相差</t>
    <rPh sb="0" eb="3">
      <t>イソウ</t>
    </rPh>
    <phoneticPr fontId="1"/>
  </si>
  <si>
    <t>4-3.2-1</t>
    <phoneticPr fontId="1"/>
  </si>
  <si>
    <t>Δt[s]</t>
  </si>
  <si>
    <t>f[Hz]</t>
  </si>
  <si>
    <r>
      <t>V</t>
    </r>
    <r>
      <rPr>
        <vertAlign val="subscript"/>
        <sz val="10.5"/>
        <color theme="1"/>
        <rFont val="游明朝 Regular"/>
        <charset val="128"/>
      </rPr>
      <t>in</t>
    </r>
    <r>
      <rPr>
        <sz val="10.5"/>
        <color theme="1"/>
        <rFont val="游明朝 Regular"/>
        <family val="3"/>
        <charset val="128"/>
      </rPr>
      <t>[V]</t>
    </r>
    <phoneticPr fontId="1"/>
  </si>
  <si>
    <r>
      <t>V</t>
    </r>
    <r>
      <rPr>
        <vertAlign val="subscript"/>
        <sz val="10.5"/>
        <color theme="1"/>
        <rFont val="游明朝 Regular"/>
        <charset val="128"/>
      </rPr>
      <t>out</t>
    </r>
    <r>
      <rPr>
        <sz val="10.5"/>
        <color theme="1"/>
        <rFont val="游明朝 Regular"/>
        <family val="3"/>
        <charset val="128"/>
      </rPr>
      <t>[V]</t>
    </r>
    <phoneticPr fontId="1"/>
  </si>
  <si>
    <t>電圧利得</t>
    <rPh sb="0" eb="2">
      <t>デンアテゥ</t>
    </rPh>
    <rPh sb="2" eb="4">
      <t>リトク</t>
    </rPh>
    <phoneticPr fontId="1"/>
  </si>
  <si>
    <t>位相差理論値[°]</t>
    <rPh sb="0" eb="3">
      <t>イソウ</t>
    </rPh>
    <rPh sb="3" eb="6">
      <t>リロn</t>
    </rPh>
    <phoneticPr fontId="1"/>
  </si>
  <si>
    <t>電圧利得</t>
    <rPh sb="0" eb="4">
      <t>デンアテゥ</t>
    </rPh>
    <phoneticPr fontId="1"/>
  </si>
  <si>
    <t>4-3.2.1-1</t>
    <phoneticPr fontId="1"/>
  </si>
  <si>
    <t>4-3.2.2-1</t>
    <phoneticPr fontId="1"/>
  </si>
  <si>
    <t>加算回路</t>
    <rPh sb="0" eb="4">
      <t>カサn</t>
    </rPh>
    <phoneticPr fontId="1"/>
  </si>
  <si>
    <t>4-3.3.2-1</t>
    <phoneticPr fontId="1"/>
  </si>
  <si>
    <t>4-3.3.1-1</t>
    <phoneticPr fontId="1"/>
  </si>
  <si>
    <t>図16</t>
    <rPh sb="0" eb="1">
      <t xml:space="preserve">ズ </t>
    </rPh>
    <phoneticPr fontId="1"/>
  </si>
  <si>
    <t>図17(方形波)</t>
    <rPh sb="0" eb="1">
      <t xml:space="preserve">ズ </t>
    </rPh>
    <rPh sb="4" eb="7">
      <t>ホウケイハ</t>
    </rPh>
    <phoneticPr fontId="1"/>
  </si>
  <si>
    <t>図18(正弦波)</t>
    <rPh sb="0" eb="1">
      <t xml:space="preserve">ズ </t>
    </rPh>
    <rPh sb="4" eb="6">
      <t>セイゲn</t>
    </rPh>
    <phoneticPr fontId="1"/>
  </si>
  <si>
    <t>減算回路</t>
    <rPh sb="0" eb="1">
      <t>ゲンショウ</t>
    </rPh>
    <rPh sb="1" eb="2">
      <t>サンスウ</t>
    </rPh>
    <rPh sb="2" eb="4">
      <t>カイ</t>
    </rPh>
    <phoneticPr fontId="1"/>
  </si>
  <si>
    <r>
      <t>R</t>
    </r>
    <r>
      <rPr>
        <vertAlign val="subscript"/>
        <sz val="12"/>
        <color theme="1"/>
        <rFont val="游ゴシック"/>
        <family val="3"/>
        <charset val="128"/>
      </rPr>
      <t>L2</t>
    </r>
    <phoneticPr fontId="1"/>
  </si>
  <si>
    <t>入力電圧[V]</t>
    <rPh sb="0" eb="4">
      <t>ニュウリョク</t>
    </rPh>
    <phoneticPr fontId="1"/>
  </si>
  <si>
    <t>出力電圧[V]</t>
    <rPh sb="0" eb="4">
      <t>シュツリョクデn</t>
    </rPh>
    <phoneticPr fontId="1"/>
  </si>
  <si>
    <r>
      <t>R</t>
    </r>
    <r>
      <rPr>
        <vertAlign val="subscript"/>
        <sz val="12"/>
        <color theme="1"/>
        <rFont val="游ゴシック"/>
        <family val="3"/>
        <charset val="128"/>
      </rPr>
      <t>L1</t>
    </r>
    <r>
      <rPr>
        <sz val="12"/>
        <color theme="1"/>
        <rFont val="游ゴシック"/>
        <family val="2"/>
        <charset val="128"/>
        <scheme val="minor"/>
      </rPr>
      <t>とR</t>
    </r>
    <r>
      <rPr>
        <vertAlign val="subscript"/>
        <sz val="12"/>
        <color theme="1"/>
        <rFont val="游ゴシック"/>
        <family val="3"/>
        <charset val="128"/>
      </rPr>
      <t>L2</t>
    </r>
    <phoneticPr fontId="1"/>
  </si>
  <si>
    <t>10kHz</t>
    <phoneticPr fontId="1"/>
  </si>
  <si>
    <t>300Hz</t>
    <phoneticPr fontId="1"/>
  </si>
  <si>
    <t>↓全部合体</t>
    <rPh sb="1" eb="5">
      <t>ゼンブグ</t>
    </rPh>
    <phoneticPr fontId="1"/>
  </si>
  <si>
    <t>f[Hz]</t>
    <phoneticPr fontId="1"/>
  </si>
  <si>
    <t>位相差理論値</t>
    <rPh sb="0" eb="3">
      <t>イソウ</t>
    </rPh>
    <rPh sb="3" eb="6">
      <t>リロンティ</t>
    </rPh>
    <phoneticPr fontId="1"/>
  </si>
  <si>
    <t>電圧利得理論値</t>
    <rPh sb="0" eb="4">
      <t>デンアテゥ</t>
    </rPh>
    <rPh sb="4" eb="7">
      <t>リロn</t>
    </rPh>
    <phoneticPr fontId="1"/>
  </si>
  <si>
    <t>(1-1)</t>
    <phoneticPr fontId="1"/>
  </si>
  <si>
    <t>900kHz</t>
    <phoneticPr fontId="1"/>
  </si>
  <si>
    <t>(2-1)</t>
    <phoneticPr fontId="1"/>
  </si>
  <si>
    <t>4.3.3.(1-1)</t>
    <phoneticPr fontId="1"/>
  </si>
  <si>
    <t>↓正弦と正弦</t>
    <rPh sb="1" eb="3">
      <t>セイゲン</t>
    </rPh>
    <rPh sb="4" eb="6">
      <t>セイゲン</t>
    </rPh>
    <phoneticPr fontId="1"/>
  </si>
  <si>
    <t>↓三角と方形</t>
    <rPh sb="1" eb="3">
      <t>サンカク</t>
    </rPh>
    <rPh sb="4" eb="6">
      <t>ホウケイ</t>
    </rPh>
    <phoneticPr fontId="1"/>
  </si>
  <si>
    <t>図16</t>
    <rPh sb="0" eb="1">
      <t>ズ</t>
    </rPh>
    <phoneticPr fontId="1"/>
  </si>
  <si>
    <t>図17(方形波)</t>
    <rPh sb="0" eb="1">
      <t>ズ</t>
    </rPh>
    <rPh sb="4" eb="7">
      <t>ホウケイハ</t>
    </rPh>
    <phoneticPr fontId="1"/>
  </si>
  <si>
    <t>図17(正弦波)</t>
    <rPh sb="0" eb="1">
      <t>ズ</t>
    </rPh>
    <rPh sb="4" eb="7">
      <t>セイゲンハ</t>
    </rPh>
    <phoneticPr fontId="1"/>
  </si>
  <si>
    <t>4-2.1</t>
    <phoneticPr fontId="1"/>
  </si>
  <si>
    <t>入力電圧[V]</t>
    <rPh sb="0" eb="2">
      <t>ニュウリョク</t>
    </rPh>
    <rPh sb="2" eb="4">
      <t>デンアテゥ</t>
    </rPh>
    <phoneticPr fontId="1"/>
  </si>
  <si>
    <t>出力電圧[V]</t>
    <rPh sb="0" eb="2">
      <t>シュテゥ</t>
    </rPh>
    <rPh sb="2" eb="4">
      <t>デンアテゥ</t>
    </rPh>
    <phoneticPr fontId="1"/>
  </si>
  <si>
    <t>反転入力端子電圧計算値[V]</t>
    <phoneticPr fontId="1"/>
  </si>
  <si>
    <t>理論値[V]</t>
    <rPh sb="0" eb="3">
      <t>リロn</t>
    </rPh>
    <phoneticPr fontId="1"/>
  </si>
  <si>
    <r>
      <t>R</t>
    </r>
    <r>
      <rPr>
        <vertAlign val="subscript"/>
        <sz val="12"/>
        <color theme="1"/>
        <rFont val="游ゴシック"/>
        <family val="3"/>
        <charset val="128"/>
      </rPr>
      <t>L1</t>
    </r>
    <phoneticPr fontId="1"/>
  </si>
  <si>
    <t>反転増幅回路</t>
    <rPh sb="0" eb="6">
      <t>ハンテンズ</t>
    </rPh>
    <phoneticPr fontId="1"/>
  </si>
  <si>
    <t>測定値傾きa</t>
    <rPh sb="0" eb="3">
      <t>ソクテイ</t>
    </rPh>
    <rPh sb="3" eb="4">
      <t>カタムキ</t>
    </rPh>
    <phoneticPr fontId="1"/>
  </si>
  <si>
    <t>理論値傾きa</t>
    <rPh sb="0" eb="4">
      <t>リロn</t>
    </rPh>
    <phoneticPr fontId="1"/>
  </si>
  <si>
    <t>測定値傾きb</t>
    <rPh sb="0" eb="3">
      <t>ソクテイ</t>
    </rPh>
    <rPh sb="3" eb="4">
      <t>カタムキ</t>
    </rPh>
    <phoneticPr fontId="1"/>
  </si>
  <si>
    <t>理論値傾きb</t>
    <rPh sb="0" eb="3">
      <t>リロn</t>
    </rPh>
    <rPh sb="3" eb="4">
      <t>カタムキ</t>
    </rPh>
    <phoneticPr fontId="1"/>
  </si>
  <si>
    <t>傾き相対誤差[%]</t>
    <rPh sb="0" eb="1">
      <t>カタムキ</t>
    </rPh>
    <rPh sb="2" eb="6">
      <t>ソウタイゴサ</t>
    </rPh>
    <phoneticPr fontId="1"/>
  </si>
  <si>
    <t>い</t>
    <phoneticPr fontId="1"/>
  </si>
  <si>
    <t>s</t>
    <phoneticPr fontId="1"/>
  </si>
  <si>
    <t>相対誤差[%]</t>
    <rPh sb="0" eb="4">
      <t>ソウタイ</t>
    </rPh>
    <phoneticPr fontId="1"/>
  </si>
  <si>
    <t>位相差相対誤差[%]</t>
    <rPh sb="0" eb="3">
      <t>イソウ</t>
    </rPh>
    <rPh sb="3" eb="7">
      <t>ソウタイ</t>
    </rPh>
    <phoneticPr fontId="1"/>
  </si>
  <si>
    <t>位相差相対誤差[%]</t>
    <rPh sb="0" eb="3">
      <t>イソウサ</t>
    </rPh>
    <rPh sb="3" eb="7">
      <t>ソウタイゴサ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</si>
</sst>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"/>
  </numFmts>
  <fonts count="10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vertAlign val="subscript"/>
      <sz val="12"/>
      <color theme="1"/>
      <name val="游ゴシック"/>
      <family val="3"/>
      <charset val="128"/>
    </font>
    <font>
      <sz val="10.5"/>
      <color theme="1"/>
      <name val="游明朝 Regular (本文のフォント - 日本語)"/>
      <family val="3"/>
      <charset val="128"/>
    </font>
    <font>
      <sz val="10.5"/>
      <color theme="1"/>
      <name val="游明朝 Regular"/>
      <family val="3"/>
      <charset val="128"/>
    </font>
    <font>
      <sz val="10.5"/>
      <color theme="1"/>
      <name val="游明朝 Regular"/>
      <family val="3"/>
    </font>
    <font>
      <vertAlign val="subscript"/>
      <sz val="10.5"/>
      <color theme="1"/>
      <name val="游明朝 Regular"/>
      <charset val="128"/>
    </font>
    <font>
      <sz val="10.5"/>
      <color theme="1"/>
      <name val="游明朝 Regular (本文のフォント - 日本語)"/>
      <family val="3"/>
    </font>
    <font>
      <sz val="12"/>
      <color theme="1"/>
      <name val="游ゴシック"/>
      <family val="2"/>
      <charset val="128"/>
      <scheme val="minor"/>
    </font>
    <font>
      <sz val="10.5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8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1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0" fillId="0" borderId="0" xfId="0" applyNumberFormat="1">
      <alignment vertic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76" fontId="0" fillId="0" borderId="0" xfId="1" applyNumberFormat="1" applyFont="1">
      <alignment vertical="center"/>
    </xf>
    <xf numFmtId="56" fontId="0" fillId="0" borderId="0" xfId="0" applyNumberFormat="1">
      <alignment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測定値</c:v>
          </c:tx>
          <c:spPr>
            <a:ln w="25400">
              <a:noFill/>
            </a:ln>
          </c:spPr>
          <c:xVal>
            <c:numRef>
              <c:f>'周東いる班(積分回路)'!$B$26:$B$48</c:f>
              <c:numCache>
                <c:formatCode>General</c:formatCode>
                <c:ptCount val="2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  <c:pt idx="6">
                  <c:v>300</c:v>
                </c:pt>
                <c:pt idx="7">
                  <c:v>500</c:v>
                </c:pt>
                <c:pt idx="8">
                  <c:v>1000</c:v>
                </c:pt>
                <c:pt idx="9">
                  <c:v>2000</c:v>
                </c:pt>
                <c:pt idx="10">
                  <c:v>3000</c:v>
                </c:pt>
                <c:pt idx="11">
                  <c:v>5000</c:v>
                </c:pt>
                <c:pt idx="12">
                  <c:v>10000</c:v>
                </c:pt>
                <c:pt idx="13">
                  <c:v>20000</c:v>
                </c:pt>
                <c:pt idx="14">
                  <c:v>30000</c:v>
                </c:pt>
                <c:pt idx="15">
                  <c:v>50000</c:v>
                </c:pt>
                <c:pt idx="16">
                  <c:v>100000</c:v>
                </c:pt>
                <c:pt idx="17">
                  <c:v>200000</c:v>
                </c:pt>
                <c:pt idx="18">
                  <c:v>300000</c:v>
                </c:pt>
                <c:pt idx="19">
                  <c:v>500000</c:v>
                </c:pt>
                <c:pt idx="20">
                  <c:v>1000000</c:v>
                </c:pt>
                <c:pt idx="21">
                  <c:v>2000000</c:v>
                </c:pt>
                <c:pt idx="22">
                  <c:v>3000000</c:v>
                </c:pt>
              </c:numCache>
            </c:numRef>
          </c:xVal>
          <c:yVal>
            <c:numRef>
              <c:f>'周東いる班(積分回路)'!$D$26:$D$48</c:f>
              <c:numCache>
                <c:formatCode>General</c:formatCode>
                <c:ptCount val="23"/>
                <c:pt idx="0">
                  <c:v>180</c:v>
                </c:pt>
                <c:pt idx="1">
                  <c:v>172.79999999999998</c:v>
                </c:pt>
                <c:pt idx="2">
                  <c:v>181.44000000000005</c:v>
                </c:pt>
                <c:pt idx="3">
                  <c:v>176.4</c:v>
                </c:pt>
                <c:pt idx="4">
                  <c:v>187.20000000000002</c:v>
                </c:pt>
                <c:pt idx="5">
                  <c:v>164.16</c:v>
                </c:pt>
                <c:pt idx="6">
                  <c:v>159.84</c:v>
                </c:pt>
                <c:pt idx="7">
                  <c:v>172.79999999999998</c:v>
                </c:pt>
                <c:pt idx="8">
                  <c:v>122.39999999999999</c:v>
                </c:pt>
                <c:pt idx="9">
                  <c:v>108</c:v>
                </c:pt>
                <c:pt idx="10">
                  <c:v>103.68</c:v>
                </c:pt>
                <c:pt idx="11">
                  <c:v>93.600000000000009</c:v>
                </c:pt>
                <c:pt idx="12">
                  <c:v>97.199999999999989</c:v>
                </c:pt>
                <c:pt idx="13">
                  <c:v>86.4</c:v>
                </c:pt>
                <c:pt idx="14">
                  <c:v>86.399999999999991</c:v>
                </c:pt>
                <c:pt idx="15">
                  <c:v>86.399999999999991</c:v>
                </c:pt>
                <c:pt idx="16">
                  <c:v>86.399999999999991</c:v>
                </c:pt>
                <c:pt idx="17">
                  <c:v>86.399999999999991</c:v>
                </c:pt>
                <c:pt idx="18">
                  <c:v>82.08</c:v>
                </c:pt>
                <c:pt idx="19">
                  <c:v>84.06</c:v>
                </c:pt>
                <c:pt idx="20">
                  <c:v>82.8</c:v>
                </c:pt>
                <c:pt idx="21">
                  <c:v>84.240000000000009</c:v>
                </c:pt>
                <c:pt idx="22">
                  <c:v>69.12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36-9E42-9088-AF05A0F7F483}"/>
            </c:ext>
          </c:extLst>
        </c:ser>
        <c:ser>
          <c:idx val="0"/>
          <c:order val="1"/>
          <c:tx>
            <c:v>理論値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'周東いる班(積分回路)'!$B$26:$B$48</c:f>
              <c:numCache>
                <c:formatCode>General</c:formatCode>
                <c:ptCount val="2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  <c:pt idx="6">
                  <c:v>300</c:v>
                </c:pt>
                <c:pt idx="7">
                  <c:v>500</c:v>
                </c:pt>
                <c:pt idx="8">
                  <c:v>1000</c:v>
                </c:pt>
                <c:pt idx="9">
                  <c:v>2000</c:v>
                </c:pt>
                <c:pt idx="10">
                  <c:v>3000</c:v>
                </c:pt>
                <c:pt idx="11">
                  <c:v>5000</c:v>
                </c:pt>
                <c:pt idx="12">
                  <c:v>10000</c:v>
                </c:pt>
                <c:pt idx="13">
                  <c:v>20000</c:v>
                </c:pt>
                <c:pt idx="14">
                  <c:v>30000</c:v>
                </c:pt>
                <c:pt idx="15">
                  <c:v>50000</c:v>
                </c:pt>
                <c:pt idx="16">
                  <c:v>100000</c:v>
                </c:pt>
                <c:pt idx="17">
                  <c:v>200000</c:v>
                </c:pt>
                <c:pt idx="18">
                  <c:v>300000</c:v>
                </c:pt>
                <c:pt idx="19">
                  <c:v>500000</c:v>
                </c:pt>
                <c:pt idx="20">
                  <c:v>1000000</c:v>
                </c:pt>
                <c:pt idx="21">
                  <c:v>2000000</c:v>
                </c:pt>
                <c:pt idx="22">
                  <c:v>3000000</c:v>
                </c:pt>
              </c:numCache>
            </c:numRef>
          </c:xVal>
          <c:yVal>
            <c:numRef>
              <c:f>'周東いる班(積分回路)'!$H$26:$H$48</c:f>
              <c:numCache>
                <c:formatCode>General</c:formatCode>
                <c:ptCount val="23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36-9E42-9088-AF05A0F7F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5722832"/>
        <c:axId val="1669224576"/>
      </c:scatterChart>
      <c:valAx>
        <c:axId val="1895722832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 b="0"/>
                  <a:t>周波数</a:t>
                </a:r>
                <a:r>
                  <a:rPr lang="en-US" altLang="ja-JP" b="0"/>
                  <a:t>f[Hz]</a:t>
                </a:r>
                <a:endParaRPr lang="ja-JP" altLang="en-US" b="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69224576"/>
        <c:crosses val="autoZero"/>
        <c:crossBetween val="midCat"/>
      </c:valAx>
      <c:valAx>
        <c:axId val="16692245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 b="0"/>
                  <a:t>位相差</a:t>
                </a:r>
                <a:r>
                  <a:rPr lang="en-US" altLang="ja-JP" b="0"/>
                  <a:t>[°]</a:t>
                </a:r>
                <a:endParaRPr lang="ja-JP" altLang="en-US" b="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95722832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測定値</c:v>
          </c:tx>
          <c:spPr>
            <a:ln w="25400">
              <a:noFill/>
            </a:ln>
          </c:spPr>
          <c:xVal>
            <c:numRef>
              <c:f>'周東いる班(積分回路)'!$B$26:$B$48</c:f>
              <c:numCache>
                <c:formatCode>General</c:formatCode>
                <c:ptCount val="2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  <c:pt idx="6">
                  <c:v>300</c:v>
                </c:pt>
                <c:pt idx="7">
                  <c:v>500</c:v>
                </c:pt>
                <c:pt idx="8">
                  <c:v>1000</c:v>
                </c:pt>
                <c:pt idx="9">
                  <c:v>2000</c:v>
                </c:pt>
                <c:pt idx="10">
                  <c:v>3000</c:v>
                </c:pt>
                <c:pt idx="11">
                  <c:v>5000</c:v>
                </c:pt>
                <c:pt idx="12">
                  <c:v>10000</c:v>
                </c:pt>
                <c:pt idx="13">
                  <c:v>20000</c:v>
                </c:pt>
                <c:pt idx="14">
                  <c:v>30000</c:v>
                </c:pt>
                <c:pt idx="15">
                  <c:v>50000</c:v>
                </c:pt>
                <c:pt idx="16">
                  <c:v>100000</c:v>
                </c:pt>
                <c:pt idx="17">
                  <c:v>200000</c:v>
                </c:pt>
                <c:pt idx="18">
                  <c:v>300000</c:v>
                </c:pt>
                <c:pt idx="19">
                  <c:v>500000</c:v>
                </c:pt>
                <c:pt idx="20">
                  <c:v>1000000</c:v>
                </c:pt>
                <c:pt idx="21">
                  <c:v>2000000</c:v>
                </c:pt>
                <c:pt idx="22">
                  <c:v>3000000</c:v>
                </c:pt>
              </c:numCache>
            </c:numRef>
          </c:xVal>
          <c:yVal>
            <c:numRef>
              <c:f>'周東いる班(積分回路)'!$G$26:$G$48</c:f>
              <c:numCache>
                <c:formatCode>General</c:formatCode>
                <c:ptCount val="23"/>
                <c:pt idx="0">
                  <c:v>6.3039790371638507</c:v>
                </c:pt>
                <c:pt idx="1">
                  <c:v>6.3039790371638507</c:v>
                </c:pt>
                <c:pt idx="2">
                  <c:v>6.1960783994297275</c:v>
                </c:pt>
                <c:pt idx="3">
                  <c:v>6.1960783994297275</c:v>
                </c:pt>
                <c:pt idx="4">
                  <c:v>6.1960783994297275</c:v>
                </c:pt>
                <c:pt idx="5">
                  <c:v>5.6623681271055801</c:v>
                </c:pt>
                <c:pt idx="6">
                  <c:v>5.2809285882162254</c:v>
                </c:pt>
                <c:pt idx="7">
                  <c:v>3.9821124495559328</c:v>
                </c:pt>
                <c:pt idx="8">
                  <c:v>0.80364777118258512</c:v>
                </c:pt>
                <c:pt idx="9">
                  <c:v>-4.4814041922062895</c:v>
                </c:pt>
                <c:pt idx="10">
                  <c:v>-7.7254655414109976</c:v>
                </c:pt>
                <c:pt idx="11">
                  <c:v>-11.869196391320898</c:v>
                </c:pt>
                <c:pt idx="12">
                  <c:v>-17.721132953863265</c:v>
                </c:pt>
                <c:pt idx="13">
                  <c:v>-23.413924543379501</c:v>
                </c:pt>
                <c:pt idx="14">
                  <c:v>-26.466127807502669</c:v>
                </c:pt>
                <c:pt idx="15">
                  <c:v>-26.466127807502669</c:v>
                </c:pt>
                <c:pt idx="16">
                  <c:v>-35.139239026274112</c:v>
                </c:pt>
                <c:pt idx="17">
                  <c:v>-39.785522692164534</c:v>
                </c:pt>
                <c:pt idx="18">
                  <c:v>-44.257878139268598</c:v>
                </c:pt>
                <c:pt idx="19">
                  <c:v>-47.60422483423212</c:v>
                </c:pt>
                <c:pt idx="20">
                  <c:v>-48.847182969209008</c:v>
                </c:pt>
                <c:pt idx="21">
                  <c:v>-49.733331452517859</c:v>
                </c:pt>
                <c:pt idx="22">
                  <c:v>-50.205792359446342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EC-9341-9644-DE5D6EE7F7E5}"/>
            </c:ext>
          </c:extLst>
        </c:ser>
        <c:ser>
          <c:idx val="0"/>
          <c:order val="1"/>
          <c:tx>
            <c:v>理論値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'周東いる班(積分回路)'!$B$26:$B$48</c:f>
              <c:numCache>
                <c:formatCode>General</c:formatCode>
                <c:ptCount val="2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  <c:pt idx="6">
                  <c:v>300</c:v>
                </c:pt>
                <c:pt idx="7">
                  <c:v>500</c:v>
                </c:pt>
                <c:pt idx="8">
                  <c:v>1000</c:v>
                </c:pt>
                <c:pt idx="9">
                  <c:v>2000</c:v>
                </c:pt>
                <c:pt idx="10">
                  <c:v>3000</c:v>
                </c:pt>
                <c:pt idx="11">
                  <c:v>5000</c:v>
                </c:pt>
                <c:pt idx="12">
                  <c:v>10000</c:v>
                </c:pt>
                <c:pt idx="13">
                  <c:v>20000</c:v>
                </c:pt>
                <c:pt idx="14">
                  <c:v>30000</c:v>
                </c:pt>
                <c:pt idx="15">
                  <c:v>50000</c:v>
                </c:pt>
                <c:pt idx="16">
                  <c:v>100000</c:v>
                </c:pt>
                <c:pt idx="17">
                  <c:v>200000</c:v>
                </c:pt>
                <c:pt idx="18">
                  <c:v>300000</c:v>
                </c:pt>
                <c:pt idx="19">
                  <c:v>500000</c:v>
                </c:pt>
                <c:pt idx="20">
                  <c:v>1000000</c:v>
                </c:pt>
                <c:pt idx="21">
                  <c:v>2000000</c:v>
                </c:pt>
                <c:pt idx="22">
                  <c:v>3000000</c:v>
                </c:pt>
              </c:numCache>
            </c:numRef>
          </c:xVal>
          <c:yVal>
            <c:numRef>
              <c:f>'周東いる班(積分回路)'!$I$26:$I$48</c:f>
              <c:numCache>
                <c:formatCode>General</c:formatCode>
                <c:ptCount val="23"/>
                <c:pt idx="0">
                  <c:v>44.036402632837699</c:v>
                </c:pt>
                <c:pt idx="1">
                  <c:v>38.015802719558074</c:v>
                </c:pt>
                <c:pt idx="2">
                  <c:v>34.493977538444447</c:v>
                </c:pt>
                <c:pt idx="3">
                  <c:v>30.057002546117321</c:v>
                </c:pt>
                <c:pt idx="4">
                  <c:v>24.036402632837696</c:v>
                </c:pt>
                <c:pt idx="5">
                  <c:v>18.015802719558074</c:v>
                </c:pt>
                <c:pt idx="6">
                  <c:v>14.493977538444449</c:v>
                </c:pt>
                <c:pt idx="7">
                  <c:v>10.057002546117324</c:v>
                </c:pt>
                <c:pt idx="8">
                  <c:v>4.0364026328376994</c:v>
                </c:pt>
                <c:pt idx="9">
                  <c:v>-1.9841972804419243</c:v>
                </c:pt>
                <c:pt idx="10">
                  <c:v>-5.50602246155555</c:v>
                </c:pt>
                <c:pt idx="11">
                  <c:v>-9.9429974538826791</c:v>
                </c:pt>
                <c:pt idx="12">
                  <c:v>-15.963597367162301</c:v>
                </c:pt>
                <c:pt idx="13">
                  <c:v>-21.984197280441926</c:v>
                </c:pt>
                <c:pt idx="14">
                  <c:v>-25.506022461555553</c:v>
                </c:pt>
                <c:pt idx="15">
                  <c:v>-29.942997453882679</c:v>
                </c:pt>
                <c:pt idx="16">
                  <c:v>-35.963597367162301</c:v>
                </c:pt>
                <c:pt idx="17">
                  <c:v>-41.984197280441926</c:v>
                </c:pt>
                <c:pt idx="18">
                  <c:v>-45.506022461555553</c:v>
                </c:pt>
                <c:pt idx="19">
                  <c:v>-49.942997453882676</c:v>
                </c:pt>
                <c:pt idx="20">
                  <c:v>-55.963597367162301</c:v>
                </c:pt>
                <c:pt idx="21">
                  <c:v>-61.984197280441926</c:v>
                </c:pt>
                <c:pt idx="22">
                  <c:v>-65.506022461555546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EC-9341-9644-DE5D6EE7F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0607"/>
        <c:axId val="7161551"/>
      </c:scatterChart>
      <c:valAx>
        <c:axId val="6790607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 b="0"/>
                  <a:t>周波数</a:t>
                </a:r>
                <a:r>
                  <a:rPr lang="en-US" altLang="ja-JP" b="0"/>
                  <a:t>f[Hz]</a:t>
                </a:r>
                <a:endParaRPr lang="ja-JP" altLang="en-US" b="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61551"/>
        <c:crossesAt val="-80"/>
        <c:crossBetween val="midCat"/>
      </c:valAx>
      <c:valAx>
        <c:axId val="71615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 b="0"/>
                  <a:t>電圧利得</a:t>
                </a:r>
                <a:r>
                  <a:rPr lang="en-US" altLang="ja-JP" b="0"/>
                  <a:t>[dB]</a:t>
                </a:r>
                <a:endParaRPr lang="ja-JP" altLang="en-US" b="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790607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測定値</c:v>
          </c:tx>
          <c:spPr>
            <a:ln w="25400">
              <a:noFill/>
            </a:ln>
          </c:spPr>
          <c:xVal>
            <c:numRef>
              <c:f>'周東いる班(反転増幅回路の交流)'!$B$26:$B$48</c:f>
              <c:numCache>
                <c:formatCode>General</c:formatCode>
                <c:ptCount val="2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  <c:pt idx="6">
                  <c:v>300</c:v>
                </c:pt>
                <c:pt idx="7">
                  <c:v>500</c:v>
                </c:pt>
                <c:pt idx="8">
                  <c:v>1000</c:v>
                </c:pt>
                <c:pt idx="9">
                  <c:v>2000</c:v>
                </c:pt>
                <c:pt idx="10">
                  <c:v>3000</c:v>
                </c:pt>
                <c:pt idx="11">
                  <c:v>5000</c:v>
                </c:pt>
                <c:pt idx="12">
                  <c:v>10000</c:v>
                </c:pt>
                <c:pt idx="13">
                  <c:v>20000</c:v>
                </c:pt>
                <c:pt idx="14">
                  <c:v>30000</c:v>
                </c:pt>
                <c:pt idx="15">
                  <c:v>50000</c:v>
                </c:pt>
                <c:pt idx="16">
                  <c:v>100000</c:v>
                </c:pt>
                <c:pt idx="17">
                  <c:v>200000</c:v>
                </c:pt>
                <c:pt idx="18">
                  <c:v>300000</c:v>
                </c:pt>
                <c:pt idx="19">
                  <c:v>500000</c:v>
                </c:pt>
                <c:pt idx="20">
                  <c:v>1000000</c:v>
                </c:pt>
                <c:pt idx="21">
                  <c:v>2000000</c:v>
                </c:pt>
                <c:pt idx="22">
                  <c:v>3000000</c:v>
                </c:pt>
              </c:numCache>
            </c:numRef>
          </c:xVal>
          <c:yVal>
            <c:numRef>
              <c:f>'周東いる班(反転増幅回路の交流)'!$D$26:$D$48</c:f>
              <c:numCache>
                <c:formatCode>General</c:formatCode>
                <c:ptCount val="23"/>
                <c:pt idx="0">
                  <c:v>176.4</c:v>
                </c:pt>
                <c:pt idx="1">
                  <c:v>165.6</c:v>
                </c:pt>
                <c:pt idx="2">
                  <c:v>176.4</c:v>
                </c:pt>
                <c:pt idx="3">
                  <c:v>180</c:v>
                </c:pt>
                <c:pt idx="4">
                  <c:v>169.2</c:v>
                </c:pt>
                <c:pt idx="5">
                  <c:v>172.79999999999998</c:v>
                </c:pt>
                <c:pt idx="6">
                  <c:v>177.12</c:v>
                </c:pt>
                <c:pt idx="7">
                  <c:v>171</c:v>
                </c:pt>
                <c:pt idx="8">
                  <c:v>176.40000000000003</c:v>
                </c:pt>
                <c:pt idx="9">
                  <c:v>169.92000000000004</c:v>
                </c:pt>
                <c:pt idx="10">
                  <c:v>172.79999999999998</c:v>
                </c:pt>
                <c:pt idx="11">
                  <c:v>162.00000000000003</c:v>
                </c:pt>
                <c:pt idx="12">
                  <c:v>144</c:v>
                </c:pt>
                <c:pt idx="13">
                  <c:v>123.83999999999999</c:v>
                </c:pt>
                <c:pt idx="14">
                  <c:v>108</c:v>
                </c:pt>
                <c:pt idx="15">
                  <c:v>100.79999999999998</c:v>
                </c:pt>
                <c:pt idx="16">
                  <c:v>97.2</c:v>
                </c:pt>
                <c:pt idx="17">
                  <c:v>86.399999999999991</c:v>
                </c:pt>
                <c:pt idx="18">
                  <c:v>86.4</c:v>
                </c:pt>
                <c:pt idx="19">
                  <c:v>82.8</c:v>
                </c:pt>
                <c:pt idx="20">
                  <c:v>82.8</c:v>
                </c:pt>
                <c:pt idx="21">
                  <c:v>79.2</c:v>
                </c:pt>
                <c:pt idx="22">
                  <c:v>77.760000000000005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7B-D941-83AD-685692AF1BDC}"/>
            </c:ext>
          </c:extLst>
        </c:ser>
        <c:ser>
          <c:idx val="0"/>
          <c:order val="1"/>
          <c:tx>
            <c:v>理論値</c:v>
          </c:tx>
          <c:spPr>
            <a:ln w="38100">
              <a:noFill/>
            </a:ln>
          </c:spPr>
          <c:xVal>
            <c:numRef>
              <c:f>'周東いる班(反転増幅回路の交流)'!$B$26:$B$48</c:f>
              <c:numCache>
                <c:formatCode>General</c:formatCode>
                <c:ptCount val="2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  <c:pt idx="6">
                  <c:v>300</c:v>
                </c:pt>
                <c:pt idx="7">
                  <c:v>500</c:v>
                </c:pt>
                <c:pt idx="8">
                  <c:v>1000</c:v>
                </c:pt>
                <c:pt idx="9">
                  <c:v>2000</c:v>
                </c:pt>
                <c:pt idx="10">
                  <c:v>3000</c:v>
                </c:pt>
                <c:pt idx="11">
                  <c:v>5000</c:v>
                </c:pt>
                <c:pt idx="12">
                  <c:v>10000</c:v>
                </c:pt>
                <c:pt idx="13">
                  <c:v>20000</c:v>
                </c:pt>
                <c:pt idx="14">
                  <c:v>30000</c:v>
                </c:pt>
                <c:pt idx="15">
                  <c:v>50000</c:v>
                </c:pt>
                <c:pt idx="16">
                  <c:v>100000</c:v>
                </c:pt>
                <c:pt idx="17">
                  <c:v>200000</c:v>
                </c:pt>
                <c:pt idx="18">
                  <c:v>300000</c:v>
                </c:pt>
                <c:pt idx="19">
                  <c:v>500000</c:v>
                </c:pt>
                <c:pt idx="20">
                  <c:v>1000000</c:v>
                </c:pt>
                <c:pt idx="21">
                  <c:v>2000000</c:v>
                </c:pt>
                <c:pt idx="22">
                  <c:v>3000000</c:v>
                </c:pt>
              </c:numCache>
            </c:numRef>
          </c:xVal>
          <c:yVal>
            <c:numRef>
              <c:f>'周東いる班(反転増幅回路の交流)'!$H$26:$H$48</c:f>
              <c:numCache>
                <c:formatCode>General</c:formatCode>
                <c:ptCount val="23"/>
                <c:pt idx="0">
                  <c:v>180</c:v>
                </c:pt>
                <c:pt idx="1">
                  <c:v>180</c:v>
                </c:pt>
                <c:pt idx="2">
                  <c:v>180</c:v>
                </c:pt>
                <c:pt idx="3">
                  <c:v>180</c:v>
                </c:pt>
                <c:pt idx="4">
                  <c:v>180</c:v>
                </c:pt>
                <c:pt idx="5">
                  <c:v>180</c:v>
                </c:pt>
                <c:pt idx="6">
                  <c:v>180</c:v>
                </c:pt>
                <c:pt idx="7">
                  <c:v>180</c:v>
                </c:pt>
                <c:pt idx="8">
                  <c:v>180</c:v>
                </c:pt>
                <c:pt idx="9">
                  <c:v>180</c:v>
                </c:pt>
                <c:pt idx="10">
                  <c:v>180</c:v>
                </c:pt>
                <c:pt idx="11">
                  <c:v>180</c:v>
                </c:pt>
                <c:pt idx="12">
                  <c:v>180</c:v>
                </c:pt>
                <c:pt idx="13">
                  <c:v>180</c:v>
                </c:pt>
                <c:pt idx="14">
                  <c:v>180</c:v>
                </c:pt>
                <c:pt idx="15">
                  <c:v>180</c:v>
                </c:pt>
                <c:pt idx="16">
                  <c:v>180</c:v>
                </c:pt>
                <c:pt idx="17">
                  <c:v>180</c:v>
                </c:pt>
                <c:pt idx="18">
                  <c:v>180</c:v>
                </c:pt>
                <c:pt idx="19">
                  <c:v>180</c:v>
                </c:pt>
                <c:pt idx="20">
                  <c:v>180</c:v>
                </c:pt>
                <c:pt idx="21">
                  <c:v>180</c:v>
                </c:pt>
                <c:pt idx="22">
                  <c:v>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1F-7C45-98F8-842DE46FF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5722832"/>
        <c:axId val="1669224576"/>
      </c:scatterChart>
      <c:valAx>
        <c:axId val="1895722832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 b="0"/>
                  <a:t>周波数</a:t>
                </a:r>
                <a:r>
                  <a:rPr lang="en-US" altLang="ja-JP" b="0"/>
                  <a:t>f[Hz]</a:t>
                </a:r>
                <a:endParaRPr lang="ja-JP" altLang="en-US" b="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69224576"/>
        <c:crosses val="autoZero"/>
        <c:crossBetween val="midCat"/>
      </c:valAx>
      <c:valAx>
        <c:axId val="16692245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 b="0"/>
                  <a:t>位相差</a:t>
                </a:r>
                <a:r>
                  <a:rPr lang="en-US" altLang="ja-JP" b="0"/>
                  <a:t>[°]</a:t>
                </a:r>
                <a:endParaRPr lang="ja-JP" altLang="en-US" b="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95722832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測定値</c:v>
          </c:tx>
          <c:spPr>
            <a:ln w="25400">
              <a:noFill/>
            </a:ln>
          </c:spPr>
          <c:xVal>
            <c:numRef>
              <c:f>'周東いる班(反転増幅回路の交流)'!$B$26:$B$48</c:f>
              <c:numCache>
                <c:formatCode>General</c:formatCode>
                <c:ptCount val="2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  <c:pt idx="6">
                  <c:v>300</c:v>
                </c:pt>
                <c:pt idx="7">
                  <c:v>500</c:v>
                </c:pt>
                <c:pt idx="8">
                  <c:v>1000</c:v>
                </c:pt>
                <c:pt idx="9">
                  <c:v>2000</c:v>
                </c:pt>
                <c:pt idx="10">
                  <c:v>3000</c:v>
                </c:pt>
                <c:pt idx="11">
                  <c:v>5000</c:v>
                </c:pt>
                <c:pt idx="12">
                  <c:v>10000</c:v>
                </c:pt>
                <c:pt idx="13">
                  <c:v>20000</c:v>
                </c:pt>
                <c:pt idx="14">
                  <c:v>30000</c:v>
                </c:pt>
                <c:pt idx="15">
                  <c:v>50000</c:v>
                </c:pt>
                <c:pt idx="16">
                  <c:v>100000</c:v>
                </c:pt>
                <c:pt idx="17">
                  <c:v>200000</c:v>
                </c:pt>
                <c:pt idx="18">
                  <c:v>300000</c:v>
                </c:pt>
                <c:pt idx="19">
                  <c:v>500000</c:v>
                </c:pt>
                <c:pt idx="20">
                  <c:v>1000000</c:v>
                </c:pt>
                <c:pt idx="21">
                  <c:v>2000000</c:v>
                </c:pt>
                <c:pt idx="22">
                  <c:v>3000000</c:v>
                </c:pt>
              </c:numCache>
            </c:numRef>
          </c:xVal>
          <c:yVal>
            <c:numRef>
              <c:f>'周東いる班(反転増幅回路の交流)'!$G$26:$G$48</c:f>
              <c:numCache>
                <c:formatCode>General</c:formatCode>
                <c:ptCount val="23"/>
                <c:pt idx="0">
                  <c:v>45.603597133817217</c:v>
                </c:pt>
                <c:pt idx="1">
                  <c:v>45.407223517950584</c:v>
                </c:pt>
                <c:pt idx="2">
                  <c:v>45.407223517950584</c:v>
                </c:pt>
                <c:pt idx="3">
                  <c:v>45.950268438822881</c:v>
                </c:pt>
                <c:pt idx="4">
                  <c:v>45.950268438822881</c:v>
                </c:pt>
                <c:pt idx="5">
                  <c:v>45.674502749110218</c:v>
                </c:pt>
                <c:pt idx="6">
                  <c:v>45.147923974663229</c:v>
                </c:pt>
                <c:pt idx="7">
                  <c:v>45.950268438822881</c:v>
                </c:pt>
                <c:pt idx="8">
                  <c:v>45.674502749110218</c:v>
                </c:pt>
                <c:pt idx="9">
                  <c:v>44.896141428502823</c:v>
                </c:pt>
                <c:pt idx="10">
                  <c:v>44.896141428502823</c:v>
                </c:pt>
                <c:pt idx="11">
                  <c:v>45.005529152204275</c:v>
                </c:pt>
                <c:pt idx="12">
                  <c:v>43.731133854676926</c:v>
                </c:pt>
                <c:pt idx="13">
                  <c:v>42.335545156793984</c:v>
                </c:pt>
                <c:pt idx="14">
                  <c:v>40.430793557122193</c:v>
                </c:pt>
                <c:pt idx="15">
                  <c:v>37.189123801222479</c:v>
                </c:pt>
                <c:pt idx="16">
                  <c:v>32.679634099555877</c:v>
                </c:pt>
                <c:pt idx="17">
                  <c:v>26.834341688663947</c:v>
                </c:pt>
                <c:pt idx="18">
                  <c:v>23.703165580520174</c:v>
                </c:pt>
                <c:pt idx="19">
                  <c:v>19.321069409446242</c:v>
                </c:pt>
                <c:pt idx="20">
                  <c:v>10.881360887005513</c:v>
                </c:pt>
                <c:pt idx="21">
                  <c:v>7.4963241964979961</c:v>
                </c:pt>
                <c:pt idx="22">
                  <c:v>4.9556896742151215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75-6341-9D21-BEF0D50859FA}"/>
            </c:ext>
          </c:extLst>
        </c:ser>
        <c:ser>
          <c:idx val="0"/>
          <c:order val="1"/>
          <c:tx>
            <c:v>理論値</c:v>
          </c:tx>
          <c:spPr>
            <a:ln w="38100">
              <a:noFill/>
            </a:ln>
          </c:spPr>
          <c:xVal>
            <c:numRef>
              <c:f>'周東いる班(反転増幅回路の交流)'!$B$26:$B$48</c:f>
              <c:numCache>
                <c:formatCode>General</c:formatCode>
                <c:ptCount val="2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  <c:pt idx="6">
                  <c:v>300</c:v>
                </c:pt>
                <c:pt idx="7">
                  <c:v>500</c:v>
                </c:pt>
                <c:pt idx="8">
                  <c:v>1000</c:v>
                </c:pt>
                <c:pt idx="9">
                  <c:v>2000</c:v>
                </c:pt>
                <c:pt idx="10">
                  <c:v>3000</c:v>
                </c:pt>
                <c:pt idx="11">
                  <c:v>5000</c:v>
                </c:pt>
                <c:pt idx="12">
                  <c:v>10000</c:v>
                </c:pt>
                <c:pt idx="13">
                  <c:v>20000</c:v>
                </c:pt>
                <c:pt idx="14">
                  <c:v>30000</c:v>
                </c:pt>
                <c:pt idx="15">
                  <c:v>50000</c:v>
                </c:pt>
                <c:pt idx="16">
                  <c:v>100000</c:v>
                </c:pt>
                <c:pt idx="17">
                  <c:v>200000</c:v>
                </c:pt>
                <c:pt idx="18">
                  <c:v>300000</c:v>
                </c:pt>
                <c:pt idx="19">
                  <c:v>500000</c:v>
                </c:pt>
                <c:pt idx="20">
                  <c:v>1000000</c:v>
                </c:pt>
                <c:pt idx="21">
                  <c:v>2000000</c:v>
                </c:pt>
                <c:pt idx="22">
                  <c:v>3000000</c:v>
                </c:pt>
              </c:numCache>
            </c:numRef>
          </c:xVal>
          <c:yVal>
            <c:numRef>
              <c:f>'周東いる班(反転増幅回路の交流)'!$I$26:$I$48</c:f>
              <c:numCache>
                <c:formatCode>General</c:formatCode>
                <c:ptCount val="23"/>
                <c:pt idx="0">
                  <c:v>44.036402632837699</c:v>
                </c:pt>
                <c:pt idx="1">
                  <c:v>44.036402632837699</c:v>
                </c:pt>
                <c:pt idx="2">
                  <c:v>44.036402632837699</c:v>
                </c:pt>
                <c:pt idx="3">
                  <c:v>44.036402632837699</c:v>
                </c:pt>
                <c:pt idx="4">
                  <c:v>44.036402632837699</c:v>
                </c:pt>
                <c:pt idx="5">
                  <c:v>44.036402632837699</c:v>
                </c:pt>
                <c:pt idx="6">
                  <c:v>44.036402632837699</c:v>
                </c:pt>
                <c:pt idx="7">
                  <c:v>44.036402632837699</c:v>
                </c:pt>
                <c:pt idx="8">
                  <c:v>44.036402632837699</c:v>
                </c:pt>
                <c:pt idx="9">
                  <c:v>44.036402632837699</c:v>
                </c:pt>
                <c:pt idx="10">
                  <c:v>44.036402632837699</c:v>
                </c:pt>
                <c:pt idx="11">
                  <c:v>44.036402632837699</c:v>
                </c:pt>
                <c:pt idx="12">
                  <c:v>44.036402632837699</c:v>
                </c:pt>
                <c:pt idx="13">
                  <c:v>44.036402632837699</c:v>
                </c:pt>
                <c:pt idx="14">
                  <c:v>44.036402632837699</c:v>
                </c:pt>
                <c:pt idx="15">
                  <c:v>44.036402632837699</c:v>
                </c:pt>
                <c:pt idx="16">
                  <c:v>44.036402632837699</c:v>
                </c:pt>
                <c:pt idx="17">
                  <c:v>44.036402632837699</c:v>
                </c:pt>
                <c:pt idx="18">
                  <c:v>44.036402632837699</c:v>
                </c:pt>
                <c:pt idx="19">
                  <c:v>44.036402632837699</c:v>
                </c:pt>
                <c:pt idx="20">
                  <c:v>44.036402632837699</c:v>
                </c:pt>
                <c:pt idx="21">
                  <c:v>44.036402632837699</c:v>
                </c:pt>
                <c:pt idx="22">
                  <c:v>44.036402632837699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37-0046-89CA-512AC7B8F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0607"/>
        <c:axId val="7161551"/>
      </c:scatterChart>
      <c:valAx>
        <c:axId val="6790607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 b="0"/>
                  <a:t>周波数</a:t>
                </a:r>
                <a:r>
                  <a:rPr lang="en-US" altLang="ja-JP" b="0"/>
                  <a:t>f[Hz]</a:t>
                </a:r>
                <a:endParaRPr lang="ja-JP" altLang="en-US" b="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61551"/>
        <c:crosses val="autoZero"/>
        <c:crossBetween val="midCat"/>
      </c:valAx>
      <c:valAx>
        <c:axId val="71615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 b="0"/>
                  <a:t>電圧利得</a:t>
                </a:r>
                <a:r>
                  <a:rPr lang="en-US" altLang="ja-JP" b="0"/>
                  <a:t>[dB]</a:t>
                </a:r>
                <a:endParaRPr lang="ja-JP" altLang="en-US" b="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790607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1kΩ負荷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'いない班(積分回路)'!$W$2:$W$50</c:f>
              <c:numCache>
                <c:formatCode>General</c:formatCode>
                <c:ptCount val="49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'いない班(積分回路)'!$X$2:$X$50</c:f>
              <c:numCache>
                <c:formatCode>General</c:formatCode>
                <c:ptCount val="49"/>
                <c:pt idx="0">
                  <c:v>10.002000000000001</c:v>
                </c:pt>
                <c:pt idx="1">
                  <c:v>8.01</c:v>
                </c:pt>
                <c:pt idx="2">
                  <c:v>6.008</c:v>
                </c:pt>
                <c:pt idx="3">
                  <c:v>4.0060000000000002</c:v>
                </c:pt>
                <c:pt idx="4">
                  <c:v>2.004</c:v>
                </c:pt>
                <c:pt idx="5">
                  <c:v>1.856E-3</c:v>
                </c:pt>
                <c:pt idx="6">
                  <c:v>-2.0009999999999999</c:v>
                </c:pt>
                <c:pt idx="7">
                  <c:v>-4.0030000000000001</c:v>
                </c:pt>
                <c:pt idx="8">
                  <c:v>-6.0049999999999999</c:v>
                </c:pt>
                <c:pt idx="9">
                  <c:v>-8.0069999999999997</c:v>
                </c:pt>
                <c:pt idx="10">
                  <c:v>-10.009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74-BE49-BCCF-09ED011DA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727344"/>
        <c:axId val="112576944"/>
      </c:scatterChart>
      <c:valAx>
        <c:axId val="267727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入力電圧</a:t>
                </a:r>
                <a:r>
                  <a:rPr lang="en-US" altLang="ja-JP">
                    <a:solidFill>
                      <a:schemeClr val="tx1"/>
                    </a:solidFill>
                  </a:rPr>
                  <a:t>[V]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3775155537471805"/>
              <c:y val="0.888406653588178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576944"/>
        <c:crosses val="autoZero"/>
        <c:crossBetween val="midCat"/>
      </c:valAx>
      <c:valAx>
        <c:axId val="1125769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出力電圧</a:t>
                </a:r>
                <a:r>
                  <a:rPr lang="en-US" altLang="ja-JP">
                    <a:solidFill>
                      <a:schemeClr val="tx1"/>
                    </a:solidFill>
                  </a:rPr>
                  <a:t>[V]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6772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750Ω負荷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'いない班(積分回路)'!$AG$2:$AG$50</c:f>
              <c:numCache>
                <c:formatCode>General</c:formatCode>
                <c:ptCount val="49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'いない班(積分回路)'!$AH$2:$AH$50</c:f>
              <c:numCache>
                <c:formatCode>General</c:formatCode>
                <c:ptCount val="49"/>
                <c:pt idx="0">
                  <c:v>10.013999999999999</c:v>
                </c:pt>
                <c:pt idx="1">
                  <c:v>8.0109999999999992</c:v>
                </c:pt>
                <c:pt idx="2">
                  <c:v>6.0090000000000003</c:v>
                </c:pt>
                <c:pt idx="3">
                  <c:v>4.0060000000000002</c:v>
                </c:pt>
                <c:pt idx="4">
                  <c:v>2.004</c:v>
                </c:pt>
                <c:pt idx="5">
                  <c:v>1.7690000000000001E-2</c:v>
                </c:pt>
                <c:pt idx="6">
                  <c:v>-2.0009999999999999</c:v>
                </c:pt>
                <c:pt idx="7">
                  <c:v>-4.0039999999999996</c:v>
                </c:pt>
                <c:pt idx="8">
                  <c:v>-6.0060000000000002</c:v>
                </c:pt>
                <c:pt idx="9">
                  <c:v>-8.0079999999999991</c:v>
                </c:pt>
                <c:pt idx="10">
                  <c:v>-10.01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44-7F45-8551-1D25FB14E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243695"/>
        <c:axId val="1595648927"/>
      </c:scatterChart>
      <c:valAx>
        <c:axId val="184024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入力電圧</a:t>
                </a:r>
                <a:r>
                  <a:rPr lang="en-US" altLang="ja-JP">
                    <a:solidFill>
                      <a:schemeClr val="tx1"/>
                    </a:solidFill>
                  </a:rPr>
                  <a:t>[V]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3522772563949685"/>
              <c:y val="0.872647720630880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5648927"/>
        <c:crosses val="autoZero"/>
        <c:crossBetween val="midCat"/>
      </c:valAx>
      <c:valAx>
        <c:axId val="15956489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出力電圧</a:t>
                </a:r>
                <a:r>
                  <a:rPr lang="en-US" altLang="ja-JP">
                    <a:solidFill>
                      <a:schemeClr val="tx1"/>
                    </a:solidFill>
                  </a:rPr>
                  <a:t>[V]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0243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76159230096238"/>
          <c:y val="3.0643208386196507E-2"/>
          <c:w val="0.85076618547681537"/>
          <c:h val="0.80458294345796677"/>
        </c:manualLayout>
      </c:layout>
      <c:scatterChart>
        <c:scatterStyle val="lineMarker"/>
        <c:varyColors val="0"/>
        <c:ser>
          <c:idx val="1"/>
          <c:order val="0"/>
          <c:tx>
            <c:v>無負荷</c:v>
          </c:tx>
          <c:spPr>
            <a:ln w="38100">
              <a:noFill/>
            </a:ln>
          </c:spPr>
          <c:xVal>
            <c:strRef>
              <c:f>'いない班(積分回路)'!$B$2:$B$50</c:f>
              <c:strCache>
                <c:ptCount val="47"/>
                <c:pt idx="17">
                  <c:v>f[kHz]</c:v>
                </c:pt>
                <c:pt idx="18">
                  <c:v>10</c:v>
                </c:pt>
                <c:pt idx="23">
                  <c:v>f[Hz]</c:v>
                </c:pt>
                <c:pt idx="24">
                  <c:v>10</c:v>
                </c:pt>
                <c:pt idx="25">
                  <c:v>20</c:v>
                </c:pt>
                <c:pt idx="26">
                  <c:v>30</c:v>
                </c:pt>
                <c:pt idx="27">
                  <c:v>50</c:v>
                </c:pt>
                <c:pt idx="28">
                  <c:v>100</c:v>
                </c:pt>
                <c:pt idx="29">
                  <c:v>200</c:v>
                </c:pt>
                <c:pt idx="30">
                  <c:v>300</c:v>
                </c:pt>
                <c:pt idx="31">
                  <c:v>500</c:v>
                </c:pt>
                <c:pt idx="32">
                  <c:v>1000</c:v>
                </c:pt>
                <c:pt idx="33">
                  <c:v>2000</c:v>
                </c:pt>
                <c:pt idx="34">
                  <c:v>3000</c:v>
                </c:pt>
                <c:pt idx="35">
                  <c:v>5000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50000</c:v>
                </c:pt>
                <c:pt idx="40">
                  <c:v>100000</c:v>
                </c:pt>
                <c:pt idx="41">
                  <c:v>200000</c:v>
                </c:pt>
                <c:pt idx="42">
                  <c:v>300000</c:v>
                </c:pt>
                <c:pt idx="43">
                  <c:v>500000</c:v>
                </c:pt>
                <c:pt idx="44">
                  <c:v>1000000</c:v>
                </c:pt>
                <c:pt idx="45">
                  <c:v>2000000</c:v>
                </c:pt>
                <c:pt idx="46">
                  <c:v>3000000</c:v>
                </c:pt>
              </c:strCache>
            </c:strRef>
          </c:xVal>
          <c:yVal>
            <c:numRef>
              <c:f>'いない班(積分回路)'!$C$2:$C$50</c:f>
              <c:numCache>
                <c:formatCode>0.000</c:formatCode>
                <c:ptCount val="49"/>
                <c:pt idx="17" formatCode="General">
                  <c:v>0</c:v>
                </c:pt>
                <c:pt idx="18" formatCode="General">
                  <c:v>360</c:v>
                </c:pt>
                <c:pt idx="23" formatCode="General">
                  <c:v>0</c:v>
                </c:pt>
                <c:pt idx="24" formatCode="General">
                  <c:v>360</c:v>
                </c:pt>
                <c:pt idx="25" formatCode="General">
                  <c:v>360</c:v>
                </c:pt>
                <c:pt idx="26" formatCode="General">
                  <c:v>360</c:v>
                </c:pt>
                <c:pt idx="27" formatCode="General">
                  <c:v>360</c:v>
                </c:pt>
                <c:pt idx="28" formatCode="General">
                  <c:v>360</c:v>
                </c:pt>
                <c:pt idx="29" formatCode="General">
                  <c:v>360</c:v>
                </c:pt>
                <c:pt idx="30" formatCode="General">
                  <c:v>360</c:v>
                </c:pt>
                <c:pt idx="31" formatCode="General">
                  <c:v>360</c:v>
                </c:pt>
                <c:pt idx="32" formatCode="General">
                  <c:v>360</c:v>
                </c:pt>
                <c:pt idx="33" formatCode="General">
                  <c:v>360</c:v>
                </c:pt>
                <c:pt idx="34" formatCode="General">
                  <c:v>360</c:v>
                </c:pt>
                <c:pt idx="35" formatCode="General">
                  <c:v>360</c:v>
                </c:pt>
                <c:pt idx="36" formatCode="General">
                  <c:v>360</c:v>
                </c:pt>
                <c:pt idx="37" formatCode="General">
                  <c:v>360</c:v>
                </c:pt>
                <c:pt idx="38" formatCode="General">
                  <c:v>360</c:v>
                </c:pt>
                <c:pt idx="39" formatCode="General">
                  <c:v>360</c:v>
                </c:pt>
                <c:pt idx="40" formatCode="General">
                  <c:v>360</c:v>
                </c:pt>
                <c:pt idx="41" formatCode="General">
                  <c:v>360</c:v>
                </c:pt>
                <c:pt idx="42" formatCode="General">
                  <c:v>360</c:v>
                </c:pt>
                <c:pt idx="43" formatCode="General">
                  <c:v>360</c:v>
                </c:pt>
                <c:pt idx="44" formatCode="General">
                  <c:v>360</c:v>
                </c:pt>
                <c:pt idx="45" formatCode="General">
                  <c:v>360</c:v>
                </c:pt>
                <c:pt idx="46" formatCode="General">
                  <c:v>360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96-D245-B3E1-737A8CB78239}"/>
            </c:ext>
          </c:extLst>
        </c:ser>
        <c:ser>
          <c:idx val="2"/>
          <c:order val="1"/>
          <c:tx>
            <c:v>3kΩ負荷</c:v>
          </c:tx>
          <c:spPr>
            <a:ln w="38100" cap="rnd">
              <a:noFill/>
              <a:round/>
            </a:ln>
            <a:effectLst/>
          </c:spPr>
          <c:xVal>
            <c:strRef>
              <c:f>'いない班(積分回路)'!$N$2:$N$50</c:f>
              <c:strCache>
                <c:ptCount val="4"/>
                <c:pt idx="3">
                  <c:v>300Hz</c:v>
                </c:pt>
              </c:strCache>
            </c:strRef>
          </c:xVal>
          <c:yVal>
            <c:numRef>
              <c:f>'いない班(積分回路)'!$O$2:$O$50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96-D245-B3E1-737A8CB78239}"/>
            </c:ext>
          </c:extLst>
        </c:ser>
        <c:ser>
          <c:idx val="3"/>
          <c:order val="2"/>
          <c:tx>
            <c:v>1kΩ負荷</c:v>
          </c:tx>
          <c:spPr>
            <a:ln w="38100" cap="rnd">
              <a:noFill/>
              <a:round/>
            </a:ln>
            <a:effectLst/>
          </c:spPr>
          <c:xVal>
            <c:numRef>
              <c:f>'いない班(積分回路)'!$W$2:$W$50</c:f>
              <c:numCache>
                <c:formatCode>General</c:formatCode>
                <c:ptCount val="49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'いない班(積分回路)'!$X$2:$X$50</c:f>
              <c:numCache>
                <c:formatCode>General</c:formatCode>
                <c:ptCount val="49"/>
                <c:pt idx="0">
                  <c:v>10.002000000000001</c:v>
                </c:pt>
                <c:pt idx="1">
                  <c:v>8.01</c:v>
                </c:pt>
                <c:pt idx="2">
                  <c:v>6.008</c:v>
                </c:pt>
                <c:pt idx="3">
                  <c:v>4.0060000000000002</c:v>
                </c:pt>
                <c:pt idx="4">
                  <c:v>2.004</c:v>
                </c:pt>
                <c:pt idx="5">
                  <c:v>1.856E-3</c:v>
                </c:pt>
                <c:pt idx="6">
                  <c:v>-2.0009999999999999</c:v>
                </c:pt>
                <c:pt idx="7">
                  <c:v>-4.0030000000000001</c:v>
                </c:pt>
                <c:pt idx="8">
                  <c:v>-6.0049999999999999</c:v>
                </c:pt>
                <c:pt idx="9">
                  <c:v>-8.0069999999999997</c:v>
                </c:pt>
                <c:pt idx="10">
                  <c:v>-10.009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96-D245-B3E1-737A8CB78239}"/>
            </c:ext>
          </c:extLst>
        </c:ser>
        <c:ser>
          <c:idx val="0"/>
          <c:order val="3"/>
          <c:tx>
            <c:v>750Ω負荷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'いない班(積分回路)'!$AG$2:$AG$50</c:f>
              <c:numCache>
                <c:formatCode>General</c:formatCode>
                <c:ptCount val="49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'いない班(積分回路)'!$AH$2:$AH$50</c:f>
              <c:numCache>
                <c:formatCode>General</c:formatCode>
                <c:ptCount val="49"/>
                <c:pt idx="0">
                  <c:v>10.013999999999999</c:v>
                </c:pt>
                <c:pt idx="1">
                  <c:v>8.0109999999999992</c:v>
                </c:pt>
                <c:pt idx="2">
                  <c:v>6.0090000000000003</c:v>
                </c:pt>
                <c:pt idx="3">
                  <c:v>4.0060000000000002</c:v>
                </c:pt>
                <c:pt idx="4">
                  <c:v>2.004</c:v>
                </c:pt>
                <c:pt idx="5">
                  <c:v>1.7690000000000001E-2</c:v>
                </c:pt>
                <c:pt idx="6">
                  <c:v>-2.0009999999999999</c:v>
                </c:pt>
                <c:pt idx="7">
                  <c:v>-4.0039999999999996</c:v>
                </c:pt>
                <c:pt idx="8">
                  <c:v>-6.0060000000000002</c:v>
                </c:pt>
                <c:pt idx="9">
                  <c:v>-8.0079999999999991</c:v>
                </c:pt>
                <c:pt idx="10">
                  <c:v>-10.01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096-D245-B3E1-737A8CB78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243695"/>
        <c:axId val="1595648927"/>
      </c:scatterChart>
      <c:valAx>
        <c:axId val="184024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入力電圧</a:t>
                </a:r>
                <a:r>
                  <a:rPr lang="en-US" altLang="ja-JP">
                    <a:solidFill>
                      <a:schemeClr val="tx1"/>
                    </a:solidFill>
                  </a:rPr>
                  <a:t>[V]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5040341380024868"/>
              <c:y val="0.8583029850632359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5648927"/>
        <c:crosses val="autoZero"/>
        <c:crossBetween val="midCat"/>
      </c:valAx>
      <c:valAx>
        <c:axId val="15956489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出力電圧</a:t>
                </a:r>
                <a:r>
                  <a:rPr lang="en-US" altLang="ja-JP">
                    <a:solidFill>
                      <a:schemeClr val="tx1"/>
                    </a:solidFill>
                  </a:rPr>
                  <a:t>[V]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2.4006035018648987E-2"/>
              <c:y val="0.3112731300698812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0243695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66056999125109361"/>
          <c:y val="2.2841960664365724E-2"/>
          <c:w val="0.31849362966919575"/>
          <c:h val="0.29917252160145857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測定値</c:v>
          </c:tx>
          <c:spPr>
            <a:ln w="25400">
              <a:noFill/>
            </a:ln>
          </c:spPr>
          <c:xVal>
            <c:numRef>
              <c:f>'いない班(積分回路)'!$B$26:$B$48</c:f>
              <c:numCache>
                <c:formatCode>General</c:formatCode>
                <c:ptCount val="2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  <c:pt idx="6">
                  <c:v>300</c:v>
                </c:pt>
                <c:pt idx="7">
                  <c:v>500</c:v>
                </c:pt>
                <c:pt idx="8">
                  <c:v>1000</c:v>
                </c:pt>
                <c:pt idx="9">
                  <c:v>2000</c:v>
                </c:pt>
                <c:pt idx="10">
                  <c:v>3000</c:v>
                </c:pt>
                <c:pt idx="11">
                  <c:v>5000</c:v>
                </c:pt>
                <c:pt idx="12">
                  <c:v>10000</c:v>
                </c:pt>
                <c:pt idx="13">
                  <c:v>20000</c:v>
                </c:pt>
                <c:pt idx="14">
                  <c:v>30000</c:v>
                </c:pt>
                <c:pt idx="15">
                  <c:v>50000</c:v>
                </c:pt>
                <c:pt idx="16">
                  <c:v>100000</c:v>
                </c:pt>
                <c:pt idx="17">
                  <c:v>200000</c:v>
                </c:pt>
                <c:pt idx="18">
                  <c:v>300000</c:v>
                </c:pt>
                <c:pt idx="19">
                  <c:v>500000</c:v>
                </c:pt>
                <c:pt idx="20">
                  <c:v>1000000</c:v>
                </c:pt>
                <c:pt idx="21">
                  <c:v>2000000</c:v>
                </c:pt>
                <c:pt idx="22">
                  <c:v>3000000</c:v>
                </c:pt>
              </c:numCache>
            </c:numRef>
          </c:xVal>
          <c:yVal>
            <c:numRef>
              <c:f>'いない班(積分回路)'!$D$26:$D$48</c:f>
              <c:numCache>
                <c:formatCode>General</c:formatCode>
                <c:ptCount val="23"/>
                <c:pt idx="0">
                  <c:v>172.79999999999998</c:v>
                </c:pt>
                <c:pt idx="1">
                  <c:v>180</c:v>
                </c:pt>
                <c:pt idx="2">
                  <c:v>172.79999999999998</c:v>
                </c:pt>
                <c:pt idx="3">
                  <c:v>180</c:v>
                </c:pt>
                <c:pt idx="4">
                  <c:v>172.79999999999998</c:v>
                </c:pt>
                <c:pt idx="5">
                  <c:v>161.28</c:v>
                </c:pt>
                <c:pt idx="6">
                  <c:v>159.84</c:v>
                </c:pt>
                <c:pt idx="7">
                  <c:v>151.19999999999999</c:v>
                </c:pt>
                <c:pt idx="8">
                  <c:v>122.39999999999999</c:v>
                </c:pt>
                <c:pt idx="9">
                  <c:v>109.44</c:v>
                </c:pt>
                <c:pt idx="10">
                  <c:v>108</c:v>
                </c:pt>
                <c:pt idx="11">
                  <c:v>100.8</c:v>
                </c:pt>
                <c:pt idx="12">
                  <c:v>97.199999999999989</c:v>
                </c:pt>
                <c:pt idx="13">
                  <c:v>95.039999999999992</c:v>
                </c:pt>
                <c:pt idx="14">
                  <c:v>95.039999999999992</c:v>
                </c:pt>
                <c:pt idx="15">
                  <c:v>97.199999999999989</c:v>
                </c:pt>
                <c:pt idx="16">
                  <c:v>86.399999999999991</c:v>
                </c:pt>
                <c:pt idx="17">
                  <c:v>80.640000000000015</c:v>
                </c:pt>
                <c:pt idx="18">
                  <c:v>86.399999999999991</c:v>
                </c:pt>
                <c:pt idx="19">
                  <c:v>72</c:v>
                </c:pt>
                <c:pt idx="20">
                  <c:v>64.8</c:v>
                </c:pt>
                <c:pt idx="21">
                  <c:v>79.2</c:v>
                </c:pt>
                <c:pt idx="22">
                  <c:v>86.399999999999991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B5-C640-AA55-4D50D888F46C}"/>
            </c:ext>
          </c:extLst>
        </c:ser>
        <c:ser>
          <c:idx val="0"/>
          <c:order val="1"/>
          <c:tx>
            <c:v>理論値</c:v>
          </c:tx>
          <c:spPr>
            <a:ln w="38100">
              <a:noFill/>
            </a:ln>
          </c:spPr>
          <c:xVal>
            <c:numRef>
              <c:f>'いない班(積分回路)'!$B$26:$B$48</c:f>
              <c:numCache>
                <c:formatCode>General</c:formatCode>
                <c:ptCount val="2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  <c:pt idx="6">
                  <c:v>300</c:v>
                </c:pt>
                <c:pt idx="7">
                  <c:v>500</c:v>
                </c:pt>
                <c:pt idx="8">
                  <c:v>1000</c:v>
                </c:pt>
                <c:pt idx="9">
                  <c:v>2000</c:v>
                </c:pt>
                <c:pt idx="10">
                  <c:v>3000</c:v>
                </c:pt>
                <c:pt idx="11">
                  <c:v>5000</c:v>
                </c:pt>
                <c:pt idx="12">
                  <c:v>10000</c:v>
                </c:pt>
                <c:pt idx="13">
                  <c:v>20000</c:v>
                </c:pt>
                <c:pt idx="14">
                  <c:v>30000</c:v>
                </c:pt>
                <c:pt idx="15">
                  <c:v>50000</c:v>
                </c:pt>
                <c:pt idx="16">
                  <c:v>100000</c:v>
                </c:pt>
                <c:pt idx="17">
                  <c:v>200000</c:v>
                </c:pt>
                <c:pt idx="18">
                  <c:v>300000</c:v>
                </c:pt>
                <c:pt idx="19">
                  <c:v>500000</c:v>
                </c:pt>
                <c:pt idx="20">
                  <c:v>1000000</c:v>
                </c:pt>
                <c:pt idx="21">
                  <c:v>2000000</c:v>
                </c:pt>
                <c:pt idx="22">
                  <c:v>3000000</c:v>
                </c:pt>
              </c:numCache>
            </c:numRef>
          </c:xVal>
          <c:yVal>
            <c:numRef>
              <c:f>'いない班(積分回路)'!$H$26:$H$48</c:f>
              <c:numCache>
                <c:formatCode>General</c:formatCode>
                <c:ptCount val="23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38-DD4F-AC0C-33A2EF56E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473519"/>
        <c:axId val="452608367"/>
      </c:scatterChart>
      <c:valAx>
        <c:axId val="452473519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chemeClr val="tx1"/>
                    </a:solidFill>
                  </a:defRPr>
                </a:pPr>
                <a:r>
                  <a:rPr lang="ja-JP" altLang="en-US" b="0">
                    <a:solidFill>
                      <a:schemeClr val="tx1"/>
                    </a:solidFill>
                  </a:rPr>
                  <a:t>周波数</a:t>
                </a:r>
                <a:r>
                  <a:rPr lang="en-US" altLang="ja-JP" b="0">
                    <a:solidFill>
                      <a:schemeClr val="tx1"/>
                    </a:solidFill>
                  </a:rPr>
                  <a:t>f[Hz]</a:t>
                </a:r>
                <a:endParaRPr lang="ja-JP" altLang="en-US" b="0">
                  <a:solidFill>
                    <a:schemeClr val="tx1"/>
                  </a:solidFill>
                </a:endParaRP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2608367"/>
        <c:crosses val="autoZero"/>
        <c:crossBetween val="midCat"/>
      </c:valAx>
      <c:valAx>
        <c:axId val="4526083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tx1"/>
                    </a:solidFill>
                  </a:defRPr>
                </a:pPr>
                <a:r>
                  <a:rPr lang="ja-JP" altLang="en-US" b="0">
                    <a:solidFill>
                      <a:schemeClr val="tx1"/>
                    </a:solidFill>
                  </a:rPr>
                  <a:t>位相差</a:t>
                </a:r>
                <a:r>
                  <a:rPr lang="en-US" altLang="ja-JP" b="0">
                    <a:solidFill>
                      <a:schemeClr val="tx1"/>
                    </a:solidFill>
                  </a:rPr>
                  <a:t>[°]</a:t>
                </a:r>
                <a:endParaRPr lang="ja-JP" altLang="en-US" b="0">
                  <a:solidFill>
                    <a:schemeClr val="tx1"/>
                  </a:solidFill>
                </a:endParaRP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2473519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測定値</c:v>
          </c:tx>
          <c:spPr>
            <a:ln w="25400">
              <a:noFill/>
            </a:ln>
          </c:spPr>
          <c:xVal>
            <c:numRef>
              <c:f>'いない班(積分回路)'!$B$26:$B$48</c:f>
              <c:numCache>
                <c:formatCode>General</c:formatCode>
                <c:ptCount val="2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  <c:pt idx="6">
                  <c:v>300</c:v>
                </c:pt>
                <c:pt idx="7">
                  <c:v>500</c:v>
                </c:pt>
                <c:pt idx="8">
                  <c:v>1000</c:v>
                </c:pt>
                <c:pt idx="9">
                  <c:v>2000</c:v>
                </c:pt>
                <c:pt idx="10">
                  <c:v>3000</c:v>
                </c:pt>
                <c:pt idx="11">
                  <c:v>5000</c:v>
                </c:pt>
                <c:pt idx="12">
                  <c:v>10000</c:v>
                </c:pt>
                <c:pt idx="13">
                  <c:v>20000</c:v>
                </c:pt>
                <c:pt idx="14">
                  <c:v>30000</c:v>
                </c:pt>
                <c:pt idx="15">
                  <c:v>50000</c:v>
                </c:pt>
                <c:pt idx="16">
                  <c:v>100000</c:v>
                </c:pt>
                <c:pt idx="17">
                  <c:v>200000</c:v>
                </c:pt>
                <c:pt idx="18">
                  <c:v>300000</c:v>
                </c:pt>
                <c:pt idx="19">
                  <c:v>500000</c:v>
                </c:pt>
                <c:pt idx="20">
                  <c:v>1000000</c:v>
                </c:pt>
                <c:pt idx="21">
                  <c:v>2000000</c:v>
                </c:pt>
                <c:pt idx="22">
                  <c:v>3000000</c:v>
                </c:pt>
              </c:numCache>
            </c:numRef>
          </c:xVal>
          <c:yVal>
            <c:numRef>
              <c:f>'いない班(積分回路)'!$G$26:$G$48</c:f>
              <c:numCache>
                <c:formatCode>General</c:formatCode>
                <c:ptCount val="23"/>
                <c:pt idx="0">
                  <c:v>6.0205999132796242</c:v>
                </c:pt>
                <c:pt idx="1">
                  <c:v>6.0205999132796242</c:v>
                </c:pt>
                <c:pt idx="2">
                  <c:v>6.0030703621470485</c:v>
                </c:pt>
                <c:pt idx="3">
                  <c:v>5.9148879840459481</c:v>
                </c:pt>
                <c:pt idx="4">
                  <c:v>5.9148879840459481</c:v>
                </c:pt>
                <c:pt idx="5">
                  <c:v>5.735791130987419</c:v>
                </c:pt>
                <c:pt idx="6">
                  <c:v>5.3661230171071574</c:v>
                </c:pt>
                <c:pt idx="7">
                  <c:v>4.2968769609539574</c:v>
                </c:pt>
                <c:pt idx="8">
                  <c:v>1.3589263414547954</c:v>
                </c:pt>
                <c:pt idx="9">
                  <c:v>-3.4362492215281244</c:v>
                </c:pt>
                <c:pt idx="10">
                  <c:v>-6.3030927671117514</c:v>
                </c:pt>
                <c:pt idx="11">
                  <c:v>-9.9514576003113469</c:v>
                </c:pt>
                <c:pt idx="12">
                  <c:v>-14.89454989793388</c:v>
                </c:pt>
                <c:pt idx="13">
                  <c:v>-19.344149732073848</c:v>
                </c:pt>
                <c:pt idx="14">
                  <c:v>-21.514414278762366</c:v>
                </c:pt>
                <c:pt idx="15">
                  <c:v>-24.593481742566258</c:v>
                </c:pt>
                <c:pt idx="16">
                  <c:v>-30.984153680053733</c:v>
                </c:pt>
                <c:pt idx="17">
                  <c:v>-32.690240302182005</c:v>
                </c:pt>
                <c:pt idx="18">
                  <c:v>-34.875646975047623</c:v>
                </c:pt>
                <c:pt idx="19">
                  <c:v>-35.665817800721094</c:v>
                </c:pt>
                <c:pt idx="20">
                  <c:v>-35.917600346881507</c:v>
                </c:pt>
                <c:pt idx="21">
                  <c:v>-36.008552901895918</c:v>
                </c:pt>
                <c:pt idx="22">
                  <c:v>-35.638884788015652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33-B842-A348-8B1706DB33DC}"/>
            </c:ext>
          </c:extLst>
        </c:ser>
        <c:ser>
          <c:idx val="0"/>
          <c:order val="1"/>
          <c:tx>
            <c:v>理論値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'いない班(積分回路)'!$B$26:$B$48</c:f>
              <c:numCache>
                <c:formatCode>General</c:formatCode>
                <c:ptCount val="2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  <c:pt idx="6">
                  <c:v>300</c:v>
                </c:pt>
                <c:pt idx="7">
                  <c:v>500</c:v>
                </c:pt>
                <c:pt idx="8">
                  <c:v>1000</c:v>
                </c:pt>
                <c:pt idx="9">
                  <c:v>2000</c:v>
                </c:pt>
                <c:pt idx="10">
                  <c:v>3000</c:v>
                </c:pt>
                <c:pt idx="11">
                  <c:v>5000</c:v>
                </c:pt>
                <c:pt idx="12">
                  <c:v>10000</c:v>
                </c:pt>
                <c:pt idx="13">
                  <c:v>20000</c:v>
                </c:pt>
                <c:pt idx="14">
                  <c:v>30000</c:v>
                </c:pt>
                <c:pt idx="15">
                  <c:v>50000</c:v>
                </c:pt>
                <c:pt idx="16">
                  <c:v>100000</c:v>
                </c:pt>
                <c:pt idx="17">
                  <c:v>200000</c:v>
                </c:pt>
                <c:pt idx="18">
                  <c:v>300000</c:v>
                </c:pt>
                <c:pt idx="19">
                  <c:v>500000</c:v>
                </c:pt>
                <c:pt idx="20">
                  <c:v>1000000</c:v>
                </c:pt>
                <c:pt idx="21">
                  <c:v>2000000</c:v>
                </c:pt>
                <c:pt idx="22">
                  <c:v>3000000</c:v>
                </c:pt>
              </c:numCache>
            </c:numRef>
          </c:xVal>
          <c:yVal>
            <c:numRef>
              <c:f>'いない班(積分回路)'!$I$26:$I$48</c:f>
              <c:numCache>
                <c:formatCode>General</c:formatCode>
                <c:ptCount val="23"/>
                <c:pt idx="0">
                  <c:v>44.036402632837699</c:v>
                </c:pt>
                <c:pt idx="1">
                  <c:v>38.015802719558074</c:v>
                </c:pt>
                <c:pt idx="2">
                  <c:v>34.493977538444447</c:v>
                </c:pt>
                <c:pt idx="3">
                  <c:v>30.057002546117321</c:v>
                </c:pt>
                <c:pt idx="4">
                  <c:v>24.036402632837696</c:v>
                </c:pt>
                <c:pt idx="5">
                  <c:v>18.015802719558074</c:v>
                </c:pt>
                <c:pt idx="6">
                  <c:v>14.493977538444449</c:v>
                </c:pt>
                <c:pt idx="7">
                  <c:v>10.057002546117324</c:v>
                </c:pt>
                <c:pt idx="8">
                  <c:v>4.0364026328376994</c:v>
                </c:pt>
                <c:pt idx="9">
                  <c:v>-1.9841972804419243</c:v>
                </c:pt>
                <c:pt idx="10">
                  <c:v>-5.50602246155555</c:v>
                </c:pt>
                <c:pt idx="11">
                  <c:v>-9.9429974538826791</c:v>
                </c:pt>
                <c:pt idx="12">
                  <c:v>-15.963597367162301</c:v>
                </c:pt>
                <c:pt idx="13">
                  <c:v>-21.984197280441926</c:v>
                </c:pt>
                <c:pt idx="14">
                  <c:v>-25.506022461555553</c:v>
                </c:pt>
                <c:pt idx="15">
                  <c:v>-29.942997453882679</c:v>
                </c:pt>
                <c:pt idx="16">
                  <c:v>-35.963597367162301</c:v>
                </c:pt>
                <c:pt idx="17">
                  <c:v>-41.984197280441926</c:v>
                </c:pt>
                <c:pt idx="18">
                  <c:v>-45.506022461555553</c:v>
                </c:pt>
                <c:pt idx="19">
                  <c:v>-49.942997453882676</c:v>
                </c:pt>
                <c:pt idx="20">
                  <c:v>-55.963597367162301</c:v>
                </c:pt>
                <c:pt idx="21">
                  <c:v>-61.984197280441926</c:v>
                </c:pt>
                <c:pt idx="22">
                  <c:v>-65.506022461555546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33-B842-A348-8B1706DB3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87023"/>
        <c:axId val="129093679"/>
      </c:scatterChart>
      <c:valAx>
        <c:axId val="129287023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chemeClr val="tx1"/>
                    </a:solidFill>
                  </a:defRPr>
                </a:pPr>
                <a:r>
                  <a:rPr lang="ja-JP" altLang="en-US" b="0">
                    <a:solidFill>
                      <a:schemeClr val="tx1"/>
                    </a:solidFill>
                  </a:rPr>
                  <a:t>周波数</a:t>
                </a:r>
                <a:r>
                  <a:rPr lang="en-US" altLang="ja-JP" b="0">
                    <a:solidFill>
                      <a:schemeClr val="tx1"/>
                    </a:solidFill>
                  </a:rPr>
                  <a:t>f[Hz]</a:t>
                </a:r>
                <a:endParaRPr lang="ja-JP" altLang="en-US" b="0">
                  <a:solidFill>
                    <a:schemeClr val="tx1"/>
                  </a:solidFill>
                </a:endParaRP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093679"/>
        <c:crosses val="autoZero"/>
        <c:crossBetween val="midCat"/>
      </c:valAx>
      <c:valAx>
        <c:axId val="1290936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tx1"/>
                    </a:solidFill>
                  </a:defRPr>
                </a:pPr>
                <a:r>
                  <a:rPr lang="ja-JP" altLang="en-US" b="0">
                    <a:solidFill>
                      <a:schemeClr val="tx1"/>
                    </a:solidFill>
                  </a:rPr>
                  <a:t>電圧利得</a:t>
                </a:r>
                <a:r>
                  <a:rPr lang="en-US" altLang="ja-JP" b="0">
                    <a:solidFill>
                      <a:schemeClr val="tx1"/>
                    </a:solidFill>
                  </a:rPr>
                  <a:t>[dB]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287023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測定値</c:v>
          </c:tx>
          <c:spPr>
            <a:ln w="25400">
              <a:noFill/>
            </a:ln>
          </c:spPr>
          <c:xVal>
            <c:numRef>
              <c:f>'いない班(反転増幅回路の交流)'!$B$26:$B$48</c:f>
              <c:numCache>
                <c:formatCode>General</c:formatCode>
                <c:ptCount val="2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  <c:pt idx="6">
                  <c:v>300</c:v>
                </c:pt>
                <c:pt idx="7">
                  <c:v>500</c:v>
                </c:pt>
                <c:pt idx="8">
                  <c:v>1000</c:v>
                </c:pt>
                <c:pt idx="9">
                  <c:v>2000</c:v>
                </c:pt>
                <c:pt idx="10">
                  <c:v>3000</c:v>
                </c:pt>
                <c:pt idx="11">
                  <c:v>5000</c:v>
                </c:pt>
                <c:pt idx="12">
                  <c:v>10000</c:v>
                </c:pt>
                <c:pt idx="13">
                  <c:v>20000</c:v>
                </c:pt>
                <c:pt idx="14">
                  <c:v>30000</c:v>
                </c:pt>
                <c:pt idx="15">
                  <c:v>50000</c:v>
                </c:pt>
                <c:pt idx="16">
                  <c:v>100000</c:v>
                </c:pt>
                <c:pt idx="17">
                  <c:v>200000</c:v>
                </c:pt>
                <c:pt idx="18">
                  <c:v>300000</c:v>
                </c:pt>
                <c:pt idx="19">
                  <c:v>500000</c:v>
                </c:pt>
                <c:pt idx="20">
                  <c:v>1000000</c:v>
                </c:pt>
                <c:pt idx="21">
                  <c:v>2000000</c:v>
                </c:pt>
                <c:pt idx="22">
                  <c:v>3000000</c:v>
                </c:pt>
              </c:numCache>
            </c:numRef>
          </c:xVal>
          <c:yVal>
            <c:numRef>
              <c:f>'いない班(反転増幅回路の交流)'!$D$26:$D$48</c:f>
              <c:numCache>
                <c:formatCode>General</c:formatCode>
                <c:ptCount val="23"/>
                <c:pt idx="0">
                  <c:v>180</c:v>
                </c:pt>
                <c:pt idx="1">
                  <c:v>158.4</c:v>
                </c:pt>
                <c:pt idx="2">
                  <c:v>177.12</c:v>
                </c:pt>
                <c:pt idx="3">
                  <c:v>180</c:v>
                </c:pt>
                <c:pt idx="4">
                  <c:v>183.6</c:v>
                </c:pt>
                <c:pt idx="5">
                  <c:v>178.56</c:v>
                </c:pt>
                <c:pt idx="6">
                  <c:v>177.12</c:v>
                </c:pt>
                <c:pt idx="7">
                  <c:v>190.79999999999998</c:v>
                </c:pt>
                <c:pt idx="8">
                  <c:v>169.2</c:v>
                </c:pt>
                <c:pt idx="9">
                  <c:v>164.16</c:v>
                </c:pt>
                <c:pt idx="10">
                  <c:v>181.44</c:v>
                </c:pt>
                <c:pt idx="11">
                  <c:v>172.79999999999998</c:v>
                </c:pt>
                <c:pt idx="12">
                  <c:v>151.19999999999999</c:v>
                </c:pt>
                <c:pt idx="13">
                  <c:v>132.47999999999999</c:v>
                </c:pt>
                <c:pt idx="14">
                  <c:v>112.32</c:v>
                </c:pt>
                <c:pt idx="15">
                  <c:v>104.39999999999999</c:v>
                </c:pt>
                <c:pt idx="16">
                  <c:v>104.39999999999999</c:v>
                </c:pt>
                <c:pt idx="17">
                  <c:v>131.04</c:v>
                </c:pt>
                <c:pt idx="18">
                  <c:v>95.039999999999992</c:v>
                </c:pt>
                <c:pt idx="19">
                  <c:v>86.399999999999991</c:v>
                </c:pt>
                <c:pt idx="20">
                  <c:v>86.399999999999991</c:v>
                </c:pt>
                <c:pt idx="21">
                  <c:v>86.399999999999991</c:v>
                </c:pt>
                <c:pt idx="22">
                  <c:v>75.600000000000009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74-DC4A-952A-CBB9F93B3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5722832"/>
        <c:axId val="1669224576"/>
      </c:scatterChart>
      <c:valAx>
        <c:axId val="1895722832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 b="0"/>
                  <a:t>周波数</a:t>
                </a:r>
                <a:r>
                  <a:rPr lang="en-US" altLang="ja-JP" b="0"/>
                  <a:t>f[Hz]</a:t>
                </a:r>
                <a:endParaRPr lang="ja-JP" altLang="en-US" b="0"/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69224576"/>
        <c:crosses val="autoZero"/>
        <c:crossBetween val="midCat"/>
      </c:valAx>
      <c:valAx>
        <c:axId val="16692245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 b="0"/>
                  <a:t>位相差</a:t>
                </a:r>
                <a:r>
                  <a:rPr lang="en-US" altLang="ja-JP" b="0"/>
                  <a:t>[°]</a:t>
                </a:r>
                <a:endParaRPr lang="ja-JP" altLang="en-US" b="0"/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95722832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測定値</c:v>
          </c:tx>
          <c:spPr>
            <a:ln w="25400">
              <a:noFill/>
            </a:ln>
          </c:spPr>
          <c:xVal>
            <c:numRef>
              <c:f>'いない班(反転増幅回路の交流)'!$B$26:$B$48</c:f>
              <c:numCache>
                <c:formatCode>General</c:formatCode>
                <c:ptCount val="2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  <c:pt idx="6">
                  <c:v>300</c:v>
                </c:pt>
                <c:pt idx="7">
                  <c:v>500</c:v>
                </c:pt>
                <c:pt idx="8">
                  <c:v>1000</c:v>
                </c:pt>
                <c:pt idx="9">
                  <c:v>2000</c:v>
                </c:pt>
                <c:pt idx="10">
                  <c:v>3000</c:v>
                </c:pt>
                <c:pt idx="11">
                  <c:v>5000</c:v>
                </c:pt>
                <c:pt idx="12">
                  <c:v>10000</c:v>
                </c:pt>
                <c:pt idx="13">
                  <c:v>20000</c:v>
                </c:pt>
                <c:pt idx="14">
                  <c:v>30000</c:v>
                </c:pt>
                <c:pt idx="15">
                  <c:v>50000</c:v>
                </c:pt>
                <c:pt idx="16">
                  <c:v>100000</c:v>
                </c:pt>
                <c:pt idx="17">
                  <c:v>200000</c:v>
                </c:pt>
                <c:pt idx="18">
                  <c:v>300000</c:v>
                </c:pt>
                <c:pt idx="19">
                  <c:v>500000</c:v>
                </c:pt>
                <c:pt idx="20">
                  <c:v>1000000</c:v>
                </c:pt>
                <c:pt idx="21">
                  <c:v>2000000</c:v>
                </c:pt>
                <c:pt idx="22">
                  <c:v>3000000</c:v>
                </c:pt>
              </c:numCache>
            </c:numRef>
          </c:xVal>
          <c:yVal>
            <c:numRef>
              <c:f>'いない班(反転増幅回路の交流)'!$G$26:$G$48</c:f>
              <c:numCache>
                <c:formatCode>General</c:formatCode>
                <c:ptCount val="23"/>
                <c:pt idx="0">
                  <c:v>45.547321549323755</c:v>
                </c:pt>
                <c:pt idx="1">
                  <c:v>45.105450102066122</c:v>
                </c:pt>
                <c:pt idx="2">
                  <c:v>45.036239459875993</c:v>
                </c:pt>
                <c:pt idx="3">
                  <c:v>45.21825544911998</c:v>
                </c:pt>
                <c:pt idx="4">
                  <c:v>45.547321549323755</c:v>
                </c:pt>
                <c:pt idx="5">
                  <c:v>45.036239459875993</c:v>
                </c:pt>
                <c:pt idx="6">
                  <c:v>45.814600780483381</c:v>
                </c:pt>
                <c:pt idx="7">
                  <c:v>45.814600780483381</c:v>
                </c:pt>
                <c:pt idx="8">
                  <c:v>45.547321549323755</c:v>
                </c:pt>
                <c:pt idx="9">
                  <c:v>45.547321549323755</c:v>
                </c:pt>
                <c:pt idx="10">
                  <c:v>46.090366470196045</c:v>
                </c:pt>
                <c:pt idx="11">
                  <c:v>46.090366470196045</c:v>
                </c:pt>
                <c:pt idx="12">
                  <c:v>45.814600780483381</c:v>
                </c:pt>
                <c:pt idx="13">
                  <c:v>45.2880220060364</c:v>
                </c:pt>
                <c:pt idx="14">
                  <c:v>41.766196824922773</c:v>
                </c:pt>
                <c:pt idx="15">
                  <c:v>38.485585721237634</c:v>
                </c:pt>
                <c:pt idx="16">
                  <c:v>33.542493423615099</c:v>
                </c:pt>
                <c:pt idx="17">
                  <c:v>27.771266321527438</c:v>
                </c:pt>
                <c:pt idx="18">
                  <c:v>24.79155033153576</c:v>
                </c:pt>
                <c:pt idx="19">
                  <c:v>21.189670301348656</c:v>
                </c:pt>
                <c:pt idx="20">
                  <c:v>13.707943942934897</c:v>
                </c:pt>
                <c:pt idx="21">
                  <c:v>8.84718296920901</c:v>
                </c:pt>
                <c:pt idx="22">
                  <c:v>6.0205999132796242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B3-7944-9309-EEEAEAB72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0607"/>
        <c:axId val="7161551"/>
      </c:scatterChart>
      <c:valAx>
        <c:axId val="6790607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 b="0"/>
                  <a:t>周波数</a:t>
                </a:r>
                <a:r>
                  <a:rPr lang="en-US" altLang="ja-JP" b="0"/>
                  <a:t>f[Hz]</a:t>
                </a:r>
                <a:endParaRPr lang="ja-JP" altLang="en-US" b="0"/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61551"/>
        <c:crosses val="autoZero"/>
        <c:crossBetween val="midCat"/>
      </c:valAx>
      <c:valAx>
        <c:axId val="71615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 b="0"/>
                  <a:t>電圧利得</a:t>
                </a:r>
                <a:r>
                  <a:rPr lang="en-US" altLang="ja-JP" b="0"/>
                  <a:t>[dB]</a:t>
                </a:r>
                <a:endParaRPr lang="ja-JP" altLang="en-US" b="0"/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790607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無負荷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コピー元!$B$2:$B$50</c:f>
              <c:numCache>
                <c:formatCode>General</c:formatCode>
                <c:ptCount val="49"/>
              </c:numCache>
            </c:numRef>
          </c:xVal>
          <c:yVal>
            <c:numRef>
              <c:f>コピー元!$C$2:$C$50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C1-B74E-AA3C-98F1A92B7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727344"/>
        <c:axId val="112777072"/>
      </c:scatterChart>
      <c:valAx>
        <c:axId val="267727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777072"/>
        <c:crosses val="autoZero"/>
        <c:crossBetween val="midCat"/>
      </c:valAx>
      <c:valAx>
        <c:axId val="1127770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b="0"/>
                  <a:t>出力電圧</a:t>
                </a:r>
                <a:r>
                  <a:rPr lang="en-US" altLang="ja-JP" b="0"/>
                  <a:t>[V]</a:t>
                </a:r>
                <a:endParaRPr lang="ja-JP" altLang="en-US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6772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3kΩ負荷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コピー元!$N$2:$N$50</c:f>
              <c:numCache>
                <c:formatCode>General</c:formatCode>
                <c:ptCount val="49"/>
              </c:numCache>
            </c:numRef>
          </c:xVal>
          <c:yVal>
            <c:numRef>
              <c:f>コピー元!$O$2:$O$50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9E-7A42-B475-7BEDDCA31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669184"/>
        <c:axId val="81574480"/>
      </c:scatterChart>
      <c:valAx>
        <c:axId val="81669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574480"/>
        <c:crosses val="autoZero"/>
        <c:crossBetween val="midCat"/>
      </c:valAx>
      <c:valAx>
        <c:axId val="815744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669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1kΩ負荷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コピー元!$W$2:$W$50</c:f>
              <c:numCache>
                <c:formatCode>General</c:formatCode>
                <c:ptCount val="49"/>
              </c:numCache>
            </c:numRef>
          </c:xVal>
          <c:yVal>
            <c:numRef>
              <c:f>コピー元!$X$2:$X$50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62-A14F-A1B9-F609FF4F2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727344"/>
        <c:axId val="112576944"/>
      </c:scatterChart>
      <c:valAx>
        <c:axId val="267727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2576944"/>
        <c:crosses val="autoZero"/>
        <c:crossBetween val="midCat"/>
      </c:valAx>
      <c:valAx>
        <c:axId val="1125769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6772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750Ω負荷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コピー元!$AG$2:$AG$50</c:f>
              <c:numCache>
                <c:formatCode>General</c:formatCode>
                <c:ptCount val="49"/>
              </c:numCache>
            </c:numRef>
          </c:xVal>
          <c:yVal>
            <c:numRef>
              <c:f>コピー元!$AH$2:$AH$50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4F-9249-B304-C95D8689C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243695"/>
        <c:axId val="1595648927"/>
      </c:scatterChart>
      <c:valAx>
        <c:axId val="184024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5648927"/>
        <c:crosses val="autoZero"/>
        <c:crossBetween val="midCat"/>
      </c:valAx>
      <c:valAx>
        <c:axId val="15956489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0243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76159230096238"/>
          <c:y val="3.0643208386196507E-2"/>
          <c:w val="0.85076618547681537"/>
          <c:h val="0.80458294345796677"/>
        </c:manualLayout>
      </c:layout>
      <c:scatterChart>
        <c:scatterStyle val="lineMarker"/>
        <c:varyColors val="0"/>
        <c:ser>
          <c:idx val="1"/>
          <c:order val="0"/>
          <c:tx>
            <c:v>無負荷</c:v>
          </c:tx>
          <c:spPr>
            <a:ln w="38100">
              <a:noFill/>
            </a:ln>
          </c:spPr>
          <c:xVal>
            <c:numRef>
              <c:f>コピー元!$B$2:$B$50</c:f>
              <c:numCache>
                <c:formatCode>General</c:formatCode>
                <c:ptCount val="49"/>
              </c:numCache>
            </c:numRef>
          </c:xVal>
          <c:yVal>
            <c:numRef>
              <c:f>コピー元!$C$2:$C$50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8E4-154A-8818-991120E5F070}"/>
            </c:ext>
          </c:extLst>
        </c:ser>
        <c:ser>
          <c:idx val="2"/>
          <c:order val="1"/>
          <c:tx>
            <c:v>3kΩ負荷</c:v>
          </c:tx>
          <c:spPr>
            <a:ln w="38100" cap="rnd">
              <a:noFill/>
              <a:round/>
            </a:ln>
            <a:effectLst/>
          </c:spPr>
          <c:xVal>
            <c:numRef>
              <c:f>コピー元!$N$2:$N$50</c:f>
              <c:numCache>
                <c:formatCode>General</c:formatCode>
                <c:ptCount val="49"/>
              </c:numCache>
            </c:numRef>
          </c:xVal>
          <c:yVal>
            <c:numRef>
              <c:f>コピー元!$O$2:$O$50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8E4-154A-8818-991120E5F070}"/>
            </c:ext>
          </c:extLst>
        </c:ser>
        <c:ser>
          <c:idx val="3"/>
          <c:order val="2"/>
          <c:tx>
            <c:v>1kΩ負荷</c:v>
          </c:tx>
          <c:spPr>
            <a:ln w="38100" cap="rnd">
              <a:noFill/>
              <a:round/>
            </a:ln>
            <a:effectLst/>
          </c:spPr>
          <c:xVal>
            <c:numRef>
              <c:f>コピー元!$W$2:$W$50</c:f>
              <c:numCache>
                <c:formatCode>General</c:formatCode>
                <c:ptCount val="49"/>
              </c:numCache>
            </c:numRef>
          </c:xVal>
          <c:yVal>
            <c:numRef>
              <c:f>コピー元!$X$2:$X$50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8E4-154A-8818-991120E5F070}"/>
            </c:ext>
          </c:extLst>
        </c:ser>
        <c:ser>
          <c:idx val="0"/>
          <c:order val="3"/>
          <c:tx>
            <c:v>750Ω負荷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コピー元!$AG$2:$AG$50</c:f>
              <c:numCache>
                <c:formatCode>General</c:formatCode>
                <c:ptCount val="49"/>
              </c:numCache>
            </c:numRef>
          </c:xVal>
          <c:yVal>
            <c:numRef>
              <c:f>コピー元!$AH$2:$AH$50</c:f>
              <c:numCache>
                <c:formatCode>General</c:formatCode>
                <c:ptCount val="4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8E4-154A-8818-991120E5F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243695"/>
        <c:axId val="1595648927"/>
      </c:scatterChart>
      <c:valAx>
        <c:axId val="184024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入力電圧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5648927"/>
        <c:crosses val="autoZero"/>
        <c:crossBetween val="midCat"/>
      </c:valAx>
      <c:valAx>
        <c:axId val="15956489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出力電圧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0243695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66056999125109361"/>
          <c:y val="2.2841960664365724E-2"/>
          <c:w val="0.31849362966919575"/>
          <c:h val="0.29917252160145857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G"/><Relationship Id="rId5" Type="http://schemas.openxmlformats.org/officeDocument/2006/relationships/image" Target="../media/image3.JPG"/><Relationship Id="rId4" Type="http://schemas.openxmlformats.org/officeDocument/2006/relationships/image" Target="../media/image2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image" Target="../media/image5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G"/><Relationship Id="rId2" Type="http://schemas.openxmlformats.org/officeDocument/2006/relationships/image" Target="../media/image7.JPG"/><Relationship Id="rId1" Type="http://schemas.openxmlformats.org/officeDocument/2006/relationships/image" Target="../media/image6.JPG"/><Relationship Id="rId5" Type="http://schemas.openxmlformats.org/officeDocument/2006/relationships/image" Target="../media/image10.JPG"/><Relationship Id="rId4" Type="http://schemas.openxmlformats.org/officeDocument/2006/relationships/image" Target="../media/image9.JP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JPG"/><Relationship Id="rId3" Type="http://schemas.openxmlformats.org/officeDocument/2006/relationships/chart" Target="../charts/chart7.xml"/><Relationship Id="rId7" Type="http://schemas.openxmlformats.org/officeDocument/2006/relationships/image" Target="../media/image11.JPG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G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image" Target="../media/image14.JP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JPG"/><Relationship Id="rId2" Type="http://schemas.openxmlformats.org/officeDocument/2006/relationships/image" Target="../media/image16.JPG"/><Relationship Id="rId1" Type="http://schemas.openxmlformats.org/officeDocument/2006/relationships/image" Target="../media/image15.JPG"/><Relationship Id="rId6" Type="http://schemas.openxmlformats.org/officeDocument/2006/relationships/image" Target="../media/image20.JPG"/><Relationship Id="rId5" Type="http://schemas.openxmlformats.org/officeDocument/2006/relationships/image" Target="../media/image19.JPG"/><Relationship Id="rId4" Type="http://schemas.openxmlformats.org/officeDocument/2006/relationships/image" Target="../media/image18.JP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113393</xdr:rowOff>
    </xdr:from>
    <xdr:to>
      <xdr:col>3</xdr:col>
      <xdr:colOff>314960</xdr:colOff>
      <xdr:row>14</xdr:row>
      <xdr:rowOff>41728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A3657FF-08F5-F941-8D45-11EE74112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29393"/>
          <a:ext cx="3263900" cy="2442935"/>
        </a:xfrm>
        <a:prstGeom prst="rect">
          <a:avLst/>
        </a:prstGeom>
      </xdr:spPr>
    </xdr:pic>
    <xdr:clientData/>
  </xdr:twoCellAnchor>
  <xdr:twoCellAnchor>
    <xdr:from>
      <xdr:col>1</xdr:col>
      <xdr:colOff>196890</xdr:colOff>
      <xdr:row>50</xdr:row>
      <xdr:rowOff>186746</xdr:rowOff>
    </xdr:from>
    <xdr:to>
      <xdr:col>5</xdr:col>
      <xdr:colOff>335871</xdr:colOff>
      <xdr:row>61</xdr:row>
      <xdr:rowOff>162305</xdr:rowOff>
    </xdr:to>
    <xdr:graphicFrame macro="">
      <xdr:nvGraphicFramePr>
        <xdr:cNvPr id="10" name="グラフ 2">
          <a:extLst>
            <a:ext uri="{FF2B5EF4-FFF2-40B4-BE49-F238E27FC236}">
              <a16:creationId xmlns:a16="http://schemas.microsoft.com/office/drawing/2014/main" id="{1404B35B-30CE-B844-B3BF-C8F875BA07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253999</xdr:colOff>
      <xdr:row>50</xdr:row>
      <xdr:rowOff>28287</xdr:rowOff>
    </xdr:from>
    <xdr:to>
      <xdr:col>10</xdr:col>
      <xdr:colOff>496454</xdr:colOff>
      <xdr:row>60</xdr:row>
      <xdr:rowOff>173760</xdr:rowOff>
    </xdr:to>
    <xdr:graphicFrame macro="">
      <xdr:nvGraphicFramePr>
        <xdr:cNvPr id="14" name="グラフ 3">
          <a:extLst>
            <a:ext uri="{FF2B5EF4-FFF2-40B4-BE49-F238E27FC236}">
              <a16:creationId xmlns:a16="http://schemas.microsoft.com/office/drawing/2014/main" id="{6672DDC0-67D6-DC48-B3E5-CFB736CF99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484841</xdr:colOff>
      <xdr:row>5</xdr:row>
      <xdr:rowOff>32124</xdr:rowOff>
    </xdr:from>
    <xdr:to>
      <xdr:col>10</xdr:col>
      <xdr:colOff>467808</xdr:colOff>
      <xdr:row>14</xdr:row>
      <xdr:rowOff>207384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C8D7718-738B-2B49-83CB-FC6985B9A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50841" y="1302124"/>
          <a:ext cx="3329418" cy="2461260"/>
        </a:xfrm>
        <a:prstGeom prst="rect">
          <a:avLst/>
        </a:prstGeom>
      </xdr:spPr>
    </xdr:pic>
    <xdr:clientData/>
  </xdr:twoCellAnchor>
  <xdr:twoCellAnchor editAs="oneCell">
    <xdr:from>
      <xdr:col>4</xdr:col>
      <xdr:colOff>14942</xdr:colOff>
      <xdr:row>5</xdr:row>
      <xdr:rowOff>14942</xdr:rowOff>
    </xdr:from>
    <xdr:to>
      <xdr:col>7</xdr:col>
      <xdr:colOff>303755</xdr:colOff>
      <xdr:row>14</xdr:row>
      <xdr:rowOff>190202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4742857C-5C19-3940-8219-079C117AF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85342" y="1284942"/>
          <a:ext cx="3237753" cy="2438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196890</xdr:colOff>
      <xdr:row>50</xdr:row>
      <xdr:rowOff>186746</xdr:rowOff>
    </xdr:from>
    <xdr:to>
      <xdr:col>5</xdr:col>
      <xdr:colOff>335871</xdr:colOff>
      <xdr:row>61</xdr:row>
      <xdr:rowOff>162305</xdr:rowOff>
    </xdr:to>
    <xdr:graphicFrame macro="">
      <xdr:nvGraphicFramePr>
        <xdr:cNvPr id="21" name="グラフ 2">
          <a:extLst>
            <a:ext uri="{FF2B5EF4-FFF2-40B4-BE49-F238E27FC236}">
              <a16:creationId xmlns:a16="http://schemas.microsoft.com/office/drawing/2014/main" id="{741772A5-144B-7E41-A50E-D9668F4923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253999</xdr:colOff>
      <xdr:row>50</xdr:row>
      <xdr:rowOff>28287</xdr:rowOff>
    </xdr:from>
    <xdr:to>
      <xdr:col>10</xdr:col>
      <xdr:colOff>496454</xdr:colOff>
      <xdr:row>60</xdr:row>
      <xdr:rowOff>173760</xdr:rowOff>
    </xdr:to>
    <xdr:graphicFrame macro="">
      <xdr:nvGraphicFramePr>
        <xdr:cNvPr id="20" name="グラフ 3">
          <a:extLst>
            <a:ext uri="{FF2B5EF4-FFF2-40B4-BE49-F238E27FC236}">
              <a16:creationId xmlns:a16="http://schemas.microsoft.com/office/drawing/2014/main" id="{E572879F-3039-8249-BC07-910A86DEE3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</xdr:row>
      <xdr:rowOff>11982</xdr:rowOff>
    </xdr:from>
    <xdr:to>
      <xdr:col>3</xdr:col>
      <xdr:colOff>302260</xdr:colOff>
      <xdr:row>13</xdr:row>
      <xdr:rowOff>187242</xdr:rowOff>
    </xdr:to>
    <xdr:pic>
      <xdr:nvPicPr>
        <xdr:cNvPr id="17" name="図 6">
          <a:extLst>
            <a:ext uri="{FF2B5EF4-FFF2-40B4-BE49-F238E27FC236}">
              <a16:creationId xmlns:a16="http://schemas.microsoft.com/office/drawing/2014/main" id="{5C32CEB9-B55C-4AFF-B661-2685EAE9F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18397"/>
          <a:ext cx="3251200" cy="243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16934</xdr:colOff>
      <xdr:row>4</xdr:row>
      <xdr:rowOff>33866</xdr:rowOff>
    </xdr:from>
    <xdr:to>
      <xdr:col>7</xdr:col>
      <xdr:colOff>319194</xdr:colOff>
      <xdr:row>13</xdr:row>
      <xdr:rowOff>209126</xdr:rowOff>
    </xdr:to>
    <xdr:pic>
      <xdr:nvPicPr>
        <xdr:cNvPr id="19" name="図 7">
          <a:extLst>
            <a:ext uri="{FF2B5EF4-FFF2-40B4-BE49-F238E27FC236}">
              <a16:creationId xmlns:a16="http://schemas.microsoft.com/office/drawing/2014/main" id="{7F164CA7-B18A-D4E0-6695-AF4345876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21201" y="1049866"/>
          <a:ext cx="3251200" cy="2438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2</xdr:row>
      <xdr:rowOff>38100</xdr:rowOff>
    </xdr:from>
    <xdr:to>
      <xdr:col>4</xdr:col>
      <xdr:colOff>363220</xdr:colOff>
      <xdr:row>11</xdr:row>
      <xdr:rowOff>213360</xdr:rowOff>
    </xdr:to>
    <xdr:pic>
      <xdr:nvPicPr>
        <xdr:cNvPr id="3" name="図 1">
          <a:extLst>
            <a:ext uri="{FF2B5EF4-FFF2-40B4-BE49-F238E27FC236}">
              <a16:creationId xmlns:a16="http://schemas.microsoft.com/office/drawing/2014/main" id="{8B9EBBF9-C4F5-3D20-31D5-7570A3295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546100"/>
          <a:ext cx="3251200" cy="2438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12700</xdr:colOff>
      <xdr:row>2</xdr:row>
      <xdr:rowOff>25400</xdr:rowOff>
    </xdr:from>
    <xdr:to>
      <xdr:col>8</xdr:col>
      <xdr:colOff>48260</xdr:colOff>
      <xdr:row>11</xdr:row>
      <xdr:rowOff>200660</xdr:rowOff>
    </xdr:to>
    <xdr:pic>
      <xdr:nvPicPr>
        <xdr:cNvPr id="6" name="図 2">
          <a:extLst>
            <a:ext uri="{FF2B5EF4-FFF2-40B4-BE49-F238E27FC236}">
              <a16:creationId xmlns:a16="http://schemas.microsoft.com/office/drawing/2014/main" id="{57C152F8-E0D8-DF1D-7B70-435999A9C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22700" y="533400"/>
          <a:ext cx="3251200" cy="243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1044823</xdr:colOff>
      <xdr:row>2</xdr:row>
      <xdr:rowOff>27021</xdr:rowOff>
    </xdr:from>
    <xdr:to>
      <xdr:col>12</xdr:col>
      <xdr:colOff>326003</xdr:colOff>
      <xdr:row>11</xdr:row>
      <xdr:rowOff>202281</xdr:rowOff>
    </xdr:to>
    <xdr:pic>
      <xdr:nvPicPr>
        <xdr:cNvPr id="8" name="図 3">
          <a:extLst>
            <a:ext uri="{FF2B5EF4-FFF2-40B4-BE49-F238E27FC236}">
              <a16:creationId xmlns:a16="http://schemas.microsoft.com/office/drawing/2014/main" id="{0E828B46-0742-11F9-6432-FAF87C0AE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28085" y="531418"/>
          <a:ext cx="3251200" cy="2438400"/>
        </a:xfrm>
        <a:prstGeom prst="rect">
          <a:avLst/>
        </a:prstGeom>
      </xdr:spPr>
    </xdr:pic>
    <xdr:clientData/>
  </xdr:twoCellAnchor>
  <xdr:twoCellAnchor editAs="oneCell">
    <xdr:from>
      <xdr:col>12</xdr:col>
      <xdr:colOff>9007</xdr:colOff>
      <xdr:row>2</xdr:row>
      <xdr:rowOff>9007</xdr:rowOff>
    </xdr:from>
    <xdr:to>
      <xdr:col>16</xdr:col>
      <xdr:colOff>348538</xdr:colOff>
      <xdr:row>11</xdr:row>
      <xdr:rowOff>200480</xdr:rowOff>
    </xdr:to>
    <xdr:pic>
      <xdr:nvPicPr>
        <xdr:cNvPr id="12" name="図 4">
          <a:extLst>
            <a:ext uri="{FF2B5EF4-FFF2-40B4-BE49-F238E27FC236}">
              <a16:creationId xmlns:a16="http://schemas.microsoft.com/office/drawing/2014/main" id="{A02CE112-FA59-37A6-A978-713594039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65106" y="513404"/>
          <a:ext cx="3251200" cy="24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14112</xdr:colOff>
      <xdr:row>15</xdr:row>
      <xdr:rowOff>14111</xdr:rowOff>
    </xdr:from>
    <xdr:to>
      <xdr:col>4</xdr:col>
      <xdr:colOff>339232</xdr:colOff>
      <xdr:row>24</xdr:row>
      <xdr:rowOff>189371</xdr:rowOff>
    </xdr:to>
    <xdr:pic>
      <xdr:nvPicPr>
        <xdr:cNvPr id="14" name="図 5">
          <a:extLst>
            <a:ext uri="{FF2B5EF4-FFF2-40B4-BE49-F238E27FC236}">
              <a16:creationId xmlns:a16="http://schemas.microsoft.com/office/drawing/2014/main" id="{B71F70F6-BADA-1222-86C3-60ABC6919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112" y="3824111"/>
          <a:ext cx="3251200" cy="2438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44824</xdr:colOff>
      <xdr:row>0</xdr:row>
      <xdr:rowOff>242047</xdr:rowOff>
    </xdr:from>
    <xdr:to>
      <xdr:col>29</xdr:col>
      <xdr:colOff>791883</xdr:colOff>
      <xdr:row>11</xdr:row>
      <xdr:rowOff>161365</xdr:rowOff>
    </xdr:to>
    <xdr:graphicFrame macro="">
      <xdr:nvGraphicFramePr>
        <xdr:cNvPr id="12" name="グラフ 3">
          <a:extLst>
            <a:ext uri="{FF2B5EF4-FFF2-40B4-BE49-F238E27FC236}">
              <a16:creationId xmlns:a16="http://schemas.microsoft.com/office/drawing/2014/main" id="{436ECF95-71A7-E649-A6B0-EBAB0ABAF2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647364</xdr:colOff>
      <xdr:row>0</xdr:row>
      <xdr:rowOff>0</xdr:rowOff>
    </xdr:from>
    <xdr:to>
      <xdr:col>39</xdr:col>
      <xdr:colOff>442815</xdr:colOff>
      <xdr:row>10</xdr:row>
      <xdr:rowOff>135766</xdr:rowOff>
    </xdr:to>
    <xdr:graphicFrame macro="">
      <xdr:nvGraphicFramePr>
        <xdr:cNvPr id="14" name="グラフ 4">
          <a:extLst>
            <a:ext uri="{FF2B5EF4-FFF2-40B4-BE49-F238E27FC236}">
              <a16:creationId xmlns:a16="http://schemas.microsoft.com/office/drawing/2014/main" id="{8A534A56-66B1-EC45-96B8-6719A0BD5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0</xdr:colOff>
      <xdr:row>16</xdr:row>
      <xdr:rowOff>0</xdr:rowOff>
    </xdr:from>
    <xdr:to>
      <xdr:col>39</xdr:col>
      <xdr:colOff>762000</xdr:colOff>
      <xdr:row>26</xdr:row>
      <xdr:rowOff>237067</xdr:rowOff>
    </xdr:to>
    <xdr:graphicFrame macro="">
      <xdr:nvGraphicFramePr>
        <xdr:cNvPr id="5" name="グラフ 5">
          <a:extLst>
            <a:ext uri="{FF2B5EF4-FFF2-40B4-BE49-F238E27FC236}">
              <a16:creationId xmlns:a16="http://schemas.microsoft.com/office/drawing/2014/main" id="{4214C0B4-1018-5945-BEF4-ACE8E0514F3F}"/>
            </a:ext>
            <a:ext uri="{147F2762-F138-4A5C-976F-8EAC2B608ADB}">
              <a16:predDERef xmlns:a16="http://schemas.microsoft.com/office/drawing/2014/main" pred="{8A534A56-66B1-EC45-96B8-6719A0BD5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4</xdr:row>
      <xdr:rowOff>113393</xdr:rowOff>
    </xdr:from>
    <xdr:to>
      <xdr:col>3</xdr:col>
      <xdr:colOff>118352</xdr:colOff>
      <xdr:row>14</xdr:row>
      <xdr:rowOff>16328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C2E8864-0054-0411-884C-DF52B4944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33929"/>
          <a:ext cx="3226707" cy="2397578"/>
        </a:xfrm>
        <a:prstGeom prst="rect">
          <a:avLst/>
        </a:prstGeom>
      </xdr:spPr>
    </xdr:pic>
    <xdr:clientData/>
  </xdr:twoCellAnchor>
  <xdr:twoCellAnchor>
    <xdr:from>
      <xdr:col>0</xdr:col>
      <xdr:colOff>31750</xdr:colOff>
      <xdr:row>51</xdr:row>
      <xdr:rowOff>31750</xdr:rowOff>
    </xdr:from>
    <xdr:to>
      <xdr:col>4</xdr:col>
      <xdr:colOff>171450</xdr:colOff>
      <xdr:row>61</xdr:row>
      <xdr:rowOff>234950</xdr:rowOff>
    </xdr:to>
    <xdr:graphicFrame macro="">
      <xdr:nvGraphicFramePr>
        <xdr:cNvPr id="28" name="グラフ 2">
          <a:extLst>
            <a:ext uri="{FF2B5EF4-FFF2-40B4-BE49-F238E27FC236}">
              <a16:creationId xmlns:a16="http://schemas.microsoft.com/office/drawing/2014/main" id="{8BB90B0E-2960-B0FA-AE90-5782921599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230717</xdr:colOff>
      <xdr:row>50</xdr:row>
      <xdr:rowOff>239184</xdr:rowOff>
    </xdr:from>
    <xdr:to>
      <xdr:col>9</xdr:col>
      <xdr:colOff>687917</xdr:colOff>
      <xdr:row>61</xdr:row>
      <xdr:rowOff>188384</xdr:rowOff>
    </xdr:to>
    <xdr:graphicFrame macro="">
      <xdr:nvGraphicFramePr>
        <xdr:cNvPr id="29" name="グラフ 6">
          <a:extLst>
            <a:ext uri="{FF2B5EF4-FFF2-40B4-BE49-F238E27FC236}">
              <a16:creationId xmlns:a16="http://schemas.microsoft.com/office/drawing/2014/main" id="{3C76A2E0-F6EC-ADC2-5D7A-3F9516876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12</xdr:col>
      <xdr:colOff>929640</xdr:colOff>
      <xdr:row>4</xdr:row>
      <xdr:rowOff>198120</xdr:rowOff>
    </xdr:from>
    <xdr:to>
      <xdr:col>16</xdr:col>
      <xdr:colOff>309880</xdr:colOff>
      <xdr:row>14</xdr:row>
      <xdr:rowOff>121920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F95CFFE-B1C9-D956-0423-98CD527DE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91160" y="1219200"/>
          <a:ext cx="3251200" cy="24384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12</xdr:col>
      <xdr:colOff>332740</xdr:colOff>
      <xdr:row>14</xdr:row>
      <xdr:rowOff>175260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5558148A-1467-DF85-33CE-5EF2B8177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43060" y="1272540"/>
          <a:ext cx="3251200" cy="2438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196890</xdr:colOff>
      <xdr:row>50</xdr:row>
      <xdr:rowOff>186746</xdr:rowOff>
    </xdr:from>
    <xdr:to>
      <xdr:col>5</xdr:col>
      <xdr:colOff>335871</xdr:colOff>
      <xdr:row>61</xdr:row>
      <xdr:rowOff>162305</xdr:rowOff>
    </xdr:to>
    <xdr:graphicFrame macro="">
      <xdr:nvGraphicFramePr>
        <xdr:cNvPr id="18" name="グラフ 1">
          <a:extLst>
            <a:ext uri="{FF2B5EF4-FFF2-40B4-BE49-F238E27FC236}">
              <a16:creationId xmlns:a16="http://schemas.microsoft.com/office/drawing/2014/main" id="{539C11C5-7438-524C-9B2D-3928786D4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253999</xdr:colOff>
      <xdr:row>50</xdr:row>
      <xdr:rowOff>28287</xdr:rowOff>
    </xdr:from>
    <xdr:to>
      <xdr:col>10</xdr:col>
      <xdr:colOff>496454</xdr:colOff>
      <xdr:row>60</xdr:row>
      <xdr:rowOff>173760</xdr:rowOff>
    </xdr:to>
    <xdr:graphicFrame macro="">
      <xdr:nvGraphicFramePr>
        <xdr:cNvPr id="19" name="グラフ 2">
          <a:extLst>
            <a:ext uri="{FF2B5EF4-FFF2-40B4-BE49-F238E27FC236}">
              <a16:creationId xmlns:a16="http://schemas.microsoft.com/office/drawing/2014/main" id="{12EF25B3-8B6B-3941-AD8B-FE3A922983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24</xdr:row>
      <xdr:rowOff>0</xdr:rowOff>
    </xdr:from>
    <xdr:to>
      <xdr:col>13</xdr:col>
      <xdr:colOff>355600</xdr:colOff>
      <xdr:row>33</xdr:row>
      <xdr:rowOff>152400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D786605A-24D7-9B4F-6D41-7D179E58D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4640" y="6096000"/>
          <a:ext cx="3251200" cy="24384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18</xdr:col>
      <xdr:colOff>355600</xdr:colOff>
      <xdr:row>33</xdr:row>
      <xdr:rowOff>152400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EEEE74E3-4C5C-62CC-FEE6-FA1FAC2FA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80640" y="6096000"/>
          <a:ext cx="3251200" cy="2438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4</xdr:col>
      <xdr:colOff>152400</xdr:colOff>
      <xdr:row>11</xdr:row>
      <xdr:rowOff>152400</xdr:rowOff>
    </xdr:to>
    <xdr:pic>
      <xdr:nvPicPr>
        <xdr:cNvPr id="4" name="図 2">
          <a:extLst>
            <a:ext uri="{FF2B5EF4-FFF2-40B4-BE49-F238E27FC236}">
              <a16:creationId xmlns:a16="http://schemas.microsoft.com/office/drawing/2014/main" id="{943D7246-FE89-FF3A-D5EC-0B28607FC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02920"/>
          <a:ext cx="3251200" cy="2438400"/>
        </a:xfrm>
        <a:prstGeom prst="rect">
          <a:avLst/>
        </a:prstGeom>
      </xdr:spPr>
    </xdr:pic>
    <xdr:clientData/>
  </xdr:twoCellAnchor>
  <xdr:twoCellAnchor editAs="oneCell">
    <xdr:from>
      <xdr:col>5</xdr:col>
      <xdr:colOff>28080</xdr:colOff>
      <xdr:row>2</xdr:row>
      <xdr:rowOff>12840</xdr:rowOff>
    </xdr:from>
    <xdr:to>
      <xdr:col>9</xdr:col>
      <xdr:colOff>353200</xdr:colOff>
      <xdr:row>11</xdr:row>
      <xdr:rowOff>188100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57B0063-749B-2818-DD67-C7CBE45A2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5680" y="515760"/>
          <a:ext cx="3251200" cy="24384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16</xdr:col>
      <xdr:colOff>325120</xdr:colOff>
      <xdr:row>11</xdr:row>
      <xdr:rowOff>175260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2F9F227-CC85-68AB-3201-71B9C4C9C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8240" y="502920"/>
          <a:ext cx="3251200" cy="243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22</xdr:col>
      <xdr:colOff>325120</xdr:colOff>
      <xdr:row>11</xdr:row>
      <xdr:rowOff>175260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DC49C34-3379-6FD9-6AE8-54FF079B9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502920"/>
          <a:ext cx="3251200" cy="243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</xdr:row>
      <xdr:rowOff>0</xdr:rowOff>
    </xdr:from>
    <xdr:to>
      <xdr:col>28</xdr:col>
      <xdr:colOff>325120</xdr:colOff>
      <xdr:row>11</xdr:row>
      <xdr:rowOff>175260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8BB5245F-0781-ED81-66DD-18464B98C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56480" y="502920"/>
          <a:ext cx="3251200" cy="24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4</xdr:col>
      <xdr:colOff>325120</xdr:colOff>
      <xdr:row>29</xdr:row>
      <xdr:rowOff>175260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4DE0C335-FA76-C4DF-DE5C-270DBB209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029200"/>
          <a:ext cx="3251200" cy="2438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4182</xdr:colOff>
      <xdr:row>0</xdr:row>
      <xdr:rowOff>239287</xdr:rowOff>
    </xdr:from>
    <xdr:to>
      <xdr:col>10</xdr:col>
      <xdr:colOff>766181</xdr:colOff>
      <xdr:row>11</xdr:row>
      <xdr:rowOff>188487</xdr:rowOff>
    </xdr:to>
    <xdr:graphicFrame macro="">
      <xdr:nvGraphicFramePr>
        <xdr:cNvPr id="207" name="グラフ 1">
          <a:extLst>
            <a:ext uri="{FF2B5EF4-FFF2-40B4-BE49-F238E27FC236}">
              <a16:creationId xmlns:a16="http://schemas.microsoft.com/office/drawing/2014/main" id="{AA5471EC-62B2-CD2F-B820-B2AB6E812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165046</xdr:colOff>
      <xdr:row>0</xdr:row>
      <xdr:rowOff>62905</xdr:rowOff>
    </xdr:from>
    <xdr:to>
      <xdr:col>19</xdr:col>
      <xdr:colOff>931785</xdr:colOff>
      <xdr:row>10</xdr:row>
      <xdr:rowOff>247151</xdr:rowOff>
    </xdr:to>
    <xdr:graphicFrame macro="">
      <xdr:nvGraphicFramePr>
        <xdr:cNvPr id="209" name="グラフ 3">
          <a:extLst>
            <a:ext uri="{FF2B5EF4-FFF2-40B4-BE49-F238E27FC236}">
              <a16:creationId xmlns:a16="http://schemas.microsoft.com/office/drawing/2014/main" id="{0657E068-9088-610F-F030-7E97CF8A99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44824</xdr:colOff>
      <xdr:row>0</xdr:row>
      <xdr:rowOff>242047</xdr:rowOff>
    </xdr:from>
    <xdr:to>
      <xdr:col>29</xdr:col>
      <xdr:colOff>791883</xdr:colOff>
      <xdr:row>11</xdr:row>
      <xdr:rowOff>161365</xdr:rowOff>
    </xdr:to>
    <xdr:graphicFrame macro="">
      <xdr:nvGraphicFramePr>
        <xdr:cNvPr id="208" name="グラフ 4">
          <a:extLst>
            <a:ext uri="{FF2B5EF4-FFF2-40B4-BE49-F238E27FC236}">
              <a16:creationId xmlns:a16="http://schemas.microsoft.com/office/drawing/2014/main" id="{FAE75466-1EB7-172C-43FD-A9FAD1D19E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647364</xdr:colOff>
      <xdr:row>0</xdr:row>
      <xdr:rowOff>0</xdr:rowOff>
    </xdr:from>
    <xdr:to>
      <xdr:col>39</xdr:col>
      <xdr:colOff>442815</xdr:colOff>
      <xdr:row>10</xdr:row>
      <xdr:rowOff>135766</xdr:rowOff>
    </xdr:to>
    <xdr:graphicFrame macro="">
      <xdr:nvGraphicFramePr>
        <xdr:cNvPr id="206" name="グラフ 5">
          <a:extLst>
            <a:ext uri="{FF2B5EF4-FFF2-40B4-BE49-F238E27FC236}">
              <a16:creationId xmlns:a16="http://schemas.microsoft.com/office/drawing/2014/main" id="{6360304F-F622-4A41-1EDD-273AA01159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0</xdr:colOff>
      <xdr:row>16</xdr:row>
      <xdr:rowOff>0</xdr:rowOff>
    </xdr:from>
    <xdr:to>
      <xdr:col>39</xdr:col>
      <xdr:colOff>762000</xdr:colOff>
      <xdr:row>26</xdr:row>
      <xdr:rowOff>237067</xdr:rowOff>
    </xdr:to>
    <xdr:graphicFrame macro="">
      <xdr:nvGraphicFramePr>
        <xdr:cNvPr id="205" name="グラフ 7">
          <a:extLst>
            <a:ext uri="{FF2B5EF4-FFF2-40B4-BE49-F238E27FC236}">
              <a16:creationId xmlns:a16="http://schemas.microsoft.com/office/drawing/2014/main" id="{201A10C6-1A48-3743-B917-C555805CC4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65E22-EE41-A248-829B-098154DA824B}">
  <dimension ref="A2:M90"/>
  <sheetViews>
    <sheetView topLeftCell="A2" zoomScale="110" zoomScaleNormal="100" workbookViewId="0">
      <selection activeCell="L10" sqref="L10"/>
    </sheetView>
  </sheetViews>
  <sheetFormatPr baseColWidth="10" defaultColWidth="11.5703125" defaultRowHeight="20"/>
  <cols>
    <col min="1" max="3" width="11.7109375" bestFit="1" customWidth="1"/>
    <col min="4" max="4" width="15.28515625" customWidth="1"/>
    <col min="5" max="7" width="11.7109375" bestFit="1" customWidth="1"/>
    <col min="8" max="8" width="14.28515625" bestFit="1" customWidth="1"/>
    <col min="9" max="9" width="13" bestFit="1" customWidth="1"/>
    <col min="10" max="10" width="11.7109375" bestFit="1" customWidth="1"/>
  </cols>
  <sheetData>
    <row r="2" spans="1:9">
      <c r="B2" s="4"/>
      <c r="C2" s="1"/>
    </row>
    <row r="3" spans="1:9">
      <c r="B3" s="4"/>
      <c r="C3" s="1"/>
    </row>
    <row r="4" spans="1:9">
      <c r="A4" t="s">
        <v>0</v>
      </c>
      <c r="B4" s="4"/>
      <c r="C4" s="1"/>
      <c r="E4" t="s">
        <v>1</v>
      </c>
    </row>
    <row r="5" spans="1:9">
      <c r="B5" s="4"/>
      <c r="C5" s="1"/>
      <c r="E5" t="s">
        <v>2</v>
      </c>
      <c r="I5" t="s">
        <v>3</v>
      </c>
    </row>
    <row r="6" spans="1:9">
      <c r="B6" s="4"/>
      <c r="C6" s="1"/>
    </row>
    <row r="7" spans="1:9">
      <c r="B7" s="4"/>
      <c r="C7" s="1"/>
    </row>
    <row r="8" spans="1:9">
      <c r="B8" s="4"/>
      <c r="C8" s="1"/>
    </row>
    <row r="9" spans="1:9">
      <c r="B9" s="4"/>
      <c r="C9" s="1"/>
    </row>
    <row r="10" spans="1:9">
      <c r="B10" s="4"/>
      <c r="C10" s="1"/>
    </row>
    <row r="11" spans="1:9">
      <c r="B11" s="4"/>
      <c r="C11" s="1"/>
    </row>
    <row r="12" spans="1:9">
      <c r="B12" s="4"/>
      <c r="C12" s="1"/>
    </row>
    <row r="16" spans="1:9">
      <c r="E16" t="s">
        <v>4</v>
      </c>
    </row>
    <row r="17" spans="1:13">
      <c r="M17" t="s">
        <v>59</v>
      </c>
    </row>
    <row r="18" spans="1:13">
      <c r="A18" s="6" t="s">
        <v>5</v>
      </c>
      <c r="B18" s="8"/>
      <c r="C18" s="8"/>
      <c r="D18" s="8"/>
    </row>
    <row r="19" spans="1:13">
      <c r="A19" s="6" t="s">
        <v>6</v>
      </c>
      <c r="B19" s="6" t="s">
        <v>7</v>
      </c>
      <c r="C19" s="6" t="s">
        <v>8</v>
      </c>
      <c r="D19" s="6" t="s">
        <v>9</v>
      </c>
      <c r="E19" s="6" t="s">
        <v>60</v>
      </c>
    </row>
    <row r="20" spans="1:13">
      <c r="A20" s="8">
        <v>26</v>
      </c>
      <c r="B20" s="8">
        <v>10</v>
      </c>
      <c r="C20" s="8">
        <v>360</v>
      </c>
      <c r="D20" s="8">
        <f>A20*B20*C20*10^-3</f>
        <v>93.600000000000009</v>
      </c>
      <c r="E20">
        <f>100*(D20-90)/90</f>
        <v>4.0000000000000098</v>
      </c>
    </row>
    <row r="21" spans="1:13">
      <c r="J21" s="8"/>
      <c r="K21" s="8"/>
      <c r="L21" s="8"/>
      <c r="M21" s="8"/>
    </row>
    <row r="22" spans="1:13">
      <c r="J22" s="6"/>
      <c r="K22" s="8"/>
      <c r="L22" s="8"/>
      <c r="M22" s="8"/>
    </row>
    <row r="23" spans="1:13">
      <c r="J23" s="6"/>
      <c r="K23" s="6"/>
      <c r="L23" s="6"/>
      <c r="M23" s="6"/>
    </row>
    <row r="24" spans="1:13">
      <c r="A24" t="s">
        <v>10</v>
      </c>
      <c r="J24" s="8"/>
      <c r="K24" s="8"/>
      <c r="L24" s="8"/>
      <c r="M24" s="8"/>
    </row>
    <row r="25" spans="1:13" ht="22">
      <c r="A25" s="15" t="s">
        <v>11</v>
      </c>
      <c r="B25" s="15" t="s">
        <v>12</v>
      </c>
      <c r="C25" s="15" t="s">
        <v>8</v>
      </c>
      <c r="D25" s="15" t="s">
        <v>9</v>
      </c>
      <c r="E25" s="15" t="s">
        <v>13</v>
      </c>
      <c r="F25" s="15" t="s">
        <v>14</v>
      </c>
      <c r="G25" s="15" t="s">
        <v>15</v>
      </c>
      <c r="H25" s="15" t="s">
        <v>16</v>
      </c>
      <c r="I25" s="15" t="s">
        <v>36</v>
      </c>
      <c r="J25" s="15" t="s">
        <v>61</v>
      </c>
      <c r="K25" s="16" t="s">
        <v>62</v>
      </c>
      <c r="L25" s="8"/>
      <c r="M25" s="8"/>
    </row>
    <row r="26" spans="1:13">
      <c r="A26" s="17">
        <f>50*10^-3</f>
        <v>0.05</v>
      </c>
      <c r="B26" s="17">
        <v>10</v>
      </c>
      <c r="C26" s="17">
        <v>360</v>
      </c>
      <c r="D26" s="17">
        <f t="shared" ref="D26:D48" si="0">A26*B26*C26</f>
        <v>180</v>
      </c>
      <c r="E26" s="18">
        <v>7.84</v>
      </c>
      <c r="F26" s="18">
        <v>16.2</v>
      </c>
      <c r="G26" s="18">
        <f t="shared" ref="G26:G48" si="1">20*LOG10(F26/E26)</f>
        <v>6.3039790371638507</v>
      </c>
      <c r="H26" s="18">
        <v>90</v>
      </c>
      <c r="I26" s="18">
        <f t="shared" ref="I26:I48" si="2">-20*LOG10(2*PI()*B26*(10^(-4)))</f>
        <v>44.036402632837699</v>
      </c>
      <c r="J26" s="17">
        <f>100*ABS((H26-D26)/H26)</f>
        <v>100</v>
      </c>
      <c r="K26" s="17">
        <f>100*ABS((G26-I26)/I26)</f>
        <v>85.684618496827426</v>
      </c>
      <c r="L26" s="8"/>
      <c r="M26" s="8"/>
    </row>
    <row r="27" spans="1:13">
      <c r="A27" s="18">
        <f>24*10^-3</f>
        <v>2.4E-2</v>
      </c>
      <c r="B27" s="18">
        <v>20</v>
      </c>
      <c r="C27" s="17">
        <v>360</v>
      </c>
      <c r="D27" s="17">
        <f t="shared" si="0"/>
        <v>172.79999999999998</v>
      </c>
      <c r="E27" s="18">
        <v>7.84</v>
      </c>
      <c r="F27" s="18">
        <v>16.2</v>
      </c>
      <c r="G27" s="18">
        <f>20*LOG10(F27/E27)</f>
        <v>6.3039790371638507</v>
      </c>
      <c r="H27" s="18">
        <v>90</v>
      </c>
      <c r="I27" s="18">
        <f t="shared" si="2"/>
        <v>38.015802719558074</v>
      </c>
      <c r="J27" s="17">
        <f t="shared" ref="J27:J48" si="3">100*ABS((H27-D27)/H27)</f>
        <v>91.999999999999986</v>
      </c>
      <c r="K27" s="17">
        <f t="shared" ref="K27:K48" si="4">100*ABS((G27-I27)/I27)</f>
        <v>83.417477506214468</v>
      </c>
    </row>
    <row r="28" spans="1:13">
      <c r="A28" s="18">
        <f>16.8*10^-3</f>
        <v>1.6800000000000002E-2</v>
      </c>
      <c r="B28" s="18">
        <v>30</v>
      </c>
      <c r="C28" s="17">
        <v>360</v>
      </c>
      <c r="D28" s="17">
        <f t="shared" si="0"/>
        <v>181.44000000000005</v>
      </c>
      <c r="E28" s="18">
        <v>7.84</v>
      </c>
      <c r="F28" s="18">
        <v>16</v>
      </c>
      <c r="G28" s="18">
        <f t="shared" si="1"/>
        <v>6.1960783994297275</v>
      </c>
      <c r="H28" s="18">
        <v>90</v>
      </c>
      <c r="I28" s="18">
        <f t="shared" si="2"/>
        <v>34.493977538444447</v>
      </c>
      <c r="J28" s="17">
        <f t="shared" si="3"/>
        <v>101.60000000000007</v>
      </c>
      <c r="K28" s="17">
        <f t="shared" si="4"/>
        <v>82.037216808284768</v>
      </c>
    </row>
    <row r="29" spans="1:13">
      <c r="A29" s="18">
        <f>9.8*10^-3</f>
        <v>9.8000000000000014E-3</v>
      </c>
      <c r="B29" s="18">
        <v>50</v>
      </c>
      <c r="C29" s="17">
        <v>360</v>
      </c>
      <c r="D29" s="17">
        <f t="shared" si="0"/>
        <v>176.4</v>
      </c>
      <c r="E29" s="18">
        <v>7.84</v>
      </c>
      <c r="F29" s="18">
        <v>16</v>
      </c>
      <c r="G29" s="18">
        <f t="shared" si="1"/>
        <v>6.1960783994297275</v>
      </c>
      <c r="H29" s="18">
        <v>90</v>
      </c>
      <c r="I29" s="18">
        <f t="shared" si="2"/>
        <v>30.057002546117321</v>
      </c>
      <c r="J29" s="17">
        <f t="shared" si="3"/>
        <v>96.000000000000014</v>
      </c>
      <c r="K29" s="17">
        <f t="shared" si="4"/>
        <v>79.385574493255248</v>
      </c>
    </row>
    <row r="30" spans="1:13">
      <c r="A30" s="18">
        <f>5.2*10^-3</f>
        <v>5.2000000000000006E-3</v>
      </c>
      <c r="B30" s="18">
        <v>100</v>
      </c>
      <c r="C30" s="17">
        <v>360</v>
      </c>
      <c r="D30" s="17">
        <f t="shared" si="0"/>
        <v>187.20000000000002</v>
      </c>
      <c r="E30" s="18">
        <v>7.84</v>
      </c>
      <c r="F30" s="18">
        <v>16</v>
      </c>
      <c r="G30" s="18">
        <f t="shared" si="1"/>
        <v>6.1960783994297275</v>
      </c>
      <c r="H30" s="18">
        <v>90</v>
      </c>
      <c r="I30" s="18">
        <f t="shared" si="2"/>
        <v>24.036402632837696</v>
      </c>
      <c r="J30" s="17">
        <f t="shared" si="3"/>
        <v>108.00000000000003</v>
      </c>
      <c r="K30" s="17">
        <f t="shared" si="4"/>
        <v>74.222105969531142</v>
      </c>
    </row>
    <row r="31" spans="1:13">
      <c r="A31" s="18">
        <f>2.28*10^-3</f>
        <v>2.2799999999999999E-3</v>
      </c>
      <c r="B31" s="18">
        <v>200</v>
      </c>
      <c r="C31" s="17">
        <v>360</v>
      </c>
      <c r="D31" s="17">
        <f t="shared" si="0"/>
        <v>164.16</v>
      </c>
      <c r="E31" s="18">
        <v>7.92</v>
      </c>
      <c r="F31" s="18">
        <v>15.2</v>
      </c>
      <c r="G31" s="18">
        <f t="shared" si="1"/>
        <v>5.6623681271055801</v>
      </c>
      <c r="H31" s="18">
        <v>90</v>
      </c>
      <c r="I31" s="18">
        <f t="shared" si="2"/>
        <v>18.015802719558074</v>
      </c>
      <c r="J31" s="17">
        <f t="shared" si="3"/>
        <v>82.399999999999991</v>
      </c>
      <c r="K31" s="17">
        <f t="shared" si="4"/>
        <v>68.569992604556688</v>
      </c>
    </row>
    <row r="32" spans="1:13">
      <c r="A32" s="18">
        <f>1.48*10^-3</f>
        <v>1.48E-3</v>
      </c>
      <c r="B32" s="18">
        <v>300</v>
      </c>
      <c r="C32" s="17">
        <v>360</v>
      </c>
      <c r="D32" s="17">
        <f t="shared" si="0"/>
        <v>159.84</v>
      </c>
      <c r="E32" s="18">
        <v>7.84</v>
      </c>
      <c r="F32" s="18">
        <v>14.4</v>
      </c>
      <c r="G32" s="18">
        <f t="shared" si="1"/>
        <v>5.2809285882162254</v>
      </c>
      <c r="H32" s="18">
        <v>90</v>
      </c>
      <c r="I32" s="18">
        <f t="shared" si="2"/>
        <v>14.493977538444449</v>
      </c>
      <c r="J32" s="17">
        <f t="shared" si="3"/>
        <v>77.600000000000009</v>
      </c>
      <c r="K32" s="17">
        <f t="shared" si="4"/>
        <v>63.564669710513463</v>
      </c>
    </row>
    <row r="33" spans="1:11">
      <c r="A33" s="18">
        <f>960*10^-6</f>
        <v>9.5999999999999992E-4</v>
      </c>
      <c r="B33" s="18">
        <v>500</v>
      </c>
      <c r="C33" s="17">
        <v>360</v>
      </c>
      <c r="D33" s="17">
        <f t="shared" si="0"/>
        <v>172.79999999999998</v>
      </c>
      <c r="E33" s="18">
        <v>7.84</v>
      </c>
      <c r="F33" s="18">
        <v>12.4</v>
      </c>
      <c r="G33" s="18">
        <f t="shared" si="1"/>
        <v>3.9821124495559328</v>
      </c>
      <c r="H33" s="18">
        <v>90</v>
      </c>
      <c r="I33" s="18">
        <f t="shared" si="2"/>
        <v>10.057002546117324</v>
      </c>
      <c r="J33" s="17">
        <f t="shared" si="3"/>
        <v>91.999999999999986</v>
      </c>
      <c r="K33" s="17">
        <f t="shared" si="4"/>
        <v>60.404579482847055</v>
      </c>
    </row>
    <row r="34" spans="1:11">
      <c r="A34" s="18">
        <f>340*10^-6</f>
        <v>3.3999999999999997E-4</v>
      </c>
      <c r="B34" s="18">
        <v>1000</v>
      </c>
      <c r="C34" s="17">
        <v>360</v>
      </c>
      <c r="D34" s="17">
        <f t="shared" si="0"/>
        <v>122.39999999999999</v>
      </c>
      <c r="E34" s="18">
        <v>7.84</v>
      </c>
      <c r="F34" s="18">
        <v>8.6</v>
      </c>
      <c r="G34" s="18">
        <f t="shared" si="1"/>
        <v>0.80364777118258512</v>
      </c>
      <c r="H34" s="18">
        <v>90</v>
      </c>
      <c r="I34" s="18">
        <f t="shared" si="2"/>
        <v>4.0364026328376994</v>
      </c>
      <c r="J34" s="17">
        <f t="shared" si="3"/>
        <v>35.999999999999993</v>
      </c>
      <c r="K34" s="17">
        <f t="shared" si="4"/>
        <v>80.089999826959797</v>
      </c>
    </row>
    <row r="35" spans="1:11">
      <c r="A35" s="18">
        <f>150*10^-6</f>
        <v>1.4999999999999999E-4</v>
      </c>
      <c r="B35" s="18">
        <f t="shared" ref="B35:B48" si="5">B31*10</f>
        <v>2000</v>
      </c>
      <c r="C35" s="17">
        <v>360</v>
      </c>
      <c r="D35" s="17">
        <f t="shared" si="0"/>
        <v>108</v>
      </c>
      <c r="E35" s="18">
        <v>7.84</v>
      </c>
      <c r="F35" s="18">
        <v>4.68</v>
      </c>
      <c r="G35" s="18">
        <f t="shared" si="1"/>
        <v>-4.4814041922062895</v>
      </c>
      <c r="H35" s="18">
        <v>90</v>
      </c>
      <c r="I35" s="18">
        <f t="shared" si="2"/>
        <v>-1.9841972804419243</v>
      </c>
      <c r="J35" s="17">
        <f t="shared" si="3"/>
        <v>20</v>
      </c>
      <c r="K35" s="17">
        <f t="shared" si="4"/>
        <v>125.85476940116472</v>
      </c>
    </row>
    <row r="36" spans="1:11">
      <c r="A36" s="18">
        <f>96*10^-6</f>
        <v>9.6000000000000002E-5</v>
      </c>
      <c r="B36" s="18">
        <f t="shared" si="5"/>
        <v>3000</v>
      </c>
      <c r="C36" s="17">
        <v>360</v>
      </c>
      <c r="D36" s="17">
        <f t="shared" si="0"/>
        <v>103.68</v>
      </c>
      <c r="E36" s="18">
        <v>8.08</v>
      </c>
      <c r="F36" s="18">
        <v>3.32</v>
      </c>
      <c r="G36" s="18">
        <f t="shared" si="1"/>
        <v>-7.7254655414109976</v>
      </c>
      <c r="H36" s="18">
        <v>90</v>
      </c>
      <c r="I36" s="18">
        <f t="shared" si="2"/>
        <v>-5.50602246155555</v>
      </c>
      <c r="J36" s="17">
        <f t="shared" si="3"/>
        <v>15.200000000000008</v>
      </c>
      <c r="K36" s="17">
        <f t="shared" si="4"/>
        <v>40.30937206217672</v>
      </c>
    </row>
    <row r="37" spans="1:11">
      <c r="A37" s="18">
        <f>52*10^-6</f>
        <v>5.1999999999999997E-5</v>
      </c>
      <c r="B37" s="18">
        <f t="shared" si="5"/>
        <v>5000</v>
      </c>
      <c r="C37" s="17">
        <v>360</v>
      </c>
      <c r="D37" s="17">
        <f t="shared" si="0"/>
        <v>93.600000000000009</v>
      </c>
      <c r="E37" s="18">
        <v>8</v>
      </c>
      <c r="F37" s="18">
        <v>2.04</v>
      </c>
      <c r="G37" s="18">
        <f t="shared" si="1"/>
        <v>-11.869196391320898</v>
      </c>
      <c r="H37" s="18">
        <v>90</v>
      </c>
      <c r="I37" s="18">
        <f t="shared" si="2"/>
        <v>-9.9429974538826791</v>
      </c>
      <c r="J37" s="17">
        <f t="shared" si="3"/>
        <v>4.0000000000000098</v>
      </c>
      <c r="K37" s="17">
        <f t="shared" si="4"/>
        <v>19.372417084206838</v>
      </c>
    </row>
    <row r="38" spans="1:11">
      <c r="A38" s="18">
        <f>27*10^-6</f>
        <v>2.6999999999999999E-5</v>
      </c>
      <c r="B38" s="18">
        <f t="shared" si="5"/>
        <v>10000</v>
      </c>
      <c r="C38" s="17">
        <v>360</v>
      </c>
      <c r="D38" s="17">
        <f t="shared" si="0"/>
        <v>97.199999999999989</v>
      </c>
      <c r="E38" s="18">
        <v>8</v>
      </c>
      <c r="F38" s="18">
        <v>1.04</v>
      </c>
      <c r="G38" s="18">
        <f t="shared" si="1"/>
        <v>-17.721132953863265</v>
      </c>
      <c r="H38" s="18">
        <v>90</v>
      </c>
      <c r="I38" s="18">
        <f t="shared" si="2"/>
        <v>-15.963597367162301</v>
      </c>
      <c r="J38" s="17">
        <f t="shared" si="3"/>
        <v>7.9999999999999876</v>
      </c>
      <c r="K38" s="17">
        <f t="shared" si="4"/>
        <v>11.009646173589161</v>
      </c>
    </row>
    <row r="39" spans="1:11">
      <c r="A39" s="18">
        <f>12*10^-6</f>
        <v>1.2E-5</v>
      </c>
      <c r="B39" s="18">
        <f t="shared" si="5"/>
        <v>20000</v>
      </c>
      <c r="C39" s="17">
        <v>360</v>
      </c>
      <c r="D39" s="17">
        <f t="shared" si="0"/>
        <v>86.4</v>
      </c>
      <c r="E39" s="18">
        <v>8</v>
      </c>
      <c r="F39" s="18">
        <v>0.54</v>
      </c>
      <c r="G39" s="18">
        <f t="shared" si="1"/>
        <v>-23.413924543379501</v>
      </c>
      <c r="H39" s="18">
        <v>90</v>
      </c>
      <c r="I39" s="18">
        <f t="shared" si="2"/>
        <v>-21.984197280441926</v>
      </c>
      <c r="J39" s="17">
        <f t="shared" si="3"/>
        <v>3.9999999999999938</v>
      </c>
      <c r="K39" s="17">
        <f t="shared" si="4"/>
        <v>6.5034317364387988</v>
      </c>
    </row>
    <row r="40" spans="1:11">
      <c r="A40" s="18">
        <f>8*10^-6</f>
        <v>7.9999999999999996E-6</v>
      </c>
      <c r="B40" s="18">
        <f t="shared" si="5"/>
        <v>30000</v>
      </c>
      <c r="C40" s="17">
        <v>360</v>
      </c>
      <c r="D40" s="17">
        <f t="shared" si="0"/>
        <v>86.399999999999991</v>
      </c>
      <c r="E40" s="18">
        <v>8</v>
      </c>
      <c r="F40" s="18">
        <v>0.38</v>
      </c>
      <c r="G40" s="18">
        <f t="shared" si="1"/>
        <v>-26.466127807502669</v>
      </c>
      <c r="H40" s="18">
        <v>90</v>
      </c>
      <c r="I40" s="18">
        <f t="shared" si="2"/>
        <v>-25.506022461555553</v>
      </c>
      <c r="J40" s="17">
        <f t="shared" si="3"/>
        <v>4.0000000000000098</v>
      </c>
      <c r="K40" s="17">
        <f t="shared" si="4"/>
        <v>3.7642299868364586</v>
      </c>
    </row>
    <row r="41" spans="1:11">
      <c r="A41" s="18">
        <f>4.8*10^-6</f>
        <v>4.7999999999999998E-6</v>
      </c>
      <c r="B41" s="18">
        <f t="shared" si="5"/>
        <v>50000</v>
      </c>
      <c r="C41" s="17">
        <v>360</v>
      </c>
      <c r="D41" s="17">
        <f t="shared" si="0"/>
        <v>86.399999999999991</v>
      </c>
      <c r="E41" s="18">
        <v>8</v>
      </c>
      <c r="F41" s="18">
        <v>0.38</v>
      </c>
      <c r="G41" s="18">
        <f t="shared" si="1"/>
        <v>-26.466127807502669</v>
      </c>
      <c r="H41" s="18">
        <v>90</v>
      </c>
      <c r="I41" s="18">
        <f t="shared" si="2"/>
        <v>-29.942997453882679</v>
      </c>
      <c r="J41" s="17">
        <f t="shared" si="3"/>
        <v>4.0000000000000098</v>
      </c>
      <c r="K41" s="17">
        <f t="shared" si="4"/>
        <v>11.611628567697611</v>
      </c>
    </row>
    <row r="42" spans="1:11">
      <c r="A42" s="18">
        <f>2.4*10^-6</f>
        <v>2.3999999999999999E-6</v>
      </c>
      <c r="B42" s="18">
        <f t="shared" si="5"/>
        <v>100000</v>
      </c>
      <c r="C42" s="17">
        <v>360</v>
      </c>
      <c r="D42" s="17">
        <f t="shared" si="0"/>
        <v>86.399999999999991</v>
      </c>
      <c r="E42" s="18">
        <v>8</v>
      </c>
      <c r="F42" s="18">
        <v>0.14000000000000001</v>
      </c>
      <c r="G42" s="18">
        <f t="shared" si="1"/>
        <v>-35.139239026274112</v>
      </c>
      <c r="H42" s="18">
        <v>90</v>
      </c>
      <c r="I42" s="18">
        <f t="shared" si="2"/>
        <v>-35.963597367162301</v>
      </c>
      <c r="J42" s="17">
        <f t="shared" si="3"/>
        <v>4.0000000000000098</v>
      </c>
      <c r="K42" s="17">
        <f t="shared" si="4"/>
        <v>2.2922021189150987</v>
      </c>
    </row>
    <row r="43" spans="1:11">
      <c r="A43" s="18">
        <f>1.2*10^-6</f>
        <v>1.1999999999999999E-6</v>
      </c>
      <c r="B43" s="18">
        <f t="shared" si="5"/>
        <v>200000</v>
      </c>
      <c r="C43" s="17">
        <v>360</v>
      </c>
      <c r="D43" s="17">
        <f t="shared" si="0"/>
        <v>86.399999999999991</v>
      </c>
      <c r="E43" s="18">
        <v>8</v>
      </c>
      <c r="F43" s="18">
        <v>8.2000000000000003E-2</v>
      </c>
      <c r="G43" s="18">
        <f t="shared" si="1"/>
        <v>-39.785522692164534</v>
      </c>
      <c r="H43" s="18">
        <v>90</v>
      </c>
      <c r="I43" s="18">
        <f t="shared" si="2"/>
        <v>-41.984197280441926</v>
      </c>
      <c r="J43" s="17">
        <f t="shared" si="3"/>
        <v>4.0000000000000098</v>
      </c>
      <c r="K43" s="17">
        <f t="shared" si="4"/>
        <v>5.2369099106287553</v>
      </c>
    </row>
    <row r="44" spans="1:11">
      <c r="A44" s="18">
        <f>760*10^-9</f>
        <v>7.6000000000000003E-7</v>
      </c>
      <c r="B44" s="18">
        <f t="shared" si="5"/>
        <v>300000</v>
      </c>
      <c r="C44" s="17">
        <v>360</v>
      </c>
      <c r="D44" s="17">
        <f t="shared" si="0"/>
        <v>82.08</v>
      </c>
      <c r="E44" s="18">
        <v>8</v>
      </c>
      <c r="F44" s="18">
        <v>4.9000000000000002E-2</v>
      </c>
      <c r="G44" s="18">
        <f t="shared" si="1"/>
        <v>-44.257878139268598</v>
      </c>
      <c r="H44" s="18">
        <v>90</v>
      </c>
      <c r="I44" s="18">
        <f t="shared" si="2"/>
        <v>-45.506022461555553</v>
      </c>
      <c r="J44" s="17">
        <f t="shared" si="3"/>
        <v>8.8000000000000025</v>
      </c>
      <c r="K44" s="17">
        <f t="shared" si="4"/>
        <v>2.7428112912777931</v>
      </c>
    </row>
    <row r="45" spans="1:11">
      <c r="A45" s="18">
        <f>467*10^-9</f>
        <v>4.6700000000000004E-7</v>
      </c>
      <c r="B45" s="18">
        <f t="shared" si="5"/>
        <v>500000</v>
      </c>
      <c r="C45" s="17">
        <v>360</v>
      </c>
      <c r="D45" s="17">
        <f t="shared" si="0"/>
        <v>84.06</v>
      </c>
      <c r="E45" s="18">
        <v>8.4</v>
      </c>
      <c r="F45" s="18">
        <v>3.5000000000000003E-2</v>
      </c>
      <c r="G45" s="18">
        <f t="shared" si="1"/>
        <v>-47.60422483423212</v>
      </c>
      <c r="H45" s="18">
        <v>90</v>
      </c>
      <c r="I45" s="18">
        <f t="shared" si="2"/>
        <v>-49.942997453882676</v>
      </c>
      <c r="J45" s="17">
        <f t="shared" si="3"/>
        <v>6.5999999999999979</v>
      </c>
      <c r="K45" s="17">
        <f t="shared" si="4"/>
        <v>4.6828839654852041</v>
      </c>
    </row>
    <row r="46" spans="1:11">
      <c r="A46" s="18">
        <f>230*10^-9</f>
        <v>2.3000000000000002E-7</v>
      </c>
      <c r="B46" s="18">
        <f t="shared" si="5"/>
        <v>1000000</v>
      </c>
      <c r="C46" s="17">
        <v>360</v>
      </c>
      <c r="D46" s="17">
        <f t="shared" si="0"/>
        <v>82.8</v>
      </c>
      <c r="E46" s="18">
        <v>21.6</v>
      </c>
      <c r="F46" s="18">
        <v>7.8E-2</v>
      </c>
      <c r="G46" s="18">
        <f t="shared" si="1"/>
        <v>-48.847182969209008</v>
      </c>
      <c r="H46" s="18">
        <v>90</v>
      </c>
      <c r="I46" s="18">
        <f t="shared" si="2"/>
        <v>-55.963597367162301</v>
      </c>
      <c r="J46" s="17">
        <f t="shared" si="3"/>
        <v>8.0000000000000036</v>
      </c>
      <c r="K46" s="17">
        <f t="shared" si="4"/>
        <v>12.716148948153542</v>
      </c>
    </row>
    <row r="47" spans="1:11">
      <c r="A47" s="18">
        <f>117*10^-9</f>
        <v>1.17E-7</v>
      </c>
      <c r="B47" s="18">
        <f t="shared" si="5"/>
        <v>2000000</v>
      </c>
      <c r="C47" s="17">
        <v>360</v>
      </c>
      <c r="D47" s="17">
        <f t="shared" si="0"/>
        <v>84.240000000000009</v>
      </c>
      <c r="E47" s="18">
        <v>7.36</v>
      </c>
      <c r="F47" s="18">
        <v>2.4E-2</v>
      </c>
      <c r="G47" s="18">
        <f t="shared" si="1"/>
        <v>-49.733331452517859</v>
      </c>
      <c r="H47" s="18">
        <v>90</v>
      </c>
      <c r="I47" s="18">
        <f t="shared" si="2"/>
        <v>-61.984197280441926</v>
      </c>
      <c r="J47" s="17">
        <f t="shared" si="3"/>
        <v>6.3999999999999906</v>
      </c>
      <c r="K47" s="17">
        <f t="shared" si="4"/>
        <v>19.764498639058157</v>
      </c>
    </row>
    <row r="48" spans="1:11">
      <c r="A48" s="18">
        <f>64*10^-9</f>
        <v>6.4000000000000004E-8</v>
      </c>
      <c r="B48" s="18">
        <f t="shared" si="5"/>
        <v>3000000</v>
      </c>
      <c r="C48" s="17">
        <v>360</v>
      </c>
      <c r="D48" s="17">
        <f t="shared" si="0"/>
        <v>69.12</v>
      </c>
      <c r="E48" s="18">
        <v>6.8</v>
      </c>
      <c r="F48" s="18">
        <v>2.1000000000000001E-2</v>
      </c>
      <c r="G48" s="18">
        <f t="shared" si="1"/>
        <v>-50.205792359446342</v>
      </c>
      <c r="H48" s="18">
        <v>90</v>
      </c>
      <c r="I48" s="18">
        <f t="shared" si="2"/>
        <v>-65.506022461555546</v>
      </c>
      <c r="J48" s="17">
        <f t="shared" si="3"/>
        <v>23.199999999999996</v>
      </c>
      <c r="K48" s="17">
        <f t="shared" si="4"/>
        <v>23.356982346300555</v>
      </c>
    </row>
    <row r="67" spans="2:8">
      <c r="B67" s="18" t="str">
        <f>B25</f>
        <v>f[Hz]</v>
      </c>
      <c r="C67" s="18" t="str">
        <f>D25</f>
        <v>位相差</v>
      </c>
      <c r="D67" s="18" t="str">
        <f>G25</f>
        <v>電圧利得</v>
      </c>
      <c r="E67" s="18" t="str">
        <f>H25</f>
        <v>位相差理論値[°]</v>
      </c>
      <c r="F67" s="18" t="str">
        <f>I25</f>
        <v>電圧利得理論値</v>
      </c>
      <c r="G67" s="18" t="str">
        <f>J25</f>
        <v>位相差相対誤差[%]</v>
      </c>
      <c r="H67" s="18" t="str">
        <f>K25</f>
        <v>位相差相対誤差[%]</v>
      </c>
    </row>
    <row r="68" spans="2:8">
      <c r="B68" s="18">
        <f t="shared" ref="B68:B90" si="6">B26</f>
        <v>10</v>
      </c>
      <c r="C68" s="18">
        <f t="shared" ref="C68:C90" si="7">D26</f>
        <v>180</v>
      </c>
      <c r="D68" s="18">
        <f t="shared" ref="D68:D90" si="8">G26</f>
        <v>6.3039790371638507</v>
      </c>
      <c r="E68" s="18">
        <f t="shared" ref="E68:E90" si="9">H26</f>
        <v>90</v>
      </c>
      <c r="F68" s="18">
        <f t="shared" ref="F68:F90" si="10">I26</f>
        <v>44.036402632837699</v>
      </c>
      <c r="G68" s="18">
        <f t="shared" ref="G68:G90" si="11">J26</f>
        <v>100</v>
      </c>
      <c r="H68" s="18">
        <f t="shared" ref="H68:H90" si="12">K26</f>
        <v>85.684618496827426</v>
      </c>
    </row>
    <row r="69" spans="2:8">
      <c r="B69" s="18">
        <f t="shared" si="6"/>
        <v>20</v>
      </c>
      <c r="C69" s="18">
        <f t="shared" si="7"/>
        <v>172.79999999999998</v>
      </c>
      <c r="D69" s="18">
        <f t="shared" si="8"/>
        <v>6.3039790371638507</v>
      </c>
      <c r="E69" s="18">
        <f t="shared" si="9"/>
        <v>90</v>
      </c>
      <c r="F69" s="18">
        <f t="shared" si="10"/>
        <v>38.015802719558074</v>
      </c>
      <c r="G69" s="18">
        <f t="shared" si="11"/>
        <v>91.999999999999986</v>
      </c>
      <c r="H69" s="18">
        <f t="shared" si="12"/>
        <v>83.417477506214468</v>
      </c>
    </row>
    <row r="70" spans="2:8">
      <c r="B70" s="18">
        <f t="shared" si="6"/>
        <v>30</v>
      </c>
      <c r="C70" s="18">
        <f t="shared" si="7"/>
        <v>181.44000000000005</v>
      </c>
      <c r="D70" s="18">
        <f t="shared" si="8"/>
        <v>6.1960783994297275</v>
      </c>
      <c r="E70" s="18">
        <f t="shared" si="9"/>
        <v>90</v>
      </c>
      <c r="F70" s="18">
        <f t="shared" si="10"/>
        <v>34.493977538444447</v>
      </c>
      <c r="G70" s="18">
        <f t="shared" si="11"/>
        <v>101.60000000000007</v>
      </c>
      <c r="H70" s="18">
        <f t="shared" si="12"/>
        <v>82.037216808284768</v>
      </c>
    </row>
    <row r="71" spans="2:8">
      <c r="B71" s="18">
        <f t="shared" si="6"/>
        <v>50</v>
      </c>
      <c r="C71" s="18">
        <f t="shared" si="7"/>
        <v>176.4</v>
      </c>
      <c r="D71" s="18">
        <f t="shared" si="8"/>
        <v>6.1960783994297275</v>
      </c>
      <c r="E71" s="18">
        <f t="shared" si="9"/>
        <v>90</v>
      </c>
      <c r="F71" s="18">
        <f t="shared" si="10"/>
        <v>30.057002546117321</v>
      </c>
      <c r="G71" s="18">
        <f t="shared" si="11"/>
        <v>96.000000000000014</v>
      </c>
      <c r="H71" s="18">
        <f t="shared" si="12"/>
        <v>79.385574493255248</v>
      </c>
    </row>
    <row r="72" spans="2:8">
      <c r="B72" s="18">
        <f t="shared" si="6"/>
        <v>100</v>
      </c>
      <c r="C72" s="18">
        <f t="shared" si="7"/>
        <v>187.20000000000002</v>
      </c>
      <c r="D72" s="18">
        <f t="shared" si="8"/>
        <v>6.1960783994297275</v>
      </c>
      <c r="E72" s="18">
        <f t="shared" si="9"/>
        <v>90</v>
      </c>
      <c r="F72" s="18">
        <f t="shared" si="10"/>
        <v>24.036402632837696</v>
      </c>
      <c r="G72" s="18">
        <f t="shared" si="11"/>
        <v>108.00000000000003</v>
      </c>
      <c r="H72" s="18">
        <f t="shared" si="12"/>
        <v>74.222105969531142</v>
      </c>
    </row>
    <row r="73" spans="2:8">
      <c r="B73" s="18">
        <f t="shared" si="6"/>
        <v>200</v>
      </c>
      <c r="C73" s="18">
        <f t="shared" si="7"/>
        <v>164.16</v>
      </c>
      <c r="D73" s="18">
        <f t="shared" si="8"/>
        <v>5.6623681271055801</v>
      </c>
      <c r="E73" s="18">
        <f t="shared" si="9"/>
        <v>90</v>
      </c>
      <c r="F73" s="18">
        <f t="shared" si="10"/>
        <v>18.015802719558074</v>
      </c>
      <c r="G73" s="18">
        <f t="shared" si="11"/>
        <v>82.399999999999991</v>
      </c>
      <c r="H73" s="18">
        <f t="shared" si="12"/>
        <v>68.569992604556688</v>
      </c>
    </row>
    <row r="74" spans="2:8">
      <c r="B74" s="18">
        <f t="shared" si="6"/>
        <v>300</v>
      </c>
      <c r="C74" s="18">
        <f t="shared" si="7"/>
        <v>159.84</v>
      </c>
      <c r="D74" s="18">
        <f t="shared" si="8"/>
        <v>5.2809285882162254</v>
      </c>
      <c r="E74" s="18">
        <f t="shared" si="9"/>
        <v>90</v>
      </c>
      <c r="F74" s="18">
        <f t="shared" si="10"/>
        <v>14.493977538444449</v>
      </c>
      <c r="G74" s="18">
        <f t="shared" si="11"/>
        <v>77.600000000000009</v>
      </c>
      <c r="H74" s="18">
        <f t="shared" si="12"/>
        <v>63.564669710513463</v>
      </c>
    </row>
    <row r="75" spans="2:8">
      <c r="B75" s="18">
        <f t="shared" si="6"/>
        <v>500</v>
      </c>
      <c r="C75" s="18">
        <f t="shared" si="7"/>
        <v>172.79999999999998</v>
      </c>
      <c r="D75" s="18">
        <f t="shared" si="8"/>
        <v>3.9821124495559328</v>
      </c>
      <c r="E75" s="18">
        <f t="shared" si="9"/>
        <v>90</v>
      </c>
      <c r="F75" s="18">
        <f t="shared" si="10"/>
        <v>10.057002546117324</v>
      </c>
      <c r="G75" s="18">
        <f t="shared" si="11"/>
        <v>91.999999999999986</v>
      </c>
      <c r="H75" s="18">
        <f t="shared" si="12"/>
        <v>60.404579482847055</v>
      </c>
    </row>
    <row r="76" spans="2:8">
      <c r="B76" s="18">
        <f t="shared" si="6"/>
        <v>1000</v>
      </c>
      <c r="C76" s="18">
        <f t="shared" si="7"/>
        <v>122.39999999999999</v>
      </c>
      <c r="D76" s="18">
        <f t="shared" si="8"/>
        <v>0.80364777118258512</v>
      </c>
      <c r="E76" s="18">
        <f t="shared" si="9"/>
        <v>90</v>
      </c>
      <c r="F76" s="18">
        <f t="shared" si="10"/>
        <v>4.0364026328376994</v>
      </c>
      <c r="G76" s="18">
        <f t="shared" si="11"/>
        <v>35.999999999999993</v>
      </c>
      <c r="H76" s="18">
        <f t="shared" si="12"/>
        <v>80.089999826959797</v>
      </c>
    </row>
    <row r="77" spans="2:8">
      <c r="B77" s="18">
        <f t="shared" si="6"/>
        <v>2000</v>
      </c>
      <c r="C77" s="18">
        <f t="shared" si="7"/>
        <v>108</v>
      </c>
      <c r="D77" s="18">
        <f t="shared" si="8"/>
        <v>-4.4814041922062895</v>
      </c>
      <c r="E77" s="18">
        <f t="shared" si="9"/>
        <v>90</v>
      </c>
      <c r="F77" s="18">
        <f t="shared" si="10"/>
        <v>-1.9841972804419243</v>
      </c>
      <c r="G77" s="18">
        <f t="shared" si="11"/>
        <v>20</v>
      </c>
      <c r="H77" s="18">
        <f t="shared" si="12"/>
        <v>125.85476940116472</v>
      </c>
    </row>
    <row r="78" spans="2:8">
      <c r="B78" s="18">
        <f t="shared" si="6"/>
        <v>3000</v>
      </c>
      <c r="C78" s="18">
        <f t="shared" si="7"/>
        <v>103.68</v>
      </c>
      <c r="D78" s="18">
        <f t="shared" si="8"/>
        <v>-7.7254655414109976</v>
      </c>
      <c r="E78" s="18">
        <f t="shared" si="9"/>
        <v>90</v>
      </c>
      <c r="F78" s="18">
        <f t="shared" si="10"/>
        <v>-5.50602246155555</v>
      </c>
      <c r="G78" s="18">
        <f t="shared" si="11"/>
        <v>15.200000000000008</v>
      </c>
      <c r="H78" s="18">
        <f t="shared" si="12"/>
        <v>40.30937206217672</v>
      </c>
    </row>
    <row r="79" spans="2:8">
      <c r="B79" s="18">
        <f t="shared" si="6"/>
        <v>5000</v>
      </c>
      <c r="C79" s="18">
        <f t="shared" si="7"/>
        <v>93.600000000000009</v>
      </c>
      <c r="D79" s="18">
        <f t="shared" si="8"/>
        <v>-11.869196391320898</v>
      </c>
      <c r="E79" s="18">
        <f t="shared" si="9"/>
        <v>90</v>
      </c>
      <c r="F79" s="18">
        <f t="shared" si="10"/>
        <v>-9.9429974538826791</v>
      </c>
      <c r="G79" s="18">
        <f t="shared" si="11"/>
        <v>4.0000000000000098</v>
      </c>
      <c r="H79" s="18">
        <f t="shared" si="12"/>
        <v>19.372417084206838</v>
      </c>
    </row>
    <row r="80" spans="2:8">
      <c r="B80" s="18">
        <f t="shared" si="6"/>
        <v>10000</v>
      </c>
      <c r="C80" s="18">
        <f t="shared" si="7"/>
        <v>97.199999999999989</v>
      </c>
      <c r="D80" s="18">
        <f t="shared" si="8"/>
        <v>-17.721132953863265</v>
      </c>
      <c r="E80" s="18">
        <f t="shared" si="9"/>
        <v>90</v>
      </c>
      <c r="F80" s="18">
        <f t="shared" si="10"/>
        <v>-15.963597367162301</v>
      </c>
      <c r="G80" s="18">
        <f t="shared" si="11"/>
        <v>7.9999999999999876</v>
      </c>
      <c r="H80" s="18">
        <f t="shared" si="12"/>
        <v>11.009646173589161</v>
      </c>
    </row>
    <row r="81" spans="2:8">
      <c r="B81" s="18">
        <f t="shared" si="6"/>
        <v>20000</v>
      </c>
      <c r="C81" s="18">
        <f t="shared" si="7"/>
        <v>86.4</v>
      </c>
      <c r="D81" s="18">
        <f t="shared" si="8"/>
        <v>-23.413924543379501</v>
      </c>
      <c r="E81" s="18">
        <f t="shared" si="9"/>
        <v>90</v>
      </c>
      <c r="F81" s="18">
        <f t="shared" si="10"/>
        <v>-21.984197280441926</v>
      </c>
      <c r="G81" s="18">
        <f t="shared" si="11"/>
        <v>3.9999999999999938</v>
      </c>
      <c r="H81" s="18">
        <f t="shared" si="12"/>
        <v>6.5034317364387988</v>
      </c>
    </row>
    <row r="82" spans="2:8">
      <c r="B82" s="18">
        <f t="shared" si="6"/>
        <v>30000</v>
      </c>
      <c r="C82" s="18">
        <f t="shared" si="7"/>
        <v>86.399999999999991</v>
      </c>
      <c r="D82" s="18">
        <f t="shared" si="8"/>
        <v>-26.466127807502669</v>
      </c>
      <c r="E82" s="18">
        <f t="shared" si="9"/>
        <v>90</v>
      </c>
      <c r="F82" s="18">
        <f t="shared" si="10"/>
        <v>-25.506022461555553</v>
      </c>
      <c r="G82" s="18">
        <f t="shared" si="11"/>
        <v>4.0000000000000098</v>
      </c>
      <c r="H82" s="18">
        <f t="shared" si="12"/>
        <v>3.7642299868364586</v>
      </c>
    </row>
    <row r="83" spans="2:8">
      <c r="B83" s="18">
        <f t="shared" si="6"/>
        <v>50000</v>
      </c>
      <c r="C83" s="18">
        <f t="shared" si="7"/>
        <v>86.399999999999991</v>
      </c>
      <c r="D83" s="18">
        <f t="shared" si="8"/>
        <v>-26.466127807502669</v>
      </c>
      <c r="E83" s="18">
        <f t="shared" si="9"/>
        <v>90</v>
      </c>
      <c r="F83" s="18">
        <f t="shared" si="10"/>
        <v>-29.942997453882679</v>
      </c>
      <c r="G83" s="18">
        <f t="shared" si="11"/>
        <v>4.0000000000000098</v>
      </c>
      <c r="H83" s="18">
        <f t="shared" si="12"/>
        <v>11.611628567697611</v>
      </c>
    </row>
    <row r="84" spans="2:8">
      <c r="B84" s="18">
        <f>B42</f>
        <v>100000</v>
      </c>
      <c r="C84" s="18">
        <f t="shared" si="7"/>
        <v>86.399999999999991</v>
      </c>
      <c r="D84" s="18">
        <f t="shared" si="8"/>
        <v>-35.139239026274112</v>
      </c>
      <c r="E84" s="18">
        <f t="shared" si="9"/>
        <v>90</v>
      </c>
      <c r="F84" s="18">
        <f t="shared" si="10"/>
        <v>-35.963597367162301</v>
      </c>
      <c r="G84" s="18">
        <f t="shared" si="11"/>
        <v>4.0000000000000098</v>
      </c>
      <c r="H84" s="18">
        <f t="shared" si="12"/>
        <v>2.2922021189150987</v>
      </c>
    </row>
    <row r="85" spans="2:8">
      <c r="B85" s="18">
        <f t="shared" si="6"/>
        <v>200000</v>
      </c>
      <c r="C85" s="18">
        <f t="shared" si="7"/>
        <v>86.399999999999991</v>
      </c>
      <c r="D85" s="18">
        <f t="shared" si="8"/>
        <v>-39.785522692164534</v>
      </c>
      <c r="E85" s="18">
        <f t="shared" si="9"/>
        <v>90</v>
      </c>
      <c r="F85" s="18">
        <f t="shared" si="10"/>
        <v>-41.984197280441926</v>
      </c>
      <c r="G85" s="18">
        <f t="shared" si="11"/>
        <v>4.0000000000000098</v>
      </c>
      <c r="H85" s="18">
        <f t="shared" si="12"/>
        <v>5.2369099106287553</v>
      </c>
    </row>
    <row r="86" spans="2:8">
      <c r="B86" s="18">
        <f t="shared" si="6"/>
        <v>300000</v>
      </c>
      <c r="C86" s="18">
        <f t="shared" si="7"/>
        <v>82.08</v>
      </c>
      <c r="D86" s="18">
        <f t="shared" si="8"/>
        <v>-44.257878139268598</v>
      </c>
      <c r="E86" s="18">
        <f t="shared" si="9"/>
        <v>90</v>
      </c>
      <c r="F86" s="18">
        <f t="shared" si="10"/>
        <v>-45.506022461555553</v>
      </c>
      <c r="G86" s="18">
        <f t="shared" si="11"/>
        <v>8.8000000000000025</v>
      </c>
      <c r="H86" s="18">
        <f t="shared" si="12"/>
        <v>2.7428112912777931</v>
      </c>
    </row>
    <row r="87" spans="2:8">
      <c r="B87" s="18">
        <f t="shared" si="6"/>
        <v>500000</v>
      </c>
      <c r="C87" s="18">
        <f t="shared" si="7"/>
        <v>84.06</v>
      </c>
      <c r="D87" s="18">
        <f t="shared" si="8"/>
        <v>-47.60422483423212</v>
      </c>
      <c r="E87" s="18">
        <f t="shared" si="9"/>
        <v>90</v>
      </c>
      <c r="F87" s="18">
        <f t="shared" si="10"/>
        <v>-49.942997453882676</v>
      </c>
      <c r="G87" s="18">
        <f t="shared" si="11"/>
        <v>6.5999999999999979</v>
      </c>
      <c r="H87" s="18">
        <f t="shared" si="12"/>
        <v>4.6828839654852041</v>
      </c>
    </row>
    <row r="88" spans="2:8">
      <c r="B88" s="18">
        <f t="shared" si="6"/>
        <v>1000000</v>
      </c>
      <c r="C88" s="18">
        <f t="shared" si="7"/>
        <v>82.8</v>
      </c>
      <c r="D88" s="18">
        <f t="shared" si="8"/>
        <v>-48.847182969209008</v>
      </c>
      <c r="E88" s="18">
        <f t="shared" si="9"/>
        <v>90</v>
      </c>
      <c r="F88" s="18">
        <f t="shared" si="10"/>
        <v>-55.963597367162301</v>
      </c>
      <c r="G88" s="18">
        <f t="shared" si="11"/>
        <v>8.0000000000000036</v>
      </c>
      <c r="H88" s="18">
        <f t="shared" si="12"/>
        <v>12.716148948153542</v>
      </c>
    </row>
    <row r="89" spans="2:8">
      <c r="B89" s="18">
        <f t="shared" si="6"/>
        <v>2000000</v>
      </c>
      <c r="C89" s="18">
        <f t="shared" si="7"/>
        <v>84.240000000000009</v>
      </c>
      <c r="D89" s="18">
        <f t="shared" si="8"/>
        <v>-49.733331452517859</v>
      </c>
      <c r="E89" s="18">
        <f t="shared" si="9"/>
        <v>90</v>
      </c>
      <c r="F89" s="18">
        <f t="shared" si="10"/>
        <v>-61.984197280441926</v>
      </c>
      <c r="G89" s="18">
        <f t="shared" si="11"/>
        <v>6.3999999999999906</v>
      </c>
      <c r="H89" s="18">
        <f t="shared" si="12"/>
        <v>19.764498639058157</v>
      </c>
    </row>
    <row r="90" spans="2:8">
      <c r="B90" s="18">
        <f t="shared" si="6"/>
        <v>3000000</v>
      </c>
      <c r="C90" s="18">
        <f t="shared" si="7"/>
        <v>69.12</v>
      </c>
      <c r="D90" s="18">
        <f t="shared" si="8"/>
        <v>-50.205792359446342</v>
      </c>
      <c r="E90" s="18">
        <f t="shared" si="9"/>
        <v>90</v>
      </c>
      <c r="F90" s="18">
        <f t="shared" si="10"/>
        <v>-65.506022461555546</v>
      </c>
      <c r="G90" s="18">
        <f t="shared" si="11"/>
        <v>23.199999999999996</v>
      </c>
      <c r="H90" s="18">
        <f t="shared" si="12"/>
        <v>23.356982346300555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81813-DA20-2949-A889-4F5527947E0B}">
  <dimension ref="A2:M48"/>
  <sheetViews>
    <sheetView tabSelected="1" topLeftCell="F1" zoomScale="135" zoomScaleNormal="40" workbookViewId="0">
      <selection activeCell="I26" sqref="I26:I48"/>
    </sheetView>
  </sheetViews>
  <sheetFormatPr baseColWidth="10" defaultColWidth="11.5703125" defaultRowHeight="20"/>
  <cols>
    <col min="1" max="3" width="11.7109375" bestFit="1" customWidth="1"/>
    <col min="4" max="4" width="15.28515625" customWidth="1"/>
    <col min="5" max="7" width="11.7109375" bestFit="1" customWidth="1"/>
    <col min="8" max="8" width="14.28515625" bestFit="1" customWidth="1"/>
    <col min="9" max="9" width="13" bestFit="1" customWidth="1"/>
    <col min="10" max="10" width="11.7109375" bestFit="1" customWidth="1"/>
  </cols>
  <sheetData>
    <row r="2" spans="1:5">
      <c r="B2" s="4"/>
      <c r="C2" s="1"/>
    </row>
    <row r="3" spans="1:5">
      <c r="B3" s="4"/>
      <c r="C3" s="1"/>
    </row>
    <row r="4" spans="1:5">
      <c r="A4" t="s">
        <v>18</v>
      </c>
      <c r="B4" s="4"/>
      <c r="C4" s="1"/>
      <c r="E4" t="s">
        <v>19</v>
      </c>
    </row>
    <row r="5" spans="1:5">
      <c r="B5" s="4"/>
      <c r="C5" s="1"/>
    </row>
    <row r="6" spans="1:5">
      <c r="B6" s="4"/>
      <c r="C6" s="1"/>
    </row>
    <row r="7" spans="1:5">
      <c r="B7" s="4"/>
      <c r="C7" s="1"/>
    </row>
    <row r="8" spans="1:5">
      <c r="B8" s="4"/>
      <c r="C8" s="1"/>
    </row>
    <row r="9" spans="1:5">
      <c r="B9" s="4"/>
      <c r="C9" s="1"/>
    </row>
    <row r="10" spans="1:5">
      <c r="B10" s="4"/>
      <c r="C10" s="1"/>
    </row>
    <row r="11" spans="1:5">
      <c r="B11" s="4"/>
      <c r="C11" s="1"/>
    </row>
    <row r="12" spans="1:5">
      <c r="B12" s="4"/>
      <c r="C12" s="1"/>
    </row>
    <row r="18" spans="1:13">
      <c r="A18" s="6" t="s">
        <v>5</v>
      </c>
      <c r="B18" s="8"/>
      <c r="C18" s="8"/>
      <c r="D18" s="8"/>
    </row>
    <row r="19" spans="1:13">
      <c r="A19" s="6" t="s">
        <v>6</v>
      </c>
      <c r="B19" s="6" t="s">
        <v>7</v>
      </c>
      <c r="C19" s="6" t="s">
        <v>8</v>
      </c>
      <c r="D19" s="6" t="s">
        <v>9</v>
      </c>
    </row>
    <row r="20" spans="1:13">
      <c r="A20" s="8"/>
      <c r="B20" s="8">
        <v>10</v>
      </c>
      <c r="C20" s="8">
        <v>360</v>
      </c>
      <c r="D20" s="8">
        <f>A20*B20*C20*10^-3</f>
        <v>0</v>
      </c>
    </row>
    <row r="21" spans="1:13">
      <c r="J21" s="8"/>
      <c r="K21" s="8"/>
      <c r="L21" s="8"/>
      <c r="M21" s="8"/>
    </row>
    <row r="22" spans="1:13">
      <c r="J22" s="6"/>
      <c r="K22" s="8"/>
      <c r="L22" s="8"/>
      <c r="M22" s="8"/>
    </row>
    <row r="23" spans="1:13">
      <c r="J23" s="6"/>
      <c r="K23" s="6"/>
      <c r="L23" s="6"/>
      <c r="M23" s="6"/>
    </row>
    <row r="24" spans="1:13">
      <c r="A24" t="s">
        <v>10</v>
      </c>
      <c r="J24" s="8"/>
      <c r="K24" s="8"/>
      <c r="L24" s="8"/>
      <c r="M24" s="8"/>
    </row>
    <row r="25" spans="1:13" ht="22">
      <c r="A25" s="15" t="s">
        <v>11</v>
      </c>
      <c r="B25" s="15" t="s">
        <v>12</v>
      </c>
      <c r="C25" s="15" t="s">
        <v>8</v>
      </c>
      <c r="D25" s="15" t="s">
        <v>9</v>
      </c>
      <c r="E25" s="15" t="s">
        <v>13</v>
      </c>
      <c r="F25" s="15" t="s">
        <v>14</v>
      </c>
      <c r="G25" s="15" t="s">
        <v>15</v>
      </c>
      <c r="H25" s="6" t="s">
        <v>16</v>
      </c>
      <c r="I25" s="6" t="s">
        <v>36</v>
      </c>
      <c r="J25" s="6"/>
      <c r="K25" s="8"/>
      <c r="L25" s="8"/>
      <c r="M25" s="8"/>
    </row>
    <row r="26" spans="1:13">
      <c r="A26" s="17">
        <f>49*10^-3</f>
        <v>4.9000000000000002E-2</v>
      </c>
      <c r="B26" s="17">
        <v>10</v>
      </c>
      <c r="C26" s="17">
        <v>360</v>
      </c>
      <c r="D26" s="17">
        <f t="shared" ref="D26:D48" si="0">IF(A26*B26*C26&lt;180,A26*B26*C26,ABS(A26*B26*C26-360))</f>
        <v>176.4</v>
      </c>
      <c r="E26" s="19">
        <f>25.6*10^-3</f>
        <v>2.5600000000000001E-2</v>
      </c>
      <c r="F26" s="19">
        <v>4.88</v>
      </c>
      <c r="G26" s="19">
        <f t="shared" ref="G26:G48" si="1">20*LOG10(F26/E26)</f>
        <v>45.603597133817217</v>
      </c>
      <c r="H26">
        <v>180</v>
      </c>
      <c r="I26">
        <f>-20*LOG10(2*PI()*$B$26*(10^(-4)))</f>
        <v>44.036402632837699</v>
      </c>
      <c r="J26" s="8"/>
      <c r="K26" s="8"/>
      <c r="L26" s="8"/>
      <c r="M26" s="8"/>
    </row>
    <row r="27" spans="1:13">
      <c r="A27" s="19">
        <f>27*10^-3</f>
        <v>2.7E-2</v>
      </c>
      <c r="B27" s="19">
        <v>20</v>
      </c>
      <c r="C27" s="17">
        <v>360</v>
      </c>
      <c r="D27" s="17">
        <f t="shared" si="0"/>
        <v>165.6</v>
      </c>
      <c r="E27" s="19">
        <f>26.4*10^-3</f>
        <v>2.64E-2</v>
      </c>
      <c r="F27" s="19">
        <v>4.92</v>
      </c>
      <c r="G27" s="19">
        <f t="shared" si="1"/>
        <v>45.407223517950584</v>
      </c>
      <c r="H27">
        <v>180</v>
      </c>
      <c r="I27">
        <f t="shared" ref="I27:I48" si="2">-20*LOG10(2*PI()*$B$26*(10^(-4)))</f>
        <v>44.036402632837699</v>
      </c>
      <c r="J27" s="8"/>
    </row>
    <row r="28" spans="1:13">
      <c r="A28" s="19">
        <f>17*10^-3</f>
        <v>1.7000000000000001E-2</v>
      </c>
      <c r="B28" s="19">
        <v>30</v>
      </c>
      <c r="C28" s="17">
        <v>360</v>
      </c>
      <c r="D28" s="17">
        <f t="shared" si="0"/>
        <v>176.4</v>
      </c>
      <c r="E28" s="19">
        <f>26.4*10^-3</f>
        <v>2.64E-2</v>
      </c>
      <c r="F28" s="19">
        <v>4.92</v>
      </c>
      <c r="G28" s="19">
        <f t="shared" si="1"/>
        <v>45.407223517950584</v>
      </c>
      <c r="H28">
        <v>180</v>
      </c>
      <c r="I28">
        <f t="shared" si="2"/>
        <v>44.036402632837699</v>
      </c>
      <c r="J28" s="8"/>
    </row>
    <row r="29" spans="1:13">
      <c r="A29" s="19">
        <f>10*10^-3</f>
        <v>0.01</v>
      </c>
      <c r="B29" s="19">
        <v>50</v>
      </c>
      <c r="C29" s="17">
        <v>360</v>
      </c>
      <c r="D29" s="17">
        <f t="shared" si="0"/>
        <v>180</v>
      </c>
      <c r="E29" s="19">
        <f>24.8*10^-3</f>
        <v>2.4800000000000003E-2</v>
      </c>
      <c r="F29" s="19">
        <v>4.92</v>
      </c>
      <c r="G29" s="19">
        <f t="shared" si="1"/>
        <v>45.950268438822881</v>
      </c>
      <c r="H29">
        <v>180</v>
      </c>
      <c r="I29">
        <f t="shared" si="2"/>
        <v>44.036402632837699</v>
      </c>
      <c r="J29" s="8"/>
    </row>
    <row r="30" spans="1:13">
      <c r="A30" s="19">
        <f>5.3*10^-3</f>
        <v>5.3E-3</v>
      </c>
      <c r="B30" s="19">
        <v>100</v>
      </c>
      <c r="C30" s="17">
        <v>360</v>
      </c>
      <c r="D30" s="17">
        <f t="shared" si="0"/>
        <v>169.2</v>
      </c>
      <c r="E30" s="19">
        <f>24.8*10^-3</f>
        <v>2.4800000000000003E-2</v>
      </c>
      <c r="F30" s="19">
        <v>4.92</v>
      </c>
      <c r="G30" s="19">
        <f t="shared" si="1"/>
        <v>45.950268438822881</v>
      </c>
      <c r="H30">
        <v>180</v>
      </c>
      <c r="I30">
        <f t="shared" si="2"/>
        <v>44.036402632837699</v>
      </c>
      <c r="J30" s="8"/>
    </row>
    <row r="31" spans="1:13">
      <c r="A31" s="19">
        <f>2.4*10^-3</f>
        <v>2.3999999999999998E-3</v>
      </c>
      <c r="B31" s="19">
        <v>200</v>
      </c>
      <c r="C31" s="17">
        <v>360</v>
      </c>
      <c r="D31" s="17">
        <f t="shared" si="0"/>
        <v>172.79999999999998</v>
      </c>
      <c r="E31" s="19">
        <f>25.6*10^-3</f>
        <v>2.5600000000000001E-2</v>
      </c>
      <c r="F31" s="19">
        <v>4.92</v>
      </c>
      <c r="G31" s="19">
        <f t="shared" si="1"/>
        <v>45.674502749110218</v>
      </c>
      <c r="H31">
        <v>180</v>
      </c>
      <c r="I31">
        <f t="shared" si="2"/>
        <v>44.036402632837699</v>
      </c>
      <c r="J31" s="8"/>
    </row>
    <row r="32" spans="1:13">
      <c r="A32" s="19">
        <f>1.64*10^-3</f>
        <v>1.64E-3</v>
      </c>
      <c r="B32" s="19">
        <v>300</v>
      </c>
      <c r="C32" s="17">
        <v>360</v>
      </c>
      <c r="D32" s="17">
        <f t="shared" si="0"/>
        <v>177.12</v>
      </c>
      <c r="E32" s="19">
        <f>27.2*10^-3</f>
        <v>2.7199999999999998E-2</v>
      </c>
      <c r="F32" s="19">
        <v>4.92</v>
      </c>
      <c r="G32" s="19">
        <f t="shared" si="1"/>
        <v>45.147923974663229</v>
      </c>
      <c r="H32">
        <v>180</v>
      </c>
      <c r="I32">
        <f t="shared" si="2"/>
        <v>44.036402632837699</v>
      </c>
      <c r="J32" s="8"/>
    </row>
    <row r="33" spans="1:10">
      <c r="A33" s="19">
        <f>950*10^-6</f>
        <v>9.5E-4</v>
      </c>
      <c r="B33" s="19">
        <v>500</v>
      </c>
      <c r="C33" s="17">
        <v>360</v>
      </c>
      <c r="D33" s="17">
        <f t="shared" si="0"/>
        <v>171</v>
      </c>
      <c r="E33" s="19">
        <f>24.8*10^-3</f>
        <v>2.4800000000000003E-2</v>
      </c>
      <c r="F33" s="19">
        <v>4.92</v>
      </c>
      <c r="G33" s="19">
        <f t="shared" si="1"/>
        <v>45.950268438822881</v>
      </c>
      <c r="H33">
        <v>180</v>
      </c>
      <c r="I33">
        <f t="shared" si="2"/>
        <v>44.036402632837699</v>
      </c>
      <c r="J33" s="8"/>
    </row>
    <row r="34" spans="1:10">
      <c r="A34" s="19">
        <f>510*10^-6</f>
        <v>5.0999999999999993E-4</v>
      </c>
      <c r="B34" s="19">
        <v>1000</v>
      </c>
      <c r="C34" s="17">
        <v>360</v>
      </c>
      <c r="D34" s="17">
        <f t="shared" si="0"/>
        <v>176.40000000000003</v>
      </c>
      <c r="E34" s="19">
        <f>25.6*10^-3</f>
        <v>2.5600000000000001E-2</v>
      </c>
      <c r="F34" s="19">
        <v>4.92</v>
      </c>
      <c r="G34" s="19">
        <f t="shared" si="1"/>
        <v>45.674502749110218</v>
      </c>
      <c r="H34">
        <v>180</v>
      </c>
      <c r="I34">
        <f t="shared" si="2"/>
        <v>44.036402632837699</v>
      </c>
      <c r="J34" s="8"/>
    </row>
    <row r="35" spans="1:10">
      <c r="A35" s="19">
        <f>264*10^-6</f>
        <v>2.6399999999999997E-4</v>
      </c>
      <c r="B35" s="19">
        <f t="shared" ref="B35:B48" si="3">B31*10</f>
        <v>2000</v>
      </c>
      <c r="C35" s="17">
        <v>360</v>
      </c>
      <c r="D35" s="17">
        <f t="shared" si="0"/>
        <v>169.92000000000004</v>
      </c>
      <c r="E35" s="19">
        <f>28*10^-3</f>
        <v>2.8000000000000001E-2</v>
      </c>
      <c r="F35" s="19">
        <v>4.92</v>
      </c>
      <c r="G35" s="19">
        <f t="shared" si="1"/>
        <v>44.896141428502823</v>
      </c>
      <c r="H35">
        <v>180</v>
      </c>
      <c r="I35">
        <f t="shared" si="2"/>
        <v>44.036402632837699</v>
      </c>
      <c r="J35" s="8"/>
    </row>
    <row r="36" spans="1:10">
      <c r="A36" s="19">
        <f>160*10^-6</f>
        <v>1.5999999999999999E-4</v>
      </c>
      <c r="B36" s="19">
        <f t="shared" si="3"/>
        <v>3000</v>
      </c>
      <c r="C36" s="17">
        <v>360</v>
      </c>
      <c r="D36" s="17">
        <f t="shared" si="0"/>
        <v>172.79999999999998</v>
      </c>
      <c r="E36" s="19">
        <f>28*10^-3</f>
        <v>2.8000000000000001E-2</v>
      </c>
      <c r="F36" s="19">
        <v>4.92</v>
      </c>
      <c r="G36" s="19">
        <f t="shared" si="1"/>
        <v>44.896141428502823</v>
      </c>
      <c r="H36">
        <v>180</v>
      </c>
      <c r="I36">
        <f t="shared" si="2"/>
        <v>44.036402632837699</v>
      </c>
      <c r="J36" s="8"/>
    </row>
    <row r="37" spans="1:10">
      <c r="A37" s="19">
        <f>110*10^-6</f>
        <v>1.0999999999999999E-4</v>
      </c>
      <c r="B37" s="19">
        <f t="shared" si="3"/>
        <v>5000</v>
      </c>
      <c r="C37" s="17">
        <v>360</v>
      </c>
      <c r="D37" s="17">
        <f t="shared" si="0"/>
        <v>162.00000000000003</v>
      </c>
      <c r="E37" s="19">
        <f>27.2*10^-3</f>
        <v>2.7199999999999998E-2</v>
      </c>
      <c r="F37" s="19">
        <v>4.84</v>
      </c>
      <c r="G37" s="19">
        <f t="shared" si="1"/>
        <v>45.005529152204275</v>
      </c>
      <c r="H37">
        <v>180</v>
      </c>
      <c r="I37">
        <f t="shared" si="2"/>
        <v>44.036402632837699</v>
      </c>
      <c r="J37" s="8"/>
    </row>
    <row r="38" spans="1:10">
      <c r="A38" s="19">
        <f>60*10^-6</f>
        <v>5.9999999999999995E-5</v>
      </c>
      <c r="B38" s="19">
        <f t="shared" si="3"/>
        <v>10000</v>
      </c>
      <c r="C38" s="17">
        <v>360</v>
      </c>
      <c r="D38" s="17">
        <f t="shared" si="0"/>
        <v>144</v>
      </c>
      <c r="E38" s="19">
        <f>32.8*10^-3</f>
        <v>3.2799999999999996E-2</v>
      </c>
      <c r="F38" s="19">
        <v>5.04</v>
      </c>
      <c r="G38" s="19">
        <f t="shared" si="1"/>
        <v>43.731133854676926</v>
      </c>
      <c r="H38">
        <v>180</v>
      </c>
      <c r="I38">
        <f t="shared" si="2"/>
        <v>44.036402632837699</v>
      </c>
      <c r="J38" s="8"/>
    </row>
    <row r="39" spans="1:10">
      <c r="A39" s="19">
        <f>17.2*10^-6</f>
        <v>1.7199999999999998E-5</v>
      </c>
      <c r="B39" s="19">
        <f t="shared" si="3"/>
        <v>20000</v>
      </c>
      <c r="C39" s="17">
        <v>360</v>
      </c>
      <c r="D39" s="17">
        <f t="shared" si="0"/>
        <v>123.83999999999999</v>
      </c>
      <c r="E39" s="19">
        <f>37.6*10^-3</f>
        <v>3.7600000000000001E-2</v>
      </c>
      <c r="F39" s="19">
        <v>4.92</v>
      </c>
      <c r="G39" s="19">
        <f t="shared" si="1"/>
        <v>42.335545156793984</v>
      </c>
      <c r="H39">
        <v>180</v>
      </c>
      <c r="I39">
        <f t="shared" si="2"/>
        <v>44.036402632837699</v>
      </c>
      <c r="J39" s="8"/>
    </row>
    <row r="40" spans="1:10">
      <c r="A40" s="19">
        <f>10*10^-6</f>
        <v>9.9999999999999991E-6</v>
      </c>
      <c r="B40" s="19">
        <f t="shared" si="3"/>
        <v>30000</v>
      </c>
      <c r="C40" s="17">
        <v>360</v>
      </c>
      <c r="D40" s="17">
        <f t="shared" si="0"/>
        <v>108</v>
      </c>
      <c r="E40" s="19">
        <f>47.2*10^-3</f>
        <v>4.7200000000000006E-2</v>
      </c>
      <c r="F40" s="19">
        <v>4.96</v>
      </c>
      <c r="G40" s="19">
        <f t="shared" si="1"/>
        <v>40.430793557122193</v>
      </c>
      <c r="H40">
        <v>180</v>
      </c>
      <c r="I40">
        <f t="shared" si="2"/>
        <v>44.036402632837699</v>
      </c>
      <c r="J40" s="8"/>
    </row>
    <row r="41" spans="1:10">
      <c r="A41" s="19">
        <f>5.6*10^-6</f>
        <v>5.5999999999999997E-6</v>
      </c>
      <c r="B41" s="19">
        <f t="shared" si="3"/>
        <v>50000</v>
      </c>
      <c r="C41" s="17">
        <v>360</v>
      </c>
      <c r="D41" s="17">
        <f t="shared" si="0"/>
        <v>100.79999999999998</v>
      </c>
      <c r="E41" s="19">
        <f>68*10^-3</f>
        <v>6.8000000000000005E-2</v>
      </c>
      <c r="F41" s="19">
        <f>4.92</f>
        <v>4.92</v>
      </c>
      <c r="G41" s="19">
        <f t="shared" si="1"/>
        <v>37.189123801222479</v>
      </c>
      <c r="H41">
        <v>180</v>
      </c>
      <c r="I41">
        <f t="shared" si="2"/>
        <v>44.036402632837699</v>
      </c>
      <c r="J41" s="8"/>
    </row>
    <row r="42" spans="1:10">
      <c r="A42" s="19">
        <f>2.7*10^-6</f>
        <v>2.7E-6</v>
      </c>
      <c r="B42" s="19">
        <f t="shared" si="3"/>
        <v>100000</v>
      </c>
      <c r="C42" s="17">
        <v>360</v>
      </c>
      <c r="D42" s="17">
        <f t="shared" si="0"/>
        <v>97.2</v>
      </c>
      <c r="E42" s="19">
        <f>118*10^-3</f>
        <v>0.11800000000000001</v>
      </c>
      <c r="F42" s="19">
        <f>5.08</f>
        <v>5.08</v>
      </c>
      <c r="G42" s="19">
        <f t="shared" si="1"/>
        <v>32.679634099555877</v>
      </c>
      <c r="H42">
        <v>180</v>
      </c>
      <c r="I42">
        <f t="shared" si="2"/>
        <v>44.036402632837699</v>
      </c>
      <c r="J42" s="8"/>
    </row>
    <row r="43" spans="1:10">
      <c r="A43" s="19">
        <f>1.2*10^-6</f>
        <v>1.1999999999999999E-6</v>
      </c>
      <c r="B43" s="19">
        <f t="shared" si="3"/>
        <v>200000</v>
      </c>
      <c r="C43" s="17">
        <v>360</v>
      </c>
      <c r="D43" s="17">
        <f t="shared" si="0"/>
        <v>86.399999999999991</v>
      </c>
      <c r="E43" s="19">
        <f>224*10^-3</f>
        <v>0.224</v>
      </c>
      <c r="F43" s="19">
        <v>4.92</v>
      </c>
      <c r="G43" s="19">
        <f t="shared" si="1"/>
        <v>26.834341688663947</v>
      </c>
      <c r="H43">
        <v>180</v>
      </c>
      <c r="I43">
        <f t="shared" si="2"/>
        <v>44.036402632837699</v>
      </c>
      <c r="J43" s="8"/>
    </row>
    <row r="44" spans="1:10">
      <c r="A44" s="19">
        <f>800*10^-9</f>
        <v>8.0000000000000007E-7</v>
      </c>
      <c r="B44" s="19">
        <f t="shared" si="3"/>
        <v>300000</v>
      </c>
      <c r="C44" s="17">
        <v>360</v>
      </c>
      <c r="D44" s="17">
        <f t="shared" si="0"/>
        <v>86.4</v>
      </c>
      <c r="E44" s="19">
        <f>316*10^-3</f>
        <v>0.316</v>
      </c>
      <c r="F44" s="19">
        <v>4.84</v>
      </c>
      <c r="G44" s="19">
        <f t="shared" si="1"/>
        <v>23.703165580520174</v>
      </c>
      <c r="H44">
        <v>180</v>
      </c>
      <c r="I44">
        <f t="shared" si="2"/>
        <v>44.036402632837699</v>
      </c>
      <c r="J44" s="8"/>
    </row>
    <row r="45" spans="1:10">
      <c r="A45" s="19">
        <f>460*10^-9</f>
        <v>4.6000000000000004E-7</v>
      </c>
      <c r="B45" s="19">
        <f t="shared" si="3"/>
        <v>500000</v>
      </c>
      <c r="C45" s="17">
        <v>360</v>
      </c>
      <c r="D45" s="17">
        <f t="shared" si="0"/>
        <v>82.8</v>
      </c>
      <c r="E45" s="19">
        <f>532*10^-3</f>
        <v>0.53200000000000003</v>
      </c>
      <c r="F45" s="19">
        <v>4.92</v>
      </c>
      <c r="G45" s="19">
        <f t="shared" si="1"/>
        <v>19.321069409446242</v>
      </c>
      <c r="H45">
        <v>180</v>
      </c>
      <c r="I45">
        <f t="shared" si="2"/>
        <v>44.036402632837699</v>
      </c>
      <c r="J45" s="8"/>
    </row>
    <row r="46" spans="1:10">
      <c r="A46" s="19">
        <f>230*10^-9</f>
        <v>2.3000000000000002E-7</v>
      </c>
      <c r="B46" s="19">
        <f t="shared" si="3"/>
        <v>1000000</v>
      </c>
      <c r="C46" s="17">
        <v>360</v>
      </c>
      <c r="D46" s="17">
        <f t="shared" si="0"/>
        <v>82.8</v>
      </c>
      <c r="E46" s="19">
        <v>1.44</v>
      </c>
      <c r="F46" s="19">
        <v>5.04</v>
      </c>
      <c r="G46" s="19">
        <f t="shared" si="1"/>
        <v>10.881360887005513</v>
      </c>
      <c r="H46">
        <v>180</v>
      </c>
      <c r="I46">
        <f t="shared" si="2"/>
        <v>44.036402632837699</v>
      </c>
      <c r="J46" s="5" t="s">
        <v>58</v>
      </c>
    </row>
    <row r="47" spans="1:10">
      <c r="A47" s="19">
        <f>110*10^-9</f>
        <v>1.1000000000000001E-7</v>
      </c>
      <c r="B47" s="19">
        <f t="shared" si="3"/>
        <v>2000000</v>
      </c>
      <c r="C47" s="17">
        <v>360</v>
      </c>
      <c r="D47" s="17">
        <f t="shared" si="0"/>
        <v>79.2</v>
      </c>
      <c r="E47" s="19">
        <v>1.08</v>
      </c>
      <c r="F47" s="19">
        <v>2.56</v>
      </c>
      <c r="G47" s="19">
        <f t="shared" si="1"/>
        <v>7.4963241964979961</v>
      </c>
      <c r="H47">
        <v>180</v>
      </c>
      <c r="I47">
        <f t="shared" si="2"/>
        <v>44.036402632837699</v>
      </c>
      <c r="J47" s="8"/>
    </row>
    <row r="48" spans="1:10">
      <c r="A48" s="19">
        <f>72*10^-9</f>
        <v>7.2000000000000009E-8</v>
      </c>
      <c r="B48" s="19">
        <f t="shared" si="3"/>
        <v>3000000</v>
      </c>
      <c r="C48" s="17">
        <v>360</v>
      </c>
      <c r="D48" s="17">
        <f t="shared" si="0"/>
        <v>77.760000000000005</v>
      </c>
      <c r="E48" s="19">
        <v>1.04</v>
      </c>
      <c r="F48" s="19">
        <v>1.84</v>
      </c>
      <c r="G48" s="19">
        <f t="shared" si="1"/>
        <v>4.9556896742151215</v>
      </c>
      <c r="H48">
        <v>180</v>
      </c>
      <c r="I48">
        <f t="shared" si="2"/>
        <v>44.036402632837699</v>
      </c>
      <c r="J48" s="8"/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FC57E-2D7D-3249-BD54-26C88820F887}">
  <dimension ref="A1:M15"/>
  <sheetViews>
    <sheetView zoomScale="65" workbookViewId="0"/>
  </sheetViews>
  <sheetFormatPr baseColWidth="10" defaultColWidth="8.7109375" defaultRowHeight="20"/>
  <cols>
    <col min="8" max="8" width="12.28515625" bestFit="1" customWidth="1"/>
  </cols>
  <sheetData>
    <row r="1" spans="1:13">
      <c r="A1" t="s">
        <v>20</v>
      </c>
      <c r="E1" t="s">
        <v>21</v>
      </c>
    </row>
    <row r="2" spans="1:13">
      <c r="A2" s="14" t="s">
        <v>22</v>
      </c>
      <c r="E2" t="s">
        <v>23</v>
      </c>
      <c r="I2" t="s">
        <v>24</v>
      </c>
      <c r="M2" t="s">
        <v>25</v>
      </c>
    </row>
    <row r="15" spans="1:13">
      <c r="A15" t="s">
        <v>26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9A181-A4F7-154C-AD66-8F3701631B6F}">
  <dimension ref="A1:AJ78"/>
  <sheetViews>
    <sheetView zoomScale="53" zoomScaleNormal="100" workbookViewId="0">
      <selection activeCell="R8" sqref="R8"/>
    </sheetView>
  </sheetViews>
  <sheetFormatPr baseColWidth="10" defaultColWidth="11.5703125" defaultRowHeight="20"/>
  <cols>
    <col min="1" max="3" width="11.7109375" bestFit="1" customWidth="1"/>
    <col min="4" max="4" width="15.28515625" customWidth="1"/>
    <col min="5" max="8" width="11.7109375" bestFit="1" customWidth="1"/>
    <col min="9" max="9" width="13" bestFit="1" customWidth="1"/>
    <col min="10" max="10" width="11.7109375" bestFit="1" customWidth="1"/>
  </cols>
  <sheetData>
    <row r="1" spans="1:36" ht="22">
      <c r="V1" t="s">
        <v>27</v>
      </c>
      <c r="W1" t="s">
        <v>28</v>
      </c>
      <c r="X1" t="s">
        <v>29</v>
      </c>
      <c r="AF1" t="s">
        <v>30</v>
      </c>
      <c r="AG1" t="s">
        <v>28</v>
      </c>
      <c r="AH1" t="s">
        <v>29</v>
      </c>
    </row>
    <row r="2" spans="1:36">
      <c r="B2" s="4"/>
      <c r="C2" s="1"/>
      <c r="W2">
        <v>-5</v>
      </c>
      <c r="X2">
        <v>10.002000000000001</v>
      </c>
      <c r="AG2">
        <v>-5</v>
      </c>
      <c r="AH2">
        <v>10.013999999999999</v>
      </c>
    </row>
    <row r="3" spans="1:36">
      <c r="B3" s="4"/>
      <c r="C3" s="1"/>
      <c r="W3">
        <v>-4</v>
      </c>
      <c r="X3">
        <v>8.01</v>
      </c>
      <c r="AG3">
        <v>-4</v>
      </c>
      <c r="AH3">
        <v>8.0109999999999992</v>
      </c>
    </row>
    <row r="4" spans="1:36">
      <c r="A4" t="s">
        <v>0</v>
      </c>
      <c r="B4" s="4"/>
      <c r="C4" s="1"/>
      <c r="J4" t="s">
        <v>1</v>
      </c>
      <c r="W4">
        <v>-3</v>
      </c>
      <c r="X4">
        <v>6.008</v>
      </c>
      <c r="AG4">
        <v>-3</v>
      </c>
      <c r="AH4">
        <v>6.0090000000000003</v>
      </c>
    </row>
    <row r="5" spans="1:36">
      <c r="B5" s="4"/>
      <c r="C5" s="1"/>
      <c r="J5" t="s">
        <v>31</v>
      </c>
      <c r="N5" t="s">
        <v>32</v>
      </c>
      <c r="W5">
        <v>-2</v>
      </c>
      <c r="X5">
        <v>4.0060000000000002</v>
      </c>
      <c r="AG5">
        <v>-2</v>
      </c>
      <c r="AH5">
        <v>4.0060000000000002</v>
      </c>
    </row>
    <row r="6" spans="1:36">
      <c r="B6" s="4"/>
      <c r="C6" s="1"/>
      <c r="W6">
        <v>-1</v>
      </c>
      <c r="X6">
        <v>2.004</v>
      </c>
      <c r="AG6">
        <v>-1</v>
      </c>
      <c r="AH6">
        <v>2.004</v>
      </c>
    </row>
    <row r="7" spans="1:36">
      <c r="B7" s="4"/>
      <c r="C7" s="1"/>
      <c r="W7">
        <v>0</v>
      </c>
      <c r="X7">
        <v>1.856E-3</v>
      </c>
      <c r="AG7">
        <v>0</v>
      </c>
      <c r="AH7">
        <v>1.7690000000000001E-2</v>
      </c>
    </row>
    <row r="8" spans="1:36">
      <c r="B8" s="4"/>
      <c r="C8" s="1"/>
      <c r="W8">
        <v>1</v>
      </c>
      <c r="X8">
        <v>-2.0009999999999999</v>
      </c>
      <c r="AG8">
        <v>1</v>
      </c>
      <c r="AH8">
        <v>-2.0009999999999999</v>
      </c>
    </row>
    <row r="9" spans="1:36">
      <c r="B9" s="4"/>
      <c r="C9" s="1"/>
      <c r="W9">
        <v>2</v>
      </c>
      <c r="X9">
        <v>-4.0030000000000001</v>
      </c>
      <c r="AG9">
        <v>2</v>
      </c>
      <c r="AH9">
        <v>-4.0039999999999996</v>
      </c>
    </row>
    <row r="10" spans="1:36">
      <c r="B10" s="4"/>
      <c r="C10" s="1"/>
      <c r="W10">
        <v>3</v>
      </c>
      <c r="X10">
        <v>-6.0049999999999999</v>
      </c>
      <c r="AG10">
        <v>3</v>
      </c>
      <c r="AH10">
        <v>-6.0060000000000002</v>
      </c>
    </row>
    <row r="11" spans="1:36">
      <c r="B11" s="4"/>
      <c r="C11" s="1"/>
      <c r="W11">
        <v>4</v>
      </c>
      <c r="X11">
        <v>-8.0069999999999997</v>
      </c>
      <c r="AG11">
        <v>4</v>
      </c>
      <c r="AH11">
        <v>-8.0079999999999991</v>
      </c>
    </row>
    <row r="12" spans="1:36">
      <c r="B12" s="4"/>
      <c r="C12" s="1"/>
      <c r="W12">
        <v>5</v>
      </c>
      <c r="X12">
        <v>-10.009</v>
      </c>
      <c r="AG12">
        <v>5</v>
      </c>
      <c r="AH12">
        <v>-10.01</v>
      </c>
    </row>
    <row r="16" spans="1:36">
      <c r="AJ16" t="s">
        <v>33</v>
      </c>
    </row>
    <row r="18" spans="1:13">
      <c r="A18" s="5" t="s">
        <v>5</v>
      </c>
      <c r="B18" s="3"/>
      <c r="C18" s="3"/>
      <c r="D18" s="3"/>
    </row>
    <row r="19" spans="1:13">
      <c r="A19" s="5" t="s">
        <v>6</v>
      </c>
      <c r="B19" s="6" t="s">
        <v>7</v>
      </c>
      <c r="C19" s="5" t="s">
        <v>8</v>
      </c>
      <c r="D19" s="5" t="s">
        <v>9</v>
      </c>
    </row>
    <row r="20" spans="1:13">
      <c r="A20" s="3">
        <v>26</v>
      </c>
      <c r="B20" s="3">
        <v>10</v>
      </c>
      <c r="C20" s="3">
        <v>360</v>
      </c>
      <c r="D20" s="3">
        <f>A20*B20*C20*10^-3</f>
        <v>93.600000000000009</v>
      </c>
    </row>
    <row r="21" spans="1:13">
      <c r="J21" s="3"/>
      <c r="K21" s="3"/>
      <c r="L21" s="3"/>
      <c r="M21" s="3"/>
    </row>
    <row r="22" spans="1:13">
      <c r="J22" s="5"/>
      <c r="K22" s="3"/>
      <c r="L22" s="3"/>
      <c r="M22" s="3"/>
    </row>
    <row r="23" spans="1:13">
      <c r="J23" s="5"/>
      <c r="K23" s="6"/>
      <c r="L23" s="5"/>
      <c r="M23" s="5"/>
    </row>
    <row r="24" spans="1:13">
      <c r="A24" t="s">
        <v>10</v>
      </c>
      <c r="J24" s="3"/>
      <c r="K24" s="3"/>
      <c r="L24" s="3"/>
      <c r="M24" s="3"/>
    </row>
    <row r="25" spans="1:13" ht="22">
      <c r="A25" s="5" t="s">
        <v>6</v>
      </c>
      <c r="B25" s="6" t="s">
        <v>34</v>
      </c>
      <c r="C25" s="5" t="s">
        <v>8</v>
      </c>
      <c r="D25" s="5" t="s">
        <v>9</v>
      </c>
      <c r="E25" s="5" t="s">
        <v>13</v>
      </c>
      <c r="F25" s="5" t="s">
        <v>14</v>
      </c>
      <c r="G25" s="5" t="s">
        <v>15</v>
      </c>
      <c r="H25" s="5" t="s">
        <v>35</v>
      </c>
      <c r="I25" s="5" t="s">
        <v>36</v>
      </c>
      <c r="J25" s="5"/>
      <c r="K25" s="3"/>
      <c r="L25" s="3"/>
      <c r="M25" s="3"/>
    </row>
    <row r="26" spans="1:13">
      <c r="A26" s="10">
        <f>48*10^(3)</f>
        <v>48000</v>
      </c>
      <c r="B26" s="3">
        <v>10</v>
      </c>
      <c r="C26" s="3">
        <v>360</v>
      </c>
      <c r="D26" s="3">
        <f t="shared" ref="D26:D48" si="0">A26*B26*C26*10^(-6)</f>
        <v>172.79999999999998</v>
      </c>
      <c r="E26" s="1">
        <v>1</v>
      </c>
      <c r="F26" s="7">
        <v>2</v>
      </c>
      <c r="G26">
        <f t="shared" ref="G26:G48" si="1">20*LOG10(F26/E26)</f>
        <v>6.0205999132796242</v>
      </c>
      <c r="H26">
        <f>90</f>
        <v>90</v>
      </c>
      <c r="I26">
        <f t="shared" ref="I26:I48" si="2">-20*LOG10(2*PI()*B26*(10^(-4)))</f>
        <v>44.036402632837699</v>
      </c>
      <c r="J26" s="3"/>
      <c r="K26" s="3"/>
      <c r="L26" s="3"/>
      <c r="M26" s="3"/>
    </row>
    <row r="27" spans="1:13">
      <c r="A27" s="11">
        <f>25*10^(3)</f>
        <v>25000</v>
      </c>
      <c r="B27" s="8">
        <v>20</v>
      </c>
      <c r="C27" s="8">
        <v>360</v>
      </c>
      <c r="D27" s="8">
        <f t="shared" si="0"/>
        <v>180</v>
      </c>
      <c r="E27" s="1">
        <v>1</v>
      </c>
      <c r="F27" s="7">
        <v>2</v>
      </c>
      <c r="G27">
        <f t="shared" si="1"/>
        <v>6.0205999132796242</v>
      </c>
      <c r="H27">
        <f>90</f>
        <v>90</v>
      </c>
      <c r="I27">
        <f t="shared" si="2"/>
        <v>38.015802719558074</v>
      </c>
      <c r="J27" s="3"/>
    </row>
    <row r="28" spans="1:13">
      <c r="A28" s="11">
        <v>16000</v>
      </c>
      <c r="B28" s="8">
        <v>30</v>
      </c>
      <c r="C28" s="8">
        <v>360</v>
      </c>
      <c r="D28" s="8">
        <f t="shared" si="0"/>
        <v>172.79999999999998</v>
      </c>
      <c r="E28" s="1">
        <v>0.99199999999999999</v>
      </c>
      <c r="F28" s="7">
        <v>1.98</v>
      </c>
      <c r="G28">
        <f t="shared" si="1"/>
        <v>6.0030703621470485</v>
      </c>
      <c r="H28">
        <f>90</f>
        <v>90</v>
      </c>
      <c r="I28">
        <f t="shared" si="2"/>
        <v>34.493977538444447</v>
      </c>
      <c r="J28" s="3"/>
    </row>
    <row r="29" spans="1:13">
      <c r="A29" s="11">
        <v>10000</v>
      </c>
      <c r="B29" s="8">
        <v>50</v>
      </c>
      <c r="C29" s="8">
        <v>360</v>
      </c>
      <c r="D29" s="8">
        <f t="shared" si="0"/>
        <v>180</v>
      </c>
      <c r="E29" s="1">
        <v>0.99199999999999999</v>
      </c>
      <c r="F29" s="7">
        <v>1.96</v>
      </c>
      <c r="G29">
        <f t="shared" si="1"/>
        <v>5.9148879840459481</v>
      </c>
      <c r="H29">
        <f>90</f>
        <v>90</v>
      </c>
      <c r="I29">
        <f t="shared" si="2"/>
        <v>30.057002546117321</v>
      </c>
      <c r="J29" s="3"/>
    </row>
    <row r="30" spans="1:13">
      <c r="A30" s="11">
        <v>4800</v>
      </c>
      <c r="B30" s="8">
        <f>B26*10</f>
        <v>100</v>
      </c>
      <c r="C30" s="8">
        <v>360</v>
      </c>
      <c r="D30" s="8">
        <f t="shared" si="0"/>
        <v>172.79999999999998</v>
      </c>
      <c r="E30" s="1">
        <v>0.99199999999999999</v>
      </c>
      <c r="F30" s="7">
        <v>1.96</v>
      </c>
      <c r="G30">
        <f t="shared" si="1"/>
        <v>5.9148879840459481</v>
      </c>
      <c r="H30">
        <f>90</f>
        <v>90</v>
      </c>
      <c r="I30">
        <f t="shared" si="2"/>
        <v>24.036402632837696</v>
      </c>
      <c r="J30" s="3"/>
    </row>
    <row r="31" spans="1:13">
      <c r="A31" s="11">
        <v>2240</v>
      </c>
      <c r="B31" s="8">
        <f t="shared" ref="B31:B48" si="3">B27*10</f>
        <v>200</v>
      </c>
      <c r="C31" s="8">
        <v>360</v>
      </c>
      <c r="D31" s="8">
        <f t="shared" si="0"/>
        <v>161.28</v>
      </c>
      <c r="E31" s="1">
        <v>0.99199999999999999</v>
      </c>
      <c r="F31" s="7">
        <v>1.92</v>
      </c>
      <c r="G31">
        <f t="shared" si="1"/>
        <v>5.735791130987419</v>
      </c>
      <c r="H31">
        <f>90</f>
        <v>90</v>
      </c>
      <c r="I31">
        <f t="shared" si="2"/>
        <v>18.015802719558074</v>
      </c>
      <c r="J31" s="3"/>
    </row>
    <row r="32" spans="1:13">
      <c r="A32" s="11">
        <v>1480</v>
      </c>
      <c r="B32" s="8">
        <f t="shared" si="3"/>
        <v>300</v>
      </c>
      <c r="C32" s="8">
        <v>360</v>
      </c>
      <c r="D32" s="8">
        <f t="shared" si="0"/>
        <v>159.84</v>
      </c>
      <c r="E32" s="1">
        <v>0.99199999999999999</v>
      </c>
      <c r="F32" s="7">
        <v>1.84</v>
      </c>
      <c r="G32">
        <f t="shared" si="1"/>
        <v>5.3661230171071574</v>
      </c>
      <c r="H32">
        <f>90</f>
        <v>90</v>
      </c>
      <c r="I32">
        <f t="shared" si="2"/>
        <v>14.493977538444449</v>
      </c>
      <c r="J32" s="3"/>
    </row>
    <row r="33" spans="1:10">
      <c r="A33" s="11">
        <v>840</v>
      </c>
      <c r="B33" s="8">
        <f t="shared" si="3"/>
        <v>500</v>
      </c>
      <c r="C33" s="8">
        <v>360</v>
      </c>
      <c r="D33" s="8">
        <f t="shared" si="0"/>
        <v>151.19999999999999</v>
      </c>
      <c r="E33" s="1">
        <v>1</v>
      </c>
      <c r="F33" s="7">
        <v>1.64</v>
      </c>
      <c r="G33">
        <f t="shared" si="1"/>
        <v>4.2968769609539574</v>
      </c>
      <c r="H33">
        <f>90</f>
        <v>90</v>
      </c>
      <c r="I33">
        <f t="shared" si="2"/>
        <v>10.057002546117324</v>
      </c>
      <c r="J33" s="3"/>
    </row>
    <row r="34" spans="1:10">
      <c r="A34" s="11">
        <v>340</v>
      </c>
      <c r="B34" s="8">
        <f t="shared" si="3"/>
        <v>1000</v>
      </c>
      <c r="C34" s="8">
        <v>360</v>
      </c>
      <c r="D34" s="8">
        <f t="shared" si="0"/>
        <v>122.39999999999999</v>
      </c>
      <c r="E34" s="1">
        <v>0.99199999999999999</v>
      </c>
      <c r="F34" s="7">
        <v>1.1599999999999999</v>
      </c>
      <c r="G34">
        <f t="shared" si="1"/>
        <v>1.3589263414547954</v>
      </c>
      <c r="H34">
        <f>90</f>
        <v>90</v>
      </c>
      <c r="I34">
        <f t="shared" si="2"/>
        <v>4.0364026328376994</v>
      </c>
      <c r="J34" s="3"/>
    </row>
    <row r="35" spans="1:10">
      <c r="A35" s="11">
        <v>152</v>
      </c>
      <c r="B35" s="8">
        <f t="shared" si="3"/>
        <v>2000</v>
      </c>
      <c r="C35" s="8">
        <v>360</v>
      </c>
      <c r="D35" s="8">
        <f t="shared" si="0"/>
        <v>109.44</v>
      </c>
      <c r="E35" s="1">
        <v>1.01</v>
      </c>
      <c r="F35" s="1">
        <v>0.68</v>
      </c>
      <c r="G35">
        <f t="shared" si="1"/>
        <v>-3.4362492215281244</v>
      </c>
      <c r="H35">
        <f>90</f>
        <v>90</v>
      </c>
      <c r="I35">
        <f t="shared" si="2"/>
        <v>-1.9841972804419243</v>
      </c>
      <c r="J35" s="3"/>
    </row>
    <row r="36" spans="1:10">
      <c r="A36" s="11">
        <v>100</v>
      </c>
      <c r="B36" s="8">
        <f t="shared" si="3"/>
        <v>3000</v>
      </c>
      <c r="C36" s="8">
        <v>360</v>
      </c>
      <c r="D36" s="8">
        <f t="shared" si="0"/>
        <v>108</v>
      </c>
      <c r="E36" s="1">
        <v>1</v>
      </c>
      <c r="F36" s="1">
        <v>0.48399999999999999</v>
      </c>
      <c r="G36">
        <f t="shared" si="1"/>
        <v>-6.3030927671117514</v>
      </c>
      <c r="H36">
        <f>90</f>
        <v>90</v>
      </c>
      <c r="I36">
        <f t="shared" si="2"/>
        <v>-5.50602246155555</v>
      </c>
      <c r="J36" s="3"/>
    </row>
    <row r="37" spans="1:10">
      <c r="A37" s="9">
        <v>56</v>
      </c>
      <c r="B37" s="8">
        <f t="shared" si="3"/>
        <v>5000</v>
      </c>
      <c r="C37" s="8">
        <v>360</v>
      </c>
      <c r="D37" s="8">
        <f t="shared" si="0"/>
        <v>100.8</v>
      </c>
      <c r="E37" s="1">
        <v>1</v>
      </c>
      <c r="F37" s="1">
        <v>0.318</v>
      </c>
      <c r="G37">
        <f t="shared" si="1"/>
        <v>-9.9514576003113469</v>
      </c>
      <c r="H37">
        <f>90</f>
        <v>90</v>
      </c>
      <c r="I37">
        <f t="shared" si="2"/>
        <v>-9.9429974538826791</v>
      </c>
      <c r="J37" s="3"/>
    </row>
    <row r="38" spans="1:10">
      <c r="A38" s="9">
        <v>27</v>
      </c>
      <c r="B38" s="8">
        <f t="shared" si="3"/>
        <v>10000</v>
      </c>
      <c r="C38" s="8">
        <v>360</v>
      </c>
      <c r="D38" s="8">
        <f t="shared" si="0"/>
        <v>97.199999999999989</v>
      </c>
      <c r="E38" s="1">
        <v>1</v>
      </c>
      <c r="F38" s="1">
        <v>0.18</v>
      </c>
      <c r="G38">
        <f t="shared" si="1"/>
        <v>-14.89454989793388</v>
      </c>
      <c r="H38">
        <f>90</f>
        <v>90</v>
      </c>
      <c r="I38">
        <f t="shared" si="2"/>
        <v>-15.963597367162301</v>
      </c>
      <c r="J38" s="3"/>
    </row>
    <row r="39" spans="1:10">
      <c r="A39" s="9">
        <v>13.2</v>
      </c>
      <c r="B39" s="8">
        <f t="shared" si="3"/>
        <v>20000</v>
      </c>
      <c r="C39" s="8">
        <v>360</v>
      </c>
      <c r="D39" s="8">
        <f t="shared" si="0"/>
        <v>95.039999999999992</v>
      </c>
      <c r="E39" s="1">
        <v>1.02</v>
      </c>
      <c r="F39" s="1">
        <v>0.11</v>
      </c>
      <c r="G39">
        <f t="shared" si="1"/>
        <v>-19.344149732073848</v>
      </c>
      <c r="H39">
        <f>90</f>
        <v>90</v>
      </c>
      <c r="I39">
        <f t="shared" si="2"/>
        <v>-21.984197280441926</v>
      </c>
      <c r="J39" s="3"/>
    </row>
    <row r="40" spans="1:10">
      <c r="A40" s="9">
        <v>8.8000000000000007</v>
      </c>
      <c r="B40" s="8">
        <f t="shared" si="3"/>
        <v>30000</v>
      </c>
      <c r="C40" s="8">
        <v>360</v>
      </c>
      <c r="D40" s="8">
        <f t="shared" si="0"/>
        <v>95.039999999999992</v>
      </c>
      <c r="E40" s="1">
        <v>1</v>
      </c>
      <c r="F40" s="1">
        <v>8.4000000000000005E-2</v>
      </c>
      <c r="G40">
        <f t="shared" si="1"/>
        <v>-21.514414278762366</v>
      </c>
      <c r="H40">
        <f>90</f>
        <v>90</v>
      </c>
      <c r="I40">
        <f t="shared" si="2"/>
        <v>-25.506022461555553</v>
      </c>
      <c r="J40" s="3"/>
    </row>
    <row r="41" spans="1:10">
      <c r="A41" s="9">
        <v>5.4</v>
      </c>
      <c r="B41" s="8">
        <f t="shared" si="3"/>
        <v>50000</v>
      </c>
      <c r="C41" s="8">
        <v>360</v>
      </c>
      <c r="D41" s="8">
        <f t="shared" si="0"/>
        <v>97.199999999999989</v>
      </c>
      <c r="E41" s="1">
        <v>1.1200000000000001</v>
      </c>
      <c r="F41" s="1">
        <v>6.6000000000000003E-2</v>
      </c>
      <c r="G41">
        <f t="shared" si="1"/>
        <v>-24.593481742566258</v>
      </c>
      <c r="H41">
        <f>90</f>
        <v>90</v>
      </c>
      <c r="I41">
        <f t="shared" si="2"/>
        <v>-29.942997453882679</v>
      </c>
      <c r="J41" s="3"/>
    </row>
    <row r="42" spans="1:10">
      <c r="A42" s="9">
        <v>2.4</v>
      </c>
      <c r="B42" s="8">
        <f t="shared" si="3"/>
        <v>100000</v>
      </c>
      <c r="C42" s="8">
        <v>360</v>
      </c>
      <c r="D42" s="8">
        <f t="shared" si="0"/>
        <v>86.399999999999991</v>
      </c>
      <c r="E42" s="1">
        <v>1.02</v>
      </c>
      <c r="F42" s="2">
        <v>2.8799999999999999E-2</v>
      </c>
      <c r="G42">
        <f t="shared" si="1"/>
        <v>-30.984153680053733</v>
      </c>
      <c r="H42">
        <f>90</f>
        <v>90</v>
      </c>
      <c r="I42">
        <f t="shared" si="2"/>
        <v>-35.963597367162301</v>
      </c>
      <c r="J42" s="3"/>
    </row>
    <row r="43" spans="1:10">
      <c r="A43" s="9">
        <v>1.1200000000000001</v>
      </c>
      <c r="B43" s="8">
        <f t="shared" si="3"/>
        <v>200000</v>
      </c>
      <c r="C43" s="8">
        <v>360</v>
      </c>
      <c r="D43" s="8">
        <f t="shared" si="0"/>
        <v>80.640000000000015</v>
      </c>
      <c r="E43" s="1">
        <v>1</v>
      </c>
      <c r="F43" s="2">
        <v>2.3199999999999998E-2</v>
      </c>
      <c r="G43">
        <f t="shared" si="1"/>
        <v>-32.690240302182005</v>
      </c>
      <c r="H43">
        <f>90</f>
        <v>90</v>
      </c>
      <c r="I43">
        <f t="shared" si="2"/>
        <v>-41.984197280441926</v>
      </c>
      <c r="J43" s="3"/>
    </row>
    <row r="44" spans="1:10">
      <c r="A44" s="9">
        <v>0.8</v>
      </c>
      <c r="B44" s="8">
        <f>B40*10</f>
        <v>300000</v>
      </c>
      <c r="C44" s="8">
        <v>360</v>
      </c>
      <c r="D44" s="8">
        <f t="shared" si="0"/>
        <v>86.399999999999991</v>
      </c>
      <c r="E44" s="1">
        <v>1.02</v>
      </c>
      <c r="F44" s="2">
        <v>1.84E-2</v>
      </c>
      <c r="G44">
        <f t="shared" si="1"/>
        <v>-34.875646975047623</v>
      </c>
      <c r="H44">
        <f>90</f>
        <v>90</v>
      </c>
      <c r="I44">
        <f t="shared" si="2"/>
        <v>-45.506022461555553</v>
      </c>
      <c r="J44" s="3"/>
    </row>
    <row r="45" spans="1:10">
      <c r="A45" s="9">
        <v>0.4</v>
      </c>
      <c r="B45" s="8">
        <f t="shared" si="3"/>
        <v>500000</v>
      </c>
      <c r="C45" s="8">
        <v>360</v>
      </c>
      <c r="D45" s="8">
        <f t="shared" si="0"/>
        <v>72</v>
      </c>
      <c r="E45" s="1">
        <v>1.02</v>
      </c>
      <c r="F45" s="2">
        <v>1.6799999999999999E-2</v>
      </c>
      <c r="G45">
        <f t="shared" si="1"/>
        <v>-35.665817800721094</v>
      </c>
      <c r="H45">
        <f>90</f>
        <v>90</v>
      </c>
      <c r="I45">
        <f t="shared" si="2"/>
        <v>-49.942997453882676</v>
      </c>
      <c r="J45" s="3"/>
    </row>
    <row r="46" spans="1:10">
      <c r="A46" s="9">
        <v>0.18</v>
      </c>
      <c r="B46" s="8">
        <f t="shared" si="3"/>
        <v>1000000</v>
      </c>
      <c r="C46" s="8">
        <v>360</v>
      </c>
      <c r="D46" s="8">
        <f t="shared" si="0"/>
        <v>64.8</v>
      </c>
      <c r="E46" s="1">
        <v>1</v>
      </c>
      <c r="F46" s="2">
        <v>1.6E-2</v>
      </c>
      <c r="G46">
        <f t="shared" si="1"/>
        <v>-35.917600346881507</v>
      </c>
      <c r="H46">
        <f>90</f>
        <v>90</v>
      </c>
      <c r="I46">
        <f t="shared" si="2"/>
        <v>-55.963597367162301</v>
      </c>
      <c r="J46" s="3"/>
    </row>
    <row r="47" spans="1:10">
      <c r="A47" s="9">
        <v>0.11</v>
      </c>
      <c r="B47" s="8">
        <f t="shared" si="3"/>
        <v>2000000</v>
      </c>
      <c r="C47" s="8">
        <v>360</v>
      </c>
      <c r="D47" s="8">
        <f t="shared" si="0"/>
        <v>79.2</v>
      </c>
      <c r="E47" s="1">
        <v>0.96</v>
      </c>
      <c r="F47" s="2">
        <v>1.52E-2</v>
      </c>
      <c r="G47">
        <f t="shared" si="1"/>
        <v>-36.008552901895918</v>
      </c>
      <c r="H47">
        <f>90</f>
        <v>90</v>
      </c>
      <c r="I47">
        <f t="shared" si="2"/>
        <v>-61.984197280441926</v>
      </c>
      <c r="J47" s="3"/>
    </row>
    <row r="48" spans="1:10">
      <c r="A48" s="9">
        <v>0.08</v>
      </c>
      <c r="B48" s="8">
        <f t="shared" si="3"/>
        <v>3000000</v>
      </c>
      <c r="C48" s="8">
        <v>360</v>
      </c>
      <c r="D48" s="8">
        <f t="shared" si="0"/>
        <v>86.399999999999991</v>
      </c>
      <c r="E48" s="1">
        <v>0.92</v>
      </c>
      <c r="F48" s="2">
        <v>1.52E-2</v>
      </c>
      <c r="G48">
        <f t="shared" si="1"/>
        <v>-35.638884788015652</v>
      </c>
      <c r="H48">
        <f>90</f>
        <v>90</v>
      </c>
      <c r="I48">
        <f t="shared" si="2"/>
        <v>-65.506022461555546</v>
      </c>
      <c r="J48" s="3"/>
    </row>
    <row r="49" spans="1:6">
      <c r="A49" s="8"/>
      <c r="B49" s="8"/>
      <c r="C49" s="8"/>
      <c r="D49" s="8"/>
      <c r="E49" s="7"/>
      <c r="F49" s="7"/>
    </row>
    <row r="50" spans="1:6">
      <c r="A50" s="8"/>
      <c r="B50" s="8"/>
      <c r="C50" s="8"/>
      <c r="D50" s="8"/>
      <c r="E50" s="7"/>
      <c r="F50" s="7"/>
    </row>
    <row r="51" spans="1:6">
      <c r="A51" s="8"/>
      <c r="B51" s="8"/>
      <c r="C51" s="8"/>
      <c r="D51" s="8"/>
      <c r="E51" s="7"/>
      <c r="F51" s="7"/>
    </row>
    <row r="52" spans="1:6">
      <c r="A52" s="8"/>
      <c r="B52" s="8"/>
      <c r="C52" s="8"/>
      <c r="D52" s="8"/>
      <c r="E52" s="7"/>
      <c r="F52" s="7"/>
    </row>
    <row r="53" spans="1:6">
      <c r="A53" s="8"/>
      <c r="B53" s="8"/>
      <c r="C53" s="8"/>
      <c r="D53" s="8"/>
      <c r="E53" s="7"/>
      <c r="F53" s="7"/>
    </row>
    <row r="54" spans="1:6">
      <c r="A54" s="8"/>
      <c r="B54" s="8"/>
      <c r="C54" s="8"/>
      <c r="D54" s="8"/>
      <c r="E54" s="7"/>
      <c r="F54" s="7"/>
    </row>
    <row r="55" spans="1:6">
      <c r="A55" s="8"/>
      <c r="B55" s="8"/>
      <c r="C55" s="8"/>
      <c r="D55" s="8"/>
      <c r="E55" s="7"/>
      <c r="F55" s="7"/>
    </row>
    <row r="56" spans="1:6">
      <c r="A56" s="8"/>
      <c r="B56" s="8"/>
      <c r="C56" s="8"/>
      <c r="D56" s="8"/>
      <c r="E56" s="7"/>
      <c r="F56" s="7"/>
    </row>
    <row r="57" spans="1:6">
      <c r="A57" s="8"/>
      <c r="B57" s="8"/>
      <c r="C57" s="8"/>
      <c r="D57" s="8"/>
      <c r="E57" s="7"/>
      <c r="F57" s="7"/>
    </row>
    <row r="58" spans="1:6">
      <c r="A58" s="8"/>
      <c r="B58" s="8"/>
      <c r="C58" s="8"/>
      <c r="D58" s="8"/>
      <c r="E58" s="7"/>
      <c r="F58" s="7"/>
    </row>
    <row r="59" spans="1:6">
      <c r="A59" s="8"/>
      <c r="B59" s="8"/>
      <c r="C59" s="8"/>
      <c r="D59" s="8"/>
      <c r="E59" s="7"/>
      <c r="F59" s="7"/>
    </row>
    <row r="60" spans="1:6">
      <c r="A60" s="8"/>
      <c r="B60" s="8"/>
      <c r="C60" s="8"/>
      <c r="D60" s="8"/>
      <c r="E60" s="7"/>
      <c r="F60" s="7"/>
    </row>
    <row r="61" spans="1:6">
      <c r="A61" s="8"/>
      <c r="B61" s="8"/>
      <c r="C61" s="8"/>
      <c r="D61" s="8"/>
      <c r="E61" s="7"/>
      <c r="F61" s="7"/>
    </row>
    <row r="62" spans="1:6">
      <c r="A62" s="8"/>
      <c r="B62" s="8"/>
      <c r="C62" s="8"/>
      <c r="D62" s="8"/>
      <c r="E62" s="7"/>
      <c r="F62" s="7"/>
    </row>
    <row r="63" spans="1:6">
      <c r="A63" s="8"/>
      <c r="B63" s="8"/>
      <c r="C63" s="8"/>
      <c r="D63" s="8"/>
      <c r="E63" s="7"/>
      <c r="F63" s="7"/>
    </row>
    <row r="64" spans="1:6">
      <c r="A64" s="8"/>
      <c r="B64" s="8"/>
      <c r="C64" s="8"/>
      <c r="D64" s="8"/>
      <c r="E64" s="7"/>
      <c r="F64" s="7"/>
    </row>
    <row r="65" spans="1:6">
      <c r="A65" s="8"/>
      <c r="B65" s="8"/>
      <c r="C65" s="8"/>
      <c r="D65" s="8"/>
      <c r="E65" s="7"/>
      <c r="F65" s="7"/>
    </row>
    <row r="66" spans="1:6">
      <c r="A66" s="8"/>
      <c r="B66" s="8"/>
      <c r="C66" s="8"/>
      <c r="D66" s="8"/>
      <c r="E66" s="7"/>
      <c r="F66" s="7"/>
    </row>
    <row r="67" spans="1:6">
      <c r="A67" s="8"/>
      <c r="B67" s="8"/>
      <c r="C67" s="8"/>
      <c r="D67" s="8"/>
      <c r="E67" s="7"/>
      <c r="F67" s="7"/>
    </row>
    <row r="68" spans="1:6">
      <c r="A68" s="8"/>
      <c r="B68" s="8"/>
      <c r="C68" s="8"/>
      <c r="D68" s="8"/>
      <c r="E68" s="7"/>
      <c r="F68" s="7"/>
    </row>
    <row r="69" spans="1:6">
      <c r="A69" s="8"/>
      <c r="B69" s="8"/>
      <c r="C69" s="8"/>
      <c r="D69" s="8"/>
      <c r="E69" s="7"/>
      <c r="F69" s="7"/>
    </row>
    <row r="70" spans="1:6">
      <c r="A70" s="8"/>
      <c r="B70" s="8"/>
      <c r="C70" s="8"/>
      <c r="D70" s="8"/>
      <c r="E70" s="7"/>
      <c r="F70" s="7"/>
    </row>
    <row r="71" spans="1:6">
      <c r="A71" s="8"/>
      <c r="B71" s="8"/>
      <c r="C71" s="8"/>
      <c r="D71" s="8"/>
      <c r="E71" s="7"/>
      <c r="F71" s="7"/>
    </row>
    <row r="72" spans="1:6">
      <c r="A72" s="8"/>
      <c r="B72" s="8"/>
      <c r="C72" s="8"/>
      <c r="D72" s="8"/>
      <c r="E72" s="7"/>
      <c r="F72" s="7"/>
    </row>
    <row r="73" spans="1:6">
      <c r="A73" s="8"/>
      <c r="B73" s="8"/>
      <c r="C73" s="8"/>
      <c r="D73" s="8"/>
      <c r="E73" s="7"/>
      <c r="F73" s="7"/>
    </row>
    <row r="74" spans="1:6">
      <c r="A74" s="8"/>
      <c r="B74" s="8"/>
      <c r="C74" s="8"/>
      <c r="D74" s="8"/>
      <c r="E74" s="7"/>
      <c r="F74" s="7"/>
    </row>
    <row r="75" spans="1:6">
      <c r="A75" s="8"/>
      <c r="B75" s="8"/>
      <c r="C75" s="8"/>
      <c r="D75" s="8"/>
      <c r="E75" s="7"/>
      <c r="F75" s="7"/>
    </row>
    <row r="76" spans="1:6">
      <c r="A76" s="8"/>
      <c r="B76" s="8"/>
      <c r="C76" s="8"/>
      <c r="D76" s="8"/>
      <c r="E76" s="7"/>
      <c r="F76" s="7"/>
    </row>
    <row r="77" spans="1:6">
      <c r="A77" s="8"/>
      <c r="B77" s="8"/>
      <c r="C77" s="8"/>
      <c r="D77" s="8"/>
      <c r="E77" s="7"/>
      <c r="F77" s="7"/>
    </row>
    <row r="78" spans="1:6">
      <c r="A78" s="8"/>
      <c r="B78" s="8"/>
      <c r="C78" s="8"/>
      <c r="D78" s="8"/>
      <c r="E78" s="7"/>
      <c r="F78" s="7"/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7004-A687-504D-86DD-00FCE8D89389}">
  <dimension ref="A2:P48"/>
  <sheetViews>
    <sheetView topLeftCell="A22" zoomScale="53" zoomScaleNormal="100" workbookViewId="0">
      <selection activeCell="E48" sqref="E48"/>
    </sheetView>
  </sheetViews>
  <sheetFormatPr baseColWidth="10" defaultColWidth="11.5703125" defaultRowHeight="20"/>
  <cols>
    <col min="1" max="3" width="11.7109375" bestFit="1" customWidth="1"/>
    <col min="4" max="4" width="15.28515625" customWidth="1"/>
    <col min="5" max="7" width="11.7109375" bestFit="1" customWidth="1"/>
    <col min="8" max="8" width="14.28515625" bestFit="1" customWidth="1"/>
    <col min="9" max="9" width="13" bestFit="1" customWidth="1"/>
    <col min="10" max="10" width="11.7109375" bestFit="1" customWidth="1"/>
  </cols>
  <sheetData>
    <row r="2" spans="1:9">
      <c r="B2" s="4"/>
      <c r="C2" s="1"/>
    </row>
    <row r="3" spans="1:9">
      <c r="B3" s="4"/>
      <c r="C3" s="1"/>
    </row>
    <row r="4" spans="1:9">
      <c r="A4" t="s">
        <v>0</v>
      </c>
      <c r="B4" s="4"/>
      <c r="C4" s="1"/>
      <c r="E4" t="s">
        <v>1</v>
      </c>
    </row>
    <row r="5" spans="1:9">
      <c r="B5" s="4"/>
      <c r="C5" s="1"/>
      <c r="E5" t="s">
        <v>2</v>
      </c>
      <c r="I5" t="s">
        <v>3</v>
      </c>
    </row>
    <row r="6" spans="1:9">
      <c r="B6" s="4"/>
      <c r="C6" s="1"/>
    </row>
    <row r="7" spans="1:9">
      <c r="B7" s="4"/>
      <c r="C7" s="1"/>
    </row>
    <row r="8" spans="1:9">
      <c r="B8" s="4"/>
      <c r="C8" s="1"/>
    </row>
    <row r="9" spans="1:9">
      <c r="B9" s="4"/>
      <c r="C9" s="1"/>
    </row>
    <row r="10" spans="1:9">
      <c r="B10" s="4"/>
      <c r="C10" s="1"/>
    </row>
    <row r="11" spans="1:9">
      <c r="B11" s="4"/>
      <c r="C11" s="1"/>
    </row>
    <row r="12" spans="1:9">
      <c r="B12" s="4"/>
      <c r="C12" s="1"/>
    </row>
    <row r="18" spans="1:16">
      <c r="A18" s="6" t="s">
        <v>5</v>
      </c>
      <c r="B18" s="8"/>
      <c r="C18" s="8"/>
      <c r="D18" s="8"/>
    </row>
    <row r="19" spans="1:16">
      <c r="A19" s="6" t="s">
        <v>6</v>
      </c>
      <c r="B19" s="6" t="s">
        <v>7</v>
      </c>
      <c r="C19" s="6" t="s">
        <v>8</v>
      </c>
      <c r="D19" s="6" t="s">
        <v>9</v>
      </c>
    </row>
    <row r="20" spans="1:16">
      <c r="A20" s="8"/>
      <c r="B20" s="8">
        <v>10</v>
      </c>
      <c r="C20" s="8">
        <v>360</v>
      </c>
      <c r="D20" s="8">
        <f>A20*B20*C20*10^-3</f>
        <v>0</v>
      </c>
    </row>
    <row r="21" spans="1:16">
      <c r="J21" s="8"/>
      <c r="K21" s="8"/>
      <c r="L21" s="8"/>
      <c r="M21" s="8"/>
    </row>
    <row r="22" spans="1:16">
      <c r="J22" s="6"/>
      <c r="K22" s="8"/>
      <c r="L22" s="8"/>
      <c r="M22" s="8"/>
    </row>
    <row r="23" spans="1:16">
      <c r="J23" s="6"/>
      <c r="K23" s="6"/>
      <c r="L23" s="6"/>
      <c r="M23" s="6"/>
    </row>
    <row r="24" spans="1:16">
      <c r="A24" t="s">
        <v>10</v>
      </c>
      <c r="J24" s="8"/>
      <c r="K24" s="12" t="s">
        <v>37</v>
      </c>
      <c r="L24" s="12" t="s">
        <v>38</v>
      </c>
      <c r="M24" s="8"/>
      <c r="P24" t="s">
        <v>39</v>
      </c>
    </row>
    <row r="25" spans="1:16" ht="22">
      <c r="A25" s="6" t="s">
        <v>6</v>
      </c>
      <c r="B25" s="6" t="s">
        <v>12</v>
      </c>
      <c r="C25" s="6" t="s">
        <v>8</v>
      </c>
      <c r="D25" s="6" t="s">
        <v>9</v>
      </c>
      <c r="E25" s="6" t="s">
        <v>13</v>
      </c>
      <c r="F25" s="6" t="s">
        <v>14</v>
      </c>
      <c r="G25" s="6" t="s">
        <v>15</v>
      </c>
      <c r="H25" s="6" t="s">
        <v>16</v>
      </c>
      <c r="I25" s="6" t="s">
        <v>17</v>
      </c>
      <c r="J25" s="6"/>
      <c r="K25" s="8"/>
      <c r="L25" s="8"/>
      <c r="M25" s="8"/>
    </row>
    <row r="26" spans="1:16">
      <c r="A26" s="8">
        <v>50000</v>
      </c>
      <c r="B26" s="8">
        <v>10</v>
      </c>
      <c r="C26" s="8">
        <v>360</v>
      </c>
      <c r="D26" s="8">
        <f t="shared" ref="D26:D48" si="0">A26*B26*C26*10^-6</f>
        <v>180</v>
      </c>
      <c r="E26" s="8">
        <v>2.64E-2</v>
      </c>
      <c r="F26" s="8">
        <v>5</v>
      </c>
      <c r="G26">
        <f t="shared" ref="G26:G48" si="1">20*LOG10(F26/E26)</f>
        <v>45.547321549323755</v>
      </c>
      <c r="H26">
        <v>90</v>
      </c>
      <c r="I26">
        <f t="shared" ref="I26:I48" si="2">-20*LOG10(2*PI()*B26*(10^(-4)))</f>
        <v>44.036402632837699</v>
      </c>
      <c r="J26" s="8"/>
      <c r="K26" s="8"/>
      <c r="L26" s="8"/>
      <c r="M26" s="8"/>
    </row>
    <row r="27" spans="1:16">
      <c r="A27">
        <v>22000</v>
      </c>
      <c r="B27">
        <v>20</v>
      </c>
      <c r="C27" s="8">
        <v>360</v>
      </c>
      <c r="D27" s="8">
        <f t="shared" si="0"/>
        <v>158.4</v>
      </c>
      <c r="E27" s="2">
        <v>2.8000000000000001E-2</v>
      </c>
      <c r="F27">
        <v>5.04</v>
      </c>
      <c r="G27">
        <f t="shared" si="1"/>
        <v>45.105450102066122</v>
      </c>
      <c r="H27">
        <v>90</v>
      </c>
      <c r="I27">
        <f t="shared" si="2"/>
        <v>38.015802719558074</v>
      </c>
      <c r="J27" s="8"/>
    </row>
    <row r="28" spans="1:16">
      <c r="A28">
        <v>16400</v>
      </c>
      <c r="B28">
        <v>30</v>
      </c>
      <c r="C28" s="8">
        <v>360</v>
      </c>
      <c r="D28" s="8">
        <f t="shared" si="0"/>
        <v>177.12</v>
      </c>
      <c r="E28" s="2">
        <v>2.8000000000000001E-2</v>
      </c>
      <c r="F28" s="7">
        <v>5</v>
      </c>
      <c r="G28">
        <f t="shared" si="1"/>
        <v>45.036239459875993</v>
      </c>
      <c r="H28">
        <v>90</v>
      </c>
      <c r="I28">
        <f t="shared" si="2"/>
        <v>34.493977538444447</v>
      </c>
      <c r="J28" s="8"/>
    </row>
    <row r="29" spans="1:16">
      <c r="A29">
        <v>10000</v>
      </c>
      <c r="B29">
        <v>50</v>
      </c>
      <c r="C29" s="8">
        <v>360</v>
      </c>
      <c r="D29" s="8">
        <f t="shared" si="0"/>
        <v>180</v>
      </c>
      <c r="E29">
        <v>2.7199999999999998E-2</v>
      </c>
      <c r="F29">
        <v>4.96</v>
      </c>
      <c r="G29">
        <f t="shared" si="1"/>
        <v>45.21825544911998</v>
      </c>
      <c r="H29">
        <v>90</v>
      </c>
      <c r="I29">
        <f t="shared" si="2"/>
        <v>30.057002546117321</v>
      </c>
      <c r="J29" s="8"/>
    </row>
    <row r="30" spans="1:16">
      <c r="A30">
        <v>5100</v>
      </c>
      <c r="B30">
        <v>100</v>
      </c>
      <c r="C30" s="8">
        <v>360</v>
      </c>
      <c r="D30" s="8">
        <f t="shared" si="0"/>
        <v>183.6</v>
      </c>
      <c r="E30">
        <v>2.64E-2</v>
      </c>
      <c r="F30" s="7">
        <v>5</v>
      </c>
      <c r="G30">
        <f t="shared" si="1"/>
        <v>45.547321549323755</v>
      </c>
      <c r="H30">
        <v>90</v>
      </c>
      <c r="I30">
        <f t="shared" si="2"/>
        <v>24.036402632837696</v>
      </c>
      <c r="J30" s="8"/>
    </row>
    <row r="31" spans="1:16">
      <c r="A31">
        <v>2480</v>
      </c>
      <c r="B31">
        <v>200</v>
      </c>
      <c r="C31" s="8">
        <v>360</v>
      </c>
      <c r="D31" s="8">
        <f t="shared" si="0"/>
        <v>178.56</v>
      </c>
      <c r="E31" s="2">
        <v>2.8000000000000001E-2</v>
      </c>
      <c r="F31" s="7">
        <v>5</v>
      </c>
      <c r="G31">
        <f t="shared" si="1"/>
        <v>45.036239459875993</v>
      </c>
      <c r="H31">
        <v>90</v>
      </c>
      <c r="I31">
        <f t="shared" si="2"/>
        <v>18.015802719558074</v>
      </c>
      <c r="J31" s="8"/>
    </row>
    <row r="32" spans="1:16">
      <c r="A32">
        <v>1640</v>
      </c>
      <c r="B32">
        <v>300</v>
      </c>
      <c r="C32" s="8">
        <v>360</v>
      </c>
      <c r="D32" s="8">
        <f t="shared" si="0"/>
        <v>177.12</v>
      </c>
      <c r="E32">
        <v>2.5600000000000001E-2</v>
      </c>
      <c r="F32" s="7">
        <v>5</v>
      </c>
      <c r="G32">
        <f t="shared" si="1"/>
        <v>45.814600780483381</v>
      </c>
      <c r="H32">
        <v>90</v>
      </c>
      <c r="I32">
        <f t="shared" si="2"/>
        <v>14.493977538444449</v>
      </c>
      <c r="J32" s="8">
        <v>1</v>
      </c>
    </row>
    <row r="33" spans="1:10">
      <c r="A33">
        <v>1060</v>
      </c>
      <c r="B33">
        <v>500</v>
      </c>
      <c r="C33" s="8">
        <v>360</v>
      </c>
      <c r="D33" s="8">
        <f t="shared" si="0"/>
        <v>190.79999999999998</v>
      </c>
      <c r="E33">
        <v>2.5600000000000001E-2</v>
      </c>
      <c r="F33" s="7">
        <v>5</v>
      </c>
      <c r="G33">
        <f t="shared" si="1"/>
        <v>45.814600780483381</v>
      </c>
      <c r="H33">
        <v>90</v>
      </c>
      <c r="I33">
        <f t="shared" si="2"/>
        <v>10.057002546117324</v>
      </c>
      <c r="J33" s="8"/>
    </row>
    <row r="34" spans="1:10">
      <c r="A34">
        <v>470</v>
      </c>
      <c r="B34">
        <v>1000</v>
      </c>
      <c r="C34" s="8">
        <v>360</v>
      </c>
      <c r="D34" s="8">
        <f t="shared" si="0"/>
        <v>169.2</v>
      </c>
      <c r="E34">
        <v>2.64E-2</v>
      </c>
      <c r="F34" s="7">
        <v>5</v>
      </c>
      <c r="G34">
        <f t="shared" si="1"/>
        <v>45.547321549323755</v>
      </c>
      <c r="H34">
        <v>90</v>
      </c>
      <c r="I34">
        <f t="shared" si="2"/>
        <v>4.0364026328376994</v>
      </c>
      <c r="J34" s="8"/>
    </row>
    <row r="35" spans="1:10">
      <c r="A35">
        <v>228</v>
      </c>
      <c r="B35">
        <f t="shared" ref="B35:B48" si="3">B31*10</f>
        <v>2000</v>
      </c>
      <c r="C35" s="8">
        <v>360</v>
      </c>
      <c r="D35" s="8">
        <f t="shared" si="0"/>
        <v>164.16</v>
      </c>
      <c r="E35">
        <v>2.64E-2</v>
      </c>
      <c r="F35" s="7">
        <v>5</v>
      </c>
      <c r="G35">
        <f t="shared" si="1"/>
        <v>45.547321549323755</v>
      </c>
      <c r="H35">
        <v>90</v>
      </c>
      <c r="I35">
        <f t="shared" si="2"/>
        <v>-1.9841972804419243</v>
      </c>
      <c r="J35" s="8"/>
    </row>
    <row r="36" spans="1:10">
      <c r="A36">
        <v>168</v>
      </c>
      <c r="B36">
        <f t="shared" si="3"/>
        <v>3000</v>
      </c>
      <c r="C36" s="8">
        <v>360</v>
      </c>
      <c r="D36" s="8">
        <f t="shared" si="0"/>
        <v>181.44</v>
      </c>
      <c r="E36">
        <v>2.4799999999999999E-2</v>
      </c>
      <c r="F36" s="7">
        <v>5</v>
      </c>
      <c r="G36">
        <f t="shared" si="1"/>
        <v>46.090366470196045</v>
      </c>
      <c r="H36">
        <v>90</v>
      </c>
      <c r="I36">
        <f t="shared" si="2"/>
        <v>-5.50602246155555</v>
      </c>
      <c r="J36" s="8"/>
    </row>
    <row r="37" spans="1:10">
      <c r="A37">
        <v>96</v>
      </c>
      <c r="B37">
        <f t="shared" si="3"/>
        <v>5000</v>
      </c>
      <c r="C37" s="8">
        <v>360</v>
      </c>
      <c r="D37" s="8">
        <f t="shared" si="0"/>
        <v>172.79999999999998</v>
      </c>
      <c r="E37">
        <v>2.4799999999999999E-2</v>
      </c>
      <c r="F37" s="7">
        <v>5</v>
      </c>
      <c r="G37">
        <f t="shared" si="1"/>
        <v>46.090366470196045</v>
      </c>
      <c r="H37">
        <v>90</v>
      </c>
      <c r="I37">
        <f t="shared" si="2"/>
        <v>-9.9429974538826791</v>
      </c>
      <c r="J37" s="8"/>
    </row>
    <row r="38" spans="1:10">
      <c r="A38">
        <v>42</v>
      </c>
      <c r="B38">
        <f t="shared" si="3"/>
        <v>10000</v>
      </c>
      <c r="C38" s="8">
        <v>360</v>
      </c>
      <c r="D38" s="8">
        <f t="shared" si="0"/>
        <v>151.19999999999999</v>
      </c>
      <c r="E38">
        <v>2.5600000000000001E-2</v>
      </c>
      <c r="F38" s="7">
        <v>5</v>
      </c>
      <c r="G38">
        <f t="shared" si="1"/>
        <v>45.814600780483381</v>
      </c>
      <c r="H38">
        <v>90</v>
      </c>
      <c r="I38">
        <f t="shared" si="2"/>
        <v>-15.963597367162301</v>
      </c>
      <c r="J38" s="8"/>
    </row>
    <row r="39" spans="1:10">
      <c r="A39">
        <v>18.399999999999999</v>
      </c>
      <c r="B39">
        <f t="shared" si="3"/>
        <v>20000</v>
      </c>
      <c r="C39" s="8">
        <v>360</v>
      </c>
      <c r="D39" s="8">
        <f t="shared" si="0"/>
        <v>132.47999999999999</v>
      </c>
      <c r="E39">
        <v>2.7199999999999998E-2</v>
      </c>
      <c r="F39" s="7">
        <v>5</v>
      </c>
      <c r="G39">
        <f t="shared" si="1"/>
        <v>45.2880220060364</v>
      </c>
      <c r="H39">
        <v>90</v>
      </c>
      <c r="I39">
        <f t="shared" si="2"/>
        <v>-21.984197280441926</v>
      </c>
      <c r="J39" s="8"/>
    </row>
    <row r="40" spans="1:10">
      <c r="A40">
        <v>10.4</v>
      </c>
      <c r="B40">
        <f t="shared" si="3"/>
        <v>30000</v>
      </c>
      <c r="C40" s="8">
        <v>360</v>
      </c>
      <c r="D40" s="8">
        <f t="shared" si="0"/>
        <v>112.32</v>
      </c>
      <c r="E40">
        <v>4.0800000000000003E-2</v>
      </c>
      <c r="F40" s="7">
        <v>5</v>
      </c>
      <c r="G40">
        <f t="shared" si="1"/>
        <v>41.766196824922773</v>
      </c>
      <c r="H40">
        <v>90</v>
      </c>
      <c r="I40">
        <f t="shared" si="2"/>
        <v>-25.506022461555553</v>
      </c>
      <c r="J40" s="8"/>
    </row>
    <row r="41" spans="1:10">
      <c r="A41">
        <v>5.8</v>
      </c>
      <c r="B41">
        <f t="shared" si="3"/>
        <v>50000</v>
      </c>
      <c r="C41" s="8">
        <v>360</v>
      </c>
      <c r="D41" s="8">
        <f t="shared" si="0"/>
        <v>104.39999999999999</v>
      </c>
      <c r="E41" s="2">
        <v>0.06</v>
      </c>
      <c r="F41" s="7">
        <v>5.04</v>
      </c>
      <c r="G41">
        <f t="shared" si="1"/>
        <v>38.485585721237634</v>
      </c>
      <c r="H41">
        <v>90</v>
      </c>
      <c r="I41">
        <f t="shared" si="2"/>
        <v>-29.942997453882679</v>
      </c>
      <c r="J41" s="8"/>
    </row>
    <row r="42" spans="1:10">
      <c r="A42">
        <v>2.9</v>
      </c>
      <c r="B42">
        <f t="shared" si="3"/>
        <v>100000</v>
      </c>
      <c r="C42" s="8">
        <v>360</v>
      </c>
      <c r="D42" s="8">
        <f t="shared" si="0"/>
        <v>104.39999999999999</v>
      </c>
      <c r="E42" s="2">
        <v>0.106</v>
      </c>
      <c r="F42" s="7">
        <v>5.04</v>
      </c>
      <c r="G42">
        <f t="shared" si="1"/>
        <v>33.542493423615099</v>
      </c>
      <c r="H42">
        <v>90</v>
      </c>
      <c r="I42">
        <f t="shared" si="2"/>
        <v>-35.963597367162301</v>
      </c>
      <c r="J42" s="8"/>
    </row>
    <row r="43" spans="1:10">
      <c r="A43" s="13">
        <v>1.82</v>
      </c>
      <c r="B43">
        <f t="shared" si="3"/>
        <v>200000</v>
      </c>
      <c r="C43" s="8">
        <v>360</v>
      </c>
      <c r="D43" s="8">
        <f t="shared" si="0"/>
        <v>131.04</v>
      </c>
      <c r="E43" s="2">
        <v>0.20599999999999999</v>
      </c>
      <c r="F43" s="7">
        <v>5.04</v>
      </c>
      <c r="G43">
        <f t="shared" si="1"/>
        <v>27.771266321527438</v>
      </c>
      <c r="H43">
        <v>90</v>
      </c>
      <c r="I43">
        <f t="shared" si="2"/>
        <v>-41.984197280441926</v>
      </c>
      <c r="J43" s="8"/>
    </row>
    <row r="44" spans="1:10">
      <c r="A44" s="1">
        <v>0.88</v>
      </c>
      <c r="B44">
        <f t="shared" si="3"/>
        <v>300000</v>
      </c>
      <c r="C44" s="8">
        <v>360</v>
      </c>
      <c r="D44" s="8">
        <f t="shared" si="0"/>
        <v>95.039999999999992</v>
      </c>
      <c r="E44" s="2">
        <v>0.28799999999999998</v>
      </c>
      <c r="F44" s="7">
        <v>5</v>
      </c>
      <c r="G44">
        <f t="shared" si="1"/>
        <v>24.79155033153576</v>
      </c>
      <c r="H44">
        <v>90</v>
      </c>
      <c r="I44">
        <f t="shared" si="2"/>
        <v>-45.506022461555553</v>
      </c>
      <c r="J44" s="8"/>
    </row>
    <row r="45" spans="1:10">
      <c r="A45" s="1">
        <v>0.48</v>
      </c>
      <c r="B45">
        <f t="shared" si="3"/>
        <v>500000</v>
      </c>
      <c r="C45" s="8">
        <v>360</v>
      </c>
      <c r="D45" s="8">
        <f t="shared" si="0"/>
        <v>86.399999999999991</v>
      </c>
      <c r="E45" s="2">
        <v>0.436</v>
      </c>
      <c r="F45" s="7">
        <v>5</v>
      </c>
      <c r="G45">
        <f t="shared" si="1"/>
        <v>21.189670301348656</v>
      </c>
      <c r="H45">
        <v>90</v>
      </c>
      <c r="I45">
        <f t="shared" si="2"/>
        <v>-49.942997453882676</v>
      </c>
      <c r="J45" s="8"/>
    </row>
    <row r="46" spans="1:10">
      <c r="A46" s="1">
        <v>0.24</v>
      </c>
      <c r="B46">
        <f t="shared" si="3"/>
        <v>1000000</v>
      </c>
      <c r="C46" s="8">
        <v>360</v>
      </c>
      <c r="D46" s="8">
        <f t="shared" si="0"/>
        <v>86.399999999999991</v>
      </c>
      <c r="E46" s="2">
        <v>1.04</v>
      </c>
      <c r="F46" s="7">
        <v>5.04</v>
      </c>
      <c r="G46">
        <f t="shared" si="1"/>
        <v>13.707943942934897</v>
      </c>
      <c r="H46">
        <v>90</v>
      </c>
      <c r="I46">
        <f t="shared" si="2"/>
        <v>-55.963597367162301</v>
      </c>
      <c r="J46" s="8"/>
    </row>
    <row r="47" spans="1:10">
      <c r="A47" s="1">
        <v>0.12</v>
      </c>
      <c r="B47">
        <f t="shared" si="3"/>
        <v>2000000</v>
      </c>
      <c r="C47" s="8">
        <v>360</v>
      </c>
      <c r="D47" s="8">
        <f t="shared" si="0"/>
        <v>86.399999999999991</v>
      </c>
      <c r="E47" s="2">
        <v>1.04</v>
      </c>
      <c r="F47" s="7">
        <v>2.88</v>
      </c>
      <c r="G47">
        <f t="shared" si="1"/>
        <v>8.84718296920901</v>
      </c>
      <c r="H47">
        <v>90</v>
      </c>
      <c r="I47">
        <f t="shared" si="2"/>
        <v>-61.984197280441926</v>
      </c>
      <c r="J47" s="8"/>
    </row>
    <row r="48" spans="1:10">
      <c r="A48" s="1">
        <v>7.0000000000000007E-2</v>
      </c>
      <c r="B48">
        <f t="shared" si="3"/>
        <v>3000000</v>
      </c>
      <c r="C48" s="8">
        <v>360</v>
      </c>
      <c r="D48" s="8">
        <f t="shared" si="0"/>
        <v>75.600000000000009</v>
      </c>
      <c r="E48" s="2">
        <v>1.1200000000000001</v>
      </c>
      <c r="F48" s="7">
        <v>2.2400000000000002</v>
      </c>
      <c r="G48">
        <f t="shared" si="1"/>
        <v>6.0205999132796242</v>
      </c>
      <c r="H48">
        <v>90</v>
      </c>
      <c r="I48">
        <f t="shared" si="2"/>
        <v>-65.506022461555546</v>
      </c>
      <c r="J48" s="8"/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91A20-9180-1248-B584-87CC22FA6431}">
  <dimension ref="A1:Y21"/>
  <sheetViews>
    <sheetView zoomScale="45" workbookViewId="0">
      <selection activeCell="A21" sqref="A21"/>
    </sheetView>
  </sheetViews>
  <sheetFormatPr baseColWidth="10" defaultColWidth="8.7109375" defaultRowHeight="20"/>
  <sheetData>
    <row r="1" spans="1:25">
      <c r="A1" t="s">
        <v>20</v>
      </c>
    </row>
    <row r="2" spans="1:25">
      <c r="A2" t="s">
        <v>40</v>
      </c>
      <c r="C2" t="s">
        <v>41</v>
      </c>
      <c r="G2" t="s">
        <v>42</v>
      </c>
      <c r="L2" t="s">
        <v>39</v>
      </c>
      <c r="M2" t="s">
        <v>43</v>
      </c>
      <c r="S2" t="s">
        <v>44</v>
      </c>
      <c r="Y2" t="s">
        <v>45</v>
      </c>
    </row>
    <row r="20" spans="1:1">
      <c r="A20" t="s">
        <v>26</v>
      </c>
    </row>
    <row r="21" spans="1:1">
      <c r="A21" s="14"/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AD249-AF4B-3447-B438-6B367E8A37FC}">
  <dimension ref="A1:AJ50"/>
  <sheetViews>
    <sheetView zoomScaleNormal="100" workbookViewId="0">
      <selection activeCell="O2" sqref="O2"/>
    </sheetView>
  </sheetViews>
  <sheetFormatPr baseColWidth="10" defaultColWidth="11.5703125" defaultRowHeight="20"/>
  <cols>
    <col min="4" max="4" width="24" bestFit="1" customWidth="1"/>
  </cols>
  <sheetData>
    <row r="1" spans="1:36" ht="22">
      <c r="A1" t="s">
        <v>46</v>
      </c>
      <c r="B1" t="s">
        <v>47</v>
      </c>
      <c r="C1" t="s">
        <v>48</v>
      </c>
      <c r="D1" t="s">
        <v>49</v>
      </c>
      <c r="E1" t="s">
        <v>50</v>
      </c>
      <c r="M1" t="s">
        <v>51</v>
      </c>
      <c r="N1" t="s">
        <v>47</v>
      </c>
      <c r="O1" t="s">
        <v>48</v>
      </c>
      <c r="V1" t="s">
        <v>27</v>
      </c>
      <c r="W1" t="s">
        <v>28</v>
      </c>
      <c r="X1" t="s">
        <v>29</v>
      </c>
      <c r="AF1" t="s">
        <v>30</v>
      </c>
      <c r="AG1" t="s">
        <v>28</v>
      </c>
      <c r="AH1" t="s">
        <v>29</v>
      </c>
    </row>
    <row r="2" spans="1:36">
      <c r="A2" t="s">
        <v>52</v>
      </c>
      <c r="D2">
        <f>(20*(10^3)*B2+(10^4)*C2)/(20*(10^3)+(10^4))</f>
        <v>0</v>
      </c>
      <c r="E2">
        <v>0</v>
      </c>
    </row>
    <row r="3" spans="1:36">
      <c r="D3">
        <f t="shared" ref="D3:D50" si="0">(20*(10^3)*B3+(10^4)*C3)/(20*(10^3)+(10^4))</f>
        <v>0</v>
      </c>
      <c r="E3">
        <v>0</v>
      </c>
    </row>
    <row r="4" spans="1:36">
      <c r="D4">
        <f t="shared" si="0"/>
        <v>0</v>
      </c>
      <c r="E4">
        <v>0</v>
      </c>
    </row>
    <row r="5" spans="1:36">
      <c r="D5">
        <f t="shared" si="0"/>
        <v>0</v>
      </c>
      <c r="E5">
        <v>0</v>
      </c>
    </row>
    <row r="6" spans="1:36">
      <c r="D6">
        <f t="shared" si="0"/>
        <v>0</v>
      </c>
      <c r="E6">
        <v>0</v>
      </c>
    </row>
    <row r="7" spans="1:36">
      <c r="D7">
        <f t="shared" si="0"/>
        <v>0</v>
      </c>
      <c r="E7">
        <v>0</v>
      </c>
    </row>
    <row r="8" spans="1:36">
      <c r="D8">
        <f t="shared" si="0"/>
        <v>0</v>
      </c>
      <c r="E8">
        <v>0</v>
      </c>
    </row>
    <row r="9" spans="1:36">
      <c r="D9">
        <f t="shared" si="0"/>
        <v>0</v>
      </c>
      <c r="E9">
        <v>0</v>
      </c>
    </row>
    <row r="10" spans="1:36">
      <c r="D10">
        <f t="shared" si="0"/>
        <v>0</v>
      </c>
      <c r="E10">
        <v>0</v>
      </c>
    </row>
    <row r="11" spans="1:36">
      <c r="D11">
        <f t="shared" si="0"/>
        <v>0</v>
      </c>
      <c r="E11">
        <v>0</v>
      </c>
    </row>
    <row r="12" spans="1:36">
      <c r="D12">
        <f t="shared" si="0"/>
        <v>0</v>
      </c>
      <c r="E12">
        <v>0</v>
      </c>
    </row>
    <row r="13" spans="1:36">
      <c r="D13">
        <f t="shared" si="0"/>
        <v>0</v>
      </c>
      <c r="E13">
        <v>0</v>
      </c>
    </row>
    <row r="14" spans="1:36">
      <c r="D14">
        <f t="shared" si="0"/>
        <v>0</v>
      </c>
      <c r="E14">
        <v>0</v>
      </c>
      <c r="G14" t="s">
        <v>53</v>
      </c>
      <c r="H14" t="s">
        <v>54</v>
      </c>
      <c r="I14" t="s">
        <v>55</v>
      </c>
      <c r="J14" t="s">
        <v>56</v>
      </c>
    </row>
    <row r="15" spans="1:36">
      <c r="D15">
        <f t="shared" si="0"/>
        <v>0</v>
      </c>
      <c r="E15">
        <v>0</v>
      </c>
      <c r="G15" t="e">
        <f>SLOPE(C2:C50,B2:B50)</f>
        <v>#DIV/0!</v>
      </c>
      <c r="H15">
        <v>-2</v>
      </c>
      <c r="I15" t="e">
        <f>INTERCEPT(C2:C50,B2:B50)</f>
        <v>#DIV/0!</v>
      </c>
      <c r="J15">
        <v>0</v>
      </c>
    </row>
    <row r="16" spans="1:36">
      <c r="D16">
        <f t="shared" si="0"/>
        <v>0</v>
      </c>
      <c r="E16">
        <v>0</v>
      </c>
      <c r="G16" t="s">
        <v>57</v>
      </c>
      <c r="AJ16" t="s">
        <v>33</v>
      </c>
    </row>
    <row r="17" spans="4:7">
      <c r="D17">
        <f t="shared" si="0"/>
        <v>0</v>
      </c>
      <c r="E17">
        <v>0</v>
      </c>
      <c r="G17" t="e">
        <f>100*(ABS(G15-H15))/H15</f>
        <v>#DIV/0!</v>
      </c>
    </row>
    <row r="18" spans="4:7">
      <c r="D18">
        <f t="shared" si="0"/>
        <v>0</v>
      </c>
      <c r="E18">
        <v>0</v>
      </c>
    </row>
    <row r="19" spans="4:7">
      <c r="D19">
        <f t="shared" si="0"/>
        <v>0</v>
      </c>
      <c r="E19">
        <v>0</v>
      </c>
    </row>
    <row r="20" spans="4:7">
      <c r="D20">
        <f t="shared" si="0"/>
        <v>0</v>
      </c>
      <c r="E20">
        <v>0</v>
      </c>
    </row>
    <row r="21" spans="4:7">
      <c r="D21">
        <f t="shared" si="0"/>
        <v>0</v>
      </c>
      <c r="E21">
        <v>0</v>
      </c>
    </row>
    <row r="22" spans="4:7">
      <c r="D22">
        <f t="shared" si="0"/>
        <v>0</v>
      </c>
      <c r="E22">
        <v>0</v>
      </c>
    </row>
    <row r="23" spans="4:7">
      <c r="D23">
        <f t="shared" si="0"/>
        <v>0</v>
      </c>
      <c r="E23">
        <v>0</v>
      </c>
    </row>
    <row r="24" spans="4:7">
      <c r="D24">
        <f t="shared" si="0"/>
        <v>0</v>
      </c>
      <c r="E24">
        <v>0</v>
      </c>
    </row>
    <row r="25" spans="4:7">
      <c r="D25">
        <f t="shared" si="0"/>
        <v>0</v>
      </c>
      <c r="E25">
        <v>0</v>
      </c>
    </row>
    <row r="26" spans="4:7">
      <c r="D26">
        <f t="shared" si="0"/>
        <v>0</v>
      </c>
      <c r="E26">
        <v>0</v>
      </c>
    </row>
    <row r="27" spans="4:7">
      <c r="D27">
        <f t="shared" si="0"/>
        <v>0</v>
      </c>
      <c r="E27">
        <v>0</v>
      </c>
    </row>
    <row r="28" spans="4:7">
      <c r="D28">
        <f t="shared" si="0"/>
        <v>0</v>
      </c>
      <c r="E28">
        <v>0</v>
      </c>
    </row>
    <row r="29" spans="4:7">
      <c r="D29">
        <f t="shared" si="0"/>
        <v>0</v>
      </c>
      <c r="E29">
        <v>0</v>
      </c>
    </row>
    <row r="30" spans="4:7">
      <c r="D30">
        <f t="shared" si="0"/>
        <v>0</v>
      </c>
      <c r="E30">
        <v>0</v>
      </c>
    </row>
    <row r="31" spans="4:7">
      <c r="D31">
        <f t="shared" si="0"/>
        <v>0</v>
      </c>
      <c r="E31">
        <v>0</v>
      </c>
    </row>
    <row r="32" spans="4:7">
      <c r="D32">
        <f t="shared" si="0"/>
        <v>0</v>
      </c>
      <c r="E32">
        <v>0</v>
      </c>
    </row>
    <row r="33" spans="4:5">
      <c r="D33">
        <f t="shared" si="0"/>
        <v>0</v>
      </c>
      <c r="E33">
        <v>0</v>
      </c>
    </row>
    <row r="34" spans="4:5">
      <c r="D34">
        <f t="shared" si="0"/>
        <v>0</v>
      </c>
      <c r="E34">
        <v>0</v>
      </c>
    </row>
    <row r="35" spans="4:5">
      <c r="D35">
        <f t="shared" si="0"/>
        <v>0</v>
      </c>
      <c r="E35">
        <v>0</v>
      </c>
    </row>
    <row r="36" spans="4:5">
      <c r="D36">
        <f t="shared" si="0"/>
        <v>0</v>
      </c>
      <c r="E36">
        <v>0</v>
      </c>
    </row>
    <row r="37" spans="4:5">
      <c r="D37">
        <f t="shared" si="0"/>
        <v>0</v>
      </c>
      <c r="E37">
        <v>0</v>
      </c>
    </row>
    <row r="38" spans="4:5">
      <c r="D38">
        <f t="shared" si="0"/>
        <v>0</v>
      </c>
      <c r="E38">
        <v>0</v>
      </c>
    </row>
    <row r="39" spans="4:5">
      <c r="D39">
        <f t="shared" si="0"/>
        <v>0</v>
      </c>
      <c r="E39">
        <v>0</v>
      </c>
    </row>
    <row r="40" spans="4:5">
      <c r="D40">
        <f t="shared" si="0"/>
        <v>0</v>
      </c>
      <c r="E40">
        <v>0</v>
      </c>
    </row>
    <row r="41" spans="4:5">
      <c r="D41">
        <f t="shared" si="0"/>
        <v>0</v>
      </c>
      <c r="E41">
        <v>0</v>
      </c>
    </row>
    <row r="42" spans="4:5">
      <c r="D42">
        <f t="shared" si="0"/>
        <v>0</v>
      </c>
      <c r="E42">
        <v>0</v>
      </c>
    </row>
    <row r="43" spans="4:5">
      <c r="D43">
        <f t="shared" si="0"/>
        <v>0</v>
      </c>
      <c r="E43">
        <v>0</v>
      </c>
    </row>
    <row r="44" spans="4:5">
      <c r="D44">
        <f t="shared" si="0"/>
        <v>0</v>
      </c>
      <c r="E44">
        <v>0</v>
      </c>
    </row>
    <row r="45" spans="4:5">
      <c r="D45">
        <f t="shared" si="0"/>
        <v>0</v>
      </c>
      <c r="E45">
        <v>0</v>
      </c>
    </row>
    <row r="46" spans="4:5">
      <c r="D46">
        <f t="shared" si="0"/>
        <v>0</v>
      </c>
      <c r="E46">
        <v>0</v>
      </c>
    </row>
    <row r="47" spans="4:5">
      <c r="D47">
        <f t="shared" si="0"/>
        <v>0</v>
      </c>
      <c r="E47">
        <v>0</v>
      </c>
    </row>
    <row r="48" spans="4:5">
      <c r="D48">
        <f t="shared" si="0"/>
        <v>0</v>
      </c>
      <c r="E48">
        <v>0</v>
      </c>
    </row>
    <row r="49" spans="4:5">
      <c r="D49">
        <f t="shared" si="0"/>
        <v>0</v>
      </c>
      <c r="E49">
        <v>0</v>
      </c>
    </row>
    <row r="50" spans="4:5">
      <c r="D50">
        <f t="shared" si="0"/>
        <v>0</v>
      </c>
      <c r="E50"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周東いる班(積分回路)</vt:lpstr>
      <vt:lpstr>周東いる班(反転増幅回路の交流)</vt:lpstr>
      <vt:lpstr>周東いる班(加算・減算回路の交流)</vt:lpstr>
      <vt:lpstr>いない班(積分回路)</vt:lpstr>
      <vt:lpstr>いない班(反転増幅回路の交流)</vt:lpstr>
      <vt:lpstr>　いない班(加算・減算回路の交流) </vt:lpstr>
      <vt:lpstr>コピー元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周東　玖龍</dc:creator>
  <cp:keywords/>
  <dc:description/>
  <cp:lastModifiedBy>谷口　天眞</cp:lastModifiedBy>
  <cp:revision/>
  <dcterms:created xsi:type="dcterms:W3CDTF">2025-10-13T04:03:48Z</dcterms:created>
  <dcterms:modified xsi:type="dcterms:W3CDTF">2026-01-05T02:30:52Z</dcterms:modified>
  <cp:category/>
  <cp:contentStatus/>
</cp:coreProperties>
</file>