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TA Stats\"/>
    </mc:Choice>
  </mc:AlternateContent>
  <xr:revisionPtr revIDLastSave="0" documentId="13_ncr:1_{C6A483E8-D53B-4F0F-9DF3-F05DE01A402A}" xr6:coauthVersionLast="44" xr6:coauthVersionMax="44" xr10:uidLastSave="{00000000-0000-0000-0000-000000000000}"/>
  <bookViews>
    <workbookView xWindow="-110" yWindow="-110" windowWidth="19420" windowHeight="10420" activeTab="2" xr2:uid="{548DD727-CE61-46AC-92F0-6FC0C911BAE0}"/>
  </bookViews>
  <sheets>
    <sheet name="Exercise 2" sheetId="2" r:id="rId1"/>
    <sheet name="Exercise 3" sheetId="1" r:id="rId2"/>
    <sheet name="Exercise 4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7" i="2" l="1"/>
  <c r="D58" i="2" l="1"/>
  <c r="C41" i="2"/>
  <c r="C38" i="2"/>
  <c r="D38" i="2"/>
  <c r="E38" i="2"/>
  <c r="D37" i="2"/>
  <c r="E37" i="2"/>
  <c r="C37" i="2"/>
  <c r="C39" i="2" l="1"/>
  <c r="D39" i="2"/>
  <c r="F27" i="2"/>
  <c r="F11" i="2"/>
  <c r="F28" i="2"/>
  <c r="F19" i="2"/>
  <c r="F7" i="2"/>
  <c r="F15" i="2"/>
  <c r="F34" i="2"/>
  <c r="F23" i="2"/>
  <c r="E39" i="2"/>
  <c r="H20" i="2" s="1"/>
  <c r="C42" i="2"/>
  <c r="H32" i="2"/>
  <c r="H9" i="2"/>
  <c r="H13" i="2"/>
  <c r="H19" i="2"/>
  <c r="H35" i="2"/>
  <c r="H34" i="2"/>
  <c r="H23" i="2"/>
  <c r="G7" i="2"/>
  <c r="G12" i="2"/>
  <c r="G16" i="2"/>
  <c r="G20" i="2"/>
  <c r="G24" i="2"/>
  <c r="G28" i="2"/>
  <c r="G32" i="2"/>
  <c r="G36" i="2"/>
  <c r="G11" i="2"/>
  <c r="G9" i="2"/>
  <c r="G13" i="2"/>
  <c r="G17" i="2"/>
  <c r="G21" i="2"/>
  <c r="G25" i="2"/>
  <c r="G29" i="2"/>
  <c r="G33" i="2"/>
  <c r="G15" i="2"/>
  <c r="G19" i="2"/>
  <c r="G27" i="2"/>
  <c r="G8" i="2"/>
  <c r="G10" i="2"/>
  <c r="G14" i="2"/>
  <c r="G18" i="2"/>
  <c r="G22" i="2"/>
  <c r="G26" i="2"/>
  <c r="G30" i="2"/>
  <c r="G34" i="2"/>
  <c r="G6" i="2"/>
  <c r="G23" i="2"/>
  <c r="G31" i="2"/>
  <c r="G35" i="2"/>
  <c r="C43" i="2"/>
  <c r="F6" i="2"/>
  <c r="F33" i="2"/>
  <c r="F26" i="2"/>
  <c r="F22" i="2"/>
  <c r="F18" i="2"/>
  <c r="F14" i="2"/>
  <c r="F10" i="2"/>
  <c r="F32" i="2"/>
  <c r="F36" i="2"/>
  <c r="F31" i="2"/>
  <c r="F25" i="2"/>
  <c r="F21" i="2"/>
  <c r="F17" i="2"/>
  <c r="F13" i="2"/>
  <c r="F9" i="2"/>
  <c r="F30" i="2"/>
  <c r="F35" i="2"/>
  <c r="F29" i="2"/>
  <c r="F24" i="2"/>
  <c r="F20" i="2"/>
  <c r="F16" i="2"/>
  <c r="F12" i="2"/>
  <c r="F8" i="2"/>
  <c r="M10" i="1"/>
  <c r="M11" i="1" s="1"/>
  <c r="M12" i="1" s="1"/>
  <c r="M13" i="1" s="1"/>
  <c r="M14" i="1" s="1"/>
  <c r="M15" i="1" s="1"/>
  <c r="L10" i="1"/>
  <c r="L11" i="1"/>
  <c r="L12" i="1"/>
  <c r="L13" i="1"/>
  <c r="L14" i="1"/>
  <c r="L9" i="1"/>
  <c r="J9" i="1"/>
  <c r="J14" i="1"/>
  <c r="J15" i="1"/>
  <c r="I13" i="1"/>
  <c r="I14" i="1"/>
  <c r="H13" i="1"/>
  <c r="H14" i="1"/>
  <c r="J10" i="1"/>
  <c r="J11" i="1"/>
  <c r="J13" i="1"/>
  <c r="J12" i="1"/>
  <c r="I7" i="1"/>
  <c r="I8" i="1"/>
  <c r="I9" i="1"/>
  <c r="I10" i="1"/>
  <c r="I11" i="1"/>
  <c r="I12" i="1"/>
  <c r="I6" i="1"/>
  <c r="H7" i="1"/>
  <c r="H8" i="1"/>
  <c r="H9" i="1"/>
  <c r="H10" i="1"/>
  <c r="H11" i="1"/>
  <c r="H12" i="1"/>
  <c r="H6" i="1"/>
  <c r="H28" i="2" l="1"/>
  <c r="H22" i="2"/>
  <c r="H29" i="2"/>
  <c r="H15" i="2"/>
  <c r="H16" i="2"/>
  <c r="H18" i="2"/>
  <c r="H25" i="2"/>
  <c r="H11" i="2"/>
  <c r="H12" i="2"/>
  <c r="F38" i="2"/>
  <c r="H30" i="2"/>
  <c r="H14" i="2"/>
  <c r="H6" i="2"/>
  <c r="H21" i="2"/>
  <c r="H31" i="2"/>
  <c r="H7" i="2"/>
  <c r="H24" i="2"/>
  <c r="H8" i="2"/>
  <c r="N8" i="2"/>
  <c r="O8" i="2" s="1"/>
  <c r="N7" i="2"/>
  <c r="O7" i="2" s="1"/>
  <c r="N6" i="2"/>
  <c r="O6" i="2" s="1"/>
  <c r="H26" i="2"/>
  <c r="H10" i="2"/>
  <c r="H33" i="2"/>
  <c r="H17" i="2"/>
  <c r="H27" i="2"/>
  <c r="H36" i="2"/>
  <c r="G38" i="2"/>
  <c r="L15" i="1"/>
  <c r="O9" i="2" l="1"/>
  <c r="K10" i="2" s="1"/>
  <c r="H38" i="2"/>
  <c r="K5" i="2"/>
  <c r="K9" i="2" s="1"/>
  <c r="D5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tc={1E7DA5F5-C501-4B62-9BA9-48C643FCF39D}</author>
    <author>tc={AB595C78-CA59-402D-A90D-2F188F093019}</author>
    <author>tc={C788A89E-1EBA-4AEA-9E81-2B8D2B601F76}</author>
    <author>tc={C415E992-FC40-4DE6-B026-D03CA934705C}</author>
  </authors>
  <commentList>
    <comment ref="J9" authorId="0" shapeId="0" xr:uid="{1E7DA5F5-C501-4B62-9BA9-48C643FCF39D}">
      <text>
        <t>[Threaded comment]
Your version of Excel allows you to read this threaded comment; however, any edits to it will get removed if the file is opened in a newer version of Excel. Learn more: https://go.microsoft.com/fwlink/?linkid=870924
Comment:
    I calculated this value based on the average of the 4 previous ones because of limitation of data. I need 5 SMA to calculate the WMA for t-6</t>
      </text>
    </comment>
    <comment ref="M9" authorId="1" shapeId="0" xr:uid="{AB595C78-CA59-402D-A90D-2F188F093019}">
      <text>
        <t>[Threaded comment]
Your version of Excel allows you to read this threaded comment; however, any edits to it will get removed if the file is opened in a newer version of Excel. Learn more: https://go.microsoft.com/fwlink/?linkid=870924
Comment:
    I am using 2017 Q1 index data as a reference to calculate the next value. I am taking Ft-1 as the reference value in this case only. For the calculation below one I used the value matching the formula</t>
      </text>
    </comment>
    <comment ref="J10" authorId="2" shapeId="0" xr:uid="{C788A89E-1EBA-4AEA-9E81-2B8D2B601F76}">
      <text>
        <t>[Threaded comment]
Your version of Excel allows you to read this threaded comment; however, any edits to it will get removed if the file is opened in a newer version of Excel. Learn more: https://go.microsoft.com/fwlink/?linkid=870924
Comment:
    I calculated this value based on the average of the 5 previous ones because of limitation of data. I need 5 SMA to calculate the WMA for t-6</t>
      </text>
    </comment>
    <comment ref="F14" authorId="3" shapeId="0" xr:uid="{C415E992-FC40-4DE6-B026-D03CA934705C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figure in the National Statistics Office is not final, is based on Seasonal Patterns up to Quarter 3, 2019</t>
      </text>
    </comment>
  </commentList>
</comments>
</file>

<file path=xl/sharedStrings.xml><?xml version="1.0" encoding="utf-8"?>
<sst xmlns="http://schemas.openxmlformats.org/spreadsheetml/2006/main" count="148" uniqueCount="116">
  <si>
    <t>Q1 and Q3</t>
  </si>
  <si>
    <t>SMA</t>
  </si>
  <si>
    <t>Simple Moving Average</t>
  </si>
  <si>
    <t>WMA</t>
  </si>
  <si>
    <t>Weighted Moving Average</t>
  </si>
  <si>
    <t>EMA</t>
  </si>
  <si>
    <t>Exponential Moving Average</t>
  </si>
  <si>
    <t>2015Q1</t>
  </si>
  <si>
    <t>2015Q3</t>
  </si>
  <si>
    <t>2016Q1</t>
  </si>
  <si>
    <t>2016Q3</t>
  </si>
  <si>
    <t>2017Q1</t>
  </si>
  <si>
    <t>2017Q3</t>
  </si>
  <si>
    <t>2018Q1</t>
  </si>
  <si>
    <t>2018Q3</t>
  </si>
  <si>
    <t>Observation</t>
  </si>
  <si>
    <t>Time</t>
  </si>
  <si>
    <t>Student number</t>
  </si>
  <si>
    <t>Digit 0</t>
  </si>
  <si>
    <t>Digit 2</t>
  </si>
  <si>
    <t>Table 1(c) Seasonally Adjusted Indices on Production in Civil Engineering: Value of Production</t>
  </si>
  <si>
    <t>House construction index</t>
  </si>
  <si>
    <t>2019Q1</t>
  </si>
  <si>
    <t>2019Q3</t>
  </si>
  <si>
    <t>2020Q1</t>
  </si>
  <si>
    <t>Alpha</t>
  </si>
  <si>
    <t>2nd last digit</t>
  </si>
  <si>
    <t>Last digit</t>
  </si>
  <si>
    <t>2012 Q1</t>
  </si>
  <si>
    <t>Cork, Galway, Waterford</t>
  </si>
  <si>
    <t xml:space="preserve">for two-bed apartments by quarter for the 10 years to Q3 2019 from the Residential Property Board (RTB) 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</si>
  <si>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</si>
  <si>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</si>
  <si>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</si>
  <si>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</si>
  <si>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</si>
  <si>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</si>
  <si>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</si>
  <si>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</si>
  <si>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</si>
  <si>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</si>
  <si>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</si>
  <si>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</si>
  <si>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2015Q2</t>
  </si>
  <si>
    <t>2015Q4</t>
  </si>
  <si>
    <t>2016Q2</t>
  </si>
  <si>
    <t>2016Q4</t>
  </si>
  <si>
    <t>2017Q2</t>
  </si>
  <si>
    <t>2017Q4</t>
  </si>
  <si>
    <t>2018Q2</t>
  </si>
  <si>
    <t>2018Q4</t>
  </si>
  <si>
    <t>2019Q2</t>
  </si>
  <si>
    <t>CORK</t>
  </si>
  <si>
    <t>GALWAY</t>
  </si>
  <si>
    <t>WATERFORD</t>
  </si>
  <si>
    <t>Hypothesis</t>
  </si>
  <si>
    <t>H0:</t>
  </si>
  <si>
    <t>H1:</t>
  </si>
  <si>
    <t>µ Cork = µ Galway = µ Waterford</t>
  </si>
  <si>
    <t>Sample size</t>
  </si>
  <si>
    <t>Significance</t>
  </si>
  <si>
    <t>Quarter</t>
  </si>
  <si>
    <t>Sum</t>
  </si>
  <si>
    <t>Mean Groups</t>
  </si>
  <si>
    <t>Total sum of squares</t>
  </si>
  <si>
    <t>Total observations</t>
  </si>
  <si>
    <t>Groups</t>
  </si>
  <si>
    <t>MSSw</t>
  </si>
  <si>
    <t>Total sum</t>
  </si>
  <si>
    <t>Total sample</t>
  </si>
  <si>
    <t>Global mean</t>
  </si>
  <si>
    <t>G means</t>
  </si>
  <si>
    <t>MSSb</t>
  </si>
  <si>
    <t>at least 2 city means differ</t>
  </si>
  <si>
    <t>Test Statistic</t>
  </si>
  <si>
    <t>F:</t>
  </si>
  <si>
    <t>Dfw</t>
  </si>
  <si>
    <t>Dfb</t>
  </si>
  <si>
    <t>Critical Values</t>
  </si>
  <si>
    <t>Decision</t>
  </si>
  <si>
    <t xml:space="preserve">infer that at least one pairing of groups are different to each other </t>
  </si>
  <si>
    <t>with 95% confidence</t>
  </si>
  <si>
    <t>Anova: Single Factor</t>
  </si>
  <si>
    <t>SUMMARY</t>
  </si>
  <si>
    <t>Count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</si>
  <si>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</si>
  <si>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</si>
  <si>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</si>
  <si>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</si>
  <si>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</si>
  <si>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</si>
  <si>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</si>
  <si>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</si>
  <si>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</si>
  <si>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</si>
  <si>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</si>
  <si>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</si>
  <si>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</si>
  <si>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Clearly F &gt; C (79.16 &gt; 3.10) and as such we reject H0 in favour of H1 and</t>
  </si>
  <si>
    <t>DATA ANALYSIS TOOL IN EXCEL</t>
  </si>
  <si>
    <t>CONDUCTING THE TEST MANUALLY</t>
  </si>
  <si>
    <t>n</t>
  </si>
  <si>
    <t>FORMULAS</t>
  </si>
  <si>
    <t>decreasing by 12.16 basic points</t>
  </si>
  <si>
    <t>The Exponential moving average differs from the Simple Moving Average,</t>
  </si>
  <si>
    <t>only differ in 2 decimal points, so they are very similar</t>
  </si>
  <si>
    <t>For 2015Q3 the value of house construction in civil engineering decreased by 3.86 basic points</t>
  </si>
  <si>
    <t>However, the Weighed Moving Average and the Exponential MA</t>
  </si>
  <si>
    <t>Residential Property Price Index</t>
  </si>
  <si>
    <t>QUARTER</t>
  </si>
  <si>
    <t>R² = 0.8293</t>
  </si>
  <si>
    <t>Production in Building &amp; Construction Index</t>
  </si>
  <si>
    <t>Residential Index = 0.5809(Building Index) + 51.975</t>
  </si>
  <si>
    <t>R2 value indicates that the model explains 82% of the variability of the Residential Property Price index around its mean</t>
  </si>
  <si>
    <t>A single increase in a basic point in building will result in 0.58 increase in residential property price index</t>
  </si>
  <si>
    <t>I had to trim data and get rid of Q2 and Q4 to make it match with the data I built on Question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</si>
</sst>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rgb="FF000000"/>
      <name val="Arial Narrow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sz val="7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3" borderId="0" xfId="0" applyFill="1" applyBorder="1"/>
    <xf numFmtId="0" fontId="0" fillId="0" borderId="0" xfId="0" applyBorder="1"/>
    <xf numFmtId="4" fontId="0" fillId="0" borderId="0" xfId="0" applyNumberFormat="1"/>
    <xf numFmtId="0" fontId="0" fillId="0" borderId="2" xfId="0" applyBorder="1"/>
    <xf numFmtId="4" fontId="0" fillId="0" borderId="2" xfId="0" applyNumberFormat="1" applyBorder="1"/>
    <xf numFmtId="0" fontId="1" fillId="0" borderId="2" xfId="0" applyFont="1" applyBorder="1"/>
    <xf numFmtId="0" fontId="4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5" fillId="0" borderId="3" xfId="0" applyFont="1" applyFill="1" applyBorder="1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  <xf numFmtId="0" fontId="1" fillId="5" borderId="0" xfId="0" applyFont="1" applyFill="1"/>
    <xf numFmtId="0" fontId="1" fillId="3" borderId="0" xfId="0" applyFont="1" applyFill="1"/>
    <xf numFmtId="0" fontId="0" fillId="5" borderId="4" xfId="0" applyFill="1" applyBorder="1" applyAlignment="1">
      <alignment horizontal="center"/>
    </xf>
    <xf numFmtId="0" fontId="2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 readingOrder="1"/>
    </xf>
    <xf numFmtId="0" fontId="7" fillId="0" borderId="0" xfId="0" applyFont="1" applyAlignment="1">
      <alignment wrapText="1"/>
    </xf>
    <xf numFmtId="0" fontId="7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Property Price variation</a:t>
            </a:r>
            <a:r>
              <a:rPr lang="en-US" baseline="0"/>
              <a:t> when Production in Building and Construction vary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'Exercise 4'!$C$1</c:f>
              <c:strCache>
                <c:ptCount val="1"/>
                <c:pt idx="0">
                  <c:v>Residential Property Price Index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'Exercise 4'!$B$2:$B$11</c:f>
              <c:numCache>
                <c:formatCode>General</c:formatCode>
                <c:ptCount val="10"/>
                <c:pt idx="0">
                  <c:v>100</c:v>
                </c:pt>
                <c:pt idx="1">
                  <c:v>97.14</c:v>
                </c:pt>
                <c:pt idx="2">
                  <c:v>102.96</c:v>
                </c:pt>
                <c:pt idx="3">
                  <c:v>106.67</c:v>
                </c:pt>
                <c:pt idx="4">
                  <c:v>108.04</c:v>
                </c:pt>
                <c:pt idx="5">
                  <c:v>114.07</c:v>
                </c:pt>
                <c:pt idx="6">
                  <c:v>122.12</c:v>
                </c:pt>
                <c:pt idx="7">
                  <c:v>151.75</c:v>
                </c:pt>
                <c:pt idx="8">
                  <c:v>152.49</c:v>
                </c:pt>
                <c:pt idx="9">
                  <c:v>158.41</c:v>
                </c:pt>
              </c:numCache>
            </c:numRef>
          </c:xVal>
          <c:yVal>
            <c:numRef>
              <c:f>'Exercise 4'!$C$2:$C$11</c:f>
              <c:numCache>
                <c:formatCode>General</c:formatCode>
                <c:ptCount val="10"/>
                <c:pt idx="0">
                  <c:v>100</c:v>
                </c:pt>
                <c:pt idx="1">
                  <c:v>106.08</c:v>
                </c:pt>
                <c:pt idx="2">
                  <c:v>107.37</c:v>
                </c:pt>
                <c:pt idx="3">
                  <c:v>114.62</c:v>
                </c:pt>
                <c:pt idx="4">
                  <c:v>117.85</c:v>
                </c:pt>
                <c:pt idx="5">
                  <c:v>128.33000000000001</c:v>
                </c:pt>
                <c:pt idx="6">
                  <c:v>132.72999999999999</c:v>
                </c:pt>
                <c:pt idx="7">
                  <c:v>139.19999999999999</c:v>
                </c:pt>
                <c:pt idx="8">
                  <c:v>137.77000000000001</c:v>
                </c:pt>
                <c:pt idx="9">
                  <c:v>140.75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3C-49A0-BE0E-E5330FD02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127695"/>
        <c:axId val="277947455"/>
      </c:scatterChart>
      <c:valAx>
        <c:axId val="112212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Production in Building &amp; Construction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947455"/>
        <c:crosses val="autoZero"/>
        <c:crossBetween val="midCat"/>
      </c:valAx>
      <c:valAx>
        <c:axId val="27794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Residential Property Price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127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4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330200</xdr:colOff>
      <xdr:row>42</xdr:row>
      <xdr:rowOff>31750</xdr:rowOff>
    </xdr:from>
    <xdr:to>
      <xdr:col>15</xdr:col>
      <xdr:colOff>159024</xdr:colOff>
      <xdr:row>46</xdr:row>
      <xdr:rowOff>44489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C19CEA4-23D9-4443-8590-B39A686BDB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1350" y="7956550"/>
          <a:ext cx="5340624" cy="749339"/>
        </a:xfrm>
        <a:prstGeom prst="rect">
          <a:avLst/>
        </a:prstGeom>
      </xdr:spPr>
    </xdr:pic>
    <xdr:clientData/>
  </xdr:twoCellAnchor>
  <xdr:twoCellAnchor editAs="oneCell">
    <xdr:from>
      <xdr:col>6</xdr:col>
      <xdr:colOff>330200</xdr:colOff>
      <xdr:row>46</xdr:row>
      <xdr:rowOff>171450</xdr:rowOff>
    </xdr:from>
    <xdr:to>
      <xdr:col>15</xdr:col>
      <xdr:colOff>190776</xdr:colOff>
      <xdr:row>51</xdr:row>
      <xdr:rowOff>39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91D74D-A265-4450-AB14-3936216AAA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1350" y="8832850"/>
          <a:ext cx="5372376" cy="749339"/>
        </a:xfrm>
        <a:prstGeom prst="rect">
          <a:avLst/>
        </a:prstGeom>
      </xdr:spPr>
    </xdr:pic>
    <xdr:clientData/>
  </xdr:twoCellAnchor>
  <xdr:twoCellAnchor editAs="oneCell">
    <xdr:from>
      <xdr:col>6</xdr:col>
      <xdr:colOff>355600</xdr:colOff>
      <xdr:row>51</xdr:row>
      <xdr:rowOff>158750</xdr:rowOff>
    </xdr:from>
    <xdr:to>
      <xdr:col>15</xdr:col>
      <xdr:colOff>203475</xdr:colOff>
      <xdr:row>59</xdr:row>
      <xdr:rowOff>63571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D415FA5-4538-4958-8A05-617D3F3FCF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0" y="9740900"/>
          <a:ext cx="5359675" cy="1378021"/>
        </a:xfrm>
        <a:prstGeom prst="rect">
          <a:avLst/>
        </a:prstGeom>
      </xdr:spPr>
    </xdr:pic>
    <xdr:clientData/>
  </xdr:twoCellAnchor>
  <xdr:oneCellAnchor>
    <xdr:from>
      <xdr:col>4</xdr:col>
      <xdr:colOff>784225</xdr:colOff>
      <xdr:row>4</xdr:row>
      <xdr:rowOff>6350</xdr:rowOff>
    </xdr:from>
    <xdr:ext cx="633443" cy="1806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CB3E922F-9F44-43AE-B5BC-0123E685EB44}"/>
                </a:ext>
              </a:extLst>
            </xdr:cNvPr>
            <xdr:cNvSpPr txBox="1"/>
          </xdr:nvSpPr>
          <xdr:spPr>
            <a:xfrm>
              <a:off x="3489325" y="742950"/>
              <a:ext cx="633443" cy="1806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𝑋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 − </m:t>
                        </m:r>
                        <m:acc>
                          <m:accPr>
                            <m:chr m:val="̅"/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</m:acc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CB3E922F-9F44-43AE-B5BC-0123E685EB44}"/>
                </a:ext>
              </a:extLst>
            </xdr:cNvPr>
            <xdr:cNvSpPr txBox="1"/>
          </xdr:nvSpPr>
          <xdr:spPr>
            <a:xfrm>
              <a:off x="3489325" y="742950"/>
              <a:ext cx="633443" cy="1806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〖</a:t>
              </a:r>
              <a:r>
                <a:rPr lang="en-GB" sz="1100" b="0" i="0">
                  <a:latin typeface="Cambria Math" panose="02040503050406030204" pitchFamily="18" charset="0"/>
                </a:rPr>
                <a:t>(𝑋 − (𝑋)) ̅〗^2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5</xdr:col>
      <xdr:colOff>603250</xdr:colOff>
      <xdr:row>4</xdr:row>
      <xdr:rowOff>19050</xdr:rowOff>
    </xdr:from>
    <xdr:ext cx="633443" cy="1806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11CB4312-CC9A-4F42-873F-B539107A9AE3}"/>
                </a:ext>
              </a:extLst>
            </xdr:cNvPr>
            <xdr:cNvSpPr txBox="1"/>
          </xdr:nvSpPr>
          <xdr:spPr>
            <a:xfrm>
              <a:off x="4114800" y="755650"/>
              <a:ext cx="633443" cy="1806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𝑋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 − </m:t>
                        </m:r>
                        <m:acc>
                          <m:accPr>
                            <m:chr m:val="̅"/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</m:acc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11CB4312-CC9A-4F42-873F-B539107A9AE3}"/>
                </a:ext>
              </a:extLst>
            </xdr:cNvPr>
            <xdr:cNvSpPr txBox="1"/>
          </xdr:nvSpPr>
          <xdr:spPr>
            <a:xfrm>
              <a:off x="4114800" y="755650"/>
              <a:ext cx="633443" cy="1806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〖</a:t>
              </a:r>
              <a:r>
                <a:rPr lang="en-GB" sz="1100" b="0" i="0">
                  <a:latin typeface="Cambria Math" panose="02040503050406030204" pitchFamily="18" charset="0"/>
                </a:rPr>
                <a:t>(𝑋 − (𝑋)) ̅〗^2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7</xdr:col>
      <xdr:colOff>12700</xdr:colOff>
      <xdr:row>3</xdr:row>
      <xdr:rowOff>177800</xdr:rowOff>
    </xdr:from>
    <xdr:ext cx="633443" cy="1806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B9DF3F22-1EC3-4115-B5DB-976718D158EB}"/>
                </a:ext>
              </a:extLst>
            </xdr:cNvPr>
            <xdr:cNvSpPr txBox="1"/>
          </xdr:nvSpPr>
          <xdr:spPr>
            <a:xfrm>
              <a:off x="4749800" y="730250"/>
              <a:ext cx="633443" cy="1806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𝑋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 − </m:t>
                        </m:r>
                        <m:acc>
                          <m:accPr>
                            <m:chr m:val="̅"/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</m:acc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B9DF3F22-1EC3-4115-B5DB-976718D158EB}"/>
                </a:ext>
              </a:extLst>
            </xdr:cNvPr>
            <xdr:cNvSpPr txBox="1"/>
          </xdr:nvSpPr>
          <xdr:spPr>
            <a:xfrm>
              <a:off x="4749800" y="730250"/>
              <a:ext cx="633443" cy="1806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〖</a:t>
              </a:r>
              <a:r>
                <a:rPr lang="en-GB" sz="1100" b="0" i="0">
                  <a:latin typeface="Cambria Math" panose="02040503050406030204" pitchFamily="18" charset="0"/>
                </a:rPr>
                <a:t>(𝑋 − (𝑋)) ̅〗^2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12</xdr:col>
      <xdr:colOff>587375</xdr:colOff>
      <xdr:row>3</xdr:row>
      <xdr:rowOff>171450</xdr:rowOff>
    </xdr:from>
    <xdr:ext cx="670376" cy="1806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7" name="TextBox 146">
              <a:extLst>
                <a:ext uri="{FF2B5EF4-FFF2-40B4-BE49-F238E27FC236}">
                  <a16:creationId xmlns:a16="http://schemas.microsoft.com/office/drawing/2014/main" id="{B9AD1953-AF73-449C-A979-6675C8969545}"/>
                </a:ext>
              </a:extLst>
            </xdr:cNvPr>
            <xdr:cNvSpPr txBox="1"/>
          </xdr:nvSpPr>
          <xdr:spPr>
            <a:xfrm>
              <a:off x="8397875" y="723900"/>
              <a:ext cx="670376" cy="1806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acc>
                          <m:accPr>
                            <m:chr m:val="̅"/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</m:acc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acc>
                              <m:accPr>
                                <m:chr m:val="̅"/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𝑋</m:t>
                                </m:r>
                              </m:e>
                            </m:acc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𝐺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147" name="TextBox 146">
              <a:extLst>
                <a:ext uri="{FF2B5EF4-FFF2-40B4-BE49-F238E27FC236}">
                  <a16:creationId xmlns:a16="http://schemas.microsoft.com/office/drawing/2014/main" id="{B9AD1953-AF73-449C-A979-6675C8969545}"/>
                </a:ext>
              </a:extLst>
            </xdr:cNvPr>
            <xdr:cNvSpPr txBox="1"/>
          </xdr:nvSpPr>
          <xdr:spPr>
            <a:xfrm>
              <a:off x="8397875" y="723900"/>
              <a:ext cx="670376" cy="1806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((𝑋) ̅  −𝑋 ̅_𝐺)〗^</a:t>
              </a:r>
              <a:r>
                <a:rPr lang="en-GB" sz="1100" b="0" i="0">
                  <a:latin typeface="Cambria Math" panose="02040503050406030204" pitchFamily="18" charset="0"/>
                </a:rPr>
                <a:t>2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13</xdr:col>
      <xdr:colOff>596900</xdr:colOff>
      <xdr:row>3</xdr:row>
      <xdr:rowOff>165100</xdr:rowOff>
    </xdr:from>
    <xdr:ext cx="65" cy="172227"/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id="{28F5E01D-8ED5-46FB-B40C-FA7CF1A5A109}"/>
            </a:ext>
          </a:extLst>
        </xdr:cNvPr>
        <xdr:cNvSpPr txBox="1"/>
      </xdr:nvSpPr>
      <xdr:spPr>
        <a:xfrm>
          <a:off x="9017000" y="71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14</xdr:col>
      <xdr:colOff>603250</xdr:colOff>
      <xdr:row>3</xdr:row>
      <xdr:rowOff>165100</xdr:rowOff>
    </xdr:from>
    <xdr:ext cx="65" cy="172227"/>
    <xdr:sp macro="" textlink="">
      <xdr:nvSpPr>
        <xdr:cNvPr id="149" name="TextBox 148">
          <a:extLst>
            <a:ext uri="{FF2B5EF4-FFF2-40B4-BE49-F238E27FC236}">
              <a16:creationId xmlns:a16="http://schemas.microsoft.com/office/drawing/2014/main" id="{414931CF-CB08-4A0F-91E3-E4F9616CD74E}"/>
            </a:ext>
          </a:extLst>
        </xdr:cNvPr>
        <xdr:cNvSpPr txBox="1"/>
      </xdr:nvSpPr>
      <xdr:spPr>
        <a:xfrm>
          <a:off x="9632950" y="71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14</xdr:col>
      <xdr:colOff>31750</xdr:colOff>
      <xdr:row>3</xdr:row>
      <xdr:rowOff>177800</xdr:rowOff>
    </xdr:from>
    <xdr:ext cx="762000" cy="1841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5777963B-4EAB-428F-B4E8-FA58B68F53DB}"/>
                </a:ext>
              </a:extLst>
            </xdr:cNvPr>
            <xdr:cNvSpPr txBox="1"/>
          </xdr:nvSpPr>
          <xdr:spPr>
            <a:xfrm>
              <a:off x="9061450" y="730250"/>
              <a:ext cx="762000" cy="1841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acc>
                          <m:accPr>
                            <m:chr m:val="̅"/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</m:acc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acc>
                              <m:accPr>
                                <m:chr m:val="̅"/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𝑋</m:t>
                                </m:r>
                              </m:e>
                            </m:acc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𝐺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5777963B-4EAB-428F-B4E8-FA58B68F53DB}"/>
                </a:ext>
              </a:extLst>
            </xdr:cNvPr>
            <xdr:cNvSpPr txBox="1"/>
          </xdr:nvSpPr>
          <xdr:spPr>
            <a:xfrm>
              <a:off x="9061450" y="730250"/>
              <a:ext cx="762000" cy="1841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((𝑋) ̅  −𝑋 ̅_𝐺)〗^</a:t>
              </a:r>
              <a:r>
                <a:rPr lang="en-GB" sz="1100" b="0" i="0">
                  <a:latin typeface="Cambria Math" panose="02040503050406030204" pitchFamily="18" charset="0"/>
                </a:rPr>
                <a:t>2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19050</xdr:rowOff>
    </xdr:from>
    <xdr:ext cx="1764907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A306D345-F83A-422A-8483-3E438955E60E}"/>
                </a:ext>
              </a:extLst>
            </xdr:cNvPr>
            <xdr:cNvSpPr txBox="1"/>
          </xdr:nvSpPr>
          <xdr:spPr>
            <a:xfrm>
              <a:off x="0" y="1119717"/>
              <a:ext cx="1764907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 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−2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+…+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A306D345-F83A-422A-8483-3E438955E60E}"/>
                </a:ext>
              </a:extLst>
            </xdr:cNvPr>
            <xdr:cNvSpPr txBox="1"/>
          </xdr:nvSpPr>
          <xdr:spPr>
            <a:xfrm>
              <a:off x="0" y="1119717"/>
              <a:ext cx="1764907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𝐹_𝑡=  (𝐴_(𝑡−1)+ 𝐴_(𝑡−2)+…+𝐴_𝑛)/𝑛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11</xdr:row>
      <xdr:rowOff>54327</xdr:rowOff>
    </xdr:from>
    <xdr:ext cx="2173031" cy="3457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DF0E58A9-6E5E-4229-A89A-CE3A6BABE26C}"/>
                </a:ext>
              </a:extLst>
            </xdr:cNvPr>
            <xdr:cNvSpPr txBox="1"/>
          </xdr:nvSpPr>
          <xdr:spPr>
            <a:xfrm>
              <a:off x="0" y="2072216"/>
              <a:ext cx="2173031" cy="3457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−2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+…+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</m:num>
                      <m:den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e>
                        </m:nary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DF0E58A9-6E5E-4229-A89A-CE3A6BABE26C}"/>
                </a:ext>
              </a:extLst>
            </xdr:cNvPr>
            <xdr:cNvSpPr txBox="1"/>
          </xdr:nvSpPr>
          <xdr:spPr>
            <a:xfrm>
              <a:off x="0" y="2072216"/>
              <a:ext cx="2173031" cy="3457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𝐹_𝑡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GB" sz="1100" b="0" i="0">
                  <a:latin typeface="Cambria Math" panose="02040503050406030204" pitchFamily="18" charset="0"/>
                </a:rPr>
                <a:t>(𝑤_1 𝐴_(𝑡−1)+𝑤_2 𝐴_(𝑡−2)+…+𝑤_𝑛 𝐴_𝑛)/(∑▒𝑤)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17</xdr:row>
      <xdr:rowOff>181327</xdr:rowOff>
    </xdr:from>
    <xdr:ext cx="14182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E0B5614E-58E3-461B-AF73-E3D388A6EB1E}"/>
                </a:ext>
              </a:extLst>
            </xdr:cNvPr>
            <xdr:cNvSpPr txBox="1"/>
          </xdr:nvSpPr>
          <xdr:spPr>
            <a:xfrm>
              <a:off x="0" y="3299883"/>
              <a:ext cx="14182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GB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100" b="0" i="1">
                          <a:latin typeface="Cambria Math" panose="02040503050406030204" pitchFamily="18" charset="0"/>
                        </a:rPr>
                        <m:t>𝐹</m:t>
                      </m:r>
                    </m:e>
                    <m:sub>
                      <m:r>
                        <a:rPr lang="en-GB" sz="1100" b="0" i="1">
                          <a:latin typeface="Cambria Math" panose="02040503050406030204" pitchFamily="18" charset="0"/>
                        </a:rPr>
                        <m:t>𝑡</m:t>
                      </m:r>
                    </m:sub>
                  </m:sSub>
                  <m:r>
                    <a:rPr lang="en-GB" sz="1100" b="0" i="1">
                      <a:latin typeface="Cambria Math" panose="02040503050406030204" pitchFamily="18" charset="0"/>
                    </a:rPr>
                    <m:t>=</m:t>
                  </m:r>
                  <m:r>
                    <a:rPr lang="en-GB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𝛼</m:t>
                  </m:r>
                  <m:sSub>
                    <m:sSubPr>
                      <m:ctrlPr>
                        <a:rPr lang="en-GB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𝐴</m:t>
                      </m:r>
                    </m:e>
                    <m:sub>
                      <m:r>
                        <a:rPr lang="en-GB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𝑡</m:t>
                      </m:r>
                      <m:r>
                        <a:rPr lang="en-GB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−1</m:t>
                      </m:r>
                    </m:sub>
                  </m:sSub>
                  <m:r>
                    <a:rPr lang="en-GB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+</m:t>
                  </m:r>
                </m:oMath>
              </a14:m>
              <a:r>
                <a:rPr lang="en-GB" sz="1100"/>
                <a:t>(1 - </a:t>
              </a:r>
              <a14:m>
                <m:oMath xmlns:m="http://schemas.openxmlformats.org/officeDocument/2006/math"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𝛼</m:t>
                  </m:r>
                </m:oMath>
              </a14:m>
              <a:r>
                <a:rPr lang="en-GB" sz="1100"/>
                <a:t>)</a:t>
              </a:r>
              <a14:m>
                <m:oMath xmlns:m="http://schemas.openxmlformats.org/officeDocument/2006/math">
                  <m:sSub>
                    <m:sSub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𝐹</m:t>
                      </m:r>
                    </m:e>
                    <m:sub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−1</m:t>
                      </m:r>
                    </m:sub>
                  </m:sSub>
                </m:oMath>
              </a14:m>
              <a:endParaRPr lang="en-GB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E0B5614E-58E3-461B-AF73-E3D388A6EB1E}"/>
                </a:ext>
              </a:extLst>
            </xdr:cNvPr>
            <xdr:cNvSpPr txBox="1"/>
          </xdr:nvSpPr>
          <xdr:spPr>
            <a:xfrm>
              <a:off x="0" y="3299883"/>
              <a:ext cx="14182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𝐹_𝑡=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𝛼𝐴_(𝑡−1)+</a:t>
              </a:r>
              <a:r>
                <a:rPr lang="en-GB" sz="1100"/>
                <a:t>(1 -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</a:t>
              </a:r>
              <a:r>
                <a:rPr lang="en-GB" sz="1100"/>
                <a:t>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_(𝑡−1)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2</xdr:row>
      <xdr:rowOff>107950</xdr:rowOff>
    </xdr:from>
    <xdr:to>
      <xdr:col>11</xdr:col>
      <xdr:colOff>60325</xdr:colOff>
      <xdr:row>17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5D8170-B280-40E6-A8CD-C5C462D42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ia Teresa Ruiz Ventaja" id="{5DFC1DE3-F999-4A8E-BD14-346E9BF95123}" userId="S::x19222041@student.ncirl.ie::a5a07f78-fad2-4e05-9f5f-21a98b05712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9" dT="2020-04-27T19:25:45.38" personId="{5DFC1DE3-F999-4A8E-BD14-346E9BF95123}" id="{1E7DA5F5-C501-4B62-9BA9-48C643FCF39D}">
    <text>I calculated this value based on the average of the 4 previous ones because of limitation of data. I need 5 SMA to calculate the WMA for t-6</text>
  </threadedComment>
  <threadedComment ref="M9" dT="2020-04-27T20:00:54.66" personId="{5DFC1DE3-F999-4A8E-BD14-346E9BF95123}" id="{AB595C78-CA59-402D-A90D-2F188F093019}">
    <text>I am using 2017 Q1 index data as a reference to calculate the next value. I am taking Ft-1 as the reference value in this case only. For the calculation below one I used the value matching the formula</text>
  </threadedComment>
  <threadedComment ref="J10" dT="2020-04-27T18:50:31.60" personId="{5DFC1DE3-F999-4A8E-BD14-346E9BF95123}" id="{C788A89E-1EBA-4AEA-9E81-2B8D2B601F76}">
    <text>I calculated this value based on the average of the 5 previous ones because of limitation of data. I need 5 SMA to calculate the WMA for t-6</text>
  </threadedComment>
  <threadedComment ref="F14" dT="2020-04-27T19:08:40.59" personId="{5DFC1DE3-F999-4A8E-BD14-346E9BF95123}" id="{C415E992-FC40-4DE6-B026-D03CA934705C}">
    <text>This figure in the National Statistics Office is not final, is based on Seasonal Patterns up to Quarter 3, 2019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C379C-BA59-4D41-AF57-1CBD9D018B77}">
  <dimension ref="A1:AJ64"/>
  <sheetViews>
    <sheetView topLeftCell="A19" workbookViewId="0">
      <selection activeCell="D57" sqref="D57"/>
    </sheetView>
  </sheetViews>
  <sheetFormatPr defaultRowHeight="14.5" x14ac:dyDescent="0.35"/>
  <cols>
    <col min="2" max="2" width="12.54296875" customWidth="1"/>
    <col min="5" max="5" width="11.54296875" bestFit="1" customWidth="1"/>
    <col min="6" max="6" width="8.81640625" bestFit="1" customWidth="1"/>
    <col min="9" max="9" width="9.08984375" customWidth="1"/>
    <col min="12" max="12" width="8.7265625" customWidth="1"/>
  </cols>
  <sheetData>
    <row r="1" spans="1:36" x14ac:dyDescent="0.35">
      <c r="A1" s="16" t="s">
        <v>17</v>
      </c>
      <c r="B1">
        <v>19222041</v>
      </c>
      <c r="D1" t="s">
        <v>30</v>
      </c>
    </row>
    <row r="2" spans="1:36" x14ac:dyDescent="0.35">
      <c r="A2" s="16" t="s">
        <v>26</v>
      </c>
      <c r="B2">
        <v>4</v>
      </c>
      <c r="C2" t="s">
        <v>28</v>
      </c>
    </row>
    <row r="3" spans="1:36" x14ac:dyDescent="0.35">
      <c r="A3" s="16" t="s">
        <v>27</v>
      </c>
      <c r="B3">
        <v>1</v>
      </c>
      <c r="C3" t="s">
        <v>29</v>
      </c>
    </row>
    <row r="4" spans="1:36" x14ac:dyDescent="0.35">
      <c r="F4" s="1" t="s">
        <v>52</v>
      </c>
      <c r="G4" s="1" t="s">
        <v>53</v>
      </c>
      <c r="H4" s="1" t="s">
        <v>54</v>
      </c>
      <c r="N4" s="1"/>
      <c r="O4" s="1"/>
      <c r="P4" s="1"/>
    </row>
    <row r="5" spans="1:36" x14ac:dyDescent="0.35">
      <c r="B5" s="1" t="s">
        <v>61</v>
      </c>
      <c r="C5" s="1" t="s">
        <v>52</v>
      </c>
      <c r="D5" s="1" t="s">
        <v>53</v>
      </c>
      <c r="E5" s="1" t="s">
        <v>54</v>
      </c>
      <c r="J5" t="s">
        <v>64</v>
      </c>
      <c r="K5">
        <f>SUM(F38:H38)</f>
        <v>1385190.48</v>
      </c>
      <c r="M5" t="s">
        <v>71</v>
      </c>
      <c r="O5" t="s">
        <v>101</v>
      </c>
      <c r="AC5" s="8"/>
      <c r="AD5" s="8"/>
      <c r="AE5" s="8"/>
      <c r="AF5" s="8"/>
      <c r="AG5" s="8"/>
      <c r="AH5" s="8"/>
      <c r="AI5" s="8"/>
      <c r="AJ5" s="8"/>
    </row>
    <row r="6" spans="1:36" x14ac:dyDescent="0.35">
      <c r="B6" s="1" t="s">
        <v>31</v>
      </c>
      <c r="C6">
        <v>776.96</v>
      </c>
      <c r="D6">
        <v>738.32</v>
      </c>
      <c r="E6">
        <v>537.26</v>
      </c>
      <c r="F6">
        <f>ROUND((C6-$C$39)^2, 2)</f>
        <v>34681.01</v>
      </c>
      <c r="G6">
        <f>ROUND((D6-$D$39)^2, 2)</f>
        <v>20826.21</v>
      </c>
      <c r="H6">
        <f>ROUND((E6-$E$39)^2, 2)</f>
        <v>2443.48</v>
      </c>
      <c r="J6" t="s">
        <v>65</v>
      </c>
      <c r="K6">
        <v>93</v>
      </c>
      <c r="M6">
        <v>963.18838709677425</v>
      </c>
      <c r="N6">
        <f>(M6 - $C$43)^2</f>
        <v>23210.03105098856</v>
      </c>
      <c r="O6">
        <f>C37*N6</f>
        <v>719510.96258064534</v>
      </c>
    </row>
    <row r="7" spans="1:36" x14ac:dyDescent="0.35">
      <c r="B7" s="1" t="s">
        <v>32</v>
      </c>
      <c r="C7">
        <v>772.62</v>
      </c>
      <c r="D7">
        <v>733.05</v>
      </c>
      <c r="E7">
        <v>512.46</v>
      </c>
      <c r="F7">
        <f>ROUND((C7-$C$39)^2, 2)</f>
        <v>36316.31</v>
      </c>
      <c r="G7">
        <f t="shared" ref="G7:G36" si="0">ROUND((D7-$D$39)^2, 2)</f>
        <v>22375.040000000001</v>
      </c>
      <c r="H7">
        <f t="shared" ref="H7:H36" si="1">ROUND((E7-$E$39)^2, 2)</f>
        <v>5510.33</v>
      </c>
      <c r="J7" t="s">
        <v>66</v>
      </c>
      <c r="K7">
        <v>3</v>
      </c>
      <c r="M7">
        <v>882.63290322580667</v>
      </c>
      <c r="N7">
        <f t="shared" ref="N7:N8" si="2">(M7 - $C$43)^2</f>
        <v>5154.2209535900374</v>
      </c>
      <c r="O7">
        <f>D37*N7</f>
        <v>159780.84956129116</v>
      </c>
    </row>
    <row r="8" spans="1:36" ht="15" thickBot="1" x14ac:dyDescent="0.4">
      <c r="B8" s="1" t="s">
        <v>33</v>
      </c>
      <c r="C8">
        <v>775.74</v>
      </c>
      <c r="D8">
        <v>754.28</v>
      </c>
      <c r="E8">
        <v>507.45</v>
      </c>
      <c r="F8">
        <f t="shared" ref="F8:F36" si="3">ROUND((C8-$C$39)^2, 2)</f>
        <v>35136.9</v>
      </c>
      <c r="G8">
        <f>ROUND((D8-$D$39)^2, 2)</f>
        <v>16474.47</v>
      </c>
      <c r="H8">
        <f t="shared" si="1"/>
        <v>6279.23</v>
      </c>
      <c r="M8" s="9">
        <v>586.69161290322575</v>
      </c>
      <c r="N8" s="9">
        <f t="shared" si="2"/>
        <v>50242.499438085368</v>
      </c>
      <c r="O8" s="9">
        <f>E37*N8</f>
        <v>1557517.4825806464</v>
      </c>
    </row>
    <row r="9" spans="1:36" x14ac:dyDescent="0.35">
      <c r="B9" s="1" t="s">
        <v>34</v>
      </c>
      <c r="C9">
        <v>799.35</v>
      </c>
      <c r="D9">
        <v>742.83</v>
      </c>
      <c r="E9">
        <v>513.05999999999995</v>
      </c>
      <c r="F9">
        <f t="shared" si="3"/>
        <v>26843.02</v>
      </c>
      <c r="G9">
        <f t="shared" si="0"/>
        <v>19544.849999999999</v>
      </c>
      <c r="H9">
        <f t="shared" si="1"/>
        <v>5421.61</v>
      </c>
      <c r="J9" t="s">
        <v>67</v>
      </c>
      <c r="K9">
        <f>K5/(K6-K7)</f>
        <v>15391.005333333333</v>
      </c>
      <c r="O9">
        <f>SUM(O6:O8)</f>
        <v>2436809.2947225831</v>
      </c>
    </row>
    <row r="10" spans="1:36" x14ac:dyDescent="0.35">
      <c r="B10" s="1" t="s">
        <v>35</v>
      </c>
      <c r="C10">
        <v>805.91</v>
      </c>
      <c r="D10">
        <v>742.66</v>
      </c>
      <c r="E10">
        <v>504.54</v>
      </c>
      <c r="F10">
        <f t="shared" si="3"/>
        <v>24736.49</v>
      </c>
      <c r="G10">
        <f t="shared" si="0"/>
        <v>19592.41</v>
      </c>
      <c r="H10">
        <f t="shared" si="1"/>
        <v>6748.89</v>
      </c>
      <c r="J10" t="s">
        <v>72</v>
      </c>
      <c r="K10">
        <f>O9/(K7-1)</f>
        <v>1218404.6473612916</v>
      </c>
    </row>
    <row r="11" spans="1:36" x14ac:dyDescent="0.35">
      <c r="B11" s="1" t="s">
        <v>36</v>
      </c>
      <c r="C11">
        <v>810.75</v>
      </c>
      <c r="D11">
        <v>743.65</v>
      </c>
      <c r="E11">
        <v>491.31</v>
      </c>
      <c r="F11">
        <f t="shared" si="3"/>
        <v>23237.46</v>
      </c>
      <c r="G11">
        <f t="shared" si="0"/>
        <v>19316.25</v>
      </c>
      <c r="H11">
        <f t="shared" si="1"/>
        <v>9097.65</v>
      </c>
    </row>
    <row r="12" spans="1:36" x14ac:dyDescent="0.35">
      <c r="B12" s="1" t="s">
        <v>37</v>
      </c>
      <c r="C12">
        <v>813.81</v>
      </c>
      <c r="D12">
        <v>762.75</v>
      </c>
      <c r="E12">
        <v>505.79</v>
      </c>
      <c r="F12">
        <f t="shared" si="3"/>
        <v>22313.9</v>
      </c>
      <c r="G12">
        <f t="shared" si="0"/>
        <v>14371.91</v>
      </c>
      <c r="H12">
        <f t="shared" si="1"/>
        <v>6545.07</v>
      </c>
    </row>
    <row r="13" spans="1:36" x14ac:dyDescent="0.35">
      <c r="B13" s="1" t="s">
        <v>38</v>
      </c>
      <c r="C13">
        <v>826.02</v>
      </c>
      <c r="D13">
        <v>758.13</v>
      </c>
      <c r="E13">
        <v>505.72</v>
      </c>
      <c r="F13">
        <f t="shared" si="3"/>
        <v>18815.169999999998</v>
      </c>
      <c r="G13">
        <f t="shared" si="0"/>
        <v>15500.97</v>
      </c>
      <c r="H13">
        <f t="shared" si="1"/>
        <v>6556.4</v>
      </c>
    </row>
    <row r="14" spans="1:36" x14ac:dyDescent="0.35">
      <c r="B14" s="1" t="s">
        <v>39</v>
      </c>
      <c r="C14">
        <v>830.31</v>
      </c>
      <c r="D14">
        <v>753.99</v>
      </c>
      <c r="E14">
        <v>494.92</v>
      </c>
      <c r="F14">
        <f t="shared" si="3"/>
        <v>17656.669999999998</v>
      </c>
      <c r="G14">
        <f t="shared" si="0"/>
        <v>16549</v>
      </c>
      <c r="H14">
        <f t="shared" si="1"/>
        <v>8422.0300000000007</v>
      </c>
    </row>
    <row r="15" spans="1:36" x14ac:dyDescent="0.35">
      <c r="B15" s="1" t="s">
        <v>40</v>
      </c>
      <c r="C15">
        <v>838.34</v>
      </c>
      <c r="D15">
        <v>758.45</v>
      </c>
      <c r="E15">
        <v>495.56</v>
      </c>
      <c r="F15">
        <f t="shared" si="3"/>
        <v>15587.12</v>
      </c>
      <c r="G15">
        <f t="shared" si="0"/>
        <v>15421.39</v>
      </c>
      <c r="H15">
        <f t="shared" si="1"/>
        <v>8304.9699999999993</v>
      </c>
    </row>
    <row r="16" spans="1:36" x14ac:dyDescent="0.35">
      <c r="B16" s="1" t="s">
        <v>41</v>
      </c>
      <c r="C16">
        <v>856.74</v>
      </c>
      <c r="D16">
        <v>793.14</v>
      </c>
      <c r="E16">
        <v>504.58</v>
      </c>
      <c r="F16">
        <f t="shared" si="3"/>
        <v>11331.26</v>
      </c>
      <c r="G16">
        <f t="shared" si="0"/>
        <v>8008.98</v>
      </c>
      <c r="H16">
        <f t="shared" si="1"/>
        <v>6742.32</v>
      </c>
      <c r="J16" s="3" t="s">
        <v>99</v>
      </c>
      <c r="K16" s="3"/>
      <c r="L16" s="3"/>
    </row>
    <row r="17" spans="2:16" x14ac:dyDescent="0.35">
      <c r="B17" s="1" t="s">
        <v>42</v>
      </c>
      <c r="C17">
        <v>865.77</v>
      </c>
      <c r="D17">
        <v>798</v>
      </c>
      <c r="E17">
        <v>508.33</v>
      </c>
      <c r="F17">
        <f t="shared" si="3"/>
        <v>9490.34</v>
      </c>
      <c r="G17">
        <f t="shared" si="0"/>
        <v>7162.73</v>
      </c>
      <c r="H17">
        <f t="shared" si="1"/>
        <v>6140.54</v>
      </c>
      <c r="J17" t="s">
        <v>82</v>
      </c>
    </row>
    <row r="18" spans="2:16" x14ac:dyDescent="0.35">
      <c r="B18" s="1" t="s">
        <v>7</v>
      </c>
      <c r="C18">
        <v>869.61</v>
      </c>
      <c r="D18">
        <v>805.32</v>
      </c>
      <c r="E18">
        <v>507.75</v>
      </c>
      <c r="F18">
        <f t="shared" si="3"/>
        <v>8756.91</v>
      </c>
      <c r="G18">
        <f t="shared" si="0"/>
        <v>5977.29</v>
      </c>
      <c r="H18">
        <f t="shared" si="1"/>
        <v>6231.78</v>
      </c>
    </row>
    <row r="19" spans="2:16" ht="15" thickBot="1" x14ac:dyDescent="0.4">
      <c r="B19" s="1" t="s">
        <v>43</v>
      </c>
      <c r="C19">
        <v>879.92</v>
      </c>
      <c r="D19">
        <v>820.78</v>
      </c>
      <c r="E19">
        <v>512.79</v>
      </c>
      <c r="F19">
        <f t="shared" si="3"/>
        <v>6933.62</v>
      </c>
      <c r="G19">
        <f t="shared" si="0"/>
        <v>3825.78</v>
      </c>
      <c r="H19">
        <f t="shared" si="1"/>
        <v>5461.45</v>
      </c>
      <c r="J19" t="s">
        <v>83</v>
      </c>
    </row>
    <row r="20" spans="2:16" x14ac:dyDescent="0.35">
      <c r="B20" s="1" t="s">
        <v>8</v>
      </c>
      <c r="C20">
        <v>901.79</v>
      </c>
      <c r="D20">
        <v>851.99</v>
      </c>
      <c r="E20">
        <v>528.99</v>
      </c>
      <c r="F20">
        <f t="shared" si="3"/>
        <v>3769.76</v>
      </c>
      <c r="G20">
        <f t="shared" si="0"/>
        <v>938.99</v>
      </c>
      <c r="H20">
        <f t="shared" si="1"/>
        <v>3329.48</v>
      </c>
      <c r="J20" s="15" t="s">
        <v>66</v>
      </c>
      <c r="K20" s="15" t="s">
        <v>84</v>
      </c>
      <c r="L20" s="15" t="s">
        <v>62</v>
      </c>
      <c r="M20" s="15" t="s">
        <v>85</v>
      </c>
      <c r="N20" s="15" t="s">
        <v>86</v>
      </c>
    </row>
    <row r="21" spans="2:16" x14ac:dyDescent="0.35">
      <c r="B21" s="1" t="s">
        <v>44</v>
      </c>
      <c r="C21">
        <v>927.15</v>
      </c>
      <c r="D21">
        <v>866.19</v>
      </c>
      <c r="E21">
        <v>534.91</v>
      </c>
      <c r="F21">
        <f t="shared" si="3"/>
        <v>1298.77</v>
      </c>
      <c r="G21">
        <f t="shared" si="0"/>
        <v>270.37</v>
      </c>
      <c r="H21">
        <f t="shared" si="1"/>
        <v>2681.34</v>
      </c>
      <c r="J21" s="13" t="s">
        <v>52</v>
      </c>
      <c r="K21" s="13">
        <v>31</v>
      </c>
      <c r="L21" s="13">
        <v>29858.84</v>
      </c>
      <c r="M21" s="13">
        <v>963.18838709677425</v>
      </c>
      <c r="N21" s="13">
        <v>22029.67092064532</v>
      </c>
    </row>
    <row r="22" spans="2:16" x14ac:dyDescent="0.35">
      <c r="B22" s="1" t="s">
        <v>9</v>
      </c>
      <c r="C22">
        <v>954.32</v>
      </c>
      <c r="D22">
        <v>878.52</v>
      </c>
      <c r="E22">
        <v>550.77</v>
      </c>
      <c r="F22">
        <f t="shared" si="3"/>
        <v>78.650000000000006</v>
      </c>
      <c r="G22">
        <f t="shared" si="0"/>
        <v>16.920000000000002</v>
      </c>
      <c r="H22">
        <f t="shared" si="1"/>
        <v>1290.3599999999999</v>
      </c>
      <c r="J22" s="13" t="s">
        <v>53</v>
      </c>
      <c r="K22" s="13">
        <v>31</v>
      </c>
      <c r="L22" s="13">
        <v>27361.620000000006</v>
      </c>
      <c r="M22" s="13">
        <v>882.63290322580667</v>
      </c>
      <c r="N22" s="13">
        <v>15569.390341289838</v>
      </c>
    </row>
    <row r="23" spans="2:16" ht="15" thickBot="1" x14ac:dyDescent="0.4">
      <c r="B23" s="1" t="s">
        <v>45</v>
      </c>
      <c r="C23">
        <v>987.01</v>
      </c>
      <c r="D23">
        <v>891.54</v>
      </c>
      <c r="E23">
        <v>576.89</v>
      </c>
      <c r="F23">
        <f t="shared" si="3"/>
        <v>567.47</v>
      </c>
      <c r="G23">
        <f t="shared" si="0"/>
        <v>79.34</v>
      </c>
      <c r="H23">
        <f t="shared" si="1"/>
        <v>96.07</v>
      </c>
      <c r="J23" s="14" t="s">
        <v>54</v>
      </c>
      <c r="K23" s="14">
        <v>31</v>
      </c>
      <c r="L23" s="14">
        <v>18187.439999999999</v>
      </c>
      <c r="M23" s="14">
        <v>586.69161290322575</v>
      </c>
      <c r="N23" s="14">
        <v>8573.9560339786731</v>
      </c>
    </row>
    <row r="24" spans="2:16" x14ac:dyDescent="0.35">
      <c r="B24" s="1" t="s">
        <v>10</v>
      </c>
      <c r="C24" s="8">
        <v>1013.57</v>
      </c>
      <c r="D24">
        <v>933</v>
      </c>
      <c r="E24">
        <v>600.54999999999995</v>
      </c>
      <c r="F24">
        <f t="shared" si="3"/>
        <v>2538.31</v>
      </c>
      <c r="G24">
        <f t="shared" si="0"/>
        <v>2536.84</v>
      </c>
      <c r="H24">
        <f t="shared" si="1"/>
        <v>192.05</v>
      </c>
    </row>
    <row r="25" spans="2:16" x14ac:dyDescent="0.35">
      <c r="B25" s="1" t="s">
        <v>46</v>
      </c>
      <c r="C25" s="8">
        <v>1042.3800000000001</v>
      </c>
      <c r="D25">
        <v>943.54</v>
      </c>
      <c r="E25">
        <v>612.23</v>
      </c>
      <c r="F25">
        <f t="shared" si="3"/>
        <v>6271.31</v>
      </c>
      <c r="G25">
        <f t="shared" si="0"/>
        <v>3709.67</v>
      </c>
      <c r="H25">
        <f t="shared" si="1"/>
        <v>652.21</v>
      </c>
    </row>
    <row r="26" spans="2:16" ht="15" thickBot="1" x14ac:dyDescent="0.4">
      <c r="B26" s="1" t="s">
        <v>11</v>
      </c>
      <c r="C26" s="8">
        <v>1061.24</v>
      </c>
      <c r="D26">
        <v>945.53</v>
      </c>
      <c r="E26">
        <v>628.79</v>
      </c>
      <c r="F26">
        <f t="shared" si="3"/>
        <v>9614.1200000000008</v>
      </c>
      <c r="G26">
        <f t="shared" si="0"/>
        <v>3956.04</v>
      </c>
      <c r="H26">
        <f t="shared" si="1"/>
        <v>1772.27</v>
      </c>
      <c r="J26" t="s">
        <v>87</v>
      </c>
    </row>
    <row r="27" spans="2:16" x14ac:dyDescent="0.35">
      <c r="B27" s="1" t="s">
        <v>47</v>
      </c>
      <c r="C27" s="8">
        <v>1078.6600000000001</v>
      </c>
      <c r="D27">
        <v>958.04</v>
      </c>
      <c r="E27">
        <v>644.03</v>
      </c>
      <c r="F27">
        <f>ROUND((C27-$C$39)^2, 2)</f>
        <v>13333.69</v>
      </c>
      <c r="G27">
        <f t="shared" si="0"/>
        <v>5686.23</v>
      </c>
      <c r="H27">
        <f t="shared" si="1"/>
        <v>3287.69</v>
      </c>
      <c r="J27" s="15" t="s">
        <v>88</v>
      </c>
      <c r="K27" s="15" t="s">
        <v>89</v>
      </c>
      <c r="L27" s="15" t="s">
        <v>90</v>
      </c>
      <c r="M27" s="15" t="s">
        <v>91</v>
      </c>
      <c r="N27" s="15" t="s">
        <v>92</v>
      </c>
      <c r="O27" s="15" t="s">
        <v>93</v>
      </c>
      <c r="P27" s="15" t="s">
        <v>94</v>
      </c>
    </row>
    <row r="28" spans="2:16" x14ac:dyDescent="0.35">
      <c r="B28" s="1" t="s">
        <v>12</v>
      </c>
      <c r="C28" s="8">
        <v>1100.43</v>
      </c>
      <c r="D28">
        <v>987.25</v>
      </c>
      <c r="E28">
        <v>647.05999999999995</v>
      </c>
      <c r="F28">
        <f t="shared" si="3"/>
        <v>18835.259999999998</v>
      </c>
      <c r="G28">
        <f t="shared" si="0"/>
        <v>10944.74</v>
      </c>
      <c r="H28">
        <f t="shared" si="1"/>
        <v>3644.34</v>
      </c>
      <c r="J28" s="13" t="s">
        <v>95</v>
      </c>
      <c r="K28" s="13">
        <v>2436809.2942021503</v>
      </c>
      <c r="L28" s="13">
        <v>2</v>
      </c>
      <c r="M28" s="13">
        <v>1218404.6471010752</v>
      </c>
      <c r="N28" s="13">
        <v>79.163419576365612</v>
      </c>
      <c r="O28" s="13">
        <v>1.4616661752344271E-20</v>
      </c>
      <c r="P28" s="13">
        <v>3.0976980352519248</v>
      </c>
    </row>
    <row r="29" spans="2:16" x14ac:dyDescent="0.35">
      <c r="B29" s="1" t="s">
        <v>48</v>
      </c>
      <c r="C29" s="8">
        <v>1115.3</v>
      </c>
      <c r="D29" s="8">
        <v>1001.8</v>
      </c>
      <c r="E29">
        <v>668.77</v>
      </c>
      <c r="F29">
        <f t="shared" si="3"/>
        <v>23137.94</v>
      </c>
      <c r="G29">
        <f t="shared" si="0"/>
        <v>14200.8</v>
      </c>
      <c r="H29">
        <f t="shared" si="1"/>
        <v>6736.86</v>
      </c>
      <c r="J29" s="13" t="s">
        <v>96</v>
      </c>
      <c r="K29" s="13">
        <v>1385190.5188774196</v>
      </c>
      <c r="L29" s="13">
        <v>90</v>
      </c>
      <c r="M29" s="13">
        <v>15391.005765304662</v>
      </c>
      <c r="N29" s="13"/>
      <c r="O29" s="13"/>
      <c r="P29" s="13"/>
    </row>
    <row r="30" spans="2:16" x14ac:dyDescent="0.35">
      <c r="B30" s="1" t="s">
        <v>13</v>
      </c>
      <c r="C30" s="8">
        <v>1126.44</v>
      </c>
      <c r="D30" s="8">
        <v>1010.06</v>
      </c>
      <c r="E30">
        <v>689.82</v>
      </c>
      <c r="F30">
        <f>ROUND((C30-$C$39)^2, 2)</f>
        <v>26651.09</v>
      </c>
      <c r="G30">
        <f t="shared" si="0"/>
        <v>16237.66</v>
      </c>
      <c r="H30">
        <f t="shared" si="1"/>
        <v>10635.46</v>
      </c>
      <c r="J30" s="13"/>
      <c r="K30" s="13"/>
      <c r="L30" s="13"/>
      <c r="M30" s="13"/>
      <c r="N30" s="13"/>
      <c r="O30" s="13"/>
      <c r="P30" s="13"/>
    </row>
    <row r="31" spans="2:16" ht="15" thickBot="1" x14ac:dyDescent="0.4">
      <c r="B31" s="1" t="s">
        <v>49</v>
      </c>
      <c r="C31" s="8">
        <v>1142.43</v>
      </c>
      <c r="D31" s="8">
        <v>1022.52</v>
      </c>
      <c r="E31">
        <v>702.68</v>
      </c>
      <c r="F31">
        <f t="shared" si="3"/>
        <v>32127.56</v>
      </c>
      <c r="G31">
        <f t="shared" si="0"/>
        <v>19568.400000000001</v>
      </c>
      <c r="H31">
        <f t="shared" si="1"/>
        <v>13453.31</v>
      </c>
      <c r="J31" s="14" t="s">
        <v>97</v>
      </c>
      <c r="K31" s="14">
        <v>3821999.81307957</v>
      </c>
      <c r="L31" s="14">
        <v>92</v>
      </c>
      <c r="M31" s="14"/>
      <c r="N31" s="14"/>
      <c r="O31" s="14"/>
      <c r="P31" s="14"/>
    </row>
    <row r="32" spans="2:16" x14ac:dyDescent="0.35">
      <c r="B32" s="1" t="s">
        <v>14</v>
      </c>
      <c r="C32" s="8">
        <v>1157.6600000000001</v>
      </c>
      <c r="D32" s="8">
        <v>1062.6300000000001</v>
      </c>
      <c r="E32">
        <v>713.42</v>
      </c>
      <c r="F32">
        <f>ROUND((C32-$C$39)^2, 2)</f>
        <v>37819.21</v>
      </c>
      <c r="G32">
        <f t="shared" si="0"/>
        <v>32398.95</v>
      </c>
      <c r="H32">
        <f t="shared" si="1"/>
        <v>16060.08</v>
      </c>
    </row>
    <row r="33" spans="2:9" x14ac:dyDescent="0.35">
      <c r="B33" s="1" t="s">
        <v>50</v>
      </c>
      <c r="C33" s="8">
        <v>1160.96</v>
      </c>
      <c r="D33" s="8">
        <v>1067.6300000000001</v>
      </c>
      <c r="E33">
        <v>724.86</v>
      </c>
      <c r="F33">
        <f t="shared" si="3"/>
        <v>39113.61</v>
      </c>
      <c r="G33">
        <f t="shared" si="0"/>
        <v>34223.93</v>
      </c>
      <c r="H33">
        <f t="shared" si="1"/>
        <v>19090.5</v>
      </c>
    </row>
    <row r="34" spans="2:9" x14ac:dyDescent="0.35">
      <c r="B34" s="1" t="s">
        <v>22</v>
      </c>
      <c r="C34" s="8">
        <v>1174.3900000000001</v>
      </c>
      <c r="D34" s="8">
        <v>1051.4000000000001</v>
      </c>
      <c r="E34">
        <v>740.72</v>
      </c>
      <c r="F34">
        <f t="shared" si="3"/>
        <v>44606.12</v>
      </c>
      <c r="G34">
        <f t="shared" si="0"/>
        <v>28482.33</v>
      </c>
      <c r="H34">
        <f t="shared" si="1"/>
        <v>23724.74</v>
      </c>
    </row>
    <row r="35" spans="2:9" x14ac:dyDescent="0.35">
      <c r="B35" s="1" t="s">
        <v>51</v>
      </c>
      <c r="C35" s="8">
        <v>1184.3599999999999</v>
      </c>
      <c r="D35" s="8">
        <v>1070.52</v>
      </c>
      <c r="E35">
        <v>753.72</v>
      </c>
      <c r="F35">
        <f t="shared" si="3"/>
        <v>48916.88</v>
      </c>
      <c r="G35">
        <f t="shared" si="0"/>
        <v>35301.56</v>
      </c>
      <c r="H35">
        <f t="shared" si="1"/>
        <v>27898.48</v>
      </c>
    </row>
    <row r="36" spans="2:9" ht="15" thickBot="1" x14ac:dyDescent="0.4">
      <c r="B36" s="11" t="s">
        <v>23</v>
      </c>
      <c r="C36" s="10">
        <v>1208.9000000000001</v>
      </c>
      <c r="D36" s="10">
        <v>1114.1099999999999</v>
      </c>
      <c r="E36" s="9">
        <v>767.71</v>
      </c>
      <c r="F36" s="9">
        <f t="shared" si="3"/>
        <v>60374.2</v>
      </c>
      <c r="G36" s="9">
        <f t="shared" si="0"/>
        <v>53581.65</v>
      </c>
      <c r="H36" s="9">
        <f t="shared" si="1"/>
        <v>32767.66</v>
      </c>
    </row>
    <row r="37" spans="2:9" x14ac:dyDescent="0.35">
      <c r="B37" t="s">
        <v>59</v>
      </c>
      <c r="C37" s="8">
        <f>COUNT(C6:C36)</f>
        <v>31</v>
      </c>
      <c r="D37" s="8">
        <f>COUNT(D6:D36)</f>
        <v>31</v>
      </c>
      <c r="E37" s="8">
        <f>COUNT(E6:E36)</f>
        <v>31</v>
      </c>
    </row>
    <row r="38" spans="2:9" x14ac:dyDescent="0.35">
      <c r="B38" t="s">
        <v>62</v>
      </c>
      <c r="C38" s="8">
        <f>SUM(C6:C36)</f>
        <v>29858.84</v>
      </c>
      <c r="D38" s="8">
        <f t="shared" ref="D38:E38" si="4">SUM(D6:D36)</f>
        <v>27361.620000000006</v>
      </c>
      <c r="E38" s="8">
        <f t="shared" si="4"/>
        <v>18187.439999999999</v>
      </c>
      <c r="F38">
        <f>SUM(F6:F36)</f>
        <v>660890.13</v>
      </c>
      <c r="G38">
        <f t="shared" ref="G38:H38" si="5">SUM(G6:G36)</f>
        <v>467081.70000000007</v>
      </c>
      <c r="H38">
        <f t="shared" si="5"/>
        <v>257218.65</v>
      </c>
    </row>
    <row r="39" spans="2:9" x14ac:dyDescent="0.35">
      <c r="B39" t="s">
        <v>63</v>
      </c>
      <c r="C39" s="8">
        <f>C38/C37</f>
        <v>963.18838709677425</v>
      </c>
      <c r="D39" s="8">
        <f>D38/D37</f>
        <v>882.63290322580667</v>
      </c>
      <c r="E39" s="8">
        <f>E38/E37</f>
        <v>586.69161290322575</v>
      </c>
    </row>
    <row r="40" spans="2:9" x14ac:dyDescent="0.35">
      <c r="C40" s="8"/>
      <c r="D40" s="8"/>
      <c r="E40" s="8"/>
    </row>
    <row r="41" spans="2:9" x14ac:dyDescent="0.35">
      <c r="B41" t="s">
        <v>68</v>
      </c>
      <c r="C41">
        <f>SUM(C6:E36)</f>
        <v>75407.900000000009</v>
      </c>
    </row>
    <row r="42" spans="2:9" x14ac:dyDescent="0.35">
      <c r="B42" t="s">
        <v>69</v>
      </c>
      <c r="C42" s="8">
        <f>SUM(C37:E37)</f>
        <v>93</v>
      </c>
      <c r="H42" s="3" t="s">
        <v>102</v>
      </c>
      <c r="I42" s="3"/>
    </row>
    <row r="43" spans="2:9" x14ac:dyDescent="0.35">
      <c r="B43" t="s">
        <v>70</v>
      </c>
      <c r="C43">
        <f>ROUND(C41/C42, 2)</f>
        <v>810.84</v>
      </c>
    </row>
    <row r="49" spans="1:4" x14ac:dyDescent="0.35">
      <c r="B49" s="3" t="s">
        <v>100</v>
      </c>
      <c r="C49" s="3"/>
      <c r="D49" s="3"/>
    </row>
    <row r="51" spans="1:4" x14ac:dyDescent="0.35">
      <c r="A51">
        <v>1</v>
      </c>
      <c r="B51" s="16" t="s">
        <v>55</v>
      </c>
      <c r="C51" t="s">
        <v>56</v>
      </c>
      <c r="D51" s="12" t="s">
        <v>58</v>
      </c>
    </row>
    <row r="52" spans="1:4" x14ac:dyDescent="0.35">
      <c r="C52" t="s">
        <v>57</v>
      </c>
      <c r="D52" s="1" t="s">
        <v>73</v>
      </c>
    </row>
    <row r="54" spans="1:4" x14ac:dyDescent="0.35">
      <c r="A54">
        <v>2</v>
      </c>
      <c r="B54" s="16" t="s">
        <v>60</v>
      </c>
      <c r="D54">
        <v>0.05</v>
      </c>
    </row>
    <row r="56" spans="1:4" x14ac:dyDescent="0.35">
      <c r="A56">
        <v>3</v>
      </c>
      <c r="B56" s="16" t="s">
        <v>74</v>
      </c>
      <c r="C56" t="s">
        <v>75</v>
      </c>
      <c r="D56">
        <f>K10/K9</f>
        <v>79.163421815111121</v>
      </c>
    </row>
    <row r="57" spans="1:4" x14ac:dyDescent="0.35">
      <c r="C57" t="s">
        <v>76</v>
      </c>
      <c r="D57">
        <f>K6-K7</f>
        <v>90</v>
      </c>
    </row>
    <row r="58" spans="1:4" x14ac:dyDescent="0.35">
      <c r="C58" t="s">
        <v>77</v>
      </c>
      <c r="D58">
        <f>K7-1</f>
        <v>2</v>
      </c>
    </row>
    <row r="60" spans="1:4" x14ac:dyDescent="0.35">
      <c r="A60">
        <v>4</v>
      </c>
      <c r="B60" s="16" t="s">
        <v>78</v>
      </c>
      <c r="D60">
        <v>3.1</v>
      </c>
    </row>
    <row r="62" spans="1:4" x14ac:dyDescent="0.35">
      <c r="A62">
        <v>5</v>
      </c>
      <c r="B62" s="16" t="s">
        <v>79</v>
      </c>
      <c r="D62" t="s">
        <v>98</v>
      </c>
    </row>
    <row r="63" spans="1:4" x14ac:dyDescent="0.35">
      <c r="D63" t="s">
        <v>80</v>
      </c>
    </row>
    <row r="64" spans="1:4" x14ac:dyDescent="0.35">
      <c r="D64" t="s">
        <v>81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07DB9-44CC-41CA-9D3F-6E921561265F}">
  <dimension ref="A1:O21"/>
  <sheetViews>
    <sheetView zoomScale="90" zoomScaleNormal="90" workbookViewId="0">
      <selection activeCell="B24" sqref="B24"/>
    </sheetView>
  </sheetViews>
  <sheetFormatPr defaultRowHeight="14.5" x14ac:dyDescent="0.35"/>
  <cols>
    <col min="1" max="1" width="14.7265625" customWidth="1"/>
    <col min="2" max="2" width="9.90625" customWidth="1"/>
    <col min="7" max="7" width="11.7265625" customWidth="1"/>
    <col min="9" max="9" width="22.7265625" customWidth="1"/>
  </cols>
  <sheetData>
    <row r="1" spans="1:15" x14ac:dyDescent="0.35">
      <c r="A1" t="s">
        <v>17</v>
      </c>
      <c r="B1">
        <v>19222041</v>
      </c>
    </row>
    <row r="2" spans="1:15" x14ac:dyDescent="0.35">
      <c r="A2" t="s">
        <v>19</v>
      </c>
      <c r="B2" t="s">
        <v>20</v>
      </c>
    </row>
    <row r="3" spans="1:15" x14ac:dyDescent="0.35">
      <c r="A3" t="s">
        <v>18</v>
      </c>
      <c r="B3" t="s">
        <v>0</v>
      </c>
      <c r="I3" t="s">
        <v>106</v>
      </c>
    </row>
    <row r="4" spans="1:15" x14ac:dyDescent="0.35">
      <c r="F4" s="1" t="s">
        <v>16</v>
      </c>
      <c r="G4" s="1" t="s">
        <v>15</v>
      </c>
      <c r="I4" s="1" t="s">
        <v>21</v>
      </c>
      <c r="J4" s="2" t="s">
        <v>1</v>
      </c>
      <c r="K4" s="2"/>
      <c r="L4" s="2" t="s">
        <v>3</v>
      </c>
      <c r="M4" s="2" t="s">
        <v>5</v>
      </c>
      <c r="N4" s="2" t="s">
        <v>25</v>
      </c>
      <c r="O4">
        <v>0.4</v>
      </c>
    </row>
    <row r="5" spans="1:15" x14ac:dyDescent="0.35">
      <c r="A5" s="1" t="s">
        <v>1</v>
      </c>
      <c r="B5" s="1" t="s">
        <v>2</v>
      </c>
      <c r="F5" s="3" t="s">
        <v>7</v>
      </c>
      <c r="G5" s="3">
        <v>94.5</v>
      </c>
      <c r="H5" s="3"/>
      <c r="I5" s="3">
        <v>100</v>
      </c>
    </row>
    <row r="6" spans="1:15" x14ac:dyDescent="0.35">
      <c r="F6" s="3" t="s">
        <v>8</v>
      </c>
      <c r="G6" s="3">
        <v>91.8</v>
      </c>
      <c r="H6" s="3">
        <f>((G6-$G$5)/$G$5)*100</f>
        <v>-2.8571428571428603</v>
      </c>
      <c r="I6" s="3">
        <f>ROUND($I$5+H6, 2)</f>
        <v>97.14</v>
      </c>
    </row>
    <row r="7" spans="1:15" x14ac:dyDescent="0.35">
      <c r="F7" s="3" t="s">
        <v>9</v>
      </c>
      <c r="G7" s="3">
        <v>97.3</v>
      </c>
      <c r="H7" s="3">
        <f t="shared" ref="H7:H14" si="0">((G7-$G$5)/$G$5)*100</f>
        <v>2.9629629629629601</v>
      </c>
      <c r="I7" s="3">
        <f t="shared" ref="I7:I14" si="1">ROUND($I$5+H7, 2)</f>
        <v>102.96</v>
      </c>
    </row>
    <row r="8" spans="1:15" x14ac:dyDescent="0.35">
      <c r="F8" s="3" t="s">
        <v>10</v>
      </c>
      <c r="G8" s="3">
        <v>100.8</v>
      </c>
      <c r="H8" s="3">
        <f t="shared" si="0"/>
        <v>6.6666666666666634</v>
      </c>
      <c r="I8" s="3">
        <f t="shared" si="1"/>
        <v>106.67</v>
      </c>
    </row>
    <row r="9" spans="1:15" x14ac:dyDescent="0.35">
      <c r="F9" s="3" t="s">
        <v>11</v>
      </c>
      <c r="G9" s="3">
        <v>102.1</v>
      </c>
      <c r="H9" s="3">
        <f t="shared" si="0"/>
        <v>8.0423280423280374</v>
      </c>
      <c r="I9" s="3">
        <f t="shared" si="1"/>
        <v>108.04</v>
      </c>
      <c r="J9">
        <f>ROUND(AVERAGE(I5:I8),2)</f>
        <v>101.69</v>
      </c>
      <c r="K9">
        <v>0.5</v>
      </c>
      <c r="L9">
        <f>K9*I9</f>
        <v>54.02</v>
      </c>
      <c r="M9">
        <v>108.04</v>
      </c>
    </row>
    <row r="10" spans="1:15" x14ac:dyDescent="0.35">
      <c r="A10" s="1" t="s">
        <v>3</v>
      </c>
      <c r="B10" s="1" t="s">
        <v>4</v>
      </c>
      <c r="F10" s="3" t="s">
        <v>12</v>
      </c>
      <c r="G10" s="3">
        <v>107.8</v>
      </c>
      <c r="H10" s="3">
        <f t="shared" si="0"/>
        <v>14.074074074074073</v>
      </c>
      <c r="I10" s="3">
        <f t="shared" si="1"/>
        <v>114.07</v>
      </c>
      <c r="J10">
        <f>(ROUND(AVERAGE(I5:I9),2))</f>
        <v>102.96</v>
      </c>
      <c r="K10">
        <v>1</v>
      </c>
      <c r="L10">
        <f t="shared" ref="L10:L14" si="2">K10*I10</f>
        <v>114.07</v>
      </c>
      <c r="M10">
        <f>ROUND(O4*I8+(1-O4)*M9, 2)</f>
        <v>107.49</v>
      </c>
    </row>
    <row r="11" spans="1:15" x14ac:dyDescent="0.35">
      <c r="F11" t="s">
        <v>13</v>
      </c>
      <c r="G11">
        <v>115.4</v>
      </c>
      <c r="H11">
        <f t="shared" si="0"/>
        <v>22.116402116402124</v>
      </c>
      <c r="I11">
        <f t="shared" si="1"/>
        <v>122.12</v>
      </c>
      <c r="J11">
        <f>ROUND(AVERAGE(I5:I10), 2)</f>
        <v>104.81</v>
      </c>
      <c r="K11">
        <v>2</v>
      </c>
      <c r="L11">
        <f t="shared" si="2"/>
        <v>244.24</v>
      </c>
      <c r="M11">
        <f>ROUND($O$4*I10+(1-$O$4)*M10, 2)</f>
        <v>110.12</v>
      </c>
    </row>
    <row r="12" spans="1:15" x14ac:dyDescent="0.35">
      <c r="F12" t="s">
        <v>14</v>
      </c>
      <c r="G12">
        <v>143.4</v>
      </c>
      <c r="H12">
        <f t="shared" si="0"/>
        <v>51.746031746031754</v>
      </c>
      <c r="I12">
        <f t="shared" si="1"/>
        <v>151.75</v>
      </c>
      <c r="J12">
        <f>ROUND(AVERAGE(I6:I11), 2)</f>
        <v>108.5</v>
      </c>
      <c r="K12">
        <v>3</v>
      </c>
      <c r="L12">
        <f t="shared" si="2"/>
        <v>455.25</v>
      </c>
      <c r="M12">
        <f>ROUND($O$4*I11+(1-$O$4)*M11, 2)</f>
        <v>114.92</v>
      </c>
    </row>
    <row r="13" spans="1:15" x14ac:dyDescent="0.35">
      <c r="F13" s="4" t="s">
        <v>22</v>
      </c>
      <c r="G13">
        <v>144.1</v>
      </c>
      <c r="H13">
        <f t="shared" si="0"/>
        <v>52.48677248677248</v>
      </c>
      <c r="I13">
        <f t="shared" si="1"/>
        <v>152.49</v>
      </c>
      <c r="J13">
        <f>ROUND(AVERAGE(I7:I12), 2)</f>
        <v>117.6</v>
      </c>
      <c r="K13">
        <v>4</v>
      </c>
      <c r="L13">
        <f t="shared" si="2"/>
        <v>609.96</v>
      </c>
      <c r="M13">
        <f>ROUND($O$4*I12+(1-$O$4)*M12, 2)</f>
        <v>129.65</v>
      </c>
    </row>
    <row r="14" spans="1:15" ht="15" thickBot="1" x14ac:dyDescent="0.4">
      <c r="F14" s="4" t="s">
        <v>23</v>
      </c>
      <c r="G14">
        <v>149.69999999999999</v>
      </c>
      <c r="H14">
        <f t="shared" si="0"/>
        <v>58.412698412698404</v>
      </c>
      <c r="I14">
        <f t="shared" si="1"/>
        <v>158.41</v>
      </c>
      <c r="J14">
        <f>ROUND(AVERAGE(I8:I13), 2)</f>
        <v>125.86</v>
      </c>
      <c r="K14">
        <v>5</v>
      </c>
      <c r="L14">
        <f t="shared" si="2"/>
        <v>792.05</v>
      </c>
      <c r="M14">
        <f>ROUND($O$4*I13+(1-$O$4)*M13, 2)</f>
        <v>138.79</v>
      </c>
    </row>
    <row r="15" spans="1:15" ht="15" thickBot="1" x14ac:dyDescent="0.4">
      <c r="F15" s="6" t="s">
        <v>24</v>
      </c>
      <c r="J15" s="5">
        <f>ROUND(AVERAGE(I9:I14), 2)</f>
        <v>134.47999999999999</v>
      </c>
      <c r="L15" s="5">
        <f>ROUND(SUM(L9:L14)/SUM(K9:K14), 2)</f>
        <v>146.43</v>
      </c>
      <c r="M15" s="5">
        <f>ROUND($O$4*I14+(1-$O$4)*M14, 2)</f>
        <v>146.63999999999999</v>
      </c>
    </row>
    <row r="16" spans="1:15" x14ac:dyDescent="0.35">
      <c r="A16" s="1" t="s">
        <v>5</v>
      </c>
      <c r="B16" s="1" t="s">
        <v>6</v>
      </c>
      <c r="K16" s="7"/>
      <c r="L16" s="7"/>
    </row>
    <row r="17" spans="11:12" x14ac:dyDescent="0.35">
      <c r="K17" s="7"/>
      <c r="L17" t="s">
        <v>104</v>
      </c>
    </row>
    <row r="18" spans="11:12" x14ac:dyDescent="0.35">
      <c r="L18" t="s">
        <v>103</v>
      </c>
    </row>
    <row r="20" spans="11:12" x14ac:dyDescent="0.35">
      <c r="L20" t="s">
        <v>107</v>
      </c>
    </row>
    <row r="21" spans="11:12" x14ac:dyDescent="0.35">
      <c r="L21" t="s">
        <v>105</v>
      </c>
    </row>
  </sheetData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82BCB-8E04-4757-BAD2-FEE7E70632D7}">
  <dimension ref="A1:E16"/>
  <sheetViews>
    <sheetView tabSelected="1" workbookViewId="0">
      <selection activeCell="E1" sqref="E1"/>
    </sheetView>
  </sheetViews>
  <sheetFormatPr defaultRowHeight="14.5" x14ac:dyDescent="0.35"/>
  <cols>
    <col min="1" max="1" width="8.81640625" bestFit="1" customWidth="1"/>
    <col min="2" max="2" width="39.81640625" bestFit="1" customWidth="1"/>
    <col min="3" max="3" width="27.453125" bestFit="1" customWidth="1"/>
    <col min="4" max="4" width="9.6328125" customWidth="1"/>
  </cols>
  <sheetData>
    <row r="1" spans="1:5" ht="15" thickBot="1" x14ac:dyDescent="0.4">
      <c r="A1" s="18" t="s">
        <v>109</v>
      </c>
      <c r="B1" s="19" t="s">
        <v>111</v>
      </c>
      <c r="C1" s="18" t="s">
        <v>108</v>
      </c>
      <c r="D1" s="19"/>
      <c r="E1" s="25" t="s">
        <v>115</v>
      </c>
    </row>
    <row r="2" spans="1:5" ht="15" thickBot="1" x14ac:dyDescent="0.4">
      <c r="A2" t="s">
        <v>7</v>
      </c>
      <c r="B2" s="20">
        <v>100</v>
      </c>
      <c r="C2" s="21">
        <v>100</v>
      </c>
      <c r="D2" s="17"/>
    </row>
    <row r="3" spans="1:5" ht="15" thickBot="1" x14ac:dyDescent="0.4">
      <c r="A3" t="s">
        <v>8</v>
      </c>
      <c r="B3" s="20">
        <v>97.14</v>
      </c>
      <c r="C3" s="22">
        <v>106.08</v>
      </c>
      <c r="D3" s="17"/>
    </row>
    <row r="4" spans="1:5" ht="15" thickBot="1" x14ac:dyDescent="0.4">
      <c r="A4" t="s">
        <v>9</v>
      </c>
      <c r="B4" s="20">
        <v>102.96</v>
      </c>
      <c r="C4" s="22">
        <v>107.37</v>
      </c>
      <c r="D4" s="17"/>
    </row>
    <row r="5" spans="1:5" ht="15" thickBot="1" x14ac:dyDescent="0.4">
      <c r="A5" t="s">
        <v>10</v>
      </c>
      <c r="B5" s="20">
        <v>106.67</v>
      </c>
      <c r="C5" s="22">
        <v>114.62</v>
      </c>
      <c r="D5" s="17"/>
    </row>
    <row r="6" spans="1:5" ht="15" thickBot="1" x14ac:dyDescent="0.4">
      <c r="A6" t="s">
        <v>11</v>
      </c>
      <c r="B6" s="20">
        <v>108.04</v>
      </c>
      <c r="C6" s="22">
        <v>117.85</v>
      </c>
      <c r="D6" s="17"/>
    </row>
    <row r="7" spans="1:5" ht="15" thickBot="1" x14ac:dyDescent="0.4">
      <c r="A7" t="s">
        <v>12</v>
      </c>
      <c r="B7" s="20">
        <v>114.07</v>
      </c>
      <c r="C7" s="22">
        <v>128.33000000000001</v>
      </c>
      <c r="D7" s="17"/>
    </row>
    <row r="8" spans="1:5" ht="15" thickBot="1" x14ac:dyDescent="0.4">
      <c r="A8" t="s">
        <v>13</v>
      </c>
      <c r="B8" s="20">
        <v>122.12</v>
      </c>
      <c r="C8" s="22">
        <v>132.72999999999999</v>
      </c>
      <c r="D8" s="17"/>
    </row>
    <row r="9" spans="1:5" ht="15" thickBot="1" x14ac:dyDescent="0.4">
      <c r="A9" t="s">
        <v>14</v>
      </c>
      <c r="B9" s="20">
        <v>151.75</v>
      </c>
      <c r="C9" s="22">
        <v>139.19999999999999</v>
      </c>
      <c r="D9" s="17"/>
    </row>
    <row r="10" spans="1:5" ht="15" thickBot="1" x14ac:dyDescent="0.4">
      <c r="A10" t="s">
        <v>22</v>
      </c>
      <c r="B10" s="20">
        <v>152.49</v>
      </c>
      <c r="C10" s="22">
        <v>137.77000000000001</v>
      </c>
      <c r="D10" s="17"/>
    </row>
    <row r="11" spans="1:5" ht="15" thickBot="1" x14ac:dyDescent="0.4">
      <c r="A11" t="s">
        <v>23</v>
      </c>
      <c r="B11" s="20">
        <v>158.41</v>
      </c>
      <c r="C11" s="22">
        <v>140.75</v>
      </c>
      <c r="D11" s="17"/>
    </row>
    <row r="15" spans="1:5" ht="28.5" x14ac:dyDescent="0.35">
      <c r="B15" s="23" t="s">
        <v>112</v>
      </c>
      <c r="C15" s="24" t="s">
        <v>114</v>
      </c>
    </row>
    <row r="16" spans="1:5" ht="28.5" x14ac:dyDescent="0.35">
      <c r="B16" s="23" t="s">
        <v>110</v>
      </c>
      <c r="C16" s="24" t="s">
        <v>113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 2</vt:lpstr>
      <vt:lpstr>Exercise 3</vt:lpstr>
      <vt:lpstr>Exercise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2020-04-27T13:14:58Z</dcterms:created>
  <dcterms:modified xsi:type="dcterms:W3CDTF">2020-05-05T16:18:56Z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63b38ac9-7189-45a3-be0c-99c19ac22e4a</vt:lpwstr>
  </property>
</Properties>
</file>