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_Mechanical-EV24/_Vehicle Dynamics/Guidance Documentation/BOOKS/"/>
    </mc:Choice>
  </mc:AlternateContent>
  <xr:revisionPtr revIDLastSave="0" documentId="8_{9ED31898-5239-44F2-AEC7-ED4F0F1E42D3}" xr6:coauthVersionLast="47" xr6:coauthVersionMax="47" xr10:uidLastSave="{00000000-0000-0000-0000-000000000000}"/>
  <bookViews>
    <workbookView xWindow="-110" yWindow="-110" windowWidth="25820" windowHeight="15500" tabRatio="744" firstSheet="6" activeTab="6" xr2:uid="{9242884C-AB33-489A-BB7F-ADCF636164C6}"/>
  </bookViews>
  <sheets>
    <sheet name="Parameters" sheetId="4" r:id="rId1"/>
    <sheet name="Geo Points" sheetId="5" r:id="rId2"/>
    <sheet name="BRS Camber Gain" sheetId="17" r:id="rId3"/>
    <sheet name="Tire Data" sheetId="9" r:id="rId4"/>
    <sheet name="Motor Data" sheetId="14" r:id="rId5"/>
    <sheet name="Tire Load Cases" sheetId="1" r:id="rId6"/>
    <sheet name="Geo Forces" sheetId="2" r:id="rId7"/>
    <sheet name="Steel A-Arm Tube Force Analysis" sheetId="3" r:id="rId8"/>
    <sheet name="CF A-Arm Tube Force Analysis" sheetId="15" r:id="rId9"/>
    <sheet name="Upright Force Analysis" sheetId="11" r:id="rId10"/>
    <sheet name="Setups" sheetId="12" r:id="rId11"/>
    <sheet name="Damper Data" sheetId="13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8" i="2" l="1"/>
  <c r="S5" i="11"/>
  <c r="S4" i="11"/>
  <c r="K13" i="15" l="1"/>
  <c r="P13" i="15" s="1"/>
  <c r="H13" i="15"/>
  <c r="K12" i="15"/>
  <c r="P12" i="15" s="1"/>
  <c r="H12" i="15"/>
  <c r="O12" i="15" s="1"/>
  <c r="K11" i="15"/>
  <c r="P11" i="15" s="1"/>
  <c r="H11" i="15"/>
  <c r="K10" i="15"/>
  <c r="P10" i="15" s="1"/>
  <c r="H10" i="15"/>
  <c r="K9" i="15"/>
  <c r="P9" i="15" s="1"/>
  <c r="H9" i="15"/>
  <c r="I9" i="15" s="1"/>
  <c r="K8" i="15"/>
  <c r="P8" i="15" s="1"/>
  <c r="H8" i="15"/>
  <c r="I8" i="15" s="1"/>
  <c r="K7" i="15"/>
  <c r="P7" i="15" s="1"/>
  <c r="H7" i="15"/>
  <c r="K6" i="15"/>
  <c r="P6" i="15" s="1"/>
  <c r="H6" i="15"/>
  <c r="O6" i="15" s="1"/>
  <c r="K5" i="15"/>
  <c r="H5" i="15"/>
  <c r="O5" i="15" s="1"/>
  <c r="K4" i="15"/>
  <c r="P4" i="15" s="1"/>
  <c r="H4" i="15"/>
  <c r="O4" i="15" s="1"/>
  <c r="K3" i="15"/>
  <c r="P3" i="15" s="1"/>
  <c r="H3" i="15"/>
  <c r="O3" i="15" s="1"/>
  <c r="K2" i="15"/>
  <c r="H2" i="15"/>
  <c r="E31" i="11"/>
  <c r="O11" i="15" l="1"/>
  <c r="N9" i="15"/>
  <c r="O9" i="15"/>
  <c r="N5" i="15"/>
  <c r="I7" i="15"/>
  <c r="J7" i="15" s="1"/>
  <c r="O13" i="15"/>
  <c r="N2" i="15"/>
  <c r="O2" i="15"/>
  <c r="P2" i="15"/>
  <c r="J9" i="15"/>
  <c r="Q9" i="15"/>
  <c r="Q8" i="15"/>
  <c r="J8" i="15"/>
  <c r="I5" i="15"/>
  <c r="N7" i="15"/>
  <c r="O7" i="15"/>
  <c r="I12" i="15"/>
  <c r="I3" i="15"/>
  <c r="Q7" i="15"/>
  <c r="I10" i="15"/>
  <c r="P5" i="15"/>
  <c r="O10" i="15"/>
  <c r="O8" i="15"/>
  <c r="I13" i="15"/>
  <c r="N12" i="15"/>
  <c r="N3" i="15"/>
  <c r="N10" i="15"/>
  <c r="I6" i="15"/>
  <c r="N8" i="15"/>
  <c r="I4" i="15"/>
  <c r="N6" i="15"/>
  <c r="I11" i="15"/>
  <c r="N13" i="15"/>
  <c r="I2" i="15"/>
  <c r="N4" i="15"/>
  <c r="N11" i="15"/>
  <c r="Q12" i="15" l="1"/>
  <c r="J12" i="15"/>
  <c r="J5" i="15"/>
  <c r="Q5" i="15"/>
  <c r="Q2" i="15"/>
  <c r="J2" i="15"/>
  <c r="J11" i="15"/>
  <c r="Q11" i="15"/>
  <c r="Q4" i="15"/>
  <c r="J4" i="15"/>
  <c r="Q6" i="15"/>
  <c r="J6" i="15"/>
  <c r="Q13" i="15"/>
  <c r="J13" i="15"/>
  <c r="Q10" i="15"/>
  <c r="J10" i="15"/>
  <c r="Q3" i="15"/>
  <c r="J3" i="15"/>
  <c r="A33" i="14" l="1"/>
  <c r="A34" i="14"/>
  <c r="A35" i="14"/>
  <c r="A36" i="14"/>
  <c r="A37" i="14"/>
  <c r="A38" i="14"/>
  <c r="E38" i="14" s="1"/>
  <c r="A39" i="14"/>
  <c r="D39" i="14" s="1"/>
  <c r="A40" i="14"/>
  <c r="E40" i="14" s="1"/>
  <c r="A41" i="14"/>
  <c r="A42" i="14"/>
  <c r="E42" i="14" s="1"/>
  <c r="A43" i="14"/>
  <c r="A44" i="14"/>
  <c r="E44" i="14" s="1"/>
  <c r="A32" i="14"/>
  <c r="C34" i="14"/>
  <c r="C36" i="14"/>
  <c r="C40" i="14"/>
  <c r="C42" i="14"/>
  <c r="C44" i="14"/>
  <c r="C32" i="14"/>
  <c r="B40" i="14"/>
  <c r="B41" i="14"/>
  <c r="B42" i="14"/>
  <c r="B43" i="14"/>
  <c r="B44" i="14"/>
  <c r="B25" i="14"/>
  <c r="B26" i="14"/>
  <c r="B27" i="14"/>
  <c r="B28" i="14"/>
  <c r="B29" i="14"/>
  <c r="C19" i="14"/>
  <c r="C21" i="14"/>
  <c r="C25" i="14"/>
  <c r="C27" i="14"/>
  <c r="C29" i="14"/>
  <c r="C17" i="14"/>
  <c r="B17" i="14"/>
  <c r="E23" i="14"/>
  <c r="E25" i="14"/>
  <c r="E27" i="14"/>
  <c r="E29" i="14"/>
  <c r="E17" i="14"/>
  <c r="D23" i="14"/>
  <c r="D24" i="14"/>
  <c r="D27" i="14"/>
  <c r="D29" i="14"/>
  <c r="D17" i="14"/>
  <c r="A18" i="14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4" i="14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3" i="14"/>
  <c r="D38" i="14" l="1"/>
  <c r="D44" i="14"/>
  <c r="D42" i="14"/>
  <c r="B30" i="4"/>
  <c r="B21" i="4"/>
  <c r="B20" i="4"/>
  <c r="B18" i="4"/>
  <c r="B15" i="4"/>
  <c r="B16" i="4" s="1"/>
  <c r="B17" i="4"/>
  <c r="B14" i="11"/>
  <c r="B15" i="11"/>
  <c r="E14" i="11"/>
  <c r="B22" i="4" l="1"/>
  <c r="B19" i="4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H32" i="2" l="1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V3" i="11" s="1"/>
  <c r="V4" i="11" s="1"/>
  <c r="F30" i="2"/>
  <c r="F23" i="2"/>
  <c r="F21" i="2"/>
  <c r="F14" i="2"/>
  <c r="B12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E33" i="11" l="1"/>
  <c r="E35" i="11" s="1"/>
  <c r="S3" i="11"/>
  <c r="E30" i="11"/>
  <c r="E34" i="11" s="1"/>
  <c r="E36" i="11" s="1"/>
  <c r="E15" i="11"/>
  <c r="E18" i="11"/>
  <c r="B18" i="1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I20" i="2"/>
  <c r="J15" i="2"/>
  <c r="I15" i="2"/>
  <c r="J7" i="2"/>
  <c r="D3" i="15" s="1"/>
  <c r="J8" i="2"/>
  <c r="D4" i="15" s="1"/>
  <c r="J9" i="2"/>
  <c r="J10" i="2"/>
  <c r="J11" i="2"/>
  <c r="I7" i="2"/>
  <c r="I8" i="2"/>
  <c r="I9" i="2"/>
  <c r="I10" i="2"/>
  <c r="I11" i="2"/>
  <c r="J6" i="2"/>
  <c r="I6" i="2"/>
  <c r="K3" i="3"/>
  <c r="P3" i="3" s="1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P2" i="3" s="1"/>
  <c r="H2" i="3"/>
  <c r="H3" i="3"/>
  <c r="H4" i="3"/>
  <c r="H5" i="3"/>
  <c r="H6" i="3"/>
  <c r="O6" i="3" s="1"/>
  <c r="H7" i="3"/>
  <c r="I7" i="3" s="1"/>
  <c r="H8" i="3"/>
  <c r="I8" i="3" s="1"/>
  <c r="H9" i="3"/>
  <c r="O9" i="3" s="1"/>
  <c r="H10" i="3"/>
  <c r="H11" i="3"/>
  <c r="I11" i="3" s="1"/>
  <c r="H12" i="3"/>
  <c r="H13" i="3"/>
  <c r="O13" i="3" l="1"/>
  <c r="O5" i="3"/>
  <c r="D7" i="15"/>
  <c r="C2" i="15"/>
  <c r="L2" i="15" s="1"/>
  <c r="D2" i="15"/>
  <c r="C7" i="15"/>
  <c r="M7" i="15" s="1"/>
  <c r="C6" i="15"/>
  <c r="L6" i="15" s="1"/>
  <c r="C5" i="15"/>
  <c r="M5" i="15" s="1"/>
  <c r="C4" i="15"/>
  <c r="R4" i="15" s="1"/>
  <c r="C3" i="15"/>
  <c r="M3" i="15" s="1"/>
  <c r="D6" i="15"/>
  <c r="D5" i="15"/>
  <c r="M2" i="15"/>
  <c r="B25" i="11"/>
  <c r="B22" i="11"/>
  <c r="B24" i="11" s="1"/>
  <c r="E25" i="11"/>
  <c r="E22" i="11"/>
  <c r="E24" i="11" s="1"/>
  <c r="D2" i="3"/>
  <c r="O12" i="3"/>
  <c r="O4" i="3"/>
  <c r="O10" i="3"/>
  <c r="O2" i="3"/>
  <c r="I3" i="3"/>
  <c r="Q3" i="3" s="1"/>
  <c r="I13" i="3"/>
  <c r="J13" i="3" s="1"/>
  <c r="I9" i="3"/>
  <c r="Q9" i="3" s="1"/>
  <c r="I5" i="3"/>
  <c r="J5" i="3" s="1"/>
  <c r="J11" i="3"/>
  <c r="Q11" i="3"/>
  <c r="Q8" i="3"/>
  <c r="J8" i="3"/>
  <c r="Q7" i="3"/>
  <c r="J7" i="3"/>
  <c r="N9" i="3"/>
  <c r="I12" i="3"/>
  <c r="I4" i="3"/>
  <c r="N8" i="3"/>
  <c r="N7" i="3"/>
  <c r="O11" i="3"/>
  <c r="O3" i="3"/>
  <c r="I10" i="3"/>
  <c r="N2" i="3"/>
  <c r="N6" i="3"/>
  <c r="N13" i="3"/>
  <c r="N5" i="3"/>
  <c r="N12" i="3"/>
  <c r="N4" i="3"/>
  <c r="O8" i="3"/>
  <c r="N11" i="3"/>
  <c r="N3" i="3"/>
  <c r="O7" i="3"/>
  <c r="I2" i="3"/>
  <c r="Q2" i="3" s="1"/>
  <c r="I6" i="3"/>
  <c r="N10" i="3"/>
  <c r="C7" i="3"/>
  <c r="D6" i="3"/>
  <c r="C5" i="3"/>
  <c r="C3" i="3"/>
  <c r="D4" i="3"/>
  <c r="D3" i="3"/>
  <c r="D7" i="3"/>
  <c r="D5" i="3"/>
  <c r="C4" i="3"/>
  <c r="C6" i="3"/>
  <c r="C2" i="3"/>
  <c r="R7" i="15" l="1"/>
  <c r="L7" i="15"/>
  <c r="S6" i="15"/>
  <c r="R6" i="15"/>
  <c r="S3" i="15"/>
  <c r="L5" i="15"/>
  <c r="S5" i="15"/>
  <c r="M6" i="15"/>
  <c r="R3" i="15"/>
  <c r="L3" i="15"/>
  <c r="S2" i="15"/>
  <c r="M4" i="15"/>
  <c r="S4" i="15"/>
  <c r="R2" i="15"/>
  <c r="L4" i="15"/>
  <c r="R5" i="15"/>
  <c r="R6" i="3"/>
  <c r="R7" i="3"/>
  <c r="R2" i="3"/>
  <c r="R3" i="3"/>
  <c r="M5" i="3"/>
  <c r="R5" i="3"/>
  <c r="L4" i="3"/>
  <c r="R4" i="3"/>
  <c r="E27" i="11"/>
  <c r="E26" i="11"/>
  <c r="B27" i="11"/>
  <c r="B26" i="11"/>
  <c r="M3" i="3"/>
  <c r="S2" i="3"/>
  <c r="M7" i="3"/>
  <c r="M2" i="3"/>
  <c r="Q13" i="3"/>
  <c r="J3" i="3"/>
  <c r="J9" i="3"/>
  <c r="Q5" i="3"/>
  <c r="J12" i="3"/>
  <c r="Q12" i="3"/>
  <c r="J4" i="3"/>
  <c r="Q4" i="3"/>
  <c r="J10" i="3"/>
  <c r="Q10" i="3"/>
  <c r="J2" i="3"/>
  <c r="Q6" i="3"/>
  <c r="J6" i="3"/>
  <c r="L7" i="3"/>
  <c r="S6" i="3"/>
  <c r="S4" i="3"/>
  <c r="L5" i="3"/>
  <c r="L3" i="3"/>
  <c r="L6" i="3"/>
  <c r="M6" i="3"/>
  <c r="S5" i="3"/>
  <c r="S3" i="3"/>
  <c r="M4" i="3"/>
  <c r="L2" i="3"/>
  <c r="J25" i="2" l="1"/>
  <c r="I28" i="2"/>
  <c r="I29" i="2"/>
  <c r="I27" i="2"/>
  <c r="I26" i="2"/>
  <c r="I25" i="2"/>
  <c r="J24" i="2"/>
  <c r="J27" i="2"/>
  <c r="J28" i="2"/>
  <c r="J29" i="2"/>
  <c r="I24" i="2"/>
  <c r="J26" i="2"/>
  <c r="D10" i="3" l="1"/>
  <c r="D10" i="15"/>
  <c r="C9" i="3"/>
  <c r="C9" i="15"/>
  <c r="C11" i="3"/>
  <c r="C11" i="15"/>
  <c r="D13" i="3"/>
  <c r="D13" i="15"/>
  <c r="D8" i="3"/>
  <c r="D8" i="15"/>
  <c r="C13" i="3"/>
  <c r="C13" i="15"/>
  <c r="C8" i="3"/>
  <c r="S7" i="3" s="1"/>
  <c r="C8" i="15"/>
  <c r="C12" i="3"/>
  <c r="C12" i="15"/>
  <c r="D12" i="3"/>
  <c r="D12" i="15"/>
  <c r="D11" i="3"/>
  <c r="D11" i="15"/>
  <c r="C10" i="3"/>
  <c r="C10" i="15"/>
  <c r="D9" i="3"/>
  <c r="R9" i="3" s="1"/>
  <c r="D9" i="15"/>
  <c r="R8" i="3"/>
  <c r="R10" i="3"/>
  <c r="R11" i="3"/>
  <c r="S8" i="3"/>
  <c r="S10" i="3"/>
  <c r="S9" i="3"/>
  <c r="B32" i="14"/>
  <c r="R13" i="3" l="1"/>
  <c r="M12" i="3"/>
  <c r="L12" i="3"/>
  <c r="R12" i="3"/>
  <c r="M10" i="3"/>
  <c r="L10" i="3"/>
  <c r="S11" i="15"/>
  <c r="R12" i="15"/>
  <c r="M12" i="15"/>
  <c r="L12" i="15"/>
  <c r="L13" i="3"/>
  <c r="M13" i="3"/>
  <c r="S8" i="15"/>
  <c r="M9" i="15"/>
  <c r="L9" i="15"/>
  <c r="R9" i="15"/>
  <c r="M13" i="15"/>
  <c r="L13" i="15"/>
  <c r="S12" i="15"/>
  <c r="S13" i="15" a="1"/>
  <c r="S13" i="15" s="1"/>
  <c r="R13" i="15"/>
  <c r="S11" i="3"/>
  <c r="M9" i="3"/>
  <c r="L9" i="3"/>
  <c r="S10" i="15"/>
  <c r="R11" i="15"/>
  <c r="M11" i="15"/>
  <c r="L11" i="15"/>
  <c r="L8" i="3"/>
  <c r="S9" i="15"/>
  <c r="M10" i="15"/>
  <c r="L10" i="15"/>
  <c r="R10" i="15"/>
  <c r="M8" i="15"/>
  <c r="L8" i="15"/>
  <c r="S7" i="15"/>
  <c r="R8" i="15"/>
  <c r="S13" i="3" a="1"/>
  <c r="S13" i="3" s="1"/>
  <c r="M11" i="3"/>
  <c r="L11" i="3"/>
  <c r="S12" i="3"/>
  <c r="M8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<sst xmlns="http://schemas.openxmlformats.org/spreadsheetml/2006/main" count="617" uniqueCount="244">
  <si>
    <t>TREV 2 Parameters</t>
  </si>
  <si>
    <t>Car Parameters</t>
  </si>
  <si>
    <t>Alignment + Tuning Parameters</t>
  </si>
  <si>
    <t>Total Weight (lb)</t>
  </si>
  <si>
    <t>&lt;- input from MATLAB</t>
  </si>
  <si>
    <t>K_s F (lb/in)</t>
  </si>
  <si>
    <t>Front %</t>
  </si>
  <si>
    <t>K_s R (lb/in)</t>
  </si>
  <si>
    <t>Wheelbase (in)</t>
  </si>
  <si>
    <t>K_ARB F (lb/in)</t>
  </si>
  <si>
    <t>Front Track Width (in)</t>
  </si>
  <si>
    <t>K_ARB R (lb/in)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</si>
  <si>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</si>
  <si>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</si>
  <si>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</si>
  <si>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</si>
  <si>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</si>
  <si>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</si>
  <si>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</si>
  <si>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</si>
  <si>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</si>
  <si>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</si>
  <si>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</si>
  <si>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</si>
  <si>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</si>
  <si>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</si>
  <si>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</si>
  <si>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</si>
  <si>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</si>
  <si>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</si>
  <si>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</si>
  <si>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</si>
  <si>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</t>
  </si>
  <si>
    <t>Front Corner Static Weight (lb)</t>
  </si>
  <si>
    <t>Rear Toe</t>
  </si>
  <si>
    <t>Rear Corner Static Weight (lb)</t>
  </si>
  <si>
    <t>Front Camber</t>
  </si>
  <si>
    <t>CoG_h -&gt; Zr_F (in)</t>
  </si>
  <si>
    <t>Rear Camber</t>
  </si>
  <si>
    <t>CoG_h -&gt; Zr_R (in)</t>
  </si>
  <si>
    <t>Front Tire Pressure</t>
  </si>
  <si>
    <t>CoG_h -&gt; Roll Axis (in)</t>
  </si>
  <si>
    <t>Rear Tire Pressure</t>
  </si>
  <si>
    <t>Aero Parameters</t>
  </si>
  <si>
    <t>Powertrain  Parameters</t>
  </si>
  <si>
    <t>Coefficient of Lift</t>
  </si>
  <si>
    <t>Final Drive Gear Ratio</t>
  </si>
  <si>
    <t>Coefficient of Drag</t>
  </si>
  <si>
    <t>Frontal Area (in^2)</t>
  </si>
  <si>
    <t>Air Density (lb/in^3)</t>
  </si>
  <si>
    <t>Front Aero Percent</t>
  </si>
  <si>
    <t>Rear Aero Percent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</si>
  <si>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</si>
  <si>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</si>
  <si>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</si>
  <si>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</si>
  <si>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</si>
  <si>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</si>
  <si>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</si>
  <si>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</si>
  <si>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</si>
  <si>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</si>
  <si>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</si>
  <si>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</si>
  <si>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</si>
  <si>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</si>
  <si>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</si>
  <si>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</si>
  <si>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</si>
  <si>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</si>
  <si>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</si>
  <si>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</si>
  <si>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</si>
  <si>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</si>
  <si>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</si>
  <si>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</si>
  <si>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</si>
  <si>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</si>
  <si>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</si>
  <si>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</si>
  <si>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</si>
  <si>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</si>
  <si>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</si>
  <si>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</si>
  <si>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</si>
  <si>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</si>
  <si>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</si>
  <si>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</si>
  <si>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</si>
  <si>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</si>
  <si>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</si>
  <si>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</si>
  <si>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</si>
  <si>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</si>
  <si>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</si>
  <si>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</si>
  <si>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</si>
  <si>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</si>
  <si>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</si>
  <si>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</si>
  <si>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</si>
  <si>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</si>
  <si>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</si>
  <si>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</si>
  <si>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</si>
  <si>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</si>
  <si>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</si>
  <si>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Test Transmission Gear Ratio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</si>
  <si>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</si>
  <si>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</si>
  <si>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</si>
  <si>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</si>
  <si>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</si>
  <si>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</si>
  <si>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</si>
  <si>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</si>
  <si>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</si>
  <si>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</si>
  <si>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Max Acceleration @ Tire Limits (~0.94g)</t>
  </si>
  <si>
    <t>*starting from 0 mph</t>
  </si>
  <si>
    <t>Max Deceleration @ Tire Limits (~2.0g)</t>
  </si>
  <si>
    <t>*30 mph analysis</t>
  </si>
  <si>
    <t>Max Cornering @ Tire Limits (~1.9g) - Skidpad</t>
  </si>
  <si>
    <t>Tilt Test (1.7g C)</t>
  </si>
  <si>
    <t>*25 mph entry analysis</t>
  </si>
  <si>
    <t>Tire</t>
  </si>
  <si>
    <t>Component</t>
  </si>
  <si>
    <t>0g Static</t>
  </si>
  <si>
    <t>Max Acceleration @ Tire Limits</t>
  </si>
  <si>
    <t>Max Deceleration @ Tire Limits</t>
  </si>
  <si>
    <t>Max Cornering @ Tire Limits - Skidpad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</si>
  <si>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</si>
  <si>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</si>
  <si>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</si>
  <si>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</si>
  <si>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</si>
  <si>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</si>
  <si>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</si>
  <si>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</si>
  <si>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</si>
  <si>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</si>
  <si>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</si>
  <si>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</si>
  <si>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</si>
  <si>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</si>
  <si>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</si>
  <si>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</si>
  <si>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</si>
  <si>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</si>
  <si>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</si>
  <si>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BUMP</t>
  </si>
  <si>
    <t>Front</t>
  </si>
  <si>
    <t>Rear</t>
  </si>
  <si>
    <t>ROLL</t>
  </si>
  <si>
    <t>STEER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</si>
  <si>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</si>
  <si>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</si>
  <si>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</si>
  <si>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</si>
  <si>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</si>
  <si>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</si>
  <si>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</si>
  <si>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</si>
  <si>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</si>
  <si>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</si>
  <si>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</si>
  <si>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</si>
  <si>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</si>
  <si>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</si>
  <si>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</si>
  <si>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</si>
  <si>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</si>
  <si>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</si>
  <si>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</si>
  <si>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</si>
  <si>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</si>
  <si>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</si>
  <si>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</si>
  <si>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</si>
  <si>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</si>
  <si>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</si>
  <si>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</si>
  <si>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</si>
  <si>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</si>
  <si>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</si>
  <si>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Max Cornering</t>
  </si>
  <si>
    <t>Ben's Calcs</t>
  </si>
  <si>
    <t>l1</t>
  </si>
  <si>
    <t>l2</t>
  </si>
  <si>
    <t>Fouter</t>
  </si>
  <si>
    <t>l3</t>
  </si>
  <si>
    <t>Finner</t>
  </si>
  <si>
    <t>l4</t>
  </si>
  <si>
    <t>l5</t>
  </si>
  <si>
    <t>Vouter</t>
  </si>
  <si>
    <t>Rr</t>
  </si>
  <si>
    <t>Houter</t>
  </si>
  <si>
    <t>*inches</t>
  </si>
  <si>
    <t>Vinner</t>
  </si>
  <si>
    <t>Hinner</t>
  </si>
  <si>
    <t>W_lat</t>
  </si>
  <si>
    <t>&lt;- F_lat</t>
  </si>
  <si>
    <t>Vbrake</t>
  </si>
  <si>
    <t>W_vert</t>
  </si>
  <si>
    <t>Hbrake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</si>
  <si>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</si>
  <si>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</si>
  <si>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</si>
  <si>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</si>
  <si>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</si>
  <si>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</si>
  <si>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</si>
  <si>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</si>
  <si>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</si>
  <si>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</si>
  <si>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</si>
  <si>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</si>
  <si>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</si>
  <si>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</si>
  <si>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</si>
  <si>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</si>
  <si>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</si>
  <si>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</si>
  <si>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</si>
  <si>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</si>
  <si>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</si>
  <si>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</si>
  <si>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</si>
  <si>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</si>
  <si>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</si>
  <si>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lb/in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</si>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</sst>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72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11" fontId="0" fillId="0" borderId="0" xfId="0" applyNumberFormat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0" fillId="18" borderId="0" xfId="0" applyFill="1"/>
    <xf numFmtId="0" fontId="16" fillId="0" borderId="0" xfId="0" applyFont="1"/>
    <xf numFmtId="0" fontId="0" fillId="19" borderId="0" xfId="0" applyFill="1"/>
    <xf numFmtId="0" fontId="17" fillId="0" borderId="0" xfId="0" applyFont="1"/>
    <xf numFmtId="0" fontId="13" fillId="0" borderId="0" xfId="0" applyFont="1"/>
    <xf numFmtId="0" fontId="0" fillId="15" borderId="0" xfId="0" applyFill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14" borderId="0" xfId="0" applyFill="1" applyAlignment="1">
      <alignment horizontal="center"/>
    </xf>
  </cellXfs>
  <cellStyles count="2">
    <cellStyle name="Normal" xfId="0" builtinId="0"/>
    <cellStyle name="Normal 3" xfId="1" xr:uid="{553650D3-15FA-4C8D-9F15-6E5FE09735BB}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'Motor Data'!$A$2:$A$14</c:f>
              <c:numCache>
                <c:formatCode>General</c:formatCode>
                <c:ptCount val="13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</c:numCache>
            </c:numRef>
          </c:xVal>
          <c:yVal>
            <c:numRef>
              <c:f>'Motor Data'!$B$2:$B$14</c:f>
              <c:numCache>
                <c:formatCode>General</c:formatCode>
                <c:ptCount val="13"/>
                <c:pt idx="0">
                  <c:v>140</c:v>
                </c:pt>
                <c:pt idx="8">
                  <c:v>135</c:v>
                </c:pt>
                <c:pt idx="9">
                  <c:v>132.5</c:v>
                </c:pt>
                <c:pt idx="10">
                  <c:v>129.5</c:v>
                </c:pt>
                <c:pt idx="11">
                  <c:v>122.5</c:v>
                </c:pt>
                <c:pt idx="12">
                  <c:v>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'Motor Data'!$A$2:$A$14</c:f>
              <c:numCache>
                <c:formatCode>General</c:formatCode>
                <c:ptCount val="13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</c:numCache>
            </c:numRef>
          </c:xVal>
          <c:yVal>
            <c:numRef>
              <c:f>'Motor Data'!$C$2:$C$14</c:f>
              <c:numCache>
                <c:formatCode>General</c:formatCode>
                <c:ptCount val="13"/>
                <c:pt idx="0">
                  <c:v>60</c:v>
                </c:pt>
                <c:pt idx="2">
                  <c:v>65</c:v>
                </c:pt>
                <c:pt idx="4">
                  <c:v>66</c:v>
                </c:pt>
                <c:pt idx="7">
                  <c:v>66</c:v>
                </c:pt>
                <c:pt idx="8">
                  <c:v>65</c:v>
                </c:pt>
                <c:pt idx="10">
                  <c:v>60</c:v>
                </c:pt>
                <c:pt idx="12">
                  <c:v>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'Motor Data'!$A$2:$A$14</c:f>
              <c:numCache>
                <c:formatCode>General</c:formatCode>
                <c:ptCount val="13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</c:numCache>
            </c:numRef>
          </c:xVal>
          <c:yVal>
            <c:numRef>
              <c:f>'Motor Data'!$D$2:$D$14</c:f>
              <c:numCache>
                <c:formatCode>General</c:formatCode>
                <c:ptCount val="13"/>
                <c:pt idx="0">
                  <c:v>0</c:v>
                </c:pt>
                <c:pt idx="6">
                  <c:v>44</c:v>
                </c:pt>
                <c:pt idx="7">
                  <c:v>50</c:v>
                </c:pt>
                <c:pt idx="10">
                  <c:v>64</c:v>
                </c:pt>
                <c:pt idx="12">
                  <c:v>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'Motor Data'!$A$2:$A$14</c:f>
              <c:numCache>
                <c:formatCode>General</c:formatCode>
                <c:ptCount val="13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</c:numCache>
            </c:numRef>
          </c:xVal>
          <c:yVal>
            <c:numRef>
              <c:f>'Motor Data'!$E$2:$E$14</c:f>
              <c:numCache>
                <c:formatCode>General</c:formatCode>
                <c:ptCount val="13"/>
                <c:pt idx="0">
                  <c:v>0</c:v>
                </c:pt>
                <c:pt idx="6">
                  <c:v>22</c:v>
                </c:pt>
                <c:pt idx="8">
                  <c:v>29</c:v>
                </c:pt>
                <c:pt idx="10">
                  <c:v>34</c:v>
                </c:pt>
                <c:pt idx="12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Data'!$B$31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'Motor Data'!$A$32:$A$44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Data'!$B$32:$B$44</c:f>
              <c:numCache>
                <c:formatCode>General</c:formatCode>
                <c:ptCount val="13"/>
                <c:pt idx="0">
                  <c:v>0.9190816817538463</c:v>
                </c:pt>
                <c:pt idx="8">
                  <c:v>0.88625733597692335</c:v>
                </c:pt>
                <c:pt idx="9">
                  <c:v>0.8698451630884616</c:v>
                </c:pt>
                <c:pt idx="10">
                  <c:v>0.85015055562230779</c:v>
                </c:pt>
                <c:pt idx="11">
                  <c:v>0.80419647153461538</c:v>
                </c:pt>
                <c:pt idx="12">
                  <c:v>0.75495995286923079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Data'!$C$31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'Motor Data'!$A$32:$A$44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Data'!$C$32:$C$44</c:f>
              <c:numCache>
                <c:formatCode>General</c:formatCode>
                <c:ptCount val="13"/>
                <c:pt idx="0">
                  <c:v>0.39389214932307698</c:v>
                </c:pt>
                <c:pt idx="2">
                  <c:v>0.42671649510000004</c:v>
                </c:pt>
                <c:pt idx="4">
                  <c:v>0.43328136425538472</c:v>
                </c:pt>
                <c:pt idx="8">
                  <c:v>0.42671649510000004</c:v>
                </c:pt>
                <c:pt idx="10">
                  <c:v>0.39389214932307698</c:v>
                </c:pt>
                <c:pt idx="12">
                  <c:v>0.38076241101230773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Data'!$D$31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'Motor Data'!$A$32:$A$44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Data'!$D$32:$D$44</c:f>
              <c:numCache>
                <c:formatCode>General</c:formatCode>
                <c:ptCount val="13"/>
                <c:pt idx="0">
                  <c:v>0</c:v>
                </c:pt>
                <c:pt idx="6">
                  <c:v>0.91945036500201027</c:v>
                </c:pt>
                <c:pt idx="7">
                  <c:v>0.89556853733962039</c:v>
                </c:pt>
                <c:pt idx="10">
                  <c:v>0.80242940945629992</c:v>
                </c:pt>
                <c:pt idx="12">
                  <c:v>0.71048437295609879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Data'!$E$31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'Motor Data'!$A$32:$A$44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Data'!$E$32:$E$44</c:f>
              <c:numCache>
                <c:formatCode>General</c:formatCode>
                <c:ptCount val="13"/>
                <c:pt idx="0">
                  <c:v>0</c:v>
                </c:pt>
                <c:pt idx="6">
                  <c:v>0.45972518250100514</c:v>
                </c:pt>
                <c:pt idx="8">
                  <c:v>0.45450103269985737</c:v>
                </c:pt>
                <c:pt idx="10">
                  <c:v>0.42629062377365934</c:v>
                </c:pt>
                <c:pt idx="12">
                  <c:v>0.37613878568264059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21.png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2" Type="http://schemas.openxmlformats.org/officeDocument/2006/relationships/image" Target="../media/image23.jpe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5" Type="http://schemas.openxmlformats.org/officeDocument/2006/relationships/image" Target="../media/image26.jpeg"/><Relationship Id="rId4" Type="http://schemas.openxmlformats.org/officeDocument/2006/relationships/image" Target="../media/image25.jpeg"/><Relationship Id="rId9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142303</xdr:colOff>
      <xdr:row>9</xdr:row>
      <xdr:rowOff>49944</xdr:rowOff>
    </xdr:from>
    <xdr:to>
      <xdr:col>26</xdr:col>
      <xdr:colOff>123002</xdr:colOff>
      <xdr:row>27</xdr:row>
      <xdr:rowOff>178737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1490F9-7621-5DEF-B55F-8A66B7D00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45393" y="1719495"/>
          <a:ext cx="6045306" cy="3467894"/>
        </a:xfrm>
        <a:prstGeom prst="rect">
          <a:avLst/>
        </a:prstGeom>
      </xdr:spPr>
    </xdr:pic>
    <xdr:clientData/>
  </xdr:twoCellAnchor>
  <xdr:twoCellAnchor>
    <xdr:from>
      <xdr:col>5</xdr:col>
      <xdr:colOff>336049</xdr:colOff>
      <xdr:row>0</xdr:row>
      <xdr:rowOff>10702</xdr:rowOff>
    </xdr:from>
    <xdr:to>
      <xdr:col>16</xdr:col>
      <xdr:colOff>203342</xdr:colOff>
      <xdr:row>18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339297</xdr:colOff>
      <xdr:row>19</xdr:row>
      <xdr:rowOff>32106</xdr:rowOff>
    </xdr:from>
    <xdr:to>
      <xdr:col>16</xdr:col>
      <xdr:colOff>212940</xdr:colOff>
      <xdr:row>39</xdr:row>
      <xdr:rowOff>10416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342396</xdr:colOff>
      <xdr:row>39</xdr:row>
      <xdr:rowOff>143766</xdr:rowOff>
    </xdr:from>
    <xdr:to>
      <xdr:col>22</xdr:col>
      <xdr:colOff>299662</xdr:colOff>
      <xdr:row>66</xdr:row>
      <xdr:rowOff>124074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160537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275167</xdr:colOff>
      <xdr:row>13</xdr:row>
      <xdr:rowOff>159097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393063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141111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374468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127457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232834</xdr:colOff>
      <xdr:row>27</xdr:row>
      <xdr:rowOff>129483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141111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313634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G30"/>
  <sheetViews>
    <sheetView workbookViewId="0">
      <selection activeCell="D28" sqref="D28"/>
    </sheetView>
  </sheetViews>
  <sheetFormatPr defaultRowHeight="14.45"/>
  <cols>
    <col min="1" max="1" width="31.28515625" customWidth="1"/>
    <col min="3" max="3" width="19.5703125" customWidth="1"/>
    <col min="4" max="4" width="6.42578125" customWidth="1"/>
    <col min="5" max="5" width="27.7109375" customWidth="1"/>
    <col min="7" max="7" width="20" customWidth="1"/>
  </cols>
  <sheetData>
    <row r="1" spans="1:7" ht="23.1">
      <c r="A1" s="117" t="s">
        <v>0</v>
      </c>
    </row>
    <row r="3" spans="1:7">
      <c r="A3" s="112" t="s">
        <v>1</v>
      </c>
      <c r="D3" s="112"/>
      <c r="E3" s="110" t="s">
        <v>2</v>
      </c>
    </row>
    <row r="4" spans="1:7">
      <c r="A4" s="104" t="s">
        <v>3</v>
      </c>
      <c r="B4">
        <v>650</v>
      </c>
      <c r="C4" t="s">
        <v>4</v>
      </c>
      <c r="E4" s="111" t="s">
        <v>5</v>
      </c>
      <c r="F4">
        <v>350</v>
      </c>
      <c r="G4" t="s">
        <v>4</v>
      </c>
    </row>
    <row r="5" spans="1:7">
      <c r="A5" s="104" t="s">
        <v>6</v>
      </c>
      <c r="B5">
        <v>0.45</v>
      </c>
      <c r="E5" s="111" t="s">
        <v>7</v>
      </c>
      <c r="F5">
        <v>400</v>
      </c>
    </row>
    <row r="6" spans="1:7">
      <c r="A6" s="104" t="s">
        <v>8</v>
      </c>
      <c r="B6">
        <v>61</v>
      </c>
      <c r="E6" s="111" t="s">
        <v>9</v>
      </c>
      <c r="F6" s="48">
        <v>0</v>
      </c>
    </row>
    <row r="7" spans="1:7">
      <c r="A7" s="104" t="s">
        <v>10</v>
      </c>
      <c r="B7">
        <v>48</v>
      </c>
      <c r="E7" s="111" t="s">
        <v>11</v>
      </c>
      <c r="F7" s="48">
        <v>0</v>
      </c>
    </row>
    <row r="8" spans="1:7">
      <c r="A8" s="104" t="s">
        <v>12</v>
      </c>
      <c r="B8">
        <v>44</v>
      </c>
      <c r="E8" s="111" t="s">
        <v>13</v>
      </c>
      <c r="F8">
        <v>0.9</v>
      </c>
    </row>
    <row r="9" spans="1:7">
      <c r="A9" s="104" t="s">
        <v>14</v>
      </c>
      <c r="B9">
        <v>9.84</v>
      </c>
      <c r="E9" s="111" t="s">
        <v>15</v>
      </c>
      <c r="F9">
        <v>0.9</v>
      </c>
    </row>
    <row r="10" spans="1:7">
      <c r="A10" s="104" t="s">
        <v>16</v>
      </c>
      <c r="B10">
        <v>8</v>
      </c>
      <c r="E10" s="111" t="s">
        <v>17</v>
      </c>
      <c r="F10">
        <v>1</v>
      </c>
    </row>
    <row r="11" spans="1:7">
      <c r="A11" s="104" t="s">
        <v>18</v>
      </c>
      <c r="B11">
        <v>8</v>
      </c>
      <c r="E11" s="111" t="s">
        <v>19</v>
      </c>
      <c r="F11">
        <v>1</v>
      </c>
    </row>
    <row r="12" spans="1:7">
      <c r="A12" s="104" t="s">
        <v>20</v>
      </c>
      <c r="B12">
        <v>8</v>
      </c>
      <c r="E12" s="111" t="s">
        <v>21</v>
      </c>
      <c r="F12">
        <v>12</v>
      </c>
    </row>
    <row r="13" spans="1:7">
      <c r="A13" s="104" t="s">
        <v>22</v>
      </c>
      <c r="B13">
        <v>0.93740000000000001</v>
      </c>
      <c r="E13" s="111" t="s">
        <v>23</v>
      </c>
      <c r="F13">
        <v>12</v>
      </c>
    </row>
    <row r="14" spans="1:7">
      <c r="A14" s="104" t="s">
        <v>24</v>
      </c>
      <c r="B14">
        <v>1.9547000000000001</v>
      </c>
      <c r="E14" s="111" t="s">
        <v>25</v>
      </c>
      <c r="F14">
        <v>12</v>
      </c>
    </row>
    <row r="15" spans="1:7">
      <c r="A15" s="114" t="s">
        <v>26</v>
      </c>
      <c r="B15">
        <f>1-B5</f>
        <v>0.55000000000000004</v>
      </c>
      <c r="C15" s="109" t="s">
        <v>27</v>
      </c>
      <c r="E15" s="111" t="s">
        <v>28</v>
      </c>
      <c r="F15">
        <v>12</v>
      </c>
    </row>
    <row r="16" spans="1:7">
      <c r="A16" s="114" t="s">
        <v>29</v>
      </c>
      <c r="B16">
        <f>B6*B15</f>
        <v>33.550000000000004</v>
      </c>
      <c r="D16" s="46"/>
      <c r="E16" s="111" t="s">
        <v>30</v>
      </c>
      <c r="F16">
        <v>-0.12655</v>
      </c>
    </row>
    <row r="17" spans="1:7">
      <c r="A17" s="114" t="s">
        <v>31</v>
      </c>
      <c r="B17">
        <f>B6*B5</f>
        <v>27.45</v>
      </c>
      <c r="E17" s="111" t="s">
        <v>32</v>
      </c>
      <c r="F17">
        <v>-0.5</v>
      </c>
    </row>
    <row r="18" spans="1:7">
      <c r="A18" s="114" t="s">
        <v>33</v>
      </c>
      <c r="B18">
        <f>(B5*B4)/2</f>
        <v>146.25</v>
      </c>
      <c r="E18" s="111" t="s">
        <v>34</v>
      </c>
      <c r="F18">
        <v>0</v>
      </c>
    </row>
    <row r="19" spans="1:7">
      <c r="A19" s="114" t="s">
        <v>35</v>
      </c>
      <c r="B19">
        <f>(B15*B4)/2</f>
        <v>178.75000000000003</v>
      </c>
      <c r="E19" s="111" t="s">
        <v>36</v>
      </c>
      <c r="F19">
        <v>0</v>
      </c>
    </row>
    <row r="20" spans="1:7">
      <c r="A20" s="114" t="s">
        <v>37</v>
      </c>
      <c r="B20">
        <f>B9-B13</f>
        <v>8.9025999999999996</v>
      </c>
      <c r="E20" s="111" t="s">
        <v>38</v>
      </c>
      <c r="F20">
        <v>0</v>
      </c>
    </row>
    <row r="21" spans="1:7">
      <c r="A21" s="114" t="s">
        <v>39</v>
      </c>
      <c r="B21">
        <f>B9-B14</f>
        <v>7.8853</v>
      </c>
      <c r="E21" s="111" t="s">
        <v>40</v>
      </c>
      <c r="F21">
        <v>8</v>
      </c>
    </row>
    <row r="22" spans="1:7">
      <c r="A22" s="114" t="s">
        <v>41</v>
      </c>
      <c r="B22">
        <f>B20+(((B21-B20)/B6)*B16)</f>
        <v>8.3430850000000003</v>
      </c>
      <c r="E22" s="111" t="s">
        <v>42</v>
      </c>
      <c r="F22">
        <v>8</v>
      </c>
    </row>
    <row r="24" spans="1:7">
      <c r="A24" s="115" t="s">
        <v>43</v>
      </c>
      <c r="E24" s="118" t="s">
        <v>44</v>
      </c>
    </row>
    <row r="25" spans="1:7">
      <c r="A25" s="113" t="s">
        <v>45</v>
      </c>
      <c r="B25">
        <v>-4.1486000000000001</v>
      </c>
      <c r="C25" t="s">
        <v>4</v>
      </c>
      <c r="E25" s="119" t="s">
        <v>46</v>
      </c>
      <c r="F25">
        <v>3.8570000000000002</v>
      </c>
      <c r="G25" t="s">
        <v>4</v>
      </c>
    </row>
    <row r="26" spans="1:7">
      <c r="A26" s="113" t="s">
        <v>47</v>
      </c>
      <c r="B26">
        <v>1.425</v>
      </c>
    </row>
    <row r="27" spans="1:7">
      <c r="A27" s="113" t="s">
        <v>48</v>
      </c>
      <c r="B27">
        <v>1019.902</v>
      </c>
    </row>
    <row r="28" spans="1:7">
      <c r="A28" s="113" t="s">
        <v>49</v>
      </c>
      <c r="B28" s="48">
        <v>4.3000000000000002E-5</v>
      </c>
    </row>
    <row r="29" spans="1:7">
      <c r="A29" s="113" t="s">
        <v>50</v>
      </c>
      <c r="B29">
        <v>0.4</v>
      </c>
    </row>
    <row r="30" spans="1:7">
      <c r="A30" s="116" t="s">
        <v>51</v>
      </c>
      <c r="B30">
        <f>1-B29</f>
        <v>0.6</v>
      </c>
      <c r="C30" s="109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K7" sqref="K7"/>
    </sheetView>
  </sheetViews>
  <sheetFormatPr defaultRowHeight="14.45"/>
  <cols>
    <col min="1" max="1" width="50.7109375" customWidth="1"/>
    <col min="10" max="11" width="9.28515625" bestFit="1" customWidth="1"/>
  </cols>
  <sheetData>
    <row r="1" spans="1:7">
      <c r="A1" s="49" t="s">
        <v>52</v>
      </c>
      <c r="B1" s="50" t="s">
        <v>53</v>
      </c>
      <c r="C1" s="50" t="s">
        <v>54</v>
      </c>
      <c r="D1" s="50" t="s">
        <v>55</v>
      </c>
      <c r="E1" s="4" t="s">
        <v>56</v>
      </c>
      <c r="F1" s="4" t="s">
        <v>57</v>
      </c>
      <c r="G1" s="50" t="s">
        <v>58</v>
      </c>
    </row>
    <row r="2" spans="1:7">
      <c r="A2" t="s">
        <v>59</v>
      </c>
      <c r="B2" s="51">
        <v>-898.68</v>
      </c>
      <c r="C2" s="51">
        <v>238.9</v>
      </c>
      <c r="D2" s="51">
        <v>63.5</v>
      </c>
      <c r="E2" s="52">
        <f>CONVERT(B2,"mm","in")</f>
        <v>-35.381102362204722</v>
      </c>
      <c r="F2" s="52">
        <f t="shared" ref="F2:G17" si="0">CONVERT(C2,"mm","in")</f>
        <v>9.4055118110236222</v>
      </c>
      <c r="G2" s="51">
        <f t="shared" si="0"/>
        <v>2.5</v>
      </c>
    </row>
    <row r="3" spans="1:7">
      <c r="A3" t="s">
        <v>60</v>
      </c>
      <c r="B3" s="51">
        <v>-573.65390000000002</v>
      </c>
      <c r="C3" s="51">
        <v>263.89339999999999</v>
      </c>
      <c r="D3" s="51">
        <v>73.259900000000002</v>
      </c>
      <c r="E3" s="52">
        <f t="shared" ref="E3" si="1">CONVERT(B3,"mm","in")</f>
        <v>-22.584799212598423</v>
      </c>
      <c r="F3" s="52">
        <f t="shared" si="0"/>
        <v>10.389503937007873</v>
      </c>
      <c r="G3" s="51">
        <f t="shared" si="0"/>
        <v>2.884248031496063</v>
      </c>
    </row>
    <row r="4" spans="1:7">
      <c r="A4" t="s">
        <v>61</v>
      </c>
      <c r="B4" s="51">
        <v>-760.56880000000001</v>
      </c>
      <c r="C4" s="51">
        <v>571.05999999999995</v>
      </c>
      <c r="D4" s="51">
        <v>117.2034</v>
      </c>
      <c r="E4" s="52">
        <f>CONVERT(B4,"mm","in")</f>
        <v>-29.943653543307086</v>
      </c>
      <c r="F4" s="52">
        <f t="shared" si="0"/>
        <v>22.482677165354325</v>
      </c>
      <c r="G4" s="51">
        <f t="shared" si="0"/>
        <v>4.6143070866141738</v>
      </c>
    </row>
    <row r="5" spans="1:7">
      <c r="A5" t="s">
        <v>62</v>
      </c>
      <c r="B5" s="51">
        <v>-909</v>
      </c>
      <c r="C5" s="51">
        <v>290.83999999999997</v>
      </c>
      <c r="D5" s="51">
        <v>175.94</v>
      </c>
      <c r="E5" s="52">
        <f t="shared" ref="E5:G18" si="2">CONVERT(B5,"mm","in")</f>
        <v>-35.787401574803155</v>
      </c>
      <c r="F5" s="52">
        <f t="shared" si="0"/>
        <v>11.4503937007874</v>
      </c>
      <c r="G5" s="51">
        <f t="shared" si="0"/>
        <v>6.9267716535433079</v>
      </c>
    </row>
    <row r="6" spans="1:7">
      <c r="A6" t="s">
        <v>63</v>
      </c>
      <c r="B6" s="51">
        <v>-571.98109999999997</v>
      </c>
      <c r="C6" s="51">
        <v>294.7088</v>
      </c>
      <c r="D6" s="51">
        <v>160.31620000000001</v>
      </c>
      <c r="E6" s="52">
        <f t="shared" si="2"/>
        <v>-22.518940944881891</v>
      </c>
      <c r="F6" s="52">
        <f t="shared" si="0"/>
        <v>11.602708661417322</v>
      </c>
      <c r="G6" s="51">
        <f t="shared" si="0"/>
        <v>6.3116614173228349</v>
      </c>
    </row>
    <row r="7" spans="1:7">
      <c r="A7" t="s">
        <v>64</v>
      </c>
      <c r="B7" s="51">
        <v>-740.35</v>
      </c>
      <c r="C7" s="51">
        <v>554.62</v>
      </c>
      <c r="D7" s="51">
        <v>291.63</v>
      </c>
      <c r="E7" s="52">
        <f t="shared" si="2"/>
        <v>-29.147637795275593</v>
      </c>
      <c r="F7" s="52">
        <f t="shared" si="0"/>
        <v>21.835433070866141</v>
      </c>
      <c r="G7" s="51">
        <f t="shared" si="0"/>
        <v>11.481496062992127</v>
      </c>
    </row>
    <row r="8" spans="1:7">
      <c r="A8" t="s">
        <v>65</v>
      </c>
      <c r="B8" s="51">
        <v>-739.71180000000004</v>
      </c>
      <c r="C8" s="51">
        <v>513.39400000000001</v>
      </c>
      <c r="D8" s="51">
        <v>289.72280000000001</v>
      </c>
      <c r="E8" s="52">
        <f t="shared" si="2"/>
        <v>-29.122511811023621</v>
      </c>
      <c r="F8" s="52">
        <f t="shared" si="0"/>
        <v>20.21236220472441</v>
      </c>
      <c r="G8" s="51">
        <f t="shared" si="0"/>
        <v>11.406409448818899</v>
      </c>
    </row>
    <row r="9" spans="1:7">
      <c r="A9" t="s">
        <v>66</v>
      </c>
      <c r="B9" s="51">
        <v>-725.78809999999999</v>
      </c>
      <c r="C9" s="51">
        <v>181.86519999999999</v>
      </c>
      <c r="D9" s="51">
        <v>507.9742</v>
      </c>
      <c r="E9" s="52">
        <f t="shared" si="2"/>
        <v>-28.574334645669293</v>
      </c>
      <c r="F9" s="52">
        <f t="shared" si="0"/>
        <v>7.1600472440944873</v>
      </c>
      <c r="G9" s="51">
        <f t="shared" si="0"/>
        <v>19.998984251968505</v>
      </c>
    </row>
    <row r="10" spans="1:7">
      <c r="A10" t="s">
        <v>67</v>
      </c>
      <c r="B10" s="51">
        <v>-810.79200000000003</v>
      </c>
      <c r="C10" s="51">
        <v>565.30489999999998</v>
      </c>
      <c r="D10" s="51">
        <v>144.71</v>
      </c>
      <c r="E10" s="52">
        <f t="shared" si="2"/>
        <v>-31.920944881889767</v>
      </c>
      <c r="F10" s="52">
        <f t="shared" si="0"/>
        <v>22.25609842519685</v>
      </c>
      <c r="G10" s="51">
        <f t="shared" si="0"/>
        <v>5.6972440944881892</v>
      </c>
    </row>
    <row r="11" spans="1:7">
      <c r="A11" t="s">
        <v>68</v>
      </c>
      <c r="B11" s="51">
        <v>-812.36</v>
      </c>
      <c r="C11" s="51">
        <v>255.42</v>
      </c>
      <c r="D11" s="51">
        <v>82.79</v>
      </c>
      <c r="E11" s="52">
        <f t="shared" si="2"/>
        <v>-31.982677165354328</v>
      </c>
      <c r="F11" s="52">
        <f t="shared" si="0"/>
        <v>10.055905511811023</v>
      </c>
      <c r="G11" s="51">
        <f t="shared" si="0"/>
        <v>3.2594488188976385</v>
      </c>
    </row>
    <row r="12" spans="1:7">
      <c r="A12" t="s">
        <v>69</v>
      </c>
      <c r="B12" s="51">
        <v>-954.52890000000002</v>
      </c>
      <c r="C12" s="51">
        <v>88.371700000000004</v>
      </c>
      <c r="D12" s="51">
        <v>578.54629999999997</v>
      </c>
      <c r="E12" s="52">
        <f t="shared" si="2"/>
        <v>-37.579877952755908</v>
      </c>
      <c r="F12" s="52">
        <f t="shared" si="0"/>
        <v>3.4792007874015751</v>
      </c>
      <c r="G12" s="51">
        <f t="shared" si="0"/>
        <v>22.777413385826772</v>
      </c>
    </row>
    <row r="13" spans="1:7">
      <c r="A13" t="s">
        <v>70</v>
      </c>
      <c r="B13" s="51">
        <v>-782.92550000000006</v>
      </c>
      <c r="C13" s="51">
        <v>87.029200000000003</v>
      </c>
      <c r="D13" s="51">
        <v>572.77700000000004</v>
      </c>
      <c r="E13" s="52">
        <f t="shared" si="2"/>
        <v>-30.823838582677169</v>
      </c>
      <c r="F13" s="52">
        <f t="shared" si="0"/>
        <v>3.4263464566929134</v>
      </c>
      <c r="G13" s="51">
        <f t="shared" si="0"/>
        <v>22.55027559055118</v>
      </c>
    </row>
    <row r="14" spans="1:7">
      <c r="A14" t="s">
        <v>71</v>
      </c>
      <c r="B14" s="51">
        <v>-743.71</v>
      </c>
      <c r="C14" s="51">
        <v>647.70000000000005</v>
      </c>
      <c r="D14" s="51">
        <v>207.01</v>
      </c>
      <c r="E14" s="52">
        <f t="shared" si="2"/>
        <v>-29.279921259842521</v>
      </c>
      <c r="F14" s="52">
        <f t="shared" si="0"/>
        <v>25.5</v>
      </c>
      <c r="G14" s="51">
        <f t="shared" si="0"/>
        <v>8.15</v>
      </c>
    </row>
    <row r="15" spans="1:7">
      <c r="A15" t="s">
        <v>72</v>
      </c>
      <c r="B15" s="51">
        <v>-743.71</v>
      </c>
      <c r="C15" s="51">
        <v>609.6</v>
      </c>
      <c r="D15" s="51">
        <v>207.01</v>
      </c>
      <c r="E15" s="52">
        <f t="shared" si="2"/>
        <v>-29.279921259842521</v>
      </c>
      <c r="F15" s="52">
        <f t="shared" si="0"/>
        <v>24</v>
      </c>
      <c r="G15" s="51">
        <f t="shared" si="0"/>
        <v>8.15</v>
      </c>
    </row>
    <row r="16" spans="1:7">
      <c r="A16" t="s">
        <v>73</v>
      </c>
      <c r="B16" s="51">
        <v>-831.42819999999995</v>
      </c>
      <c r="C16" s="51">
        <v>195.91290000000001</v>
      </c>
      <c r="D16" s="51">
        <v>524.58140000000003</v>
      </c>
      <c r="E16" s="52">
        <f t="shared" si="2"/>
        <v>-32.733393700787396</v>
      </c>
      <c r="F16" s="52">
        <f t="shared" si="0"/>
        <v>7.7131062992125985</v>
      </c>
      <c r="G16" s="51">
        <f t="shared" si="0"/>
        <v>20.652811023622046</v>
      </c>
    </row>
    <row r="17" spans="1:7">
      <c r="A17" t="s">
        <v>74</v>
      </c>
      <c r="B17" s="51">
        <v>-832.63239999999996</v>
      </c>
      <c r="C17" s="51">
        <v>175.42269999999999</v>
      </c>
      <c r="D17" s="51">
        <v>493.53320000000002</v>
      </c>
      <c r="E17" s="52">
        <f t="shared" si="2"/>
        <v>-32.780803149606299</v>
      </c>
      <c r="F17" s="52">
        <f t="shared" si="0"/>
        <v>6.9064055118110241</v>
      </c>
      <c r="G17" s="51">
        <f t="shared" si="0"/>
        <v>19.430440944881891</v>
      </c>
    </row>
    <row r="18" spans="1:7" ht="15" thickBot="1">
      <c r="A18" t="s">
        <v>75</v>
      </c>
      <c r="B18" s="51">
        <v>-743.71</v>
      </c>
      <c r="C18" s="51">
        <v>609.6</v>
      </c>
      <c r="D18" s="51">
        <v>3.81</v>
      </c>
      <c r="E18" s="52">
        <f t="shared" si="2"/>
        <v>-29.279921259842521</v>
      </c>
      <c r="F18" s="52">
        <f t="shared" si="2"/>
        <v>24</v>
      </c>
      <c r="G18" s="51">
        <f t="shared" si="2"/>
        <v>0.15</v>
      </c>
    </row>
    <row r="19" spans="1:7">
      <c r="A19" s="49" t="s">
        <v>76</v>
      </c>
      <c r="B19" s="50" t="s">
        <v>53</v>
      </c>
      <c r="C19" s="50" t="s">
        <v>54</v>
      </c>
      <c r="D19" s="50" t="s">
        <v>55</v>
      </c>
      <c r="E19" s="4" t="s">
        <v>56</v>
      </c>
      <c r="F19" s="4" t="s">
        <v>57</v>
      </c>
      <c r="G19" s="50" t="s">
        <v>58</v>
      </c>
    </row>
    <row r="20" spans="1:7">
      <c r="A20" t="s">
        <v>59</v>
      </c>
      <c r="B20" s="51">
        <v>572.55989999999997</v>
      </c>
      <c r="C20" s="51">
        <v>188.26</v>
      </c>
      <c r="D20" s="51">
        <v>102.4402</v>
      </c>
      <c r="E20" s="52">
        <f>CONVERT(B20,"mm","in")</f>
        <v>22.541728346456694</v>
      </c>
      <c r="F20" s="52">
        <f t="shared" ref="F20:G36" si="3">CONVERT(C20,"mm","in")</f>
        <v>7.4118110236220476</v>
      </c>
      <c r="G20" s="51">
        <f t="shared" si="3"/>
        <v>4.0330787401574808</v>
      </c>
    </row>
    <row r="21" spans="1:7">
      <c r="A21" t="s">
        <v>60</v>
      </c>
      <c r="B21" s="51">
        <v>880.25990000000002</v>
      </c>
      <c r="C21" s="51">
        <v>209.26</v>
      </c>
      <c r="D21" s="51">
        <v>72.120199999999997</v>
      </c>
      <c r="E21" s="52">
        <f t="shared" ref="E21" si="4">CONVERT(B21,"mm","in")</f>
        <v>34.655901574803153</v>
      </c>
      <c r="F21" s="52">
        <f t="shared" si="3"/>
        <v>8.2385826771653541</v>
      </c>
      <c r="G21" s="51">
        <f t="shared" si="3"/>
        <v>2.8393779527559055</v>
      </c>
    </row>
    <row r="22" spans="1:7">
      <c r="A22" t="s">
        <v>61</v>
      </c>
      <c r="B22" s="51">
        <v>807.26440000000002</v>
      </c>
      <c r="C22" s="51">
        <v>522.21600000000001</v>
      </c>
      <c r="D22" s="51">
        <v>109.4354</v>
      </c>
      <c r="E22" s="52">
        <f>CONVERT(B22,"mm","in")</f>
        <v>31.782062992125987</v>
      </c>
      <c r="F22" s="52">
        <f t="shared" si="3"/>
        <v>20.559685039370077</v>
      </c>
      <c r="G22" s="51">
        <f t="shared" si="3"/>
        <v>4.3084803149606294</v>
      </c>
    </row>
    <row r="23" spans="1:7">
      <c r="A23" t="s">
        <v>62</v>
      </c>
      <c r="B23" s="51">
        <v>657.96770000000004</v>
      </c>
      <c r="C23" s="51">
        <v>246.63</v>
      </c>
      <c r="D23" s="51">
        <v>193.35640000000001</v>
      </c>
      <c r="E23" s="52">
        <f t="shared" ref="E23:E36" si="5">CONVERT(B23,"mm","in")</f>
        <v>25.904240157480316</v>
      </c>
      <c r="F23" s="52">
        <f t="shared" si="3"/>
        <v>9.7098425196850382</v>
      </c>
      <c r="G23" s="51">
        <f t="shared" si="3"/>
        <v>7.6124566929133861</v>
      </c>
    </row>
    <row r="24" spans="1:7">
      <c r="A24" t="s">
        <v>63</v>
      </c>
      <c r="B24" s="51">
        <v>885.01</v>
      </c>
      <c r="C24" s="51">
        <v>246.63</v>
      </c>
      <c r="D24" s="51">
        <v>184.08</v>
      </c>
      <c r="E24" s="52">
        <f t="shared" si="5"/>
        <v>34.842913385826776</v>
      </c>
      <c r="F24" s="52">
        <f t="shared" si="3"/>
        <v>9.7098425196850382</v>
      </c>
      <c r="G24" s="51">
        <f t="shared" si="3"/>
        <v>7.24724409448819</v>
      </c>
    </row>
    <row r="25" spans="1:7">
      <c r="A25" t="s">
        <v>64</v>
      </c>
      <c r="B25" s="51">
        <v>829.22429999999997</v>
      </c>
      <c r="C25" s="51">
        <v>504.98700000000002</v>
      </c>
      <c r="D25" s="51">
        <v>290.08890000000002</v>
      </c>
      <c r="E25" s="52">
        <f t="shared" si="5"/>
        <v>32.646625984251969</v>
      </c>
      <c r="F25" s="52">
        <f t="shared" si="3"/>
        <v>19.881377952755905</v>
      </c>
      <c r="G25" s="51">
        <f t="shared" si="3"/>
        <v>11.420822834645669</v>
      </c>
    </row>
    <row r="26" spans="1:7">
      <c r="A26" t="s">
        <v>65</v>
      </c>
      <c r="B26" s="51">
        <v>823.03409999999997</v>
      </c>
      <c r="C26" s="51">
        <v>464.1909</v>
      </c>
      <c r="D26" s="51">
        <v>291.0813</v>
      </c>
      <c r="E26" s="52">
        <f t="shared" si="5"/>
        <v>32.402917322834647</v>
      </c>
      <c r="F26" s="52">
        <f t="shared" si="3"/>
        <v>18.275232283464568</v>
      </c>
      <c r="G26" s="51">
        <f t="shared" si="3"/>
        <v>11.459893700787401</v>
      </c>
    </row>
    <row r="27" spans="1:7">
      <c r="A27" t="s">
        <v>66</v>
      </c>
      <c r="B27" s="51">
        <v>827.37990000000002</v>
      </c>
      <c r="C27" s="51">
        <v>234.00559999999999</v>
      </c>
      <c r="D27" s="51">
        <v>397.447</v>
      </c>
      <c r="E27" s="52">
        <f t="shared" si="5"/>
        <v>32.574011811023624</v>
      </c>
      <c r="F27" s="52">
        <f t="shared" si="3"/>
        <v>9.2128188976377956</v>
      </c>
      <c r="G27" s="51">
        <f t="shared" si="3"/>
        <v>15.64751968503937</v>
      </c>
    </row>
    <row r="28" spans="1:7">
      <c r="A28" t="s">
        <v>67</v>
      </c>
      <c r="B28" s="51">
        <v>886.15</v>
      </c>
      <c r="C28" s="51">
        <v>498.79</v>
      </c>
      <c r="D28" s="51">
        <v>200.15</v>
      </c>
      <c r="E28" s="52">
        <f t="shared" si="5"/>
        <v>34.887795275590548</v>
      </c>
      <c r="F28" s="52">
        <f t="shared" si="3"/>
        <v>19.63740157480315</v>
      </c>
      <c r="G28" s="51">
        <f t="shared" si="3"/>
        <v>7.8799212598425195</v>
      </c>
    </row>
    <row r="29" spans="1:7">
      <c r="A29" t="s">
        <v>68</v>
      </c>
      <c r="B29" s="51">
        <v>914.73009999999999</v>
      </c>
      <c r="C29" s="51">
        <v>206.27</v>
      </c>
      <c r="D29" s="51">
        <v>125.7302</v>
      </c>
      <c r="E29" s="52">
        <f t="shared" si="5"/>
        <v>36.01299606299213</v>
      </c>
      <c r="F29" s="52">
        <f t="shared" si="3"/>
        <v>8.120866141732284</v>
      </c>
      <c r="G29" s="51">
        <f t="shared" si="3"/>
        <v>4.950007874015748</v>
      </c>
    </row>
    <row r="30" spans="1:7">
      <c r="A30" t="s">
        <v>69</v>
      </c>
      <c r="B30" s="51">
        <v>581.57420000000002</v>
      </c>
      <c r="C30" s="51">
        <v>281.94560000000001</v>
      </c>
      <c r="D30" s="51">
        <v>385.30059999999997</v>
      </c>
      <c r="E30" s="52">
        <f t="shared" si="5"/>
        <v>22.896622047244094</v>
      </c>
      <c r="F30" s="52">
        <f t="shared" si="3"/>
        <v>11.100220472440945</v>
      </c>
      <c r="G30" s="51">
        <f t="shared" si="3"/>
        <v>15.16931496062992</v>
      </c>
    </row>
    <row r="31" spans="1:7">
      <c r="A31" t="s">
        <v>70</v>
      </c>
      <c r="B31" s="51">
        <v>707.83069999999998</v>
      </c>
      <c r="C31" s="51">
        <v>174.48820000000001</v>
      </c>
      <c r="D31" s="51">
        <v>429.87970000000001</v>
      </c>
      <c r="E31" s="52">
        <f t="shared" si="5"/>
        <v>27.867350393700789</v>
      </c>
      <c r="F31" s="52">
        <f t="shared" si="3"/>
        <v>6.8696141732283467</v>
      </c>
      <c r="G31" s="51">
        <f t="shared" si="3"/>
        <v>16.924397637795277</v>
      </c>
    </row>
    <row r="32" spans="1:7">
      <c r="A32" t="s">
        <v>71</v>
      </c>
      <c r="B32" s="51">
        <v>805.69</v>
      </c>
      <c r="C32" s="51">
        <v>596.9</v>
      </c>
      <c r="D32" s="51">
        <v>207.01</v>
      </c>
      <c r="E32" s="52">
        <f t="shared" si="5"/>
        <v>31.720078740157486</v>
      </c>
      <c r="F32" s="52">
        <f t="shared" si="3"/>
        <v>23.5</v>
      </c>
      <c r="G32" s="51">
        <f t="shared" si="3"/>
        <v>8.15</v>
      </c>
    </row>
    <row r="33" spans="1:7">
      <c r="A33" t="s">
        <v>72</v>
      </c>
      <c r="B33" s="51">
        <v>805.69</v>
      </c>
      <c r="C33" s="51">
        <v>558.79999999999995</v>
      </c>
      <c r="D33" s="51">
        <v>207.01</v>
      </c>
      <c r="E33" s="52">
        <f t="shared" si="5"/>
        <v>31.720078740157486</v>
      </c>
      <c r="F33" s="52">
        <f t="shared" si="3"/>
        <v>22</v>
      </c>
      <c r="G33" s="51">
        <f t="shared" si="3"/>
        <v>8.15</v>
      </c>
    </row>
    <row r="34" spans="1:7">
      <c r="A34" t="s">
        <v>73</v>
      </c>
      <c r="B34" s="51">
        <v>760.59059999999999</v>
      </c>
      <c r="C34" s="51">
        <v>254.001</v>
      </c>
      <c r="D34" s="51">
        <v>411.92689999999999</v>
      </c>
      <c r="E34" s="52">
        <f t="shared" si="5"/>
        <v>29.944511811023624</v>
      </c>
      <c r="F34" s="52">
        <f t="shared" si="3"/>
        <v>10.00003937007874</v>
      </c>
      <c r="G34" s="51">
        <f t="shared" si="3"/>
        <v>16.217594488188979</v>
      </c>
    </row>
    <row r="35" spans="1:7">
      <c r="A35" t="s">
        <v>74</v>
      </c>
      <c r="B35" s="51">
        <v>759.1789</v>
      </c>
      <c r="C35" s="51">
        <v>238.00829999999999</v>
      </c>
      <c r="D35" s="51">
        <v>377.37479999999999</v>
      </c>
      <c r="E35" s="52">
        <f t="shared" si="5"/>
        <v>29.888933070866141</v>
      </c>
      <c r="F35" s="52">
        <f t="shared" si="3"/>
        <v>9.3704055118110237</v>
      </c>
      <c r="G35" s="51">
        <f t="shared" si="3"/>
        <v>14.857275590551181</v>
      </c>
    </row>
    <row r="36" spans="1:7" ht="15" thickBot="1">
      <c r="A36" s="53" t="s">
        <v>75</v>
      </c>
      <c r="B36" s="54">
        <v>805.69</v>
      </c>
      <c r="C36" s="54">
        <v>558.79999999999995</v>
      </c>
      <c r="D36" s="54">
        <v>3.81</v>
      </c>
      <c r="E36" s="55">
        <f t="shared" si="5"/>
        <v>31.720078740157486</v>
      </c>
      <c r="F36" s="55">
        <f t="shared" si="3"/>
        <v>22</v>
      </c>
      <c r="G36" s="54">
        <f t="shared" si="3"/>
        <v>0.15</v>
      </c>
    </row>
    <row r="37" spans="1:7">
      <c r="A37" t="s">
        <v>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"/>
  <sheetViews>
    <sheetView workbookViewId="0"/>
  </sheetViews>
  <sheetFormatPr defaultRowHeight="14.4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topLeftCell="A9" workbookViewId="0">
      <selection activeCell="AT17" sqref="AT17"/>
    </sheetView>
  </sheetViews>
  <sheetFormatPr defaultRowHeight="14.45"/>
  <cols>
    <col min="33" max="33" width="11.42578125" customWidth="1"/>
    <col min="34" max="34" width="13" customWidth="1"/>
    <col min="37" max="37" width="9.42578125" customWidth="1"/>
    <col min="43" max="43" width="15.42578125" customWidth="1"/>
    <col min="44" max="44" width="16.5703125" customWidth="1"/>
    <col min="45" max="45" width="10.85546875" customWidth="1"/>
  </cols>
  <sheetData>
    <row r="1" spans="1:50" ht="15.6">
      <c r="L1" s="46" t="s">
        <v>78</v>
      </c>
      <c r="AF1" s="107"/>
    </row>
    <row r="2" spans="1:50" ht="15.6">
      <c r="L2" s="101" t="s">
        <v>79</v>
      </c>
      <c r="Q2" s="101" t="s">
        <v>80</v>
      </c>
      <c r="V2" s="101" t="s">
        <v>81</v>
      </c>
      <c r="AA2" s="101" t="s">
        <v>82</v>
      </c>
      <c r="AF2" s="120" t="s">
        <v>83</v>
      </c>
    </row>
    <row r="3" spans="1:50" ht="15" thickBot="1">
      <c r="AF3" s="121" t="s">
        <v>84</v>
      </c>
      <c r="AG3" s="122"/>
      <c r="AH3" s="123" t="s">
        <v>85</v>
      </c>
      <c r="AI3" s="122"/>
      <c r="AJ3" s="124"/>
    </row>
    <row r="4" spans="1:50" ht="15" thickBot="1">
      <c r="AF4" s="125" t="s">
        <v>86</v>
      </c>
      <c r="AG4" s="126" t="s">
        <v>87</v>
      </c>
      <c r="AH4" s="126" t="s">
        <v>88</v>
      </c>
      <c r="AI4" s="126" t="s">
        <v>89</v>
      </c>
      <c r="AJ4" s="127" t="s">
        <v>90</v>
      </c>
    </row>
    <row r="5" spans="1:50">
      <c r="AF5" s="128">
        <v>6</v>
      </c>
      <c r="AG5" s="129">
        <v>4</v>
      </c>
      <c r="AH5" s="129">
        <v>47</v>
      </c>
      <c r="AI5" s="129">
        <v>44</v>
      </c>
      <c r="AJ5" s="130">
        <v>48</v>
      </c>
    </row>
    <row r="6" spans="1:50" ht="15" thickBot="1">
      <c r="AF6" s="131">
        <v>9</v>
      </c>
      <c r="AG6" s="132">
        <v>5</v>
      </c>
      <c r="AH6" s="132">
        <v>45</v>
      </c>
      <c r="AI6" s="132">
        <v>43</v>
      </c>
      <c r="AJ6" s="133">
        <v>49</v>
      </c>
    </row>
    <row r="7" spans="1:50" ht="15" thickBot="1">
      <c r="AF7" s="134"/>
      <c r="AG7" s="135"/>
      <c r="AH7" s="135"/>
      <c r="AI7" s="135"/>
      <c r="AJ7" s="136"/>
    </row>
    <row r="8" spans="1:50">
      <c r="AF8" s="137"/>
      <c r="AG8" s="138"/>
      <c r="AH8" s="138"/>
      <c r="AI8" s="138"/>
      <c r="AJ8" s="139"/>
    </row>
    <row r="9" spans="1:50" ht="21">
      <c r="A9" s="101" t="s">
        <v>79</v>
      </c>
      <c r="AF9" s="140"/>
    </row>
    <row r="10" spans="1:50" ht="15.6">
      <c r="AF10" s="120"/>
    </row>
    <row r="11" spans="1:50" ht="15.6">
      <c r="AF11" s="120"/>
      <c r="AX11" s="46"/>
    </row>
    <row r="12" spans="1:50">
      <c r="AF12" s="141"/>
      <c r="AG12" s="141"/>
      <c r="AH12" s="141"/>
      <c r="AI12" s="141"/>
      <c r="AJ12" s="141"/>
      <c r="AK12" s="141"/>
      <c r="AL12" s="141"/>
      <c r="AM12" s="141"/>
    </row>
    <row r="13" spans="1:50">
      <c r="AF13" s="141"/>
      <c r="AG13" s="141"/>
      <c r="AH13" s="141"/>
      <c r="AI13" s="141"/>
      <c r="AJ13" s="141"/>
      <c r="AK13" s="141"/>
      <c r="AL13" s="141"/>
      <c r="AM13" s="141"/>
    </row>
    <row r="14" spans="1:50">
      <c r="AF14" s="141"/>
      <c r="AG14" s="141"/>
      <c r="AH14" s="141"/>
      <c r="AI14" s="141"/>
      <c r="AJ14" s="141"/>
      <c r="AK14" s="141"/>
      <c r="AL14" s="141"/>
      <c r="AM14" s="141"/>
    </row>
    <row r="15" spans="1:50">
      <c r="AF15" s="142"/>
      <c r="AG15" s="142"/>
      <c r="AH15" s="142"/>
      <c r="AI15" s="142"/>
      <c r="AJ15" s="142"/>
      <c r="AK15" s="142"/>
      <c r="AL15" s="142"/>
      <c r="AM15" s="142"/>
    </row>
    <row r="16" spans="1:50">
      <c r="AF16" s="142"/>
      <c r="AG16" s="142"/>
      <c r="AH16" s="142"/>
      <c r="AI16" s="142"/>
      <c r="AJ16" s="142"/>
      <c r="AK16" s="142"/>
      <c r="AL16" s="142"/>
      <c r="AM16" s="142"/>
    </row>
    <row r="17" spans="1:39">
      <c r="AF17" s="142"/>
      <c r="AG17" s="142"/>
      <c r="AH17" s="142"/>
      <c r="AI17" s="142"/>
      <c r="AJ17" s="142"/>
      <c r="AK17" s="142"/>
      <c r="AL17" s="142"/>
      <c r="AM17" s="142"/>
    </row>
    <row r="18" spans="1:39">
      <c r="AF18" s="142"/>
      <c r="AG18" s="142"/>
      <c r="AH18" s="142"/>
      <c r="AI18" s="142"/>
      <c r="AJ18" s="142"/>
      <c r="AK18" s="142"/>
      <c r="AL18" s="142"/>
      <c r="AM18" s="142"/>
    </row>
    <row r="19" spans="1:39">
      <c r="AF19" s="142"/>
      <c r="AG19" s="142"/>
      <c r="AH19" s="142"/>
      <c r="AI19" s="142"/>
      <c r="AJ19" s="142"/>
      <c r="AK19" s="142"/>
      <c r="AL19" s="142"/>
      <c r="AM19" s="142"/>
    </row>
    <row r="20" spans="1:39">
      <c r="AF20" s="142"/>
      <c r="AG20" s="142"/>
      <c r="AH20" s="142"/>
      <c r="AI20" s="142"/>
      <c r="AJ20" s="142"/>
      <c r="AK20" s="142"/>
      <c r="AL20" s="142"/>
      <c r="AM20" s="142"/>
    </row>
    <row r="21" spans="1:39">
      <c r="AF21" s="142"/>
      <c r="AG21" s="142"/>
      <c r="AH21" s="142"/>
      <c r="AI21" s="142"/>
      <c r="AJ21" s="142"/>
      <c r="AK21" s="142"/>
      <c r="AL21" s="142"/>
      <c r="AM21" s="142"/>
    </row>
    <row r="22" spans="1:39">
      <c r="A22" s="101" t="s">
        <v>80</v>
      </c>
      <c r="AF22" s="142"/>
      <c r="AG22" s="142"/>
      <c r="AH22" s="142"/>
      <c r="AI22" s="142"/>
      <c r="AJ22" s="142"/>
      <c r="AK22" s="142"/>
      <c r="AL22" s="142"/>
      <c r="AM22" s="142"/>
    </row>
    <row r="23" spans="1:39">
      <c r="AF23" s="142"/>
      <c r="AG23" s="142"/>
      <c r="AH23" s="142"/>
      <c r="AI23" s="142"/>
      <c r="AJ23" s="142"/>
      <c r="AK23" s="142"/>
      <c r="AL23" s="142"/>
      <c r="AM23" s="142"/>
    </row>
    <row r="24" spans="1:39">
      <c r="AF24" s="142"/>
      <c r="AG24" s="142"/>
      <c r="AH24" s="142"/>
      <c r="AI24" s="142"/>
      <c r="AJ24" s="142"/>
      <c r="AK24" s="142"/>
      <c r="AL24" s="142"/>
      <c r="AM24" s="142"/>
    </row>
    <row r="25" spans="1:39">
      <c r="AF25" s="142"/>
      <c r="AG25" s="142"/>
      <c r="AH25" s="142"/>
      <c r="AI25" s="142"/>
      <c r="AJ25" s="142"/>
      <c r="AK25" s="142"/>
      <c r="AL25" s="142"/>
      <c r="AM25" s="142"/>
    </row>
    <row r="26" spans="1:39">
      <c r="AF26" s="142"/>
      <c r="AG26" s="142"/>
      <c r="AH26" s="142"/>
      <c r="AI26" s="142"/>
      <c r="AJ26" s="142"/>
      <c r="AK26" s="142"/>
      <c r="AL26" s="142"/>
      <c r="AM26" s="142"/>
    </row>
    <row r="27" spans="1:39">
      <c r="AF27" s="142"/>
      <c r="AG27" s="142"/>
      <c r="AH27" s="142"/>
      <c r="AI27" s="142"/>
      <c r="AJ27" s="142"/>
      <c r="AK27" s="142"/>
      <c r="AL27" s="142"/>
      <c r="AM27" s="142"/>
    </row>
    <row r="28" spans="1:39">
      <c r="AF28" s="142"/>
      <c r="AG28" s="142"/>
      <c r="AH28" s="142"/>
      <c r="AI28" s="142"/>
      <c r="AJ28" s="142"/>
      <c r="AK28" s="142"/>
      <c r="AL28" s="142"/>
      <c r="AM28" s="142"/>
    </row>
    <row r="29" spans="1:39">
      <c r="AF29" s="142"/>
      <c r="AG29" s="142"/>
      <c r="AH29" s="142"/>
      <c r="AI29" s="142"/>
      <c r="AJ29" s="142"/>
      <c r="AK29" s="142"/>
      <c r="AL29" s="142"/>
      <c r="AM29" s="142"/>
    </row>
    <row r="30" spans="1:39">
      <c r="AF30" s="142"/>
      <c r="AG30" s="142"/>
      <c r="AH30" s="142"/>
      <c r="AI30" s="142"/>
      <c r="AJ30" s="142"/>
      <c r="AK30" s="142"/>
      <c r="AL30" s="142"/>
      <c r="AM30" s="142"/>
    </row>
    <row r="31" spans="1:39">
      <c r="L31" s="101"/>
      <c r="Q31" s="101"/>
      <c r="AF31" s="142"/>
      <c r="AG31" s="142"/>
      <c r="AH31" s="142"/>
      <c r="AI31" s="142"/>
      <c r="AJ31" s="142"/>
      <c r="AK31" s="142"/>
      <c r="AL31" s="142"/>
      <c r="AM31" s="142"/>
    </row>
    <row r="32" spans="1:39">
      <c r="AF32" s="142"/>
      <c r="AG32" s="142"/>
      <c r="AH32" s="142"/>
      <c r="AI32" s="142"/>
      <c r="AJ32" s="142"/>
      <c r="AK32" s="142"/>
      <c r="AL32" s="142"/>
      <c r="AM32" s="142"/>
    </row>
    <row r="33" spans="1:39">
      <c r="AF33" s="142"/>
      <c r="AG33" s="142"/>
      <c r="AH33" s="142"/>
      <c r="AI33" s="142"/>
      <c r="AJ33" s="142"/>
      <c r="AK33" s="142"/>
      <c r="AL33" s="142"/>
      <c r="AM33" s="142"/>
    </row>
    <row r="34" spans="1:39">
      <c r="AF34" s="142"/>
      <c r="AG34" s="142"/>
      <c r="AH34" s="142"/>
      <c r="AI34" s="142"/>
      <c r="AJ34" s="142"/>
      <c r="AK34" s="142"/>
      <c r="AL34" s="142"/>
      <c r="AM34" s="142"/>
    </row>
    <row r="35" spans="1:39">
      <c r="A35" s="101" t="s">
        <v>81</v>
      </c>
      <c r="AF35" s="142"/>
      <c r="AG35" s="142"/>
      <c r="AH35" s="142"/>
      <c r="AI35" s="142"/>
      <c r="AJ35" s="142"/>
      <c r="AK35" s="142"/>
      <c r="AL35" s="142"/>
      <c r="AM35" s="142"/>
    </row>
    <row r="36" spans="1:39">
      <c r="AF36" s="142"/>
      <c r="AG36" s="142"/>
      <c r="AH36" s="142"/>
      <c r="AI36" s="142"/>
      <c r="AJ36" s="142"/>
      <c r="AK36" s="142"/>
      <c r="AL36" s="142"/>
      <c r="AM36" s="142"/>
    </row>
    <row r="37" spans="1:39">
      <c r="AF37" s="142"/>
      <c r="AG37" s="142"/>
      <c r="AH37" s="142"/>
      <c r="AI37" s="142"/>
      <c r="AJ37" s="142"/>
      <c r="AK37" s="142"/>
      <c r="AL37" s="142"/>
      <c r="AM37" s="142"/>
    </row>
    <row r="38" spans="1:39">
      <c r="AF38" s="142"/>
      <c r="AG38" s="142"/>
      <c r="AH38" s="142"/>
      <c r="AI38" s="142"/>
      <c r="AJ38" s="142"/>
      <c r="AK38" s="142"/>
      <c r="AL38" s="142"/>
      <c r="AM38" s="142"/>
    </row>
    <row r="39" spans="1:39">
      <c r="AF39" s="142"/>
      <c r="AG39" s="142"/>
      <c r="AH39" s="142"/>
      <c r="AI39" s="142"/>
      <c r="AJ39" s="142"/>
      <c r="AK39" s="142"/>
      <c r="AL39" s="142"/>
      <c r="AM39" s="142"/>
    </row>
    <row r="40" spans="1:39">
      <c r="AF40" s="142"/>
      <c r="AG40" s="142"/>
      <c r="AH40" s="142"/>
      <c r="AI40" s="142"/>
      <c r="AJ40" s="142"/>
      <c r="AK40" s="142"/>
      <c r="AL40" s="142"/>
      <c r="AM40" s="142"/>
    </row>
    <row r="41" spans="1:39">
      <c r="AF41" s="142"/>
      <c r="AG41" s="142"/>
      <c r="AH41" s="142"/>
      <c r="AI41" s="142"/>
      <c r="AJ41" s="142"/>
      <c r="AK41" s="142"/>
      <c r="AL41" s="142"/>
      <c r="AM41" s="142"/>
    </row>
    <row r="42" spans="1:39">
      <c r="AF42" s="142"/>
      <c r="AG42" s="142"/>
      <c r="AH42" s="142"/>
      <c r="AI42" s="142"/>
      <c r="AJ42" s="142"/>
      <c r="AK42" s="142"/>
      <c r="AL42" s="142"/>
      <c r="AM42" s="142"/>
    </row>
    <row r="43" spans="1:39">
      <c r="AF43" s="142"/>
      <c r="AG43" s="142"/>
      <c r="AH43" s="142"/>
      <c r="AI43" s="142"/>
      <c r="AJ43" s="142"/>
      <c r="AK43" s="142"/>
      <c r="AL43" s="142"/>
      <c r="AM43" s="142"/>
    </row>
    <row r="44" spans="1:39">
      <c r="AF44" s="142"/>
      <c r="AG44" s="142"/>
      <c r="AH44" s="142"/>
      <c r="AI44" s="142"/>
      <c r="AJ44" s="142"/>
      <c r="AK44" s="142"/>
      <c r="AL44" s="142"/>
      <c r="AM44" s="142"/>
    </row>
    <row r="45" spans="1:39">
      <c r="AF45" s="142"/>
      <c r="AG45" s="142"/>
      <c r="AH45" s="142"/>
      <c r="AI45" s="142"/>
      <c r="AJ45" s="142"/>
      <c r="AK45" s="142"/>
      <c r="AL45" s="142"/>
      <c r="AM45" s="142"/>
    </row>
    <row r="46" spans="1:39">
      <c r="AF46" s="142"/>
      <c r="AG46" s="142"/>
      <c r="AH46" s="142"/>
      <c r="AI46" s="142"/>
      <c r="AJ46" s="142"/>
      <c r="AK46" s="142"/>
      <c r="AL46" s="142"/>
      <c r="AM46" s="142"/>
    </row>
    <row r="47" spans="1:39">
      <c r="AF47" s="142"/>
      <c r="AG47" s="142"/>
      <c r="AH47" s="142"/>
      <c r="AI47" s="142"/>
      <c r="AJ47" s="142"/>
      <c r="AK47" s="142"/>
      <c r="AL47" s="142"/>
      <c r="AM47" s="142"/>
    </row>
    <row r="48" spans="1:39">
      <c r="A48" s="101" t="s">
        <v>82</v>
      </c>
      <c r="AF48" s="142"/>
      <c r="AG48" s="142"/>
      <c r="AH48" s="142"/>
      <c r="AI48" s="142"/>
      <c r="AJ48" s="142"/>
      <c r="AK48" s="142"/>
      <c r="AL48" s="142"/>
      <c r="AM48" s="142"/>
    </row>
    <row r="49" spans="32:39">
      <c r="AF49" s="142"/>
      <c r="AG49" s="142"/>
      <c r="AH49" s="142"/>
      <c r="AI49" s="142"/>
      <c r="AJ49" s="142"/>
      <c r="AK49" s="142"/>
      <c r="AL49" s="142"/>
      <c r="AM49" s="142"/>
    </row>
    <row r="50" spans="32:39">
      <c r="AF50" s="142"/>
      <c r="AG50" s="142"/>
      <c r="AH50" s="142"/>
      <c r="AI50" s="142"/>
      <c r="AJ50" s="142"/>
      <c r="AK50" s="142"/>
      <c r="AL50" s="142"/>
      <c r="AM50" s="142"/>
    </row>
    <row r="51" spans="32:39">
      <c r="AF51" s="142"/>
      <c r="AG51" s="142"/>
      <c r="AH51" s="142"/>
      <c r="AI51" s="142"/>
      <c r="AJ51" s="142"/>
      <c r="AK51" s="142"/>
      <c r="AL51" s="142"/>
      <c r="AM51" s="142"/>
    </row>
    <row r="52" spans="32:39">
      <c r="AF52" s="142"/>
      <c r="AG52" s="142"/>
      <c r="AH52" s="142"/>
      <c r="AI52" s="142"/>
      <c r="AJ52" s="142"/>
      <c r="AK52" s="142"/>
      <c r="AL52" s="142"/>
      <c r="AM52" s="142"/>
    </row>
    <row r="53" spans="32:39">
      <c r="AF53" s="142"/>
      <c r="AG53" s="142"/>
      <c r="AH53" s="142"/>
      <c r="AI53" s="142"/>
      <c r="AJ53" s="142"/>
      <c r="AK53" s="142"/>
      <c r="AL53" s="142"/>
      <c r="AM53" s="142"/>
    </row>
    <row r="54" spans="32:39">
      <c r="AF54" s="142"/>
      <c r="AG54" s="142"/>
      <c r="AH54" s="142"/>
      <c r="AI54" s="142"/>
      <c r="AJ54" s="142"/>
      <c r="AK54" s="142"/>
      <c r="AL54" s="142"/>
      <c r="AM54" s="142"/>
    </row>
    <row r="55" spans="32:39">
      <c r="AF55" s="142"/>
      <c r="AG55" s="142"/>
      <c r="AH55" s="142"/>
      <c r="AI55" s="142"/>
      <c r="AJ55" s="142"/>
      <c r="AK55" s="142"/>
      <c r="AL55" s="142"/>
      <c r="AM55" s="142"/>
    </row>
    <row r="56" spans="32:39">
      <c r="AF56" s="142"/>
      <c r="AG56" s="142"/>
      <c r="AH56" s="142"/>
      <c r="AI56" s="142"/>
      <c r="AJ56" s="142"/>
      <c r="AK56" s="142"/>
      <c r="AL56" s="142"/>
      <c r="AM56" s="142"/>
    </row>
    <row r="57" spans="32:39">
      <c r="AF57" s="142"/>
      <c r="AG57" s="142"/>
      <c r="AH57" s="142"/>
      <c r="AI57" s="142"/>
      <c r="AJ57" s="142"/>
      <c r="AK57" s="142"/>
      <c r="AL57" s="142"/>
      <c r="AM57" s="142"/>
    </row>
    <row r="58" spans="32:39">
      <c r="AF58" s="142"/>
      <c r="AG58" s="142"/>
      <c r="AH58" s="142"/>
      <c r="AI58" s="142"/>
      <c r="AJ58" s="142"/>
      <c r="AK58" s="142"/>
      <c r="AL58" s="142"/>
      <c r="AM58" s="142"/>
    </row>
    <row r="59" spans="32:39">
      <c r="AF59" s="142"/>
      <c r="AG59" s="142"/>
      <c r="AH59" s="142"/>
      <c r="AI59" s="142"/>
      <c r="AJ59" s="142"/>
      <c r="AK59" s="142"/>
      <c r="AL59" s="142"/>
      <c r="AM59" s="142"/>
    </row>
    <row r="60" spans="32:39">
      <c r="AF60" s="142"/>
      <c r="AG60" s="142"/>
      <c r="AH60" s="142"/>
      <c r="AI60" s="142"/>
      <c r="AJ60" s="142"/>
      <c r="AK60" s="142"/>
      <c r="AL60" s="142"/>
      <c r="AM60" s="142"/>
    </row>
    <row r="61" spans="32:39">
      <c r="AF61" s="142"/>
      <c r="AG61" s="142"/>
      <c r="AH61" s="142"/>
      <c r="AI61" s="142"/>
      <c r="AJ61" s="142"/>
      <c r="AK61" s="142"/>
      <c r="AL61" s="142"/>
      <c r="AM61" s="142"/>
    </row>
    <row r="62" spans="32:39">
      <c r="AF62" s="142"/>
      <c r="AG62" s="142"/>
      <c r="AH62" s="142"/>
      <c r="AI62" s="142"/>
      <c r="AJ62" s="142"/>
      <c r="AK62" s="142"/>
      <c r="AL62" s="142"/>
      <c r="AM62" s="142"/>
    </row>
    <row r="63" spans="32:39">
      <c r="AF63" s="142"/>
      <c r="AG63" s="142"/>
      <c r="AH63" s="142"/>
      <c r="AI63" s="142"/>
      <c r="AJ63" s="142"/>
      <c r="AK63" s="142"/>
      <c r="AL63" s="142"/>
      <c r="AM63" s="142"/>
    </row>
    <row r="64" spans="32:39">
      <c r="AF64" s="142"/>
      <c r="AG64" s="142"/>
      <c r="AH64" s="142"/>
      <c r="AI64" s="142"/>
      <c r="AJ64" s="142"/>
      <c r="AK64" s="142"/>
      <c r="AL64" s="142"/>
      <c r="AM64" s="142"/>
    </row>
    <row r="65" spans="32:39">
      <c r="AF65" s="142"/>
      <c r="AG65" s="142"/>
      <c r="AH65" s="142"/>
      <c r="AI65" s="142"/>
      <c r="AJ65" s="142"/>
      <c r="AK65" s="142"/>
      <c r="AL65" s="142"/>
      <c r="AM65" s="142"/>
    </row>
    <row r="66" spans="32:39">
      <c r="AF66" s="142"/>
      <c r="AG66" s="142"/>
      <c r="AH66" s="142"/>
      <c r="AI66" s="142"/>
      <c r="AJ66" s="142"/>
      <c r="AK66" s="142"/>
      <c r="AL66" s="142"/>
      <c r="AM66" s="142"/>
    </row>
    <row r="67" spans="32:39">
      <c r="AF67" s="142"/>
      <c r="AG67" s="142"/>
      <c r="AH67" s="142"/>
      <c r="AI67" s="142"/>
      <c r="AJ67" s="142"/>
      <c r="AK67" s="142"/>
      <c r="AL67" s="142"/>
      <c r="AM67" s="142"/>
    </row>
    <row r="68" spans="32:39">
      <c r="AF68" s="142"/>
      <c r="AG68" s="142"/>
      <c r="AH68" s="142"/>
      <c r="AI68" s="142"/>
      <c r="AJ68" s="142"/>
      <c r="AK68" s="142"/>
      <c r="AL68" s="142"/>
      <c r="AM68" s="142"/>
    </row>
    <row r="69" spans="32:39">
      <c r="AF69" s="142"/>
      <c r="AG69" s="142"/>
      <c r="AH69" s="142"/>
      <c r="AI69" s="142"/>
      <c r="AJ69" s="142"/>
      <c r="AK69" s="142"/>
      <c r="AL69" s="142"/>
      <c r="AM69" s="142"/>
    </row>
    <row r="70" spans="32:39">
      <c r="AF70" s="142"/>
      <c r="AG70" s="142"/>
      <c r="AH70" s="142"/>
      <c r="AI70" s="142"/>
      <c r="AJ70" s="142"/>
      <c r="AK70" s="142"/>
      <c r="AL70" s="142"/>
      <c r="AM70" s="142"/>
    </row>
    <row r="71" spans="32:39">
      <c r="AF71" s="142"/>
      <c r="AG71" s="142"/>
      <c r="AH71" s="142"/>
      <c r="AI71" s="142"/>
      <c r="AJ71" s="142"/>
      <c r="AK71" s="142"/>
      <c r="AL71" s="142"/>
      <c r="AM71" s="142"/>
    </row>
    <row r="72" spans="32:39">
      <c r="AF72" s="142"/>
      <c r="AG72" s="142"/>
      <c r="AH72" s="142"/>
      <c r="AI72" s="142"/>
      <c r="AJ72" s="142"/>
      <c r="AK72" s="142"/>
      <c r="AL72" s="142"/>
      <c r="AM72" s="142"/>
    </row>
    <row r="73" spans="32:39">
      <c r="AF73" s="142"/>
      <c r="AG73" s="142"/>
      <c r="AH73" s="142"/>
      <c r="AI73" s="142"/>
      <c r="AJ73" s="142"/>
      <c r="AK73" s="142"/>
      <c r="AL73" s="142"/>
      <c r="AM73" s="142"/>
    </row>
    <row r="74" spans="32:39">
      <c r="AF74" s="142"/>
      <c r="AG74" s="142"/>
      <c r="AH74" s="142"/>
      <c r="AI74" s="142"/>
      <c r="AJ74" s="142"/>
      <c r="AK74" s="142"/>
      <c r="AL74" s="142"/>
      <c r="AM74" s="142"/>
    </row>
    <row r="75" spans="32:39">
      <c r="AF75" s="142"/>
      <c r="AG75" s="142"/>
      <c r="AH75" s="142"/>
      <c r="AI75" s="142"/>
      <c r="AJ75" s="142"/>
      <c r="AK75" s="142"/>
      <c r="AL75" s="142"/>
      <c r="AM75" s="142"/>
    </row>
    <row r="76" spans="32:39">
      <c r="AF76" s="142"/>
      <c r="AG76" s="142"/>
      <c r="AH76" s="142"/>
      <c r="AI76" s="142"/>
      <c r="AJ76" s="142"/>
      <c r="AK76" s="142"/>
      <c r="AL76" s="142"/>
      <c r="AM76" s="142"/>
    </row>
    <row r="77" spans="32:39">
      <c r="AF77" s="142"/>
      <c r="AG77" s="142"/>
      <c r="AH77" s="142"/>
      <c r="AI77" s="142"/>
      <c r="AJ77" s="142"/>
      <c r="AK77" s="142"/>
      <c r="AL77" s="142"/>
      <c r="AM77" s="142"/>
    </row>
    <row r="78" spans="32:39">
      <c r="AF78" s="142"/>
      <c r="AG78" s="142"/>
      <c r="AH78" s="142"/>
      <c r="AI78" s="142"/>
      <c r="AJ78" s="142"/>
      <c r="AK78" s="142"/>
      <c r="AL78" s="142"/>
      <c r="AM78" s="142"/>
    </row>
    <row r="79" spans="32:39">
      <c r="AF79" s="142"/>
      <c r="AG79" s="142"/>
      <c r="AH79" s="142"/>
      <c r="AI79" s="142"/>
      <c r="AJ79" s="142"/>
      <c r="AK79" s="142"/>
      <c r="AL79" s="142"/>
      <c r="AM79" s="142"/>
    </row>
    <row r="80" spans="32:39">
      <c r="AF80" s="142"/>
      <c r="AG80" s="142"/>
      <c r="AH80" s="142"/>
      <c r="AI80" s="142"/>
      <c r="AJ80" s="142"/>
      <c r="AK80" s="142"/>
      <c r="AL80" s="142"/>
      <c r="AM80" s="142"/>
    </row>
    <row r="81" spans="1:39">
      <c r="AF81" s="142"/>
      <c r="AG81" s="142"/>
      <c r="AH81" s="142"/>
      <c r="AI81" s="142"/>
      <c r="AJ81" s="142"/>
      <c r="AK81" s="142"/>
      <c r="AL81" s="142"/>
      <c r="AM81" s="142"/>
    </row>
    <row r="82" spans="1:39">
      <c r="AF82" s="142"/>
      <c r="AG82" s="142"/>
      <c r="AH82" s="142"/>
      <c r="AI82" s="142"/>
      <c r="AJ82" s="142"/>
      <c r="AK82" s="142"/>
      <c r="AL82" s="142"/>
      <c r="AM82" s="142"/>
    </row>
    <row r="83" spans="1:39">
      <c r="AF83" s="142"/>
      <c r="AG83" s="142"/>
      <c r="AH83" s="142"/>
      <c r="AI83" s="142"/>
      <c r="AJ83" s="142"/>
      <c r="AK83" s="142"/>
      <c r="AL83" s="142"/>
      <c r="AM83" s="142"/>
    </row>
    <row r="84" spans="1:39">
      <c r="AF84" s="142"/>
      <c r="AG84" s="142"/>
      <c r="AH84" s="142"/>
      <c r="AI84" s="142"/>
      <c r="AJ84" s="142"/>
      <c r="AK84" s="142"/>
      <c r="AL84" s="142"/>
      <c r="AM84" s="142"/>
    </row>
    <row r="85" spans="1:39">
      <c r="AF85" s="142"/>
      <c r="AG85" s="142"/>
      <c r="AH85" s="142"/>
      <c r="AI85" s="142"/>
      <c r="AJ85" s="142"/>
      <c r="AK85" s="142"/>
      <c r="AL85" s="142"/>
      <c r="AM85" s="142"/>
    </row>
    <row r="86" spans="1:39">
      <c r="AF86" s="142"/>
      <c r="AG86" s="142"/>
      <c r="AH86" s="142"/>
      <c r="AI86" s="142"/>
      <c r="AJ86" s="142"/>
      <c r="AK86" s="142"/>
      <c r="AL86" s="142"/>
      <c r="AM86" s="142"/>
    </row>
    <row r="87" spans="1:39">
      <c r="A87" t="s">
        <v>91</v>
      </c>
      <c r="AF87" s="142"/>
      <c r="AG87" s="142"/>
      <c r="AH87" s="142"/>
      <c r="AI87" s="142"/>
      <c r="AJ87" s="142"/>
      <c r="AK87" s="142"/>
      <c r="AL87" s="142"/>
      <c r="AM87" s="142"/>
    </row>
    <row r="88" spans="1:39">
      <c r="A88" t="s">
        <v>92</v>
      </c>
      <c r="AF88" s="142"/>
      <c r="AG88" s="142"/>
      <c r="AH88" s="142"/>
      <c r="AI88" s="142"/>
      <c r="AJ88" s="142"/>
      <c r="AK88" s="142"/>
      <c r="AL88" s="142"/>
      <c r="AM88" s="142"/>
    </row>
    <row r="89" spans="1:39">
      <c r="AF89" s="142"/>
      <c r="AG89" s="142"/>
      <c r="AH89" s="142"/>
      <c r="AI89" s="142"/>
      <c r="AJ89" s="142"/>
      <c r="AK89" s="142"/>
      <c r="AL89" s="142"/>
      <c r="AM89" s="142"/>
    </row>
    <row r="90" spans="1:39">
      <c r="AF90" s="142"/>
      <c r="AG90" s="142"/>
      <c r="AH90" s="142"/>
      <c r="AI90" s="142"/>
      <c r="AJ90" s="142"/>
      <c r="AK90" s="142"/>
      <c r="AL90" s="142"/>
      <c r="AM90" s="142"/>
    </row>
    <row r="91" spans="1:39">
      <c r="AF91" s="142"/>
      <c r="AG91" s="142"/>
      <c r="AH91" s="142"/>
      <c r="AI91" s="142"/>
      <c r="AJ91" s="142"/>
      <c r="AK91" s="142"/>
      <c r="AL91" s="142"/>
      <c r="AM91" s="142"/>
    </row>
    <row r="92" spans="1:39">
      <c r="AF92" s="142"/>
      <c r="AG92" s="142"/>
      <c r="AH92" s="142"/>
      <c r="AI92" s="142"/>
      <c r="AJ92" s="142"/>
      <c r="AK92" s="142"/>
      <c r="AL92" s="142"/>
      <c r="AM92" s="142"/>
    </row>
    <row r="93" spans="1:39">
      <c r="AF93" s="142"/>
      <c r="AG93" s="142"/>
      <c r="AH93" s="142"/>
      <c r="AI93" s="142"/>
      <c r="AJ93" s="142"/>
      <c r="AK93" s="142"/>
      <c r="AL93" s="142"/>
      <c r="AM93" s="142"/>
    </row>
    <row r="94" spans="1:39">
      <c r="AF94" s="142"/>
      <c r="AG94" s="142"/>
      <c r="AH94" s="142"/>
      <c r="AI94" s="142"/>
      <c r="AJ94" s="142"/>
      <c r="AK94" s="142"/>
      <c r="AL94" s="142"/>
      <c r="AM94" s="142"/>
    </row>
    <row r="95" spans="1:39">
      <c r="AF95" s="142"/>
      <c r="AG95" s="142"/>
      <c r="AH95" s="142"/>
      <c r="AI95" s="142"/>
      <c r="AJ95" s="142"/>
      <c r="AK95" s="142"/>
      <c r="AL95" s="142"/>
      <c r="AM95" s="142"/>
    </row>
    <row r="96" spans="1:39">
      <c r="AF96" s="142"/>
      <c r="AG96" s="142"/>
      <c r="AH96" s="142"/>
      <c r="AI96" s="142"/>
      <c r="AJ96" s="142"/>
      <c r="AK96" s="142"/>
      <c r="AL96" s="142"/>
      <c r="AM96" s="142"/>
    </row>
    <row r="97" spans="32:39">
      <c r="AF97" s="142"/>
      <c r="AG97" s="142"/>
      <c r="AH97" s="142"/>
      <c r="AI97" s="142"/>
      <c r="AJ97" s="142"/>
      <c r="AK97" s="142"/>
      <c r="AL97" s="142"/>
      <c r="AM97" s="142"/>
    </row>
    <row r="98" spans="32:39">
      <c r="AF98" s="142"/>
      <c r="AG98" s="142"/>
      <c r="AH98" s="142"/>
      <c r="AI98" s="142"/>
      <c r="AJ98" s="142"/>
      <c r="AK98" s="142"/>
      <c r="AL98" s="142"/>
      <c r="AM98" s="142"/>
    </row>
    <row r="99" spans="32:39">
      <c r="AF99" s="142"/>
      <c r="AG99" s="142"/>
      <c r="AH99" s="142"/>
      <c r="AI99" s="142"/>
      <c r="AJ99" s="142"/>
      <c r="AK99" s="142"/>
      <c r="AL99" s="142"/>
      <c r="AM99" s="142"/>
    </row>
    <row r="100" spans="32:39">
      <c r="AF100" s="142"/>
      <c r="AG100" s="142"/>
      <c r="AH100" s="142"/>
      <c r="AI100" s="142"/>
      <c r="AJ100" s="142"/>
      <c r="AK100" s="142"/>
      <c r="AL100" s="142"/>
      <c r="AM100" s="142"/>
    </row>
    <row r="101" spans="32:39">
      <c r="AF101" s="142"/>
      <c r="AG101" s="142"/>
      <c r="AH101" s="142"/>
      <c r="AI101" s="142"/>
      <c r="AJ101" s="142"/>
      <c r="AK101" s="142"/>
      <c r="AL101" s="142"/>
      <c r="AM101" s="142"/>
    </row>
    <row r="102" spans="32:39">
      <c r="AF102" s="142"/>
      <c r="AG102" s="142"/>
      <c r="AH102" s="142"/>
      <c r="AI102" s="142"/>
      <c r="AJ102" s="142"/>
      <c r="AK102" s="142"/>
      <c r="AL102" s="142"/>
      <c r="AM102" s="142"/>
    </row>
    <row r="103" spans="32:39">
      <c r="AF103" s="142"/>
      <c r="AG103" s="142"/>
      <c r="AH103" s="142"/>
      <c r="AI103" s="142"/>
      <c r="AJ103" s="142"/>
      <c r="AK103" s="142"/>
      <c r="AL103" s="142"/>
      <c r="AM103" s="142"/>
    </row>
    <row r="104" spans="32:39">
      <c r="AF104" s="142"/>
      <c r="AG104" s="142"/>
      <c r="AH104" s="142"/>
      <c r="AI104" s="142"/>
      <c r="AJ104" s="142"/>
      <c r="AK104" s="142"/>
      <c r="AL104" s="142"/>
      <c r="AM104" s="142"/>
    </row>
    <row r="105" spans="32:39">
      <c r="AF105" s="142"/>
      <c r="AG105" s="142"/>
      <c r="AH105" s="142"/>
      <c r="AI105" s="142"/>
      <c r="AJ105" s="142"/>
      <c r="AK105" s="142"/>
      <c r="AL105" s="142"/>
      <c r="AM105" s="142"/>
    </row>
    <row r="106" spans="32:39">
      <c r="AF106" s="142"/>
      <c r="AG106" s="142"/>
      <c r="AH106" s="142"/>
      <c r="AI106" s="142"/>
      <c r="AJ106" s="142"/>
      <c r="AK106" s="142"/>
      <c r="AL106" s="142"/>
      <c r="AM106" s="142"/>
    </row>
    <row r="107" spans="32:39">
      <c r="AF107" s="142"/>
      <c r="AG107" s="142"/>
      <c r="AH107" s="142"/>
      <c r="AI107" s="142"/>
      <c r="AJ107" s="142"/>
      <c r="AK107" s="142"/>
      <c r="AL107" s="142"/>
      <c r="AM107" s="142"/>
    </row>
    <row r="108" spans="32:39">
      <c r="AF108" s="142"/>
      <c r="AG108" s="142"/>
      <c r="AH108" s="142"/>
      <c r="AI108" s="142"/>
      <c r="AJ108" s="142"/>
      <c r="AK108" s="142"/>
      <c r="AL108" s="142"/>
      <c r="AM108" s="142"/>
    </row>
    <row r="109" spans="32:39">
      <c r="AF109" s="142"/>
      <c r="AG109" s="142"/>
      <c r="AH109" s="142"/>
      <c r="AI109" s="142"/>
      <c r="AJ109" s="142"/>
      <c r="AK109" s="142"/>
      <c r="AL109" s="142"/>
      <c r="AM109" s="142"/>
    </row>
    <row r="110" spans="32:39">
      <c r="AF110" s="142"/>
      <c r="AG110" s="142"/>
      <c r="AH110" s="142"/>
      <c r="AI110" s="142"/>
      <c r="AJ110" s="142"/>
      <c r="AK110" s="142"/>
      <c r="AL110" s="142"/>
      <c r="AM110" s="142"/>
    </row>
    <row r="111" spans="32:39">
      <c r="AF111" s="142"/>
      <c r="AG111" s="142"/>
      <c r="AH111" s="142"/>
      <c r="AI111" s="142"/>
      <c r="AJ111" s="142"/>
      <c r="AK111" s="142"/>
      <c r="AL111" s="142"/>
      <c r="AM111" s="142"/>
    </row>
    <row r="112" spans="32:39">
      <c r="AF112" s="142"/>
      <c r="AG112" s="142"/>
      <c r="AH112" s="142"/>
      <c r="AI112" s="142"/>
      <c r="AJ112" s="142"/>
      <c r="AK112" s="142"/>
      <c r="AL112" s="142"/>
      <c r="AM112" s="142"/>
    </row>
    <row r="113" spans="32:39">
      <c r="AF113" s="142"/>
      <c r="AG113" s="142"/>
      <c r="AH113" s="142"/>
      <c r="AI113" s="142"/>
      <c r="AJ113" s="142"/>
      <c r="AK113" s="142"/>
      <c r="AL113" s="142"/>
      <c r="AM113" s="142"/>
    </row>
    <row r="114" spans="32:39">
      <c r="AF114" s="142"/>
      <c r="AG114" s="142"/>
      <c r="AH114" s="142"/>
      <c r="AI114" s="142"/>
      <c r="AJ114" s="142"/>
      <c r="AK114" s="142"/>
      <c r="AL114" s="142"/>
      <c r="AM114" s="142"/>
    </row>
    <row r="115" spans="32:39">
      <c r="AF115" s="142"/>
      <c r="AG115" s="142"/>
      <c r="AH115" s="142"/>
      <c r="AI115" s="142"/>
      <c r="AJ115" s="142"/>
      <c r="AK115" s="142"/>
      <c r="AL115" s="142"/>
      <c r="AM115" s="142"/>
    </row>
    <row r="116" spans="32:39">
      <c r="AF116" s="142"/>
      <c r="AG116" s="142"/>
      <c r="AH116" s="142"/>
      <c r="AI116" s="142"/>
      <c r="AJ116" s="142"/>
      <c r="AK116" s="142"/>
      <c r="AL116" s="142"/>
      <c r="AM116" s="142"/>
    </row>
    <row r="117" spans="32:39">
      <c r="AF117" s="142"/>
      <c r="AG117" s="142"/>
      <c r="AH117" s="142"/>
      <c r="AI117" s="142"/>
      <c r="AJ117" s="142"/>
      <c r="AK117" s="142"/>
      <c r="AL117" s="142"/>
      <c r="AM117" s="142"/>
    </row>
    <row r="118" spans="32:39">
      <c r="AF118" s="142"/>
      <c r="AG118" s="142"/>
      <c r="AH118" s="142"/>
      <c r="AI118" s="142"/>
      <c r="AJ118" s="142"/>
      <c r="AK118" s="142"/>
      <c r="AL118" s="142"/>
      <c r="AM118" s="142"/>
    </row>
    <row r="119" spans="32:39">
      <c r="AF119" s="142"/>
      <c r="AG119" s="142"/>
      <c r="AH119" s="142"/>
      <c r="AI119" s="142"/>
      <c r="AJ119" s="142"/>
      <c r="AK119" s="142"/>
      <c r="AL119" s="142"/>
      <c r="AM119" s="142"/>
    </row>
    <row r="120" spans="32:39">
      <c r="AF120" s="142"/>
      <c r="AG120" s="142"/>
      <c r="AH120" s="142"/>
      <c r="AI120" s="142"/>
      <c r="AJ120" s="142"/>
      <c r="AK120" s="142"/>
      <c r="AL120" s="142"/>
      <c r="AM120" s="142"/>
    </row>
    <row r="121" spans="32:39">
      <c r="AF121" s="142"/>
      <c r="AG121" s="142"/>
      <c r="AH121" s="142"/>
      <c r="AI121" s="142"/>
      <c r="AJ121" s="142"/>
      <c r="AK121" s="142"/>
      <c r="AL121" s="142"/>
      <c r="AM121" s="142"/>
    </row>
    <row r="122" spans="32:39">
      <c r="AF122" s="142"/>
      <c r="AG122" s="142"/>
      <c r="AH122" s="142"/>
      <c r="AI122" s="142"/>
      <c r="AJ122" s="142"/>
      <c r="AK122" s="142"/>
      <c r="AL122" s="142"/>
      <c r="AM122" s="142"/>
    </row>
    <row r="123" spans="32:39">
      <c r="AF123" s="142"/>
      <c r="AG123" s="142"/>
      <c r="AH123" s="142"/>
      <c r="AI123" s="142"/>
      <c r="AJ123" s="142"/>
      <c r="AK123" s="142"/>
      <c r="AL123" s="142"/>
      <c r="AM123" s="142"/>
    </row>
    <row r="124" spans="32:39">
      <c r="AF124" s="142"/>
      <c r="AG124" s="142"/>
      <c r="AH124" s="142"/>
      <c r="AI124" s="142"/>
      <c r="AJ124" s="142"/>
      <c r="AK124" s="142"/>
      <c r="AL124" s="142"/>
      <c r="AM124" s="142"/>
    </row>
    <row r="125" spans="32:39">
      <c r="AF125" s="142"/>
      <c r="AG125" s="142"/>
      <c r="AH125" s="142"/>
      <c r="AI125" s="142"/>
      <c r="AJ125" s="142"/>
      <c r="AK125" s="142"/>
      <c r="AL125" s="142"/>
      <c r="AM125" s="142"/>
    </row>
    <row r="126" spans="32:39">
      <c r="AF126" s="142"/>
      <c r="AG126" s="142"/>
      <c r="AH126" s="142"/>
      <c r="AI126" s="142"/>
      <c r="AJ126" s="142"/>
      <c r="AK126" s="142"/>
      <c r="AL126" s="142"/>
      <c r="AM126" s="142"/>
    </row>
    <row r="127" spans="32:39">
      <c r="AF127" s="142"/>
      <c r="AG127" s="142"/>
      <c r="AH127" s="142"/>
      <c r="AI127" s="142"/>
      <c r="AJ127" s="142"/>
      <c r="AK127" s="142"/>
      <c r="AL127" s="142"/>
      <c r="AM127" s="142"/>
    </row>
    <row r="128" spans="32:39">
      <c r="AF128" s="142"/>
      <c r="AG128" s="142"/>
      <c r="AH128" s="142"/>
      <c r="AI128" s="142"/>
      <c r="AJ128" s="142"/>
      <c r="AK128" s="142"/>
      <c r="AL128" s="142"/>
      <c r="AM128" s="142"/>
    </row>
    <row r="129" spans="32:39">
      <c r="AF129" s="142"/>
      <c r="AG129" s="142"/>
      <c r="AH129" s="142"/>
      <c r="AI129" s="142"/>
      <c r="AJ129" s="142"/>
      <c r="AK129" s="142"/>
      <c r="AL129" s="142"/>
      <c r="AM129" s="142"/>
    </row>
    <row r="130" spans="32:39">
      <c r="AF130" s="142"/>
      <c r="AG130" s="142"/>
      <c r="AH130" s="142"/>
      <c r="AI130" s="142"/>
      <c r="AJ130" s="142"/>
      <c r="AK130" s="142"/>
      <c r="AL130" s="142"/>
      <c r="AM130" s="142"/>
    </row>
    <row r="131" spans="32:39">
      <c r="AF131" s="142"/>
      <c r="AG131" s="142"/>
      <c r="AH131" s="142"/>
      <c r="AI131" s="142"/>
      <c r="AJ131" s="142"/>
      <c r="AK131" s="142"/>
      <c r="AL131" s="142"/>
      <c r="AM131" s="142"/>
    </row>
    <row r="132" spans="32:39">
      <c r="AF132" s="142"/>
      <c r="AG132" s="142"/>
      <c r="AH132" s="142"/>
      <c r="AI132" s="142"/>
      <c r="AJ132" s="142"/>
      <c r="AK132" s="142"/>
      <c r="AL132" s="142"/>
      <c r="AM132" s="142"/>
    </row>
    <row r="133" spans="32:39">
      <c r="AF133" s="142"/>
      <c r="AG133" s="142"/>
      <c r="AH133" s="142"/>
      <c r="AI133" s="142"/>
      <c r="AJ133" s="142"/>
      <c r="AK133" s="142"/>
      <c r="AL133" s="142"/>
      <c r="AM133" s="142"/>
    </row>
    <row r="134" spans="32:39">
      <c r="AF134" s="142"/>
      <c r="AG134" s="142"/>
      <c r="AH134" s="142"/>
      <c r="AI134" s="142"/>
      <c r="AJ134" s="142"/>
      <c r="AK134" s="142"/>
      <c r="AL134" s="142"/>
      <c r="AM134" s="142"/>
    </row>
    <row r="135" spans="32:39">
      <c r="AF135" s="142"/>
      <c r="AG135" s="142"/>
      <c r="AH135" s="142"/>
      <c r="AI135" s="142"/>
      <c r="AJ135" s="142"/>
      <c r="AK135" s="142"/>
      <c r="AL135" s="142"/>
      <c r="AM135" s="142"/>
    </row>
    <row r="136" spans="32:39">
      <c r="AF136" s="142"/>
      <c r="AG136" s="142"/>
      <c r="AH136" s="142"/>
      <c r="AI136" s="142"/>
      <c r="AJ136" s="142"/>
      <c r="AK136" s="142"/>
      <c r="AL136" s="142"/>
      <c r="AM136" s="142"/>
    </row>
    <row r="137" spans="32:39">
      <c r="AF137" s="142"/>
      <c r="AG137" s="142"/>
      <c r="AH137" s="142"/>
      <c r="AI137" s="142"/>
      <c r="AJ137" s="142"/>
      <c r="AK137" s="142"/>
      <c r="AL137" s="142"/>
      <c r="AM137" s="142"/>
    </row>
    <row r="138" spans="32:39">
      <c r="AF138" s="142"/>
      <c r="AG138" s="142"/>
      <c r="AH138" s="142"/>
      <c r="AI138" s="142"/>
      <c r="AJ138" s="142"/>
      <c r="AK138" s="142"/>
      <c r="AL138" s="142"/>
      <c r="AM138" s="142"/>
    </row>
    <row r="139" spans="32:39">
      <c r="AF139" s="142"/>
      <c r="AG139" s="142"/>
      <c r="AH139" s="142"/>
      <c r="AI139" s="142"/>
      <c r="AJ139" s="142"/>
      <c r="AK139" s="142"/>
      <c r="AL139" s="142"/>
      <c r="AM139" s="142"/>
    </row>
    <row r="140" spans="32:39">
      <c r="AF140" s="142"/>
      <c r="AG140" s="142"/>
      <c r="AH140" s="142"/>
      <c r="AI140" s="142"/>
      <c r="AJ140" s="142"/>
      <c r="AK140" s="142"/>
      <c r="AL140" s="142"/>
      <c r="AM140" s="142"/>
    </row>
    <row r="141" spans="32:39">
      <c r="AF141" s="142"/>
      <c r="AG141" s="142"/>
      <c r="AH141" s="142"/>
      <c r="AI141" s="142"/>
      <c r="AJ141" s="142"/>
      <c r="AK141" s="142"/>
      <c r="AL141" s="142"/>
      <c r="AM141" s="142"/>
    </row>
    <row r="142" spans="32:39">
      <c r="AF142" s="142"/>
      <c r="AG142" s="142"/>
      <c r="AH142" s="142"/>
      <c r="AI142" s="142"/>
      <c r="AJ142" s="142"/>
      <c r="AK142" s="142"/>
      <c r="AL142" s="142"/>
      <c r="AM142" s="142"/>
    </row>
    <row r="143" spans="32:39">
      <c r="AF143" s="142"/>
      <c r="AG143" s="142"/>
      <c r="AH143" s="142"/>
      <c r="AI143" s="142"/>
      <c r="AJ143" s="142"/>
      <c r="AK143" s="142"/>
      <c r="AL143" s="142"/>
      <c r="AM143" s="142"/>
    </row>
    <row r="144" spans="32:39">
      <c r="AF144" s="142"/>
      <c r="AG144" s="142"/>
      <c r="AH144" s="142"/>
      <c r="AI144" s="142"/>
      <c r="AJ144" s="142"/>
      <c r="AK144" s="142"/>
      <c r="AL144" s="142"/>
      <c r="AM144" s="142"/>
    </row>
    <row r="145" spans="32:42">
      <c r="AF145" s="142"/>
      <c r="AG145" s="142"/>
      <c r="AH145" s="142"/>
      <c r="AI145" s="142"/>
      <c r="AJ145" s="142"/>
      <c r="AK145" s="142"/>
      <c r="AL145" s="142"/>
      <c r="AM145" s="142"/>
    </row>
    <row r="146" spans="32:42">
      <c r="AF146" s="142"/>
      <c r="AG146" s="142"/>
      <c r="AH146" s="142"/>
      <c r="AI146" s="142"/>
      <c r="AJ146" s="142"/>
      <c r="AK146" s="142"/>
      <c r="AL146" s="142"/>
      <c r="AM146" s="142"/>
    </row>
    <row r="147" spans="32:42">
      <c r="AF147" s="142"/>
      <c r="AG147" s="142"/>
      <c r="AH147" s="142"/>
      <c r="AI147" s="142"/>
      <c r="AJ147" s="142"/>
      <c r="AK147" s="142"/>
      <c r="AL147" s="142"/>
      <c r="AM147" s="142"/>
    </row>
    <row r="148" spans="32:42">
      <c r="AF148" s="142"/>
      <c r="AG148" s="142"/>
      <c r="AH148" s="142"/>
      <c r="AI148" s="142"/>
      <c r="AJ148" s="142"/>
      <c r="AK148" s="142"/>
      <c r="AL148" s="142"/>
      <c r="AM148" s="142"/>
    </row>
    <row r="149" spans="32:42">
      <c r="AF149" s="142"/>
      <c r="AG149" s="142"/>
      <c r="AH149" s="142"/>
      <c r="AI149" s="142"/>
      <c r="AJ149" s="142"/>
      <c r="AK149" s="142"/>
      <c r="AL149" s="142"/>
      <c r="AM149" s="142"/>
    </row>
    <row r="150" spans="32:42">
      <c r="AF150" s="142"/>
      <c r="AG150" s="142"/>
      <c r="AH150" s="142"/>
      <c r="AI150" s="142"/>
      <c r="AJ150" s="142"/>
      <c r="AK150" s="142"/>
      <c r="AL150" s="142"/>
      <c r="AM150" s="142"/>
    </row>
    <row r="151" spans="32:42">
      <c r="AF151" s="142"/>
      <c r="AG151" s="142"/>
      <c r="AH151" s="142"/>
      <c r="AI151" s="142"/>
      <c r="AJ151" s="142"/>
      <c r="AK151" s="142"/>
      <c r="AL151" s="142"/>
      <c r="AM151" s="142"/>
    </row>
    <row r="152" spans="32:42">
      <c r="AF152" s="142"/>
      <c r="AG152" s="142"/>
      <c r="AH152" s="142"/>
      <c r="AI152" s="142"/>
      <c r="AJ152" s="142"/>
      <c r="AK152" s="142"/>
      <c r="AL152" s="142"/>
      <c r="AM152" s="142"/>
    </row>
    <row r="153" spans="32:42">
      <c r="AF153" s="142"/>
      <c r="AG153" s="142"/>
      <c r="AH153" s="142"/>
      <c r="AI153" s="142"/>
      <c r="AJ153" s="142"/>
      <c r="AK153" s="142"/>
      <c r="AL153" s="142"/>
      <c r="AM153" s="142"/>
    </row>
    <row r="154" spans="32:42">
      <c r="AF154" s="142"/>
      <c r="AG154" s="142"/>
      <c r="AH154" s="142"/>
      <c r="AI154" s="142"/>
      <c r="AJ154" s="142"/>
      <c r="AK154" s="142"/>
      <c r="AL154" s="142"/>
      <c r="AM154" s="142"/>
      <c r="AP154" s="143"/>
    </row>
    <row r="155" spans="32:42">
      <c r="AF155" s="142"/>
      <c r="AG155" s="142"/>
      <c r="AH155" s="142"/>
      <c r="AI155" s="142"/>
      <c r="AJ155" s="142"/>
      <c r="AK155" s="142"/>
      <c r="AL155" s="142"/>
      <c r="AM155" s="142"/>
    </row>
    <row r="156" spans="32:42">
      <c r="AF156" s="142"/>
      <c r="AG156" s="142"/>
      <c r="AH156" s="142"/>
      <c r="AI156" s="142"/>
      <c r="AJ156" s="142"/>
      <c r="AK156" s="142"/>
      <c r="AL156" s="142"/>
      <c r="AM156" s="142"/>
    </row>
    <row r="157" spans="32:42">
      <c r="AF157" s="142"/>
      <c r="AG157" s="142"/>
      <c r="AH157" s="142"/>
      <c r="AI157" s="142"/>
      <c r="AJ157" s="142"/>
      <c r="AK157" s="142"/>
      <c r="AL157" s="142"/>
      <c r="AM157" s="142"/>
    </row>
    <row r="158" spans="32:42">
      <c r="AF158" s="142"/>
      <c r="AG158" s="142"/>
      <c r="AH158" s="142"/>
      <c r="AI158" s="142"/>
      <c r="AJ158" s="142"/>
      <c r="AK158" s="142"/>
      <c r="AL158" s="142"/>
      <c r="AM158" s="142"/>
    </row>
    <row r="159" spans="32:42">
      <c r="AF159" s="142"/>
      <c r="AG159" s="142"/>
      <c r="AH159" s="142"/>
      <c r="AI159" s="142"/>
      <c r="AJ159" s="142"/>
      <c r="AK159" s="142"/>
      <c r="AL159" s="142"/>
      <c r="AM159" s="142"/>
    </row>
    <row r="160" spans="32:42">
      <c r="AF160" s="142"/>
      <c r="AG160" s="142"/>
      <c r="AH160" s="142"/>
      <c r="AI160" s="142"/>
      <c r="AJ160" s="142"/>
      <c r="AK160" s="142"/>
      <c r="AL160" s="142"/>
      <c r="AM160" s="142"/>
    </row>
    <row r="161" spans="32:39">
      <c r="AF161" s="142"/>
      <c r="AG161" s="142"/>
      <c r="AH161" s="142"/>
      <c r="AI161" s="142"/>
      <c r="AJ161" s="142"/>
      <c r="AK161" s="142"/>
      <c r="AL161" s="142"/>
      <c r="AM161" s="142"/>
    </row>
    <row r="162" spans="32:39">
      <c r="AF162" s="142"/>
      <c r="AG162" s="142"/>
      <c r="AH162" s="142"/>
      <c r="AI162" s="142"/>
      <c r="AJ162" s="142"/>
      <c r="AK162" s="142"/>
      <c r="AL162" s="142"/>
      <c r="AM162" s="142"/>
    </row>
    <row r="163" spans="32:39">
      <c r="AF163" s="142"/>
      <c r="AG163" s="142"/>
      <c r="AH163" s="142"/>
      <c r="AI163" s="142"/>
      <c r="AJ163" s="142"/>
      <c r="AK163" s="142"/>
      <c r="AL163" s="142"/>
      <c r="AM163" s="142"/>
    </row>
    <row r="164" spans="32:39">
      <c r="AF164" s="142"/>
      <c r="AG164" s="142"/>
      <c r="AH164" s="142"/>
      <c r="AI164" s="142"/>
      <c r="AJ164" s="142"/>
      <c r="AK164" s="142"/>
      <c r="AL164" s="142"/>
      <c r="AM164" s="142"/>
    </row>
    <row r="165" spans="32:39">
      <c r="AF165" s="142"/>
      <c r="AG165" s="142"/>
      <c r="AH165" s="142"/>
      <c r="AI165" s="142"/>
      <c r="AJ165" s="142"/>
      <c r="AK165" s="142"/>
      <c r="AL165" s="142"/>
      <c r="AM165" s="142"/>
    </row>
    <row r="166" spans="32:39">
      <c r="AF166" s="142"/>
      <c r="AG166" s="142"/>
      <c r="AH166" s="142"/>
      <c r="AI166" s="142"/>
      <c r="AJ166" s="142"/>
      <c r="AK166" s="142"/>
      <c r="AL166" s="142"/>
      <c r="AM166" s="142"/>
    </row>
    <row r="167" spans="32:39">
      <c r="AF167" s="142"/>
      <c r="AG167" s="142"/>
      <c r="AH167" s="142"/>
      <c r="AI167" s="142"/>
      <c r="AJ167" s="142"/>
      <c r="AK167" s="142"/>
      <c r="AL167" s="142"/>
      <c r="AM167" s="142"/>
    </row>
    <row r="168" spans="32:39">
      <c r="AF168" s="142"/>
      <c r="AG168" s="142"/>
      <c r="AH168" s="142"/>
      <c r="AI168" s="142"/>
      <c r="AJ168" s="142"/>
      <c r="AK168" s="142"/>
      <c r="AL168" s="142"/>
      <c r="AM168" s="142"/>
    </row>
    <row r="169" spans="32:39">
      <c r="AF169" s="142"/>
      <c r="AG169" s="142"/>
      <c r="AH169" s="142"/>
      <c r="AI169" s="142"/>
      <c r="AJ169" s="142"/>
      <c r="AK169" s="142"/>
      <c r="AL169" s="142"/>
      <c r="AM169" s="142"/>
    </row>
    <row r="170" spans="32:39">
      <c r="AF170" s="142"/>
      <c r="AG170" s="142"/>
      <c r="AH170" s="142"/>
      <c r="AI170" s="142"/>
      <c r="AJ170" s="142"/>
      <c r="AK170" s="142"/>
      <c r="AL170" s="142"/>
      <c r="AM170" s="142"/>
    </row>
    <row r="171" spans="32:39">
      <c r="AF171" s="142"/>
      <c r="AG171" s="142"/>
      <c r="AH171" s="142"/>
      <c r="AI171" s="142"/>
      <c r="AJ171" s="142"/>
      <c r="AK171" s="142"/>
      <c r="AL171" s="142"/>
      <c r="AM171" s="142"/>
    </row>
    <row r="172" spans="32:39">
      <c r="AF172" s="142"/>
      <c r="AG172" s="142"/>
      <c r="AH172" s="142"/>
      <c r="AI172" s="142"/>
      <c r="AJ172" s="142"/>
      <c r="AK172" s="142"/>
      <c r="AL172" s="142"/>
      <c r="AM172" s="142"/>
    </row>
    <row r="173" spans="32:39">
      <c r="AF173" s="142"/>
      <c r="AG173" s="142"/>
      <c r="AH173" s="142"/>
      <c r="AI173" s="142"/>
      <c r="AJ173" s="142"/>
      <c r="AK173" s="142"/>
      <c r="AL173" s="142"/>
      <c r="AM173" s="142"/>
    </row>
    <row r="174" spans="32:39">
      <c r="AF174" s="142"/>
      <c r="AG174" s="142"/>
      <c r="AH174" s="142"/>
      <c r="AI174" s="142"/>
      <c r="AJ174" s="142"/>
      <c r="AK174" s="142"/>
      <c r="AL174" s="142"/>
      <c r="AM174" s="142"/>
    </row>
    <row r="175" spans="32:39">
      <c r="AF175" s="142"/>
      <c r="AG175" s="142"/>
      <c r="AH175" s="142"/>
      <c r="AI175" s="142"/>
      <c r="AJ175" s="142"/>
      <c r="AK175" s="142"/>
      <c r="AL175" s="142"/>
      <c r="AM175" s="142"/>
    </row>
    <row r="176" spans="32:39">
      <c r="AF176" s="142"/>
      <c r="AG176" s="142"/>
      <c r="AH176" s="142"/>
      <c r="AI176" s="142"/>
      <c r="AJ176" s="142"/>
      <c r="AK176" s="142"/>
      <c r="AL176" s="142"/>
      <c r="AM176" s="142"/>
    </row>
    <row r="177" spans="32:39">
      <c r="AF177" s="142"/>
      <c r="AG177" s="142"/>
      <c r="AH177" s="142"/>
      <c r="AI177" s="142"/>
      <c r="AJ177" s="142"/>
      <c r="AK177" s="142"/>
      <c r="AL177" s="142"/>
      <c r="AM177" s="142"/>
    </row>
    <row r="178" spans="32:39">
      <c r="AF178" s="142"/>
      <c r="AG178" s="142"/>
      <c r="AH178" s="142"/>
      <c r="AI178" s="142"/>
      <c r="AJ178" s="142"/>
      <c r="AK178" s="142"/>
      <c r="AL178" s="142"/>
      <c r="AM178" s="142"/>
    </row>
    <row r="179" spans="32:39">
      <c r="AF179" s="142"/>
      <c r="AG179" s="142"/>
      <c r="AH179" s="142"/>
      <c r="AI179" s="142"/>
      <c r="AJ179" s="142"/>
      <c r="AK179" s="142"/>
      <c r="AL179" s="142"/>
      <c r="AM179" s="142"/>
    </row>
    <row r="180" spans="32:39">
      <c r="AF180" s="142"/>
      <c r="AG180" s="142"/>
      <c r="AH180" s="142"/>
      <c r="AI180" s="142"/>
      <c r="AJ180" s="142"/>
      <c r="AK180" s="142"/>
      <c r="AL180" s="142"/>
      <c r="AM180" s="142"/>
    </row>
    <row r="181" spans="32:39">
      <c r="AF181" s="142"/>
      <c r="AG181" s="142"/>
      <c r="AH181" s="142"/>
      <c r="AI181" s="142"/>
      <c r="AJ181" s="142"/>
      <c r="AK181" s="142"/>
      <c r="AL181" s="142"/>
      <c r="AM181" s="142"/>
    </row>
    <row r="182" spans="32:39">
      <c r="AF182" s="142"/>
      <c r="AG182" s="142"/>
      <c r="AH182" s="142"/>
      <c r="AI182" s="142"/>
      <c r="AJ182" s="142"/>
      <c r="AK182" s="142"/>
      <c r="AL182" s="142"/>
      <c r="AM182" s="142"/>
    </row>
    <row r="183" spans="32:39">
      <c r="AF183" s="142"/>
      <c r="AG183" s="142"/>
      <c r="AH183" s="142"/>
      <c r="AI183" s="142"/>
      <c r="AJ183" s="142"/>
      <c r="AK183" s="142"/>
      <c r="AL183" s="142"/>
      <c r="AM183" s="142"/>
    </row>
    <row r="184" spans="32:39">
      <c r="AF184" s="142"/>
      <c r="AG184" s="142"/>
      <c r="AH184" s="142"/>
      <c r="AI184" s="142"/>
      <c r="AJ184" s="142"/>
      <c r="AK184" s="142"/>
      <c r="AL184" s="142"/>
      <c r="AM184" s="142"/>
    </row>
    <row r="185" spans="32:39">
      <c r="AF185" s="142"/>
      <c r="AG185" s="142"/>
      <c r="AH185" s="142"/>
      <c r="AI185" s="142"/>
      <c r="AJ185" s="142"/>
      <c r="AK185" s="142"/>
      <c r="AL185" s="142"/>
      <c r="AM185" s="142"/>
    </row>
    <row r="186" spans="32:39">
      <c r="AF186" s="142"/>
      <c r="AG186" s="142"/>
      <c r="AH186" s="142"/>
      <c r="AI186" s="142"/>
      <c r="AJ186" s="142"/>
      <c r="AK186" s="142"/>
      <c r="AL186" s="142"/>
      <c r="AM186" s="142"/>
    </row>
    <row r="187" spans="32:39">
      <c r="AF187" s="142"/>
      <c r="AG187" s="142"/>
      <c r="AH187" s="142"/>
      <c r="AI187" s="142"/>
      <c r="AJ187" s="142"/>
      <c r="AK187" s="142"/>
      <c r="AL187" s="142"/>
      <c r="AM187" s="142"/>
    </row>
    <row r="188" spans="32:39">
      <c r="AF188" s="142"/>
      <c r="AG188" s="142"/>
      <c r="AH188" s="142"/>
      <c r="AI188" s="142"/>
      <c r="AJ188" s="142"/>
      <c r="AK188" s="142"/>
      <c r="AL188" s="142"/>
      <c r="AM188" s="142"/>
    </row>
    <row r="189" spans="32:39">
      <c r="AF189" s="142"/>
      <c r="AG189" s="142"/>
      <c r="AH189" s="142"/>
      <c r="AI189" s="142"/>
      <c r="AJ189" s="142"/>
      <c r="AK189" s="142"/>
      <c r="AL189" s="142"/>
      <c r="AM189" s="142"/>
    </row>
    <row r="190" spans="32:39">
      <c r="AF190" s="142"/>
      <c r="AG190" s="142"/>
      <c r="AH190" s="142"/>
      <c r="AI190" s="142"/>
      <c r="AJ190" s="142"/>
      <c r="AK190" s="142"/>
      <c r="AL190" s="142"/>
      <c r="AM190" s="142"/>
    </row>
    <row r="191" spans="32:39">
      <c r="AF191" s="142"/>
      <c r="AG191" s="142"/>
      <c r="AH191" s="142"/>
      <c r="AI191" s="142"/>
      <c r="AJ191" s="142"/>
      <c r="AK191" s="142"/>
      <c r="AL191" s="142"/>
      <c r="AM191" s="142"/>
    </row>
    <row r="192" spans="32:39">
      <c r="AF192" s="142"/>
      <c r="AG192" s="142"/>
      <c r="AH192" s="142"/>
      <c r="AI192" s="142"/>
      <c r="AJ192" s="142"/>
      <c r="AK192" s="142"/>
      <c r="AL192" s="142"/>
      <c r="AM192" s="142"/>
    </row>
    <row r="193" spans="32:39">
      <c r="AF193" s="142"/>
      <c r="AG193" s="142"/>
      <c r="AH193" s="142"/>
      <c r="AI193" s="142"/>
      <c r="AJ193" s="142"/>
      <c r="AK193" s="142"/>
      <c r="AL193" s="142"/>
      <c r="AM193" s="142"/>
    </row>
    <row r="194" spans="32:39">
      <c r="AF194" s="142"/>
      <c r="AG194" s="142"/>
      <c r="AH194" s="142"/>
      <c r="AI194" s="142"/>
      <c r="AJ194" s="142"/>
      <c r="AK194" s="142"/>
      <c r="AL194" s="142"/>
      <c r="AM194" s="142"/>
    </row>
    <row r="195" spans="32:39">
      <c r="AF195" s="142"/>
      <c r="AG195" s="142"/>
      <c r="AH195" s="142"/>
      <c r="AI195" s="142"/>
      <c r="AJ195" s="142"/>
      <c r="AK195" s="142"/>
      <c r="AL195" s="142"/>
      <c r="AM195" s="142"/>
    </row>
    <row r="196" spans="32:39">
      <c r="AF196" s="142"/>
      <c r="AG196" s="142"/>
      <c r="AH196" s="142"/>
      <c r="AI196" s="142"/>
      <c r="AJ196" s="142"/>
      <c r="AK196" s="142"/>
      <c r="AL196" s="142"/>
      <c r="AM196" s="142"/>
    </row>
    <row r="197" spans="32:39">
      <c r="AF197" s="142"/>
      <c r="AG197" s="142"/>
      <c r="AH197" s="142"/>
      <c r="AI197" s="142"/>
      <c r="AJ197" s="142"/>
      <c r="AK197" s="142"/>
      <c r="AL197" s="142"/>
      <c r="AM197" s="142"/>
    </row>
    <row r="198" spans="32:39">
      <c r="AF198" s="142"/>
      <c r="AG198" s="142"/>
      <c r="AH198" s="142"/>
      <c r="AI198" s="142"/>
      <c r="AJ198" s="142"/>
      <c r="AK198" s="142"/>
      <c r="AL198" s="142"/>
      <c r="AM198" s="142"/>
    </row>
    <row r="199" spans="32:39">
      <c r="AF199" s="142"/>
      <c r="AG199" s="142"/>
      <c r="AH199" s="142"/>
      <c r="AI199" s="142"/>
      <c r="AJ199" s="142"/>
      <c r="AK199" s="142"/>
      <c r="AL199" s="142"/>
      <c r="AM199" s="142"/>
    </row>
    <row r="200" spans="32:39">
      <c r="AF200" s="142"/>
      <c r="AG200" s="142"/>
      <c r="AH200" s="142"/>
      <c r="AI200" s="142"/>
      <c r="AJ200" s="142"/>
      <c r="AK200" s="142"/>
      <c r="AL200" s="142"/>
      <c r="AM200" s="142"/>
    </row>
    <row r="201" spans="32:39">
      <c r="AF201" s="142"/>
      <c r="AG201" s="142"/>
      <c r="AH201" s="142"/>
      <c r="AI201" s="142"/>
      <c r="AJ201" s="142"/>
      <c r="AK201" s="142"/>
      <c r="AL201" s="142"/>
      <c r="AM201" s="142"/>
    </row>
    <row r="202" spans="32:39">
      <c r="AF202" s="142"/>
      <c r="AG202" s="142"/>
      <c r="AH202" s="142"/>
      <c r="AI202" s="142"/>
      <c r="AJ202" s="142"/>
      <c r="AK202" s="142"/>
      <c r="AL202" s="142"/>
      <c r="AM202" s="142"/>
    </row>
    <row r="203" spans="32:39">
      <c r="AF203" s="142"/>
      <c r="AG203" s="142"/>
      <c r="AH203" s="142"/>
      <c r="AI203" s="142"/>
      <c r="AJ203" s="142"/>
      <c r="AK203" s="142"/>
      <c r="AL203" s="142"/>
      <c r="AM203" s="142"/>
    </row>
    <row r="204" spans="32:39">
      <c r="AF204" s="142"/>
      <c r="AG204" s="142"/>
      <c r="AH204" s="142"/>
      <c r="AI204" s="142"/>
      <c r="AJ204" s="142"/>
      <c r="AK204" s="142"/>
      <c r="AL204" s="142"/>
      <c r="AM204" s="142"/>
    </row>
    <row r="205" spans="32:39">
      <c r="AF205" s="142"/>
      <c r="AG205" s="142"/>
      <c r="AH205" s="142"/>
      <c r="AI205" s="142"/>
      <c r="AJ205" s="142"/>
      <c r="AK205" s="142"/>
      <c r="AL205" s="142"/>
      <c r="AM205" s="142"/>
    </row>
    <row r="206" spans="32:39">
      <c r="AF206" s="142"/>
      <c r="AG206" s="142"/>
      <c r="AH206" s="142"/>
      <c r="AI206" s="142"/>
      <c r="AJ206" s="142"/>
      <c r="AK206" s="142"/>
      <c r="AL206" s="142"/>
      <c r="AM206" s="142"/>
    </row>
    <row r="207" spans="32:39">
      <c r="AF207" s="142"/>
      <c r="AG207" s="142"/>
      <c r="AH207" s="142"/>
      <c r="AI207" s="142"/>
      <c r="AJ207" s="142"/>
      <c r="AK207" s="142"/>
      <c r="AL207" s="142"/>
      <c r="AM207" s="142"/>
    </row>
    <row r="208" spans="32:39">
      <c r="AF208" s="142"/>
      <c r="AG208" s="142"/>
      <c r="AH208" s="142"/>
      <c r="AI208" s="142"/>
      <c r="AJ208" s="142"/>
      <c r="AK208" s="142"/>
      <c r="AL208" s="142"/>
      <c r="AM208" s="142"/>
    </row>
    <row r="209" spans="32:39">
      <c r="AF209" s="142"/>
      <c r="AG209" s="142"/>
      <c r="AH209" s="142"/>
      <c r="AI209" s="142"/>
      <c r="AJ209" s="142"/>
      <c r="AK209" s="142"/>
      <c r="AL209" s="142"/>
      <c r="AM209" s="142"/>
    </row>
    <row r="210" spans="32:39">
      <c r="AF210" s="142"/>
      <c r="AG210" s="142"/>
      <c r="AH210" s="142"/>
      <c r="AI210" s="142"/>
      <c r="AJ210" s="142"/>
      <c r="AK210" s="142"/>
      <c r="AL210" s="142"/>
      <c r="AM210" s="142"/>
    </row>
    <row r="211" spans="32:39">
      <c r="AF211" s="142"/>
      <c r="AG211" s="142"/>
      <c r="AH211" s="142"/>
      <c r="AI211" s="142"/>
      <c r="AJ211" s="142"/>
      <c r="AK211" s="142"/>
      <c r="AL211" s="142"/>
      <c r="AM211" s="142"/>
    </row>
    <row r="212" spans="32:39">
      <c r="AF212" s="142"/>
      <c r="AG212" s="142"/>
      <c r="AH212" s="142"/>
      <c r="AI212" s="142"/>
      <c r="AJ212" s="142"/>
      <c r="AK212" s="142"/>
      <c r="AL212" s="142"/>
      <c r="AM212" s="142"/>
    </row>
    <row r="213" spans="32:39">
      <c r="AF213" s="142"/>
      <c r="AG213" s="142"/>
      <c r="AH213" s="142"/>
      <c r="AI213" s="142"/>
      <c r="AJ213" s="142"/>
      <c r="AK213" s="142"/>
      <c r="AL213" s="142"/>
      <c r="AM213" s="142"/>
    </row>
    <row r="214" spans="32:39">
      <c r="AF214" s="142"/>
      <c r="AG214" s="142"/>
      <c r="AH214" s="142"/>
      <c r="AI214" s="142"/>
      <c r="AJ214" s="142"/>
      <c r="AK214" s="142"/>
      <c r="AL214" s="142"/>
      <c r="AM214" s="142"/>
    </row>
    <row r="215" spans="32:39">
      <c r="AF215" s="142"/>
      <c r="AG215" s="142"/>
      <c r="AH215" s="142"/>
      <c r="AI215" s="142"/>
      <c r="AJ215" s="142"/>
      <c r="AK215" s="142"/>
      <c r="AL215" s="142"/>
      <c r="AM215" s="142"/>
    </row>
    <row r="216" spans="32:39">
      <c r="AF216" s="142"/>
      <c r="AG216" s="142"/>
      <c r="AH216" s="142"/>
      <c r="AI216" s="142"/>
      <c r="AJ216" s="142"/>
      <c r="AK216" s="142"/>
      <c r="AL216" s="142"/>
      <c r="AM216" s="142"/>
    </row>
    <row r="217" spans="32:39">
      <c r="AF217" s="142"/>
      <c r="AG217" s="142"/>
      <c r="AH217" s="142"/>
      <c r="AI217" s="142"/>
      <c r="AJ217" s="142"/>
      <c r="AK217" s="142"/>
      <c r="AL217" s="142"/>
      <c r="AM217" s="142"/>
    </row>
    <row r="218" spans="32:39">
      <c r="AF218" s="142"/>
      <c r="AG218" s="142"/>
      <c r="AH218" s="142"/>
      <c r="AI218" s="142"/>
      <c r="AJ218" s="142"/>
      <c r="AK218" s="142"/>
      <c r="AL218" s="142"/>
      <c r="AM218" s="142"/>
    </row>
    <row r="219" spans="32:39">
      <c r="AF219" s="142"/>
      <c r="AG219" s="142"/>
      <c r="AH219" s="142"/>
      <c r="AI219" s="142"/>
      <c r="AJ219" s="142"/>
      <c r="AK219" s="142"/>
      <c r="AL219" s="142"/>
      <c r="AM219" s="142"/>
    </row>
    <row r="220" spans="32:39">
      <c r="AF220" s="142"/>
      <c r="AG220" s="142"/>
      <c r="AH220" s="142"/>
      <c r="AI220" s="142"/>
      <c r="AJ220" s="142"/>
      <c r="AK220" s="142"/>
      <c r="AL220" s="142"/>
      <c r="AM220" s="142"/>
    </row>
    <row r="221" spans="32:39">
      <c r="AF221" s="142"/>
      <c r="AG221" s="142"/>
      <c r="AH221" s="142"/>
      <c r="AI221" s="142"/>
      <c r="AJ221" s="142"/>
      <c r="AK221" s="142"/>
      <c r="AL221" s="142"/>
      <c r="AM221" s="142"/>
    </row>
    <row r="222" spans="32:39">
      <c r="AF222" s="142"/>
      <c r="AG222" s="142"/>
      <c r="AH222" s="142"/>
      <c r="AI222" s="142"/>
      <c r="AJ222" s="142"/>
      <c r="AK222" s="142"/>
      <c r="AL222" s="142"/>
      <c r="AM222" s="142"/>
    </row>
    <row r="223" spans="32:39">
      <c r="AF223" s="142"/>
      <c r="AG223" s="142"/>
      <c r="AH223" s="142"/>
      <c r="AI223" s="142"/>
      <c r="AJ223" s="142"/>
      <c r="AK223" s="142"/>
      <c r="AL223" s="142"/>
      <c r="AM223" s="142"/>
    </row>
    <row r="224" spans="32:39">
      <c r="AF224" s="142"/>
      <c r="AG224" s="142"/>
      <c r="AH224" s="142"/>
      <c r="AI224" s="142"/>
      <c r="AJ224" s="142"/>
      <c r="AK224" s="142"/>
      <c r="AL224" s="142"/>
      <c r="AM224" s="142"/>
    </row>
    <row r="225" spans="32:39">
      <c r="AF225" s="142"/>
      <c r="AG225" s="142"/>
      <c r="AH225" s="142"/>
      <c r="AI225" s="142"/>
      <c r="AJ225" s="142"/>
      <c r="AK225" s="142"/>
      <c r="AL225" s="142"/>
      <c r="AM225" s="142"/>
    </row>
    <row r="226" spans="32:39">
      <c r="AF226" s="142"/>
      <c r="AG226" s="142"/>
      <c r="AH226" s="142"/>
      <c r="AI226" s="142"/>
      <c r="AJ226" s="142"/>
      <c r="AK226" s="142"/>
      <c r="AL226" s="142"/>
      <c r="AM226" s="142"/>
    </row>
    <row r="227" spans="32:39">
      <c r="AF227" s="142"/>
      <c r="AG227" s="142"/>
      <c r="AH227" s="142"/>
      <c r="AI227" s="142"/>
      <c r="AJ227" s="142"/>
      <c r="AK227" s="142"/>
      <c r="AL227" s="142"/>
      <c r="AM227" s="142"/>
    </row>
    <row r="228" spans="32:39">
      <c r="AF228" s="142"/>
      <c r="AG228" s="142"/>
      <c r="AH228" s="142"/>
      <c r="AI228" s="142"/>
      <c r="AJ228" s="142"/>
      <c r="AK228" s="142"/>
      <c r="AL228" s="142"/>
      <c r="AM228" s="142"/>
    </row>
    <row r="229" spans="32:39">
      <c r="AF229" s="142"/>
      <c r="AG229" s="142"/>
      <c r="AH229" s="142"/>
      <c r="AI229" s="142"/>
      <c r="AJ229" s="142"/>
      <c r="AK229" s="142"/>
      <c r="AL229" s="142"/>
      <c r="AM229" s="142"/>
    </row>
    <row r="230" spans="32:39">
      <c r="AF230" s="142"/>
      <c r="AG230" s="142"/>
      <c r="AH230" s="142"/>
      <c r="AI230" s="142"/>
      <c r="AJ230" s="142"/>
      <c r="AK230" s="142"/>
      <c r="AL230" s="142"/>
      <c r="AM230" s="142"/>
    </row>
    <row r="231" spans="32:39">
      <c r="AF231" s="142"/>
      <c r="AG231" s="142"/>
      <c r="AH231" s="142"/>
      <c r="AI231" s="142"/>
      <c r="AJ231" s="142"/>
      <c r="AK231" s="142"/>
      <c r="AL231" s="142"/>
      <c r="AM231" s="142"/>
    </row>
    <row r="232" spans="32:39">
      <c r="AF232" s="142"/>
      <c r="AG232" s="142"/>
      <c r="AH232" s="142"/>
      <c r="AI232" s="142"/>
      <c r="AJ232" s="142"/>
      <c r="AK232" s="142"/>
      <c r="AL232" s="142"/>
      <c r="AM232" s="142"/>
    </row>
    <row r="233" spans="32:39">
      <c r="AF233" s="142"/>
      <c r="AG233" s="142"/>
      <c r="AH233" s="142"/>
      <c r="AI233" s="142"/>
      <c r="AJ233" s="142"/>
      <c r="AK233" s="142"/>
      <c r="AL233" s="142"/>
      <c r="AM233" s="142"/>
    </row>
    <row r="234" spans="32:39">
      <c r="AF234" s="142"/>
      <c r="AG234" s="142"/>
      <c r="AH234" s="142"/>
      <c r="AI234" s="142"/>
      <c r="AJ234" s="142"/>
      <c r="AK234" s="142"/>
      <c r="AL234" s="142"/>
      <c r="AM234" s="142"/>
    </row>
    <row r="235" spans="32:39">
      <c r="AF235" s="142"/>
      <c r="AG235" s="142"/>
      <c r="AH235" s="142"/>
      <c r="AI235" s="142"/>
      <c r="AJ235" s="142"/>
      <c r="AK235" s="142"/>
      <c r="AL235" s="142"/>
      <c r="AM235" s="142"/>
    </row>
    <row r="236" spans="32:39">
      <c r="AF236" s="142"/>
      <c r="AG236" s="142"/>
      <c r="AH236" s="142"/>
      <c r="AI236" s="142"/>
      <c r="AJ236" s="142"/>
      <c r="AK236" s="142"/>
      <c r="AL236" s="142"/>
      <c r="AM236" s="14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E48"/>
  <sheetViews>
    <sheetView topLeftCell="D25" zoomScale="89" zoomScaleNormal="89" workbookViewId="0">
      <selection activeCell="D58" sqref="D58"/>
    </sheetView>
  </sheetViews>
  <sheetFormatPr defaultRowHeight="14.45"/>
  <cols>
    <col min="1" max="1" width="26.140625" customWidth="1"/>
    <col min="2" max="2" width="25.7109375" customWidth="1"/>
    <col min="3" max="3" width="30.7109375" customWidth="1"/>
    <col min="4" max="4" width="24.5703125" customWidth="1"/>
    <col min="5" max="5" width="30.5703125" customWidth="1"/>
  </cols>
  <sheetData>
    <row r="1" spans="1:5">
      <c r="A1" t="s">
        <v>93</v>
      </c>
      <c r="B1" t="s">
        <v>94</v>
      </c>
      <c r="C1" t="s">
        <v>95</v>
      </c>
      <c r="D1" t="s">
        <v>96</v>
      </c>
      <c r="E1" t="s">
        <v>97</v>
      </c>
    </row>
    <row r="2" spans="1:5">
      <c r="A2">
        <v>0</v>
      </c>
      <c r="B2">
        <v>140</v>
      </c>
      <c r="C2">
        <v>60</v>
      </c>
      <c r="D2">
        <v>0</v>
      </c>
      <c r="E2">
        <v>0</v>
      </c>
    </row>
    <row r="3" spans="1:5">
      <c r="A3">
        <f>A2+500</f>
        <v>500</v>
      </c>
    </row>
    <row r="4" spans="1:5">
      <c r="A4">
        <f t="shared" ref="A4:A13" si="0">A3+500</f>
        <v>1000</v>
      </c>
      <c r="C4">
        <v>65</v>
      </c>
    </row>
    <row r="5" spans="1:5">
      <c r="A5">
        <f t="shared" si="0"/>
        <v>1500</v>
      </c>
    </row>
    <row r="6" spans="1:5">
      <c r="A6">
        <f t="shared" si="0"/>
        <v>2000</v>
      </c>
      <c r="C6">
        <v>66</v>
      </c>
    </row>
    <row r="7" spans="1:5">
      <c r="A7">
        <f t="shared" si="0"/>
        <v>2500</v>
      </c>
    </row>
    <row r="8" spans="1:5">
      <c r="A8">
        <f t="shared" si="0"/>
        <v>3000</v>
      </c>
      <c r="D8">
        <v>44</v>
      </c>
      <c r="E8">
        <v>22</v>
      </c>
    </row>
    <row r="9" spans="1:5">
      <c r="A9">
        <f t="shared" si="0"/>
        <v>3500</v>
      </c>
      <c r="C9">
        <v>66</v>
      </c>
      <c r="D9">
        <v>50</v>
      </c>
    </row>
    <row r="10" spans="1:5">
      <c r="A10">
        <f t="shared" si="0"/>
        <v>4000</v>
      </c>
      <c r="B10">
        <v>135</v>
      </c>
      <c r="C10">
        <v>65</v>
      </c>
      <c r="E10">
        <v>29</v>
      </c>
    </row>
    <row r="11" spans="1:5">
      <c r="A11">
        <f t="shared" si="0"/>
        <v>4500</v>
      </c>
      <c r="B11">
        <v>132.5</v>
      </c>
    </row>
    <row r="12" spans="1:5">
      <c r="A12">
        <f>A11+500</f>
        <v>5000</v>
      </c>
      <c r="B12">
        <v>129.5</v>
      </c>
      <c r="C12">
        <v>60</v>
      </c>
      <c r="D12">
        <v>64</v>
      </c>
      <c r="E12">
        <v>34</v>
      </c>
    </row>
    <row r="13" spans="1:5">
      <c r="A13">
        <f t="shared" si="0"/>
        <v>5500</v>
      </c>
      <c r="B13">
        <v>122.5</v>
      </c>
    </row>
    <row r="14" spans="1:5">
      <c r="A14">
        <f>A13+500</f>
        <v>6000</v>
      </c>
      <c r="B14">
        <v>115</v>
      </c>
      <c r="C14">
        <v>58</v>
      </c>
      <c r="D14">
        <v>68</v>
      </c>
      <c r="E14">
        <v>36</v>
      </c>
    </row>
    <row r="16" spans="1:5">
      <c r="A16" t="s">
        <v>93</v>
      </c>
      <c r="B16" t="s">
        <v>98</v>
      </c>
      <c r="C16" t="s">
        <v>99</v>
      </c>
      <c r="D16" t="s">
        <v>100</v>
      </c>
      <c r="E16" t="s">
        <v>101</v>
      </c>
    </row>
    <row r="17" spans="1:5">
      <c r="A17">
        <v>0</v>
      </c>
      <c r="B17">
        <f>(B2*0.737562)*12</f>
        <v>1239.1041600000001</v>
      </c>
      <c r="C17">
        <f>(C2*0.737562)*12</f>
        <v>531.04464000000007</v>
      </c>
      <c r="D17">
        <f>D2*1.34102</f>
        <v>0</v>
      </c>
      <c r="E17">
        <f>E2*1.34102</f>
        <v>0</v>
      </c>
    </row>
    <row r="18" spans="1:5">
      <c r="A18">
        <f>A17+500</f>
        <v>500</v>
      </c>
    </row>
    <row r="19" spans="1:5">
      <c r="A19">
        <f t="shared" ref="A19:A26" si="1">A18+500</f>
        <v>1000</v>
      </c>
      <c r="C19">
        <f t="shared" ref="C19:C29" si="2">(C4*0.737562)*12</f>
        <v>575.29836</v>
      </c>
    </row>
    <row r="20" spans="1:5">
      <c r="A20">
        <f t="shared" si="1"/>
        <v>1500</v>
      </c>
    </row>
    <row r="21" spans="1:5">
      <c r="A21">
        <f t="shared" si="1"/>
        <v>2000</v>
      </c>
      <c r="C21">
        <f t="shared" si="2"/>
        <v>584.14910400000008</v>
      </c>
    </row>
    <row r="22" spans="1:5">
      <c r="A22">
        <f t="shared" si="1"/>
        <v>2500</v>
      </c>
    </row>
    <row r="23" spans="1:5">
      <c r="A23">
        <f t="shared" si="1"/>
        <v>3000</v>
      </c>
      <c r="D23">
        <f t="shared" ref="D23:D29" si="3">D8*1.34102</f>
        <v>59.004880000000007</v>
      </c>
      <c r="E23">
        <f t="shared" ref="E23:E29" si="4">E8*1.34102</f>
        <v>29.502440000000004</v>
      </c>
    </row>
    <row r="24" spans="1:5">
      <c r="A24">
        <f t="shared" si="1"/>
        <v>3500</v>
      </c>
      <c r="D24">
        <f t="shared" si="3"/>
        <v>67.051000000000002</v>
      </c>
    </row>
    <row r="25" spans="1:5">
      <c r="A25">
        <f t="shared" si="1"/>
        <v>4000</v>
      </c>
      <c r="B25">
        <f t="shared" ref="B25:B29" si="5">(B10*0.737562)*12</f>
        <v>1194.8504400000002</v>
      </c>
      <c r="C25">
        <f t="shared" si="2"/>
        <v>575.29836</v>
      </c>
      <c r="E25">
        <f t="shared" si="4"/>
        <v>38.889580000000002</v>
      </c>
    </row>
    <row r="26" spans="1:5">
      <c r="A26">
        <f t="shared" si="1"/>
        <v>4500</v>
      </c>
      <c r="B26">
        <f t="shared" si="5"/>
        <v>1172.7235800000001</v>
      </c>
    </row>
    <row r="27" spans="1:5">
      <c r="A27">
        <f>A26+500</f>
        <v>5000</v>
      </c>
      <c r="B27">
        <f t="shared" si="5"/>
        <v>1146.1713480000001</v>
      </c>
      <c r="C27">
        <f t="shared" si="2"/>
        <v>531.04464000000007</v>
      </c>
      <c r="D27">
        <f t="shared" si="3"/>
        <v>85.825280000000006</v>
      </c>
      <c r="E27">
        <f t="shared" si="4"/>
        <v>45.594680000000004</v>
      </c>
    </row>
    <row r="28" spans="1:5">
      <c r="A28">
        <f t="shared" ref="A28" si="6">A27+500</f>
        <v>5500</v>
      </c>
      <c r="B28">
        <f t="shared" si="5"/>
        <v>1084.21614</v>
      </c>
    </row>
    <row r="29" spans="1:5">
      <c r="A29">
        <f>A28+500</f>
        <v>6000</v>
      </c>
      <c r="B29">
        <f t="shared" si="5"/>
        <v>1017.83556</v>
      </c>
      <c r="C29">
        <f t="shared" si="2"/>
        <v>513.34315200000003</v>
      </c>
      <c r="D29">
        <f t="shared" si="3"/>
        <v>91.189360000000008</v>
      </c>
      <c r="E29">
        <f t="shared" si="4"/>
        <v>48.276720000000005</v>
      </c>
    </row>
    <row r="31" spans="1:5">
      <c r="A31" t="s">
        <v>102</v>
      </c>
      <c r="B31" t="s">
        <v>103</v>
      </c>
      <c r="C31" t="s">
        <v>104</v>
      </c>
      <c r="D31" t="s">
        <v>105</v>
      </c>
      <c r="E31" t="s">
        <v>106</v>
      </c>
    </row>
    <row r="32" spans="1:5">
      <c r="A32">
        <f>(A17/(Parameters!$F$25*$B$46)*((2*PI()*(Parameters!$B$12/12))/60)*(1/1.466667))</f>
        <v>0</v>
      </c>
      <c r="B32">
        <f>((B17*Parameters!$F$25*$B$46)/Parameters!$B$12)/Parameters!$B$4</f>
        <v>0.9190816817538463</v>
      </c>
      <c r="C32">
        <f>((C17*Parameters!$F$25*$B$46)/Parameters!$B$12)/Parameters!$B$4</f>
        <v>0.39389214932307698</v>
      </c>
      <c r="D32">
        <v>0</v>
      </c>
      <c r="E32">
        <v>0</v>
      </c>
    </row>
    <row r="33" spans="1:5">
      <c r="A33">
        <f>(A18/(Parameters!$F$25*$B$46)*((2*PI()*(Parameters!$B$12/12))/60)*(1/1.466667))</f>
        <v>6.1705830791548335</v>
      </c>
    </row>
    <row r="34" spans="1:5">
      <c r="A34">
        <f>(A19/(Parameters!$F$25*$B$46)*((2*PI()*(Parameters!$B$12/12))/60)*(1/1.466667))</f>
        <v>12.341166158309667</v>
      </c>
      <c r="C34">
        <f>((C19*Parameters!$F$25*$B$46)/Parameters!$B$12)/Parameters!$B$4</f>
        <v>0.42671649510000004</v>
      </c>
    </row>
    <row r="35" spans="1:5">
      <c r="A35">
        <f>(A20/(Parameters!$F$25*$B$46)*((2*PI()*(Parameters!$B$12/12))/60)*(1/1.466667))</f>
        <v>18.5117492374645</v>
      </c>
    </row>
    <row r="36" spans="1:5">
      <c r="A36">
        <f>(A21/(Parameters!$F$25*$B$46)*((2*PI()*(Parameters!$B$12/12))/60)*(1/1.466667))</f>
        <v>24.682332316619334</v>
      </c>
      <c r="C36">
        <f>((C21*Parameters!$F$25*$B$46)/Parameters!$B$12)/Parameters!$B$4</f>
        <v>0.43328136425538472</v>
      </c>
    </row>
    <row r="37" spans="1:5">
      <c r="A37">
        <f>(A22/(Parameters!$F$25*$B$46)*((2*PI()*(Parameters!$B$12/12))/60)*(1/1.466667))</f>
        <v>30.852915395774161</v>
      </c>
    </row>
    <row r="38" spans="1:5">
      <c r="A38">
        <f>(A23/(Parameters!$F$25*$B$46)*((2*PI()*(Parameters!$B$12/12))/60)*(1/1.466667))</f>
        <v>37.023498474928999</v>
      </c>
      <c r="D38">
        <f>((D23*550)/($A38*1.466667))/Parameters!$B$4</f>
        <v>0.91945036500201027</v>
      </c>
      <c r="E38">
        <f>((E23*550)/($A38*1.466667))/Parameters!$B$4</f>
        <v>0.45972518250100514</v>
      </c>
    </row>
    <row r="39" spans="1:5">
      <c r="A39">
        <f>(A24/(Parameters!$F$25*$B$46)*((2*PI()*(Parameters!$B$12/12))/60)*(1/1.466667))</f>
        <v>43.19408155408383</v>
      </c>
      <c r="D39">
        <f>((D24*550)/($A39*1.466667))/Parameters!$B$4</f>
        <v>0.89556853733962039</v>
      </c>
    </row>
    <row r="40" spans="1:5">
      <c r="A40">
        <f>(A25/(Parameters!$F$25*$B$46)*((2*PI()*(Parameters!$B$12/12))/60)*(1/1.466667))</f>
        <v>49.364664633238668</v>
      </c>
      <c r="B40">
        <f>((B25*Parameters!$F$25*$B$46)/Parameters!$B$12)/Parameters!$B$4</f>
        <v>0.88625733597692335</v>
      </c>
      <c r="C40">
        <f>((C25*Parameters!$F$25*$B$46)/Parameters!$B$12)/Parameters!$B$4</f>
        <v>0.42671649510000004</v>
      </c>
      <c r="E40">
        <f>((E25*550)/($A40*1.466667))/Parameters!$B$4</f>
        <v>0.45450103269985737</v>
      </c>
    </row>
    <row r="41" spans="1:5">
      <c r="A41">
        <f>(A26/(Parameters!$F$25*$B$46)*((2*PI()*(Parameters!$B$12/12))/60)*(1/1.466667))</f>
        <v>55.535247712393499</v>
      </c>
      <c r="B41">
        <f>((B26*Parameters!$F$25*$B$46)/Parameters!$B$12)/Parameters!$B$4</f>
        <v>0.8698451630884616</v>
      </c>
    </row>
    <row r="42" spans="1:5">
      <c r="A42">
        <f>(A27/(Parameters!$F$25*$B$46)*((2*PI()*(Parameters!$B$12/12))/60)*(1/1.466667))</f>
        <v>61.705830791548323</v>
      </c>
      <c r="B42">
        <f>((B27*Parameters!$F$25*$B$46)/Parameters!$B$12)/Parameters!$B$4</f>
        <v>0.85015055562230779</v>
      </c>
      <c r="C42">
        <f>((C27*Parameters!$F$25*$B$46)/Parameters!$B$12)/Parameters!$B$4</f>
        <v>0.39389214932307698</v>
      </c>
      <c r="D42">
        <f>((D27*550)/($A42*1.466667))/Parameters!$B$4</f>
        <v>0.80242940945629992</v>
      </c>
      <c r="E42">
        <f>((E27*550)/($A42*1.466667))/Parameters!$B$4</f>
        <v>0.42629062377365934</v>
      </c>
    </row>
    <row r="43" spans="1:5">
      <c r="A43">
        <f>(A28/(Parameters!$F$25*$B$46)*((2*PI()*(Parameters!$B$12/12))/60)*(1/1.466667))</f>
        <v>67.876413870703161</v>
      </c>
      <c r="B43">
        <f>((B28*Parameters!$F$25*$B$46)/Parameters!$B$12)/Parameters!$B$4</f>
        <v>0.80419647153461538</v>
      </c>
    </row>
    <row r="44" spans="1:5">
      <c r="A44">
        <f>(A29/(Parameters!$F$25*$B$46)*((2*PI()*(Parameters!$B$12/12))/60)*(1/1.466667))</f>
        <v>74.046996949857999</v>
      </c>
      <c r="B44">
        <f>((B29*Parameters!$F$25*$B$46)/Parameters!$B$12)/Parameters!$B$4</f>
        <v>0.75495995286923079</v>
      </c>
      <c r="C44">
        <f>((C29*Parameters!$F$25*$B$46)/Parameters!$B$12)/Parameters!$B$4</f>
        <v>0.38076241101230773</v>
      </c>
      <c r="D44">
        <f>((D29*550)/($A44*1.466667))/Parameters!$B$4</f>
        <v>0.71048437295609879</v>
      </c>
      <c r="E44">
        <f>((E29*550)/($A44*1.466667))/Parameters!$B$4</f>
        <v>0.37613878568264059</v>
      </c>
    </row>
    <row r="46" spans="1:5">
      <c r="A46" t="s">
        <v>107</v>
      </c>
      <c r="B46">
        <v>1</v>
      </c>
    </row>
    <row r="48" spans="1:5">
      <c r="D48" s="10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zoomScale="85" zoomScaleNormal="85" workbookViewId="0">
      <selection activeCell="H41" sqref="H41"/>
    </sheetView>
  </sheetViews>
  <sheetFormatPr defaultRowHeight="14.45"/>
  <cols>
    <col min="1" max="1" width="29.5703125" customWidth="1"/>
    <col min="2" max="2" width="5.28515625" customWidth="1"/>
    <col min="8" max="8" width="27.5703125" customWidth="1"/>
    <col min="9" max="9" width="5.28515625" customWidth="1"/>
    <col min="17" max="17" width="12.28515625" customWidth="1"/>
    <col min="19" max="19" width="8.7109375" customWidth="1"/>
    <col min="20" max="20" width="9.7109375" customWidth="1"/>
  </cols>
  <sheetData>
    <row r="1" spans="1:17" ht="64.900000000000006" customHeight="1">
      <c r="A1" s="103" t="s">
        <v>108</v>
      </c>
      <c r="B1" s="56"/>
      <c r="C1" s="57"/>
      <c r="D1" s="57"/>
      <c r="E1" s="57"/>
      <c r="F1" s="58"/>
      <c r="G1" s="58"/>
      <c r="H1" s="56"/>
      <c r="I1" s="56"/>
      <c r="J1" s="57"/>
      <c r="K1" s="57"/>
      <c r="L1" s="57"/>
      <c r="M1" s="58"/>
      <c r="N1" s="76"/>
      <c r="O1" s="76"/>
      <c r="P1" s="76"/>
      <c r="Q1" s="76"/>
    </row>
    <row r="2" spans="1:17" ht="14.45" customHeight="1">
      <c r="A2" s="152" t="s">
        <v>109</v>
      </c>
      <c r="B2" s="75"/>
      <c r="C2" s="59" t="s">
        <v>110</v>
      </c>
      <c r="D2" s="60"/>
      <c r="E2" s="61" t="s">
        <v>111</v>
      </c>
      <c r="F2" s="60"/>
      <c r="H2" s="152" t="s">
        <v>112</v>
      </c>
      <c r="I2" s="75"/>
      <c r="J2" s="59" t="s">
        <v>110</v>
      </c>
      <c r="K2" s="60"/>
      <c r="L2" s="61" t="s">
        <v>111</v>
      </c>
      <c r="M2" s="78"/>
      <c r="N2" s="57"/>
      <c r="O2" s="57"/>
      <c r="P2" s="57"/>
      <c r="Q2" s="57"/>
    </row>
    <row r="3" spans="1:17">
      <c r="A3" s="153"/>
      <c r="B3" s="57"/>
      <c r="C3" s="62" t="s">
        <v>113</v>
      </c>
      <c r="D3">
        <v>0</v>
      </c>
      <c r="E3" s="52" t="s">
        <v>113</v>
      </c>
      <c r="F3" s="63">
        <v>0</v>
      </c>
      <c r="H3" s="153"/>
      <c r="I3" s="57"/>
      <c r="J3" s="62" t="s">
        <v>113</v>
      </c>
      <c r="K3">
        <v>0</v>
      </c>
      <c r="L3" s="52" t="s">
        <v>113</v>
      </c>
      <c r="M3" s="63">
        <v>0</v>
      </c>
      <c r="N3" s="57"/>
      <c r="O3" s="57"/>
      <c r="P3" s="57"/>
      <c r="Q3" s="57"/>
    </row>
    <row r="4" spans="1:17">
      <c r="C4" s="62" t="s">
        <v>114</v>
      </c>
      <c r="D4">
        <v>0</v>
      </c>
      <c r="E4" s="52" t="s">
        <v>114</v>
      </c>
      <c r="F4" s="63">
        <v>0</v>
      </c>
      <c r="J4" s="62" t="s">
        <v>114</v>
      </c>
      <c r="K4">
        <v>0</v>
      </c>
      <c r="L4" s="52" t="s">
        <v>114</v>
      </c>
      <c r="M4" s="63">
        <v>0</v>
      </c>
    </row>
    <row r="5" spans="1:17">
      <c r="C5" s="62" t="s">
        <v>115</v>
      </c>
      <c r="D5">
        <v>-146.25</v>
      </c>
      <c r="E5" s="52" t="s">
        <v>115</v>
      </c>
      <c r="F5" s="63">
        <v>-146.25</v>
      </c>
      <c r="J5" s="62" t="s">
        <v>115</v>
      </c>
      <c r="K5">
        <f>5*D5</f>
        <v>-731.25</v>
      </c>
      <c r="L5" s="52" t="s">
        <v>115</v>
      </c>
      <c r="M5" s="63">
        <f>5*F5</f>
        <v>-731.25</v>
      </c>
    </row>
    <row r="6" spans="1:17">
      <c r="A6" s="3"/>
      <c r="B6" s="3"/>
      <c r="C6" s="64"/>
      <c r="D6" s="65"/>
      <c r="E6" s="66"/>
      <c r="F6" s="67"/>
      <c r="H6" s="3"/>
      <c r="I6" s="3"/>
      <c r="J6" s="64"/>
      <c r="K6" s="65"/>
      <c r="L6" s="66"/>
      <c r="M6" s="67"/>
    </row>
    <row r="7" spans="1:17">
      <c r="A7" s="3"/>
      <c r="B7" s="3"/>
      <c r="C7" s="68" t="s">
        <v>116</v>
      </c>
      <c r="D7" s="69"/>
      <c r="E7" s="70" t="s">
        <v>117</v>
      </c>
      <c r="F7" s="69"/>
      <c r="H7" s="3"/>
      <c r="I7" s="3"/>
      <c r="J7" s="68" t="s">
        <v>116</v>
      </c>
      <c r="K7" s="69"/>
      <c r="L7" s="70" t="s">
        <v>117</v>
      </c>
      <c r="M7" s="69"/>
    </row>
    <row r="8" spans="1:17">
      <c r="A8" s="3"/>
      <c r="B8" s="3"/>
      <c r="C8" s="62" t="s">
        <v>113</v>
      </c>
      <c r="D8">
        <v>0</v>
      </c>
      <c r="E8" s="52" t="s">
        <v>113</v>
      </c>
      <c r="F8" s="63">
        <v>0</v>
      </c>
      <c r="H8" s="3"/>
      <c r="I8" s="3"/>
      <c r="J8" s="62" t="s">
        <v>113</v>
      </c>
      <c r="K8">
        <v>0</v>
      </c>
      <c r="L8" s="52" t="s">
        <v>113</v>
      </c>
      <c r="M8" s="63">
        <v>0</v>
      </c>
    </row>
    <row r="9" spans="1:17">
      <c r="A9" s="3"/>
      <c r="B9" s="3"/>
      <c r="C9" s="62" t="s">
        <v>114</v>
      </c>
      <c r="D9">
        <v>0</v>
      </c>
      <c r="E9" s="52" t="s">
        <v>114</v>
      </c>
      <c r="F9" s="63">
        <v>0</v>
      </c>
      <c r="H9" s="3"/>
      <c r="I9" s="3"/>
      <c r="J9" s="62" t="s">
        <v>114</v>
      </c>
      <c r="K9">
        <v>0</v>
      </c>
      <c r="L9" s="52" t="s">
        <v>114</v>
      </c>
      <c r="M9" s="63">
        <v>0</v>
      </c>
    </row>
    <row r="10" spans="1:17">
      <c r="A10" s="3"/>
      <c r="B10" s="3"/>
      <c r="C10" s="71" t="s">
        <v>115</v>
      </c>
      <c r="D10" s="72">
        <v>-178.75</v>
      </c>
      <c r="E10" s="73" t="s">
        <v>115</v>
      </c>
      <c r="F10" s="74">
        <v>-178.75</v>
      </c>
      <c r="H10" s="3"/>
      <c r="I10" s="3"/>
      <c r="J10" s="71" t="s">
        <v>115</v>
      </c>
      <c r="K10" s="72">
        <f>5*D10</f>
        <v>-893.75</v>
      </c>
      <c r="L10" s="73" t="s">
        <v>115</v>
      </c>
      <c r="M10" s="74">
        <f>5*F10</f>
        <v>-893.75</v>
      </c>
    </row>
    <row r="11" spans="1:17">
      <c r="A11" s="3"/>
      <c r="B11" s="3"/>
      <c r="C11" s="3"/>
      <c r="H11" s="3"/>
      <c r="I11" s="3"/>
      <c r="J11" s="3"/>
    </row>
    <row r="12" spans="1:17">
      <c r="A12" s="150" t="s">
        <v>118</v>
      </c>
      <c r="B12" s="75"/>
      <c r="C12" s="59" t="s">
        <v>110</v>
      </c>
      <c r="D12" s="60"/>
      <c r="E12" s="61" t="s">
        <v>111</v>
      </c>
      <c r="F12" s="60"/>
      <c r="H12" s="76"/>
      <c r="I12" s="75"/>
      <c r="J12" s="46"/>
      <c r="L12" s="46"/>
    </row>
    <row r="13" spans="1:17">
      <c r="A13" s="151"/>
      <c r="B13" s="57"/>
      <c r="C13" s="62" t="s">
        <v>113</v>
      </c>
      <c r="D13">
        <v>0</v>
      </c>
      <c r="E13" s="52" t="s">
        <v>113</v>
      </c>
      <c r="F13" s="63">
        <v>0</v>
      </c>
      <c r="H13" s="77"/>
      <c r="I13" s="57"/>
    </row>
    <row r="14" spans="1:17">
      <c r="A14" t="s">
        <v>119</v>
      </c>
      <c r="C14" s="62" t="s">
        <v>114</v>
      </c>
      <c r="D14">
        <v>0</v>
      </c>
      <c r="E14" s="52" t="s">
        <v>114</v>
      </c>
      <c r="F14" s="63">
        <v>0</v>
      </c>
    </row>
    <row r="15" spans="1:17">
      <c r="C15" s="62" t="s">
        <v>115</v>
      </c>
      <c r="D15">
        <v>-97.150599999999997</v>
      </c>
      <c r="E15" s="52" t="s">
        <v>115</v>
      </c>
      <c r="F15" s="63">
        <v>-97.150599999999997</v>
      </c>
    </row>
    <row r="16" spans="1:17">
      <c r="A16" s="3"/>
      <c r="B16" s="3"/>
      <c r="C16" s="64"/>
      <c r="D16" s="65"/>
      <c r="E16" s="66"/>
      <c r="F16" s="67"/>
      <c r="H16" s="3"/>
      <c r="I16" s="3"/>
    </row>
    <row r="17" spans="1:13">
      <c r="A17" s="3"/>
      <c r="B17" s="3"/>
      <c r="C17" s="68" t="s">
        <v>116</v>
      </c>
      <c r="D17" s="69"/>
      <c r="E17" s="70" t="s">
        <v>117</v>
      </c>
      <c r="F17" s="69"/>
      <c r="H17" s="3"/>
      <c r="I17" s="3"/>
      <c r="J17" s="46"/>
      <c r="L17" s="46"/>
    </row>
    <row r="18" spans="1:13">
      <c r="A18" s="3"/>
      <c r="B18" s="3"/>
      <c r="C18" s="62" t="s">
        <v>113</v>
      </c>
      <c r="D18">
        <v>377.0566</v>
      </c>
      <c r="E18" s="52" t="s">
        <v>113</v>
      </c>
      <c r="F18" s="63">
        <v>377.0566</v>
      </c>
      <c r="H18" s="3"/>
      <c r="I18" s="3"/>
    </row>
    <row r="19" spans="1:13">
      <c r="A19" s="3"/>
      <c r="B19" s="3"/>
      <c r="C19" s="62" t="s">
        <v>114</v>
      </c>
      <c r="D19">
        <v>0</v>
      </c>
      <c r="E19" s="52" t="s">
        <v>114</v>
      </c>
      <c r="F19" s="63">
        <v>0</v>
      </c>
      <c r="H19" s="3"/>
      <c r="I19" s="3"/>
    </row>
    <row r="20" spans="1:13">
      <c r="A20" s="3"/>
      <c r="B20" s="3"/>
      <c r="C20" s="71" t="s">
        <v>115</v>
      </c>
      <c r="D20" s="72">
        <v>-277.8494</v>
      </c>
      <c r="E20" s="73" t="s">
        <v>115</v>
      </c>
      <c r="F20" s="74">
        <v>-277.8494</v>
      </c>
      <c r="H20" s="3"/>
      <c r="I20" s="3"/>
    </row>
    <row r="22" spans="1:13">
      <c r="A22" s="150" t="s">
        <v>120</v>
      </c>
      <c r="B22" s="75"/>
      <c r="C22" s="59" t="s">
        <v>110</v>
      </c>
      <c r="D22" s="60"/>
      <c r="E22" s="61" t="s">
        <v>111</v>
      </c>
      <c r="F22" s="60"/>
      <c r="H22" s="76"/>
      <c r="I22" s="75"/>
      <c r="J22" s="46"/>
      <c r="L22" s="46"/>
    </row>
    <row r="23" spans="1:13">
      <c r="A23" s="151"/>
      <c r="B23" s="57"/>
      <c r="C23" s="62" t="s">
        <v>113</v>
      </c>
      <c r="D23">
        <v>-453.39370000000002</v>
      </c>
      <c r="E23" s="52" t="s">
        <v>113</v>
      </c>
      <c r="F23" s="63">
        <v>-453.39370000000002</v>
      </c>
      <c r="H23" s="77"/>
      <c r="I23" s="57"/>
    </row>
    <row r="24" spans="1:13">
      <c r="A24" t="s">
        <v>121</v>
      </c>
      <c r="C24" s="62" t="s">
        <v>114</v>
      </c>
      <c r="D24">
        <v>0</v>
      </c>
      <c r="E24" s="52" t="s">
        <v>114</v>
      </c>
      <c r="F24" s="63">
        <v>0</v>
      </c>
    </row>
    <row r="25" spans="1:13">
      <c r="C25" s="62" t="s">
        <v>115</v>
      </c>
      <c r="D25">
        <v>-278.60289999999998</v>
      </c>
      <c r="E25" s="52" t="s">
        <v>115</v>
      </c>
      <c r="F25" s="63">
        <v>-278.60289999999998</v>
      </c>
    </row>
    <row r="26" spans="1:13">
      <c r="A26" s="3"/>
      <c r="B26" s="3"/>
      <c r="C26" s="64"/>
      <c r="D26" s="65"/>
      <c r="E26" s="66"/>
      <c r="F26" s="67"/>
      <c r="H26" s="3"/>
      <c r="I26" s="3"/>
    </row>
    <row r="27" spans="1:13">
      <c r="A27" s="3"/>
      <c r="B27" s="3"/>
      <c r="C27" s="68" t="s">
        <v>116</v>
      </c>
      <c r="D27" s="69"/>
      <c r="E27" s="70" t="s">
        <v>117</v>
      </c>
      <c r="F27" s="69"/>
      <c r="H27" s="3"/>
      <c r="I27" s="3"/>
      <c r="J27" s="46"/>
      <c r="L27" s="46"/>
    </row>
    <row r="28" spans="1:13">
      <c r="A28" s="3"/>
      <c r="B28" s="3"/>
      <c r="C28" s="62" t="s">
        <v>113</v>
      </c>
      <c r="D28">
        <v>-201.41890000000001</v>
      </c>
      <c r="E28" s="52" t="s">
        <v>113</v>
      </c>
      <c r="F28" s="63">
        <v>-201.41890000000001</v>
      </c>
      <c r="H28" s="3"/>
      <c r="I28" s="3"/>
    </row>
    <row r="29" spans="1:13">
      <c r="A29" s="3"/>
      <c r="B29" s="3"/>
      <c r="C29" s="62" t="s">
        <v>114</v>
      </c>
      <c r="D29">
        <v>0</v>
      </c>
      <c r="E29" s="52" t="s">
        <v>114</v>
      </c>
      <c r="F29" s="63">
        <v>0</v>
      </c>
      <c r="H29" s="3"/>
      <c r="I29" s="3"/>
    </row>
    <row r="30" spans="1:13">
      <c r="A30" s="3"/>
      <c r="B30" s="3"/>
      <c r="C30" s="71" t="s">
        <v>115</v>
      </c>
      <c r="D30" s="72">
        <v>-112.0312</v>
      </c>
      <c r="E30" s="73" t="s">
        <v>115</v>
      </c>
      <c r="F30" s="74">
        <v>-112.0312</v>
      </c>
      <c r="H30" s="3"/>
      <c r="I30" s="3"/>
    </row>
    <row r="32" spans="1:13" ht="14.65" customHeight="1">
      <c r="A32" s="150" t="s">
        <v>122</v>
      </c>
      <c r="B32" s="75"/>
      <c r="C32" s="59" t="s">
        <v>110</v>
      </c>
      <c r="D32" s="60"/>
      <c r="E32" s="61" t="s">
        <v>111</v>
      </c>
      <c r="F32" s="60"/>
      <c r="H32" s="152" t="s">
        <v>123</v>
      </c>
      <c r="I32" s="75"/>
      <c r="J32" s="59" t="s">
        <v>110</v>
      </c>
      <c r="K32" s="60"/>
      <c r="L32" s="61" t="s">
        <v>111</v>
      </c>
      <c r="M32" s="60"/>
    </row>
    <row r="33" spans="1:13">
      <c r="A33" s="151"/>
      <c r="B33" s="57"/>
      <c r="C33" s="62" t="s">
        <v>113</v>
      </c>
      <c r="D33">
        <v>0</v>
      </c>
      <c r="E33" s="52" t="s">
        <v>113</v>
      </c>
      <c r="F33" s="63">
        <v>0</v>
      </c>
      <c r="H33" s="153"/>
      <c r="I33" s="57"/>
      <c r="J33" s="62" t="s">
        <v>113</v>
      </c>
      <c r="K33">
        <v>0</v>
      </c>
      <c r="L33" s="52" t="s">
        <v>113</v>
      </c>
      <c r="M33" s="63">
        <v>0</v>
      </c>
    </row>
    <row r="34" spans="1:13">
      <c r="A34" t="s">
        <v>124</v>
      </c>
      <c r="C34" s="62" t="s">
        <v>114</v>
      </c>
      <c r="D34">
        <v>-75.8</v>
      </c>
      <c r="E34" s="52" t="s">
        <v>114</v>
      </c>
      <c r="F34" s="63">
        <v>-470.89</v>
      </c>
      <c r="J34" s="62" t="s">
        <v>114</v>
      </c>
      <c r="K34">
        <v>419.83</v>
      </c>
      <c r="L34" s="52" t="s">
        <v>114</v>
      </c>
      <c r="M34" s="63">
        <v>69.89</v>
      </c>
    </row>
    <row r="35" spans="1:13">
      <c r="C35" s="62" t="s">
        <v>115</v>
      </c>
      <c r="D35">
        <v>-39.119999999999997</v>
      </c>
      <c r="E35" s="52" t="s">
        <v>115</v>
      </c>
      <c r="F35" s="63">
        <v>-289.83999999999997</v>
      </c>
      <c r="J35" s="62" t="s">
        <v>115</v>
      </c>
      <c r="K35">
        <v>-256.56</v>
      </c>
      <c r="L35" s="52" t="s">
        <v>115</v>
      </c>
      <c r="M35" s="63">
        <v>-35.94</v>
      </c>
    </row>
    <row r="36" spans="1:13">
      <c r="A36" s="3"/>
      <c r="B36" s="3"/>
      <c r="C36" s="64"/>
      <c r="D36" s="65"/>
      <c r="E36" s="66"/>
      <c r="F36" s="67"/>
      <c r="H36" s="3"/>
      <c r="I36" s="3"/>
      <c r="J36" s="64"/>
      <c r="K36" s="65"/>
      <c r="L36" s="66"/>
      <c r="M36" s="67"/>
    </row>
    <row r="37" spans="1:13">
      <c r="A37" s="3"/>
      <c r="B37" s="3"/>
      <c r="C37" s="68" t="s">
        <v>116</v>
      </c>
      <c r="D37" s="69"/>
      <c r="E37" s="70" t="s">
        <v>117</v>
      </c>
      <c r="F37" s="69"/>
      <c r="H37" s="3"/>
      <c r="I37" s="3"/>
      <c r="J37" s="68" t="s">
        <v>116</v>
      </c>
      <c r="K37" s="69"/>
      <c r="L37" s="70" t="s">
        <v>117</v>
      </c>
      <c r="M37" s="69"/>
    </row>
    <row r="38" spans="1:13">
      <c r="A38" s="3"/>
      <c r="B38" s="3"/>
      <c r="C38" s="62" t="s">
        <v>113</v>
      </c>
      <c r="D38">
        <v>0</v>
      </c>
      <c r="E38" s="52" t="s">
        <v>113</v>
      </c>
      <c r="F38" s="63">
        <v>0</v>
      </c>
      <c r="H38" s="3"/>
      <c r="I38" s="3"/>
      <c r="J38" s="62" t="s">
        <v>113</v>
      </c>
      <c r="K38">
        <v>0</v>
      </c>
      <c r="L38" s="52" t="s">
        <v>113</v>
      </c>
      <c r="M38" s="63">
        <v>0</v>
      </c>
    </row>
    <row r="39" spans="1:13">
      <c r="A39" s="3"/>
      <c r="B39" s="3"/>
      <c r="C39" s="62" t="s">
        <v>114</v>
      </c>
      <c r="D39">
        <v>-117.2</v>
      </c>
      <c r="E39" s="52" t="s">
        <v>114</v>
      </c>
      <c r="F39" s="63">
        <v>-571.80999999999995</v>
      </c>
      <c r="H39" s="3"/>
      <c r="I39" s="3"/>
      <c r="J39" s="62" t="s">
        <v>114</v>
      </c>
      <c r="K39">
        <v>495.86</v>
      </c>
      <c r="L39" s="52" t="s">
        <v>114</v>
      </c>
      <c r="M39" s="63">
        <v>99.28</v>
      </c>
    </row>
    <row r="40" spans="1:13">
      <c r="A40" s="3"/>
      <c r="B40" s="3"/>
      <c r="C40" s="71" t="s">
        <v>115</v>
      </c>
      <c r="D40" s="72">
        <v>-62.01</v>
      </c>
      <c r="E40" s="73" t="s">
        <v>115</v>
      </c>
      <c r="F40" s="74">
        <v>-350.18</v>
      </c>
      <c r="H40" s="3"/>
      <c r="I40" s="3"/>
      <c r="J40" s="71" t="s">
        <v>115</v>
      </c>
      <c r="K40" s="72">
        <v>-305.52999999999997</v>
      </c>
      <c r="L40" s="73" t="s">
        <v>115</v>
      </c>
      <c r="M40" s="74">
        <v>-51.97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tabSelected="1" topLeftCell="F1" zoomScale="73" zoomScaleNormal="25" workbookViewId="0">
      <selection activeCell="I18" sqref="I18"/>
    </sheetView>
  </sheetViews>
  <sheetFormatPr defaultRowHeight="14.45"/>
  <cols>
    <col min="1" max="1" width="15" customWidth="1"/>
    <col min="2" max="2" width="18.7109375" customWidth="1"/>
    <col min="3" max="3" width="8.85546875" customWidth="1"/>
    <col min="4" max="4" width="27.42578125" customWidth="1"/>
    <col min="5" max="5" width="23.42578125" customWidth="1"/>
    <col min="6" max="6" width="29.28515625" customWidth="1"/>
    <col min="7" max="7" width="22.42578125" customWidth="1"/>
    <col min="8" max="8" width="20.7109375" customWidth="1"/>
    <col min="9" max="9" width="24.5703125" customWidth="1"/>
    <col min="10" max="10" width="23" customWidth="1"/>
  </cols>
  <sheetData>
    <row r="1" spans="1:10" ht="29.1">
      <c r="A1" s="157" t="s">
        <v>125</v>
      </c>
      <c r="B1" s="159" t="s">
        <v>126</v>
      </c>
      <c r="C1" s="88" t="s">
        <v>127</v>
      </c>
      <c r="D1" s="5" t="s">
        <v>128</v>
      </c>
      <c r="E1" s="5" t="s">
        <v>129</v>
      </c>
      <c r="F1" s="5" t="s">
        <v>130</v>
      </c>
      <c r="G1" s="88" t="s">
        <v>123</v>
      </c>
      <c r="H1" s="88" t="s">
        <v>112</v>
      </c>
      <c r="I1" s="5" t="s">
        <v>131</v>
      </c>
      <c r="J1" s="5" t="s">
        <v>132</v>
      </c>
    </row>
    <row r="2" spans="1:10" ht="15" thickBot="1">
      <c r="A2" s="158"/>
      <c r="B2" s="160"/>
      <c r="C2" s="89" t="s">
        <v>133</v>
      </c>
      <c r="D2" s="6" t="s">
        <v>133</v>
      </c>
      <c r="E2" s="6" t="s">
        <v>133</v>
      </c>
      <c r="F2" s="6" t="s">
        <v>133</v>
      </c>
      <c r="G2" s="89" t="s">
        <v>133</v>
      </c>
      <c r="H2" s="89" t="s">
        <v>133</v>
      </c>
      <c r="I2" s="6" t="s">
        <v>133</v>
      </c>
      <c r="J2" s="6" t="s">
        <v>133</v>
      </c>
    </row>
    <row r="3" spans="1:10">
      <c r="A3" s="161" t="s">
        <v>134</v>
      </c>
      <c r="B3" s="14" t="s">
        <v>135</v>
      </c>
      <c r="C3" s="2">
        <f>-'Tire Load Cases'!D3</f>
        <v>0</v>
      </c>
      <c r="D3" s="2">
        <f>-'Tire Load Cases'!D13</f>
        <v>0</v>
      </c>
      <c r="E3" s="2">
        <f>-'Tire Load Cases'!D23</f>
        <v>453.39370000000002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136</v>
      </c>
      <c r="J3" s="81" t="s">
        <v>136</v>
      </c>
    </row>
    <row r="4" spans="1:10">
      <c r="A4" s="162"/>
      <c r="B4" s="15" t="s">
        <v>137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-75.8</v>
      </c>
      <c r="G4" s="2">
        <f>'Tire Load Cases'!K34</f>
        <v>419.83</v>
      </c>
      <c r="H4" s="2">
        <f>'Tire Load Cases'!K4</f>
        <v>0</v>
      </c>
      <c r="I4" s="9" t="s">
        <v>136</v>
      </c>
      <c r="J4" s="82" t="s">
        <v>136</v>
      </c>
    </row>
    <row r="5" spans="1:10">
      <c r="A5" s="162"/>
      <c r="B5" s="18" t="s">
        <v>138</v>
      </c>
      <c r="C5" s="11">
        <f>-'Tire Load Cases'!D5</f>
        <v>146.25</v>
      </c>
      <c r="D5" s="2">
        <f>-'Tire Load Cases'!D15</f>
        <v>97.150599999999997</v>
      </c>
      <c r="E5" s="2">
        <f>-'Tire Load Cases'!D25</f>
        <v>278.60289999999998</v>
      </c>
      <c r="F5" s="2">
        <f>-'Tire Load Cases'!D35</f>
        <v>39.119999999999997</v>
      </c>
      <c r="G5" s="2">
        <f>-'Tire Load Cases'!K35</f>
        <v>256.56</v>
      </c>
      <c r="H5" s="79">
        <f>-'Tire Load Cases'!K5</f>
        <v>731.25</v>
      </c>
      <c r="I5" s="9" t="s">
        <v>136</v>
      </c>
      <c r="J5" s="82" t="s">
        <v>136</v>
      </c>
    </row>
    <row r="6" spans="1:10">
      <c r="A6" s="162"/>
      <c r="B6" s="16" t="s">
        <v>139</v>
      </c>
      <c r="C6" s="12">
        <v>-22.788136801499984</v>
      </c>
      <c r="D6" s="7">
        <v>-15.137648978788405</v>
      </c>
      <c r="E6" s="7">
        <v>194.12612252055962</v>
      </c>
      <c r="F6" s="7">
        <v>20.176877996422252</v>
      </c>
      <c r="G6" s="7">
        <v>-185.49004657475842</v>
      </c>
      <c r="H6" s="7">
        <v>-113.94068400749993</v>
      </c>
      <c r="I6" s="27">
        <f>IF(MIN(C6:H6)&lt;0, MIN(C6:H6), 0)</f>
        <v>-185.49004657475842</v>
      </c>
      <c r="J6" s="83">
        <f>IF(MAX(C6:H6)&gt;0, MAX(C6:H6), 0)</f>
        <v>194.12612252055962</v>
      </c>
    </row>
    <row r="7" spans="1:10">
      <c r="A7" s="162"/>
      <c r="B7" s="16" t="s">
        <v>140</v>
      </c>
      <c r="C7" s="12">
        <v>54.098146266935544</v>
      </c>
      <c r="D7" s="7">
        <v>35.936187136550757</v>
      </c>
      <c r="E7" s="7">
        <v>788.43200556869874</v>
      </c>
      <c r="F7" s="7">
        <v>-37.092540037867209</v>
      </c>
      <c r="G7" s="7">
        <v>380.49221148366104</v>
      </c>
      <c r="H7" s="7">
        <v>270.49073133467772</v>
      </c>
      <c r="I7" s="27">
        <f t="shared" ref="I7:I11" si="0">IF(MIN(C7:H7)&lt;0, MIN(C7:H7), 0)</f>
        <v>-37.092540037867209</v>
      </c>
      <c r="J7" s="83">
        <f t="shared" ref="J7:J11" si="1">IF(MAX(C7:H7)&gt;0, MAX(C7:H7), 0)</f>
        <v>788.43200556869874</v>
      </c>
    </row>
    <row r="8" spans="1:10">
      <c r="A8" s="162"/>
      <c r="B8" s="16" t="s">
        <v>141</v>
      </c>
      <c r="C8" s="12">
        <v>46.351128330659257</v>
      </c>
      <c r="D8" s="7">
        <v>30.79001660171313</v>
      </c>
      <c r="E8" s="7">
        <v>-888.01533725867</v>
      </c>
      <c r="F8" s="7">
        <v>-26.850258863419882</v>
      </c>
      <c r="G8" s="7">
        <v>298.6961458837647</v>
      </c>
      <c r="H8" s="7">
        <v>231.75564165329629</v>
      </c>
      <c r="I8" s="27">
        <f t="shared" si="0"/>
        <v>-888.01533725867</v>
      </c>
      <c r="J8" s="83">
        <f t="shared" si="1"/>
        <v>298.6961458837647</v>
      </c>
    </row>
    <row r="9" spans="1:10">
      <c r="A9" s="162"/>
      <c r="B9" s="16" t="s">
        <v>142</v>
      </c>
      <c r="C9" s="12">
        <v>49.846145719185515</v>
      </c>
      <c r="D9" s="7">
        <v>33.111678388419172</v>
      </c>
      <c r="E9" s="7">
        <v>-247.51938813763212</v>
      </c>
      <c r="F9" s="7">
        <v>67.014970485408128</v>
      </c>
      <c r="G9" s="7">
        <v>-209.88182386400084</v>
      </c>
      <c r="H9" s="7">
        <v>249.23072859592759</v>
      </c>
      <c r="I9" s="27">
        <f t="shared" si="0"/>
        <v>-247.51938813763212</v>
      </c>
      <c r="J9" s="83">
        <f t="shared" si="1"/>
        <v>249.23072859592759</v>
      </c>
    </row>
    <row r="10" spans="1:10">
      <c r="A10" s="162"/>
      <c r="B10" s="16" t="s">
        <v>143</v>
      </c>
      <c r="C10" s="12">
        <v>55.84362081920203</v>
      </c>
      <c r="D10" s="7">
        <v>37.095666794926281</v>
      </c>
      <c r="E10" s="7">
        <v>381.32221959580068</v>
      </c>
      <c r="F10" s="7">
        <v>66.704265838608706</v>
      </c>
      <c r="G10" s="7">
        <v>-188.75445558002127</v>
      </c>
      <c r="H10" s="7">
        <v>279.21810409601017</v>
      </c>
      <c r="I10" s="27">
        <f t="shared" si="0"/>
        <v>-188.75445558002127</v>
      </c>
      <c r="J10" s="83">
        <f t="shared" si="1"/>
        <v>381.32221959580068</v>
      </c>
    </row>
    <row r="11" spans="1:10" ht="15" thickBot="1">
      <c r="A11" s="163"/>
      <c r="B11" s="17" t="s">
        <v>144</v>
      </c>
      <c r="C11" s="13">
        <v>-178.38484683093284</v>
      </c>
      <c r="D11" s="8">
        <v>-118.49705914894513</v>
      </c>
      <c r="E11" s="8">
        <v>-307.18727786373381</v>
      </c>
      <c r="F11" s="8">
        <v>9.7679879239617726</v>
      </c>
      <c r="G11" s="8">
        <v>-631.31481534206989</v>
      </c>
      <c r="H11" s="8">
        <v>-891.9242341546643</v>
      </c>
      <c r="I11" s="80">
        <f t="shared" si="0"/>
        <v>-891.9242341546643</v>
      </c>
      <c r="J11" s="84">
        <f t="shared" si="1"/>
        <v>9.7679879239617726</v>
      </c>
    </row>
    <row r="12" spans="1:10">
      <c r="A12" s="164" t="s">
        <v>145</v>
      </c>
      <c r="B12" s="14" t="s">
        <v>135</v>
      </c>
      <c r="C12" s="2">
        <f>-'Tire Load Cases'!F3</f>
        <v>0</v>
      </c>
      <c r="D12" s="2">
        <f>-'Tire Load Cases'!F13</f>
        <v>0</v>
      </c>
      <c r="E12" s="2">
        <f>-'Tire Load Cases'!F23</f>
        <v>453.39370000000002</v>
      </c>
      <c r="F12" s="2">
        <f>-'Tire Load Cases'!F33</f>
        <v>0</v>
      </c>
      <c r="G12" s="2">
        <f>-'Tire Load Cases'!M33</f>
        <v>0</v>
      </c>
      <c r="H12" s="79">
        <f>-'Tire Load Cases'!M3</f>
        <v>0</v>
      </c>
      <c r="I12" s="10" t="s">
        <v>136</v>
      </c>
      <c r="J12" s="85" t="s">
        <v>136</v>
      </c>
    </row>
    <row r="13" spans="1:10">
      <c r="A13" s="162"/>
      <c r="B13" s="15" t="s">
        <v>137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-470.89</v>
      </c>
      <c r="G13" s="2">
        <f>'Tire Load Cases'!M34</f>
        <v>69.89</v>
      </c>
      <c r="H13" s="79">
        <f>'Tire Load Cases'!M4</f>
        <v>0</v>
      </c>
      <c r="I13" s="9" t="s">
        <v>136</v>
      </c>
      <c r="J13" s="82" t="s">
        <v>136</v>
      </c>
    </row>
    <row r="14" spans="1:10">
      <c r="A14" s="162"/>
      <c r="B14" s="15" t="s">
        <v>135</v>
      </c>
      <c r="C14" s="2">
        <f>-'Tire Load Cases'!F5</f>
        <v>146.25</v>
      </c>
      <c r="D14" s="2">
        <f>-'Tire Load Cases'!F15</f>
        <v>97.150599999999997</v>
      </c>
      <c r="E14" s="2">
        <f>-'Tire Load Cases'!F25</f>
        <v>278.60289999999998</v>
      </c>
      <c r="F14" s="2">
        <f>-'Tire Load Cases'!F35</f>
        <v>289.83999999999997</v>
      </c>
      <c r="G14" s="2">
        <f>-'Tire Load Cases'!M35</f>
        <v>35.94</v>
      </c>
      <c r="H14" s="79">
        <f>-'Tire Load Cases'!M5</f>
        <v>731.25</v>
      </c>
      <c r="I14" s="9" t="s">
        <v>136</v>
      </c>
      <c r="J14" s="82" t="s">
        <v>136</v>
      </c>
    </row>
    <row r="15" spans="1:10">
      <c r="A15" s="162"/>
      <c r="B15" s="16" t="s">
        <v>139</v>
      </c>
      <c r="C15" s="12">
        <v>-22.788136801499984</v>
      </c>
      <c r="D15" s="7">
        <v>-15.137648978788405</v>
      </c>
      <c r="E15" s="7">
        <v>194.12612252055962</v>
      </c>
      <c r="F15" s="7">
        <v>-208.37309891502312</v>
      </c>
      <c r="G15" s="7">
        <v>18.623957568300636</v>
      </c>
      <c r="H15" s="7">
        <v>-113.94068400749993</v>
      </c>
      <c r="I15" s="27">
        <f t="shared" ref="I15:I20" si="2">IF(MIN(C15:H15)&lt;0, MIN(C15:H15), 0)</f>
        <v>-208.37309891502312</v>
      </c>
      <c r="J15" s="83">
        <f t="shared" ref="J15:J20" si="3">IF(MAX(C15:H15)&gt;0, MAX(C15:H15), 0)</f>
        <v>194.12612252055962</v>
      </c>
    </row>
    <row r="16" spans="1:10">
      <c r="A16" s="162"/>
      <c r="B16" s="16" t="s">
        <v>140</v>
      </c>
      <c r="C16" s="12">
        <v>54.098146266935544</v>
      </c>
      <c r="D16" s="7">
        <v>35.936187136550757</v>
      </c>
      <c r="E16" s="7">
        <v>788.43200556869874</v>
      </c>
      <c r="F16" s="7">
        <v>427.53621165719574</v>
      </c>
      <c r="G16" s="7">
        <v>-34.248538694285472</v>
      </c>
      <c r="H16" s="7">
        <v>270.49073133467772</v>
      </c>
      <c r="I16" s="27">
        <f t="shared" si="2"/>
        <v>-34.248538694285472</v>
      </c>
      <c r="J16" s="83">
        <f t="shared" si="3"/>
        <v>788.43200556869874</v>
      </c>
    </row>
    <row r="17" spans="1:10" ht="15">
      <c r="A17" s="162"/>
      <c r="B17" s="16" t="s">
        <v>141</v>
      </c>
      <c r="C17" s="12">
        <v>46.351128330659257</v>
      </c>
      <c r="D17" s="7">
        <v>30.79001660171313</v>
      </c>
      <c r="E17" s="7">
        <v>-888.01533725867</v>
      </c>
      <c r="F17" s="7">
        <v>335.68203376654606</v>
      </c>
      <c r="G17" s="7">
        <v>-24.797951348621929</v>
      </c>
      <c r="H17" s="7">
        <v>231.75564165329629</v>
      </c>
      <c r="I17" s="27">
        <f t="shared" si="2"/>
        <v>-888.01533725867</v>
      </c>
      <c r="J17" s="83">
        <f t="shared" si="3"/>
        <v>335.68203376654606</v>
      </c>
    </row>
    <row r="18" spans="1:10" ht="15">
      <c r="A18" s="162"/>
      <c r="B18" s="16" t="s">
        <v>142</v>
      </c>
      <c r="C18" s="12">
        <v>49.846145719185515</v>
      </c>
      <c r="D18" s="7">
        <v>33.111678388419172</v>
      </c>
      <c r="E18" s="7">
        <v>-247.51938813763212</v>
      </c>
      <c r="F18" s="7">
        <v>-234.69988694993003</v>
      </c>
      <c r="G18" s="7">
        <v>61.745658315522682</v>
      </c>
      <c r="H18" s="7">
        <v>249.23072859592759</v>
      </c>
      <c r="I18" s="27">
        <f t="shared" si="2"/>
        <v>-247.51938813763212</v>
      </c>
      <c r="J18" s="83">
        <f t="shared" si="3"/>
        <v>249.23072859592759</v>
      </c>
    </row>
    <row r="19" spans="1:10" ht="15">
      <c r="A19" s="162"/>
      <c r="B19" s="16" t="s">
        <v>143</v>
      </c>
      <c r="C19" s="12">
        <v>55.84362081920203</v>
      </c>
      <c r="D19" s="7">
        <v>37.095666794926281</v>
      </c>
      <c r="E19" s="7">
        <v>381.32221959580068</v>
      </c>
      <c r="F19" s="7">
        <v>-210.91781969299919</v>
      </c>
      <c r="G19" s="7">
        <v>61.453852681851664</v>
      </c>
      <c r="H19" s="7">
        <v>279.21810409601017</v>
      </c>
      <c r="I19" s="27">
        <f t="shared" si="2"/>
        <v>-210.91781969299919</v>
      </c>
      <c r="J19" s="83">
        <f t="shared" si="3"/>
        <v>381.32221959580068</v>
      </c>
    </row>
    <row r="20" spans="1:10" ht="15" thickBot="1">
      <c r="A20" s="163"/>
      <c r="B20" s="17" t="s">
        <v>144</v>
      </c>
      <c r="C20" s="13">
        <v>-178.38484683093284</v>
      </c>
      <c r="D20" s="8">
        <v>-118.49705914894513</v>
      </c>
      <c r="E20" s="8">
        <v>-307.18727786373381</v>
      </c>
      <c r="F20" s="44">
        <v>-710.62911256108805</v>
      </c>
      <c r="G20" s="44">
        <v>9.164810410293672</v>
      </c>
      <c r="H20" s="8">
        <v>-891.9242341546643</v>
      </c>
      <c r="I20" s="80">
        <f t="shared" si="2"/>
        <v>-891.9242341546643</v>
      </c>
      <c r="J20" s="84">
        <f t="shared" si="3"/>
        <v>9.164810410293672</v>
      </c>
    </row>
    <row r="21" spans="1:10">
      <c r="A21" s="154" t="s">
        <v>146</v>
      </c>
      <c r="B21" s="14" t="s">
        <v>135</v>
      </c>
      <c r="C21" s="91">
        <f>-'Tire Load Cases'!D8</f>
        <v>0</v>
      </c>
      <c r="D21" s="1">
        <f>-'Tire Load Cases'!D18</f>
        <v>-377.0566</v>
      </c>
      <c r="E21" s="1">
        <f>-'Tire Load Cases'!D28</f>
        <v>201.41890000000001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136</v>
      </c>
      <c r="J21" s="85" t="s">
        <v>136</v>
      </c>
    </row>
    <row r="22" spans="1:10">
      <c r="A22" s="155"/>
      <c r="B22" s="15" t="s">
        <v>137</v>
      </c>
      <c r="C22" s="92">
        <f>'Tire Load Cases'!D9</f>
        <v>0</v>
      </c>
      <c r="D22" s="2">
        <f>'Tire Load Cases'!D19</f>
        <v>0</v>
      </c>
      <c r="E22" s="2">
        <f>'Tire Load Cases'!D29</f>
        <v>0</v>
      </c>
      <c r="F22" s="79">
        <f>'Tire Load Cases'!D39</f>
        <v>-117.2</v>
      </c>
      <c r="G22" s="2">
        <f>'Tire Load Cases'!K39</f>
        <v>495.86</v>
      </c>
      <c r="H22" s="2">
        <f>'Tire Load Cases'!K9</f>
        <v>0</v>
      </c>
      <c r="I22" s="9" t="s">
        <v>136</v>
      </c>
      <c r="J22" s="82" t="s">
        <v>136</v>
      </c>
    </row>
    <row r="23" spans="1:10">
      <c r="A23" s="155"/>
      <c r="B23" s="15" t="s">
        <v>135</v>
      </c>
      <c r="C23" s="90">
        <f>-'Tire Load Cases'!D10</f>
        <v>178.75</v>
      </c>
      <c r="D23" s="79">
        <f>-'Tire Load Cases'!D20</f>
        <v>277.8494</v>
      </c>
      <c r="E23" s="79">
        <f>-'Tire Load Cases'!D30</f>
        <v>112.0312</v>
      </c>
      <c r="F23" s="79">
        <f>-'Tire Load Cases'!D40</f>
        <v>62.01</v>
      </c>
      <c r="G23" s="79">
        <f>-'Tire Load Cases'!K40</f>
        <v>305.52999999999997</v>
      </c>
      <c r="H23" s="79">
        <f>-'Tire Load Cases'!K10</f>
        <v>893.75</v>
      </c>
      <c r="I23" s="9" t="s">
        <v>136</v>
      </c>
      <c r="J23" s="82" t="s">
        <v>136</v>
      </c>
    </row>
    <row r="24" spans="1:10">
      <c r="A24" s="155"/>
      <c r="B24" s="16" t="s">
        <v>147</v>
      </c>
      <c r="C24" s="12">
        <v>3.9909859235199718</v>
      </c>
      <c r="D24" s="7">
        <v>161.67111400716325</v>
      </c>
      <c r="E24" s="7">
        <v>-80.547452384382751</v>
      </c>
      <c r="F24" s="7">
        <v>-64.290260098550291</v>
      </c>
      <c r="G24" s="7">
        <v>284.68418007815671</v>
      </c>
      <c r="H24" s="7">
        <v>19.954929617599859</v>
      </c>
      <c r="I24" s="27">
        <f t="shared" ref="I24:I29" si="4">IF(MIN(C24:H24)&lt;0, MIN(C24:H24), 0)</f>
        <v>-80.547452384382751</v>
      </c>
      <c r="J24" s="83">
        <f t="shared" ref="J24:J29" si="5">IF(MAX(C24:H24)&gt;0, MAX(C24:H24), 0)</f>
        <v>284.68418007815671</v>
      </c>
    </row>
    <row r="25" spans="1:10">
      <c r="A25" s="155"/>
      <c r="B25" s="16" t="s">
        <v>140</v>
      </c>
      <c r="C25" s="12">
        <v>-0.38948433472984512</v>
      </c>
      <c r="D25" s="7">
        <v>-806.19256536358682</v>
      </c>
      <c r="E25" s="7">
        <v>430.0904290978927</v>
      </c>
      <c r="F25" s="7">
        <v>-17.394454950732889</v>
      </c>
      <c r="G25" s="7">
        <v>72.356591165614347</v>
      </c>
      <c r="H25" s="7">
        <v>-1.9474216736492256</v>
      </c>
      <c r="I25" s="27">
        <f t="shared" si="4"/>
        <v>-806.19256536358682</v>
      </c>
      <c r="J25" s="83">
        <f t="shared" si="5"/>
        <v>430.0904290978927</v>
      </c>
    </row>
    <row r="26" spans="1:10">
      <c r="A26" s="155"/>
      <c r="B26" s="16" t="s">
        <v>141</v>
      </c>
      <c r="C26" s="12">
        <v>79.54378528722691</v>
      </c>
      <c r="D26" s="7">
        <v>715.96568107598227</v>
      </c>
      <c r="E26" s="7">
        <v>-266.55741049663993</v>
      </c>
      <c r="F26" s="7">
        <v>-15.699873981113939</v>
      </c>
      <c r="G26" s="7">
        <v>319.13437071880151</v>
      </c>
      <c r="H26" s="7">
        <v>397.71892643613455</v>
      </c>
      <c r="I26" s="27">
        <f t="shared" si="4"/>
        <v>-266.55741049663993</v>
      </c>
      <c r="J26" s="83">
        <f t="shared" si="5"/>
        <v>715.96568107598227</v>
      </c>
    </row>
    <row r="27" spans="1:10">
      <c r="A27" s="155"/>
      <c r="B27" s="16" t="s">
        <v>142</v>
      </c>
      <c r="C27" s="12">
        <v>67.47097958135096</v>
      </c>
      <c r="D27" s="7">
        <v>401.60089089573518</v>
      </c>
      <c r="E27" s="7">
        <v>-116.21885388197305</v>
      </c>
      <c r="F27" s="7">
        <v>63.741960130827572</v>
      </c>
      <c r="G27" s="7">
        <v>-55.330289581229266</v>
      </c>
      <c r="H27" s="7">
        <v>337.35489790675479</v>
      </c>
      <c r="I27" s="27">
        <f t="shared" si="4"/>
        <v>-116.21885388197305</v>
      </c>
      <c r="J27" s="83">
        <f t="shared" si="5"/>
        <v>401.60089089573518</v>
      </c>
    </row>
    <row r="28" spans="1:10">
      <c r="A28" s="155"/>
      <c r="B28" s="16" t="s">
        <v>143</v>
      </c>
      <c r="C28" s="12">
        <v>74.767025303592547</v>
      </c>
      <c r="D28" s="7">
        <v>-277.93164993881072</v>
      </c>
      <c r="E28" s="7">
        <v>257.40989087353489</v>
      </c>
      <c r="F28" s="7">
        <v>169.82236567553414</v>
      </c>
      <c r="G28" s="7">
        <v>-480.96505868482478</v>
      </c>
      <c r="H28" s="7">
        <v>373.83512651796269</v>
      </c>
      <c r="I28" s="27">
        <f t="shared" si="4"/>
        <v>-480.96505868482478</v>
      </c>
      <c r="J28" s="83">
        <f t="shared" si="5"/>
        <v>373.83512651796269</v>
      </c>
    </row>
    <row r="29" spans="1:10" ht="15" thickBot="1">
      <c r="A29" s="156"/>
      <c r="B29" s="17" t="s">
        <v>144</v>
      </c>
      <c r="C29" s="43">
        <v>-235.30525009332123</v>
      </c>
      <c r="D29" s="44">
        <v>-298.77569764538202</v>
      </c>
      <c r="E29" s="44">
        <v>-183.25873103156002</v>
      </c>
      <c r="F29" s="44">
        <v>4.4974597648350922</v>
      </c>
      <c r="G29" s="44">
        <v>-766.59115064714854</v>
      </c>
      <c r="H29" s="7">
        <v>-1176.5262504666061</v>
      </c>
      <c r="I29" s="27">
        <f t="shared" si="4"/>
        <v>-1176.5262504666061</v>
      </c>
      <c r="J29" s="83">
        <f t="shared" si="5"/>
        <v>4.4974597648350922</v>
      </c>
    </row>
    <row r="30" spans="1:10">
      <c r="A30" s="154" t="s">
        <v>148</v>
      </c>
      <c r="B30" s="14" t="s">
        <v>135</v>
      </c>
      <c r="C30" s="91">
        <f>-'Tire Load Cases'!F8</f>
        <v>0</v>
      </c>
      <c r="D30" s="1">
        <f>-'Tire Load Cases'!F18</f>
        <v>-377.0566</v>
      </c>
      <c r="E30" s="1">
        <f>-'Tire Load Cases'!F28</f>
        <v>201.41890000000001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"/>
      <c r="J30" s="86"/>
    </row>
    <row r="31" spans="1:10">
      <c r="A31" s="155"/>
      <c r="B31" s="15" t="s">
        <v>137</v>
      </c>
      <c r="C31" s="92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-571.80999999999995</v>
      </c>
      <c r="G31" s="2">
        <f>'Tire Load Cases'!M39</f>
        <v>99.28</v>
      </c>
      <c r="H31" s="2">
        <f>'Tire Load Cases'!M9</f>
        <v>0</v>
      </c>
      <c r="I31" s="2"/>
      <c r="J31" s="87"/>
    </row>
    <row r="32" spans="1:10">
      <c r="A32" s="155"/>
      <c r="B32" s="15" t="s">
        <v>135</v>
      </c>
      <c r="C32" s="90">
        <f>-'Tire Load Cases'!F10</f>
        <v>178.75</v>
      </c>
      <c r="D32" s="79">
        <f>-'Tire Load Cases'!F20</f>
        <v>277.8494</v>
      </c>
      <c r="E32" s="79">
        <f>-'Tire Load Cases'!F30</f>
        <v>112.0312</v>
      </c>
      <c r="F32" s="79">
        <f>-'Tire Load Cases'!F40</f>
        <v>350.18</v>
      </c>
      <c r="G32" s="79">
        <f>-'Tire Load Cases'!M40</f>
        <v>51.97</v>
      </c>
      <c r="H32" s="79">
        <f>-'Tire Load Cases'!M10</f>
        <v>893.75</v>
      </c>
      <c r="I32" s="2"/>
      <c r="J32" s="87"/>
    </row>
    <row r="33" spans="1:10">
      <c r="A33" s="155"/>
      <c r="B33" s="16" t="s">
        <v>147</v>
      </c>
      <c r="C33" s="12">
        <v>3.9909859235199718</v>
      </c>
      <c r="D33" s="7">
        <v>161.67111400716325</v>
      </c>
      <c r="E33" s="7">
        <v>-80.547452384382751</v>
      </c>
      <c r="F33" s="7">
        <v>328.24080546426649</v>
      </c>
      <c r="G33" s="7">
        <v>-54.472685641477497</v>
      </c>
      <c r="H33" s="7">
        <v>19.954929617599859</v>
      </c>
      <c r="I33" s="27">
        <f t="shared" ref="I33:I38" si="6">IF(MIN(C33:H33)&lt;0, MIN(C33:H33), 0)</f>
        <v>-80.547452384382751</v>
      </c>
      <c r="J33" s="83">
        <f t="shared" ref="J33:J38" si="7">IF(MAX(C33:H33)&gt;0, MAX(C33:H33), 0)</f>
        <v>328.24080546426649</v>
      </c>
    </row>
    <row r="34" spans="1:10">
      <c r="A34" s="155"/>
      <c r="B34" s="16" t="s">
        <v>140</v>
      </c>
      <c r="C34" s="12">
        <v>-0.38948433472984512</v>
      </c>
      <c r="D34" s="7">
        <v>-806.19256536358682</v>
      </c>
      <c r="E34" s="7">
        <v>430.0904290978927</v>
      </c>
      <c r="F34" s="7">
        <v>83.444001616148611</v>
      </c>
      <c r="G34" s="7">
        <v>-14.733607810218739</v>
      </c>
      <c r="H34" s="7">
        <v>-1.9474216736492256</v>
      </c>
      <c r="I34" s="27">
        <f t="shared" si="6"/>
        <v>-806.19256536358682</v>
      </c>
      <c r="J34" s="83">
        <f t="shared" si="7"/>
        <v>430.0904290978927</v>
      </c>
    </row>
    <row r="35" spans="1:10">
      <c r="A35" s="155"/>
      <c r="B35" s="16" t="s">
        <v>141</v>
      </c>
      <c r="C35" s="12">
        <v>79.54378528722691</v>
      </c>
      <c r="D35" s="7">
        <v>715.96568107598227</v>
      </c>
      <c r="E35" s="7">
        <v>-266.55741049663993</v>
      </c>
      <c r="F35" s="7">
        <v>367.05998479006939</v>
      </c>
      <c r="G35" s="7">
        <v>-13.54792762601754</v>
      </c>
      <c r="H35" s="7">
        <v>397.71892643613455</v>
      </c>
      <c r="I35" s="27">
        <f t="shared" si="6"/>
        <v>-266.55741049663993</v>
      </c>
      <c r="J35" s="83">
        <f t="shared" si="7"/>
        <v>715.96568107598227</v>
      </c>
    </row>
    <row r="36" spans="1:10">
      <c r="A36" s="155"/>
      <c r="B36" s="16" t="s">
        <v>142</v>
      </c>
      <c r="C36" s="12">
        <v>67.47097958135096</v>
      </c>
      <c r="D36" s="7">
        <v>401.60089089573518</v>
      </c>
      <c r="E36" s="7">
        <v>-116.21885388197305</v>
      </c>
      <c r="F36" s="7">
        <v>-64.615723979157082</v>
      </c>
      <c r="G36" s="7">
        <v>53.784897157530722</v>
      </c>
      <c r="H36" s="7">
        <v>337.35489790675479</v>
      </c>
      <c r="I36" s="27">
        <f t="shared" si="6"/>
        <v>-116.21885388197305</v>
      </c>
      <c r="J36" s="83">
        <f t="shared" si="7"/>
        <v>401.60089089573518</v>
      </c>
    </row>
    <row r="37" spans="1:10">
      <c r="A37" s="155"/>
      <c r="B37" s="16" t="s">
        <v>143</v>
      </c>
      <c r="C37" s="12">
        <v>74.767025303592547</v>
      </c>
      <c r="D37" s="7">
        <v>-277.93164993881072</v>
      </c>
      <c r="E37" s="7">
        <v>257.40989087353489</v>
      </c>
      <c r="F37" s="7">
        <v>-555.53187274854497</v>
      </c>
      <c r="G37" s="7">
        <v>143.6226993752374</v>
      </c>
      <c r="H37" s="7">
        <v>373.83512651796269</v>
      </c>
      <c r="I37" s="27">
        <f t="shared" si="6"/>
        <v>-555.53187274854497</v>
      </c>
      <c r="J37" s="83">
        <f t="shared" si="7"/>
        <v>373.83512651796269</v>
      </c>
    </row>
    <row r="38" spans="1:10" ht="15" thickBot="1">
      <c r="A38" s="156"/>
      <c r="B38" s="17" t="s">
        <v>144</v>
      </c>
      <c r="C38" s="45">
        <v>-235.30525009332123</v>
      </c>
      <c r="D38" s="8">
        <v>-298.77569764538202</v>
      </c>
      <c r="E38" s="8">
        <v>-183.25873103156002</v>
      </c>
      <c r="F38" s="8">
        <v>-881.18162149341549</v>
      </c>
      <c r="G38" s="8">
        <v>4.5451405800616982</v>
      </c>
      <c r="H38" s="8">
        <v>-1176.5262504666061</v>
      </c>
      <c r="I38" s="80">
        <f t="shared" si="6"/>
        <v>-1176.5262504666061</v>
      </c>
      <c r="J38" s="84">
        <f t="shared" si="7"/>
        <v>4.5451405800616982</v>
      </c>
    </row>
    <row r="39" spans="1:10">
      <c r="A39" t="s">
        <v>149</v>
      </c>
    </row>
    <row r="41" spans="1:10">
      <c r="A41" s="46" t="s">
        <v>150</v>
      </c>
    </row>
    <row r="42" spans="1:10">
      <c r="A42" t="s">
        <v>151</v>
      </c>
    </row>
    <row r="57" spans="1:1">
      <c r="A57" t="s">
        <v>152</v>
      </c>
    </row>
    <row r="75" spans="1:1">
      <c r="A75" s="46" t="s">
        <v>153</v>
      </c>
    </row>
    <row r="76" spans="1:1">
      <c r="A76" t="s">
        <v>151</v>
      </c>
    </row>
    <row r="91" spans="1:1">
      <c r="A91" t="s">
        <v>152</v>
      </c>
    </row>
    <row r="107" spans="1:1">
      <c r="A107" s="46" t="s">
        <v>154</v>
      </c>
    </row>
    <row r="108" spans="1:1">
      <c r="A108" t="s">
        <v>151</v>
      </c>
    </row>
    <row r="121" spans="1:1">
      <c r="A121" t="s">
        <v>152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6"/>
  <sheetViews>
    <sheetView workbookViewId="0">
      <selection activeCell="P27" sqref="P27"/>
    </sheetView>
  </sheetViews>
  <sheetFormatPr defaultRowHeight="14.45"/>
  <cols>
    <col min="2" max="2" width="14.140625" customWidth="1"/>
    <col min="3" max="3" width="17" customWidth="1"/>
    <col min="4" max="4" width="15.5703125" customWidth="1"/>
    <col min="7" max="7" width="14.7109375" customWidth="1"/>
    <col min="15" max="15" width="19" customWidth="1"/>
    <col min="16" max="16" width="18.42578125" customWidth="1"/>
    <col min="18" max="18" width="12.42578125" customWidth="1"/>
    <col min="22" max="22" width="23.42578125" customWidth="1"/>
  </cols>
  <sheetData>
    <row r="1" spans="1:25" ht="43.9" customHeight="1" thickBot="1">
      <c r="A1" s="4" t="s">
        <v>125</v>
      </c>
      <c r="B1" s="5" t="s">
        <v>126</v>
      </c>
      <c r="C1" s="5" t="s">
        <v>155</v>
      </c>
      <c r="D1" s="5" t="s">
        <v>156</v>
      </c>
      <c r="E1" s="5" t="s">
        <v>157</v>
      </c>
      <c r="F1" s="5" t="s">
        <v>158</v>
      </c>
      <c r="G1" s="5" t="s">
        <v>159</v>
      </c>
      <c r="H1" s="5" t="s">
        <v>160</v>
      </c>
      <c r="I1" s="5" t="s">
        <v>161</v>
      </c>
      <c r="J1" s="5" t="s">
        <v>162</v>
      </c>
      <c r="K1" s="5" t="s">
        <v>163</v>
      </c>
      <c r="L1" s="5" t="s">
        <v>164</v>
      </c>
      <c r="M1" s="5" t="s">
        <v>165</v>
      </c>
      <c r="N1" s="5" t="s">
        <v>166</v>
      </c>
      <c r="O1" s="5" t="s">
        <v>167</v>
      </c>
      <c r="P1" s="5" t="s">
        <v>168</v>
      </c>
      <c r="Q1" s="5" t="s">
        <v>169</v>
      </c>
      <c r="R1" s="5" t="s">
        <v>170</v>
      </c>
      <c r="S1" s="5" t="s">
        <v>171</v>
      </c>
      <c r="T1" s="5" t="s">
        <v>172</v>
      </c>
      <c r="U1" s="28" t="s">
        <v>173</v>
      </c>
    </row>
    <row r="2" spans="1:25" ht="15" thickBot="1">
      <c r="A2" s="168" t="s">
        <v>151</v>
      </c>
      <c r="B2" s="23" t="s">
        <v>139</v>
      </c>
      <c r="C2" s="19">
        <f>MAX(ABS('Geo Forces'!I6),ABS('Geo Forces'!I15))</f>
        <v>208.37309891502312</v>
      </c>
      <c r="D2" s="19">
        <f>MAX(ABS('Geo Forces'!J6),ABS('Geo Forces'!J15))</f>
        <v>194.12612252055962</v>
      </c>
      <c r="E2" s="19">
        <v>10.1089</v>
      </c>
      <c r="F2" s="29">
        <v>0.375</v>
      </c>
      <c r="G2" s="29">
        <v>0.16600000000000001</v>
      </c>
      <c r="H2" s="7">
        <f>PI()*((F2/2)^2-(F2/2-G2)^2)</f>
        <v>0.10899441552364429</v>
      </c>
      <c r="I2" s="7">
        <f>H2*E2</f>
        <v>1.1018136470869677</v>
      </c>
      <c r="J2" s="31">
        <f>I2*$W$4</f>
        <v>0.31247435031386406</v>
      </c>
      <c r="K2" s="30">
        <f>PI()*(F2^4-(F2-(2*G2))^4)/64</f>
        <v>9.7055439733223091E-4</v>
      </c>
      <c r="L2" s="42">
        <f>0.282*SQRT($W$6*1000*H2/C2)</f>
        <v>35.168014133155246</v>
      </c>
      <c r="M2" s="26">
        <f>SQRT(2*PI()^2*U2*$W$6*1000/C2)</f>
        <v>1678.2686577927568</v>
      </c>
      <c r="N2" s="30">
        <f>E2/SQRT(K2/H2)</f>
        <v>107.12629452561642</v>
      </c>
      <c r="O2" s="30">
        <f>H2*($W$5-($W$5*E2/(2*PI()*SQRT(K2/H2))^2/(U2*$W$6*1000)))</f>
        <v>7271.8125165488664</v>
      </c>
      <c r="P2" s="30">
        <f>U2*PI()^2*$W$6*1000*K2/E2^2</f>
        <v>2787.0624739473824</v>
      </c>
      <c r="Q2" s="26">
        <f>I2/E2*$W$5</f>
        <v>7271.8195494861475</v>
      </c>
      <c r="R2" s="148">
        <f>MIN(ABS(P2/C2),ABS(Q2/C2),ABS(Q2/D2))</f>
        <v>13.375346858396426</v>
      </c>
      <c r="S2" s="26">
        <f>$W$7/(MAX(C3:D3)/H3)</f>
        <v>7.3283870465405716</v>
      </c>
      <c r="T2" s="21" t="s">
        <v>174</v>
      </c>
      <c r="U2" s="98">
        <v>1</v>
      </c>
      <c r="V2" s="3"/>
      <c r="W2" s="3"/>
      <c r="X2" s="3"/>
    </row>
    <row r="3" spans="1:25" ht="15" thickBot="1">
      <c r="A3" s="169"/>
      <c r="B3" s="24" t="s">
        <v>140</v>
      </c>
      <c r="C3" s="20">
        <f>MAX(ABS('Geo Forces'!I7),ABS('Geo Forces'!I16))</f>
        <v>37.092540037867209</v>
      </c>
      <c r="D3" s="20">
        <f>MAX(ABS('Geo Forces'!J7),ABS('Geo Forces'!J16))</f>
        <v>788.43200556869874</v>
      </c>
      <c r="E3" s="20">
        <v>11.1532</v>
      </c>
      <c r="F3" s="29">
        <v>0.375</v>
      </c>
      <c r="G3" s="29">
        <v>0.16600000000000001</v>
      </c>
      <c r="H3" s="7">
        <f t="shared" ref="H3:H13" si="0">PI()*((F3/2)^2-(F3/2-G3)^2)</f>
        <v>0.10899441552364429</v>
      </c>
      <c r="I3" s="7">
        <f t="shared" ref="I3:I13" si="1">H3*E3</f>
        <v>1.2156365152183095</v>
      </c>
      <c r="J3" s="31">
        <f>I3*$W$4</f>
        <v>0.34475451571591259</v>
      </c>
      <c r="K3" s="30">
        <f t="shared" ref="K3:K13" si="2">PI()*(F3^4-(F3-(2*G3))^4)/64</f>
        <v>9.7055439733223091E-4</v>
      </c>
      <c r="L3" s="42">
        <f>0.282*SQRT($W$6*1000*H3/C3)</f>
        <v>83.3537961453967</v>
      </c>
      <c r="M3" s="26">
        <f>SQRT(2*PI()^2*U3*$W$6*1000/C3)</f>
        <v>4357.4222361757438</v>
      </c>
      <c r="N3" s="30">
        <f t="shared" ref="N3:N13" si="3">E3/SQRT(K3/H3)</f>
        <v>118.19297728764801</v>
      </c>
      <c r="O3" s="30">
        <f>H3*($W$5-($W$5*E3/(2*PI()*SQRT(K3/H3))^2/(U3*$W$6*1000)))</f>
        <v>7271.8130832570423</v>
      </c>
      <c r="P3" s="30">
        <f>U3*PI()^2*$W$6*1000*K3/E3^2</f>
        <v>2747.4941130715697</v>
      </c>
      <c r="Q3" s="26">
        <f t="shared" ref="Q3:Q13" si="4">I3/E3*$W$5</f>
        <v>7271.8195494861493</v>
      </c>
      <c r="R3" s="148">
        <f t="shared" ref="R3:R13" si="5">MIN(ABS(P3/C3),ABS(Q3/C3),ABS(Q3/D3))</f>
        <v>9.2231409913920999</v>
      </c>
      <c r="S3" s="26">
        <f t="shared" ref="S3:S12" si="6">$W$7/(MAX(C4:D4)/H4)</f>
        <v>6.5065710627524904</v>
      </c>
      <c r="T3" s="19" t="s">
        <v>175</v>
      </c>
      <c r="U3" s="32">
        <v>1.2</v>
      </c>
      <c r="V3" s="165" t="s">
        <v>176</v>
      </c>
      <c r="W3" s="166"/>
      <c r="X3" s="167"/>
    </row>
    <row r="4" spans="1:25" ht="15" thickBot="1">
      <c r="A4" s="169"/>
      <c r="B4" s="24" t="s">
        <v>141</v>
      </c>
      <c r="C4" s="20">
        <f>MAX(ABS('Geo Forces'!I8),ABS('Geo Forces'!I17))</f>
        <v>888.01533725867</v>
      </c>
      <c r="D4" s="20">
        <f>MAX(ABS('Geo Forces'!J8),ABS('Geo Forces'!J17))</f>
        <v>335.68203376654606</v>
      </c>
      <c r="E4" s="20">
        <v>11.0952</v>
      </c>
      <c r="F4" s="29">
        <v>0.375</v>
      </c>
      <c r="G4" s="29">
        <v>0.16600000000000001</v>
      </c>
      <c r="H4" s="7">
        <f t="shared" si="0"/>
        <v>0.10899441552364429</v>
      </c>
      <c r="I4" s="7">
        <f t="shared" si="1"/>
        <v>1.2093148391179382</v>
      </c>
      <c r="J4" s="31">
        <f>I4*$W$4</f>
        <v>0.34296168837384733</v>
      </c>
      <c r="K4" s="30">
        <f t="shared" si="2"/>
        <v>9.7055439733223091E-4</v>
      </c>
      <c r="L4" s="42">
        <f>0.282*SQRT($W$6*1000*H4/C4)</f>
        <v>17.035639344769191</v>
      </c>
      <c r="M4" s="26">
        <f>SQRT(2*PI()^2*U4*$W$6*1000/C4)</f>
        <v>890.55900416200984</v>
      </c>
      <c r="N4" s="30">
        <f t="shared" si="3"/>
        <v>117.578338199074</v>
      </c>
      <c r="O4" s="30">
        <f>H4*($W$5-($W$5*E4/(2*PI()*SQRT(K4/H4))^2/(U4*$W$6*1000)))</f>
        <v>7271.8131168833806</v>
      </c>
      <c r="P4" s="30">
        <f>U4*PI()^2*$W$6*1000*K4/E4^2</f>
        <v>2776.2941654658157</v>
      </c>
      <c r="Q4" s="26">
        <f t="shared" si="4"/>
        <v>7271.8195494861502</v>
      </c>
      <c r="R4" s="148">
        <f t="shared" si="5"/>
        <v>3.1264033952795445</v>
      </c>
      <c r="S4" s="26">
        <f t="shared" si="6"/>
        <v>23.18307589613196</v>
      </c>
      <c r="T4" s="19" t="s">
        <v>175</v>
      </c>
      <c r="U4" s="32">
        <v>1.2</v>
      </c>
      <c r="V4" s="33" t="s">
        <v>177</v>
      </c>
      <c r="W4" s="34">
        <v>0.28360000000000002</v>
      </c>
      <c r="X4" s="35" t="s">
        <v>178</v>
      </c>
    </row>
    <row r="5" spans="1:25" ht="15" thickBot="1">
      <c r="A5" s="169"/>
      <c r="B5" s="24" t="s">
        <v>142</v>
      </c>
      <c r="C5" s="20">
        <f>MAX(ABS('Geo Forces'!I9),ABS('Geo Forces'!I18))</f>
        <v>247.51938813763212</v>
      </c>
      <c r="D5" s="20">
        <f>MAX(ABS('Geo Forces'!J9),ABS('Geo Forces'!J18))</f>
        <v>249.23072859592759</v>
      </c>
      <c r="E5" s="20">
        <v>9.9745000000000008</v>
      </c>
      <c r="F5" s="29">
        <v>0.375</v>
      </c>
      <c r="G5" s="29">
        <v>0.16600000000000001</v>
      </c>
      <c r="H5" s="7">
        <f t="shared" si="0"/>
        <v>0.10899441552364429</v>
      </c>
      <c r="I5" s="7">
        <f t="shared" si="1"/>
        <v>1.08716479764059</v>
      </c>
      <c r="J5" s="31">
        <f>I5*$W$4</f>
        <v>0.30831993661087137</v>
      </c>
      <c r="K5" s="30">
        <f t="shared" si="2"/>
        <v>9.7055439733223091E-4</v>
      </c>
      <c r="L5" s="42">
        <f>0.282*SQRT($W$6*1000*H5/C5)</f>
        <v>32.267406416876582</v>
      </c>
      <c r="M5" s="26">
        <f>SQRT(2*PI()^2*U5*$W$6*1000/C5)</f>
        <v>1686.8183661288817</v>
      </c>
      <c r="N5" s="30">
        <f t="shared" si="3"/>
        <v>105.70202739623113</v>
      </c>
      <c r="O5" s="30">
        <f>H5*($W$5-($W$5*E5/(2*PI()*SQRT(K5/H5))^2/(U5*$W$6*1000)))</f>
        <v>7271.8137666254233</v>
      </c>
      <c r="P5" s="30">
        <f>U5*PI()^2*$W$6*1000*K5/E5^2</f>
        <v>3435.2115030687382</v>
      </c>
      <c r="Q5" s="26">
        <f t="shared" si="4"/>
        <v>7271.8195494861493</v>
      </c>
      <c r="R5" s="148">
        <f t="shared" si="5"/>
        <v>13.878555247391786</v>
      </c>
      <c r="S5" s="26">
        <f t="shared" si="6"/>
        <v>15.152368783576874</v>
      </c>
      <c r="T5" s="19" t="s">
        <v>175</v>
      </c>
      <c r="U5" s="32">
        <v>1.2</v>
      </c>
      <c r="V5" s="33" t="s">
        <v>179</v>
      </c>
      <c r="W5" s="34">
        <v>66717.358999999997</v>
      </c>
      <c r="X5" s="35" t="s">
        <v>180</v>
      </c>
    </row>
    <row r="6" spans="1:25" ht="15" thickBot="1">
      <c r="A6" s="169"/>
      <c r="B6" s="24" t="s">
        <v>143</v>
      </c>
      <c r="C6" s="20">
        <f>MAX(ABS('Geo Forces'!I10),ABS('Geo Forces'!I19))</f>
        <v>210.91781969299919</v>
      </c>
      <c r="D6" s="20">
        <f>MAX(ABS('Geo Forces'!J10),ABS('Geo Forces'!J19))</f>
        <v>381.32221959580068</v>
      </c>
      <c r="E6" s="20">
        <v>10.076599999999999</v>
      </c>
      <c r="F6" s="29">
        <v>0.375</v>
      </c>
      <c r="G6" s="29">
        <v>0.16600000000000001</v>
      </c>
      <c r="H6" s="7">
        <f t="shared" si="0"/>
        <v>0.10899441552364429</v>
      </c>
      <c r="I6" s="7">
        <f t="shared" si="1"/>
        <v>1.0982931274655541</v>
      </c>
      <c r="J6" s="31">
        <f>I6*$W$4</f>
        <v>0.31147593094923115</v>
      </c>
      <c r="K6" s="30">
        <f t="shared" si="2"/>
        <v>9.7055439733223091E-4</v>
      </c>
      <c r="L6" s="42">
        <f>0.282*SQRT($W$6*1000*H6/C6)</f>
        <v>34.95521952561063</v>
      </c>
      <c r="M6" s="26">
        <f>SQRT(2*PI()^2*U6*$W$6*1000/C6)</f>
        <v>1827.3271029625696</v>
      </c>
      <c r="N6" s="30">
        <f t="shared" si="3"/>
        <v>106.78400413663466</v>
      </c>
      <c r="O6" s="30">
        <f>H6*($W$5-($W$5*E6/(2*PI()*SQRT(K6/H6))^2/(U6*$W$6*1000)))</f>
        <v>7271.8137074314718</v>
      </c>
      <c r="P6" s="30">
        <f>U6*PI()^2*$W$6*1000*K6/E6^2</f>
        <v>3365.9504025395427</v>
      </c>
      <c r="Q6" s="26">
        <f t="shared" si="4"/>
        <v>7271.8195494861502</v>
      </c>
      <c r="R6" s="148">
        <f t="shared" si="5"/>
        <v>15.958587128573782</v>
      </c>
      <c r="S6" s="26">
        <f t="shared" si="6"/>
        <v>6.4780557310047611</v>
      </c>
      <c r="T6" s="19" t="s">
        <v>175</v>
      </c>
      <c r="U6" s="32">
        <v>1.2</v>
      </c>
      <c r="V6" s="33" t="s">
        <v>181</v>
      </c>
      <c r="W6" s="34">
        <v>29732.736199999999</v>
      </c>
      <c r="X6" s="35" t="s">
        <v>182</v>
      </c>
    </row>
    <row r="7" spans="1:25" ht="15" thickBot="1">
      <c r="A7" s="170"/>
      <c r="B7" s="93" t="s">
        <v>144</v>
      </c>
      <c r="C7" s="21">
        <f>MAX(ABS('Geo Forces'!I11),ABS('Geo Forces'!I20))</f>
        <v>891.9242341546643</v>
      </c>
      <c r="D7" s="21">
        <f>MAX(ABS('Geo Forces'!J11),ABS('Geo Forces'!J20))</f>
        <v>9.7679879239617726</v>
      </c>
      <c r="E7" s="21">
        <v>13.303800000000001</v>
      </c>
      <c r="F7" s="29">
        <v>0.375</v>
      </c>
      <c r="G7" s="29">
        <v>0.16600000000000001</v>
      </c>
      <c r="H7" s="8">
        <f t="shared" si="0"/>
        <v>0.10899441552364429</v>
      </c>
      <c r="I7" s="8">
        <f t="shared" si="1"/>
        <v>1.4500399052434589</v>
      </c>
      <c r="J7" s="94">
        <f>I7*$W$4</f>
        <v>0.41123131712704497</v>
      </c>
      <c r="K7" s="95">
        <f t="shared" si="2"/>
        <v>9.7055439733223091E-4</v>
      </c>
      <c r="L7" s="96">
        <f>0.282*SQRT($W$6*1000*H7/C7)</f>
        <v>16.998268638535301</v>
      </c>
      <c r="M7" s="97">
        <f>SQRT(2*PI()^2*U7*$W$6*1000/C7)</f>
        <v>811.18204129417722</v>
      </c>
      <c r="N7" s="95">
        <f t="shared" si="3"/>
        <v>140.9833708029455</v>
      </c>
      <c r="O7" s="95">
        <f>H7*($W$5-($W$5*E7/(2*PI()*SQRT(K7/H7))^2/(U7*$W$6*1000)))</f>
        <v>7271.8102938014517</v>
      </c>
      <c r="P7" s="95">
        <f>U7*PI()^2*$W$6*1000*K7/E7^2</f>
        <v>1609.1743074604681</v>
      </c>
      <c r="Q7" s="97">
        <f t="shared" si="4"/>
        <v>7271.8195494861493</v>
      </c>
      <c r="R7" s="148">
        <f t="shared" si="5"/>
        <v>1.8041603152375261</v>
      </c>
      <c r="S7" s="97">
        <f t="shared" si="6"/>
        <v>17.602731898355223</v>
      </c>
      <c r="T7" s="21" t="s">
        <v>174</v>
      </c>
      <c r="U7" s="98">
        <v>1</v>
      </c>
      <c r="V7" s="36" t="s">
        <v>171</v>
      </c>
      <c r="W7" s="37">
        <v>53011.292999999998</v>
      </c>
      <c r="X7" s="38" t="s">
        <v>180</v>
      </c>
      <c r="Y7" s="102" t="s">
        <v>183</v>
      </c>
    </row>
    <row r="8" spans="1:25" ht="15" thickBot="1">
      <c r="A8" s="168" t="s">
        <v>152</v>
      </c>
      <c r="B8" s="25" t="s">
        <v>147</v>
      </c>
      <c r="C8" s="22">
        <f>MAX(ABS('Geo Forces'!I24),ABS('Geo Forces'!I33))</f>
        <v>80.547452384382751</v>
      </c>
      <c r="D8" s="22">
        <f>MAX(ABS('Geo Forces'!J24),ABS('Geo Forces'!J33))</f>
        <v>328.24080546426649</v>
      </c>
      <c r="E8" s="22">
        <v>9.6038999999999994</v>
      </c>
      <c r="F8" s="29">
        <v>0.375</v>
      </c>
      <c r="G8" s="29">
        <v>0.16600000000000001</v>
      </c>
      <c r="H8" s="39">
        <f t="shared" si="0"/>
        <v>0.10899441552364429</v>
      </c>
      <c r="I8" s="39">
        <f t="shared" si="1"/>
        <v>1.0467714672475275</v>
      </c>
      <c r="J8" s="99">
        <f>I8*$W$4</f>
        <v>0.29686438811139881</v>
      </c>
      <c r="K8" s="39">
        <f t="shared" si="2"/>
        <v>9.7055439733223091E-4</v>
      </c>
      <c r="L8" s="100">
        <f>0.282*SQRT($W$6*1000*H8/C8)</f>
        <v>56.564345482082494</v>
      </c>
      <c r="M8" s="26">
        <f>SQRT(2*PI()^2*U8*$W$6*1000/C8)</f>
        <v>2699.3326325367725</v>
      </c>
      <c r="N8" s="39">
        <f t="shared" si="3"/>
        <v>101.77469556475654</v>
      </c>
      <c r="O8" s="39">
        <f>H8*($W$5-($W$5*E8/(2*PI()*SQRT(K8/H8))^2/(U8*$W$6*1000)))</f>
        <v>7271.8128678861358</v>
      </c>
      <c r="P8" s="39">
        <f>U8*PI()^2*$W$6*1000*K8/E8^2</f>
        <v>3087.8716907923435</v>
      </c>
      <c r="Q8" s="26">
        <f t="shared" si="4"/>
        <v>7271.8195494861502</v>
      </c>
      <c r="R8" s="149">
        <f t="shared" si="5"/>
        <v>22.15391696715108</v>
      </c>
      <c r="S8" s="26">
        <f t="shared" si="6"/>
        <v>7.1669414292872453</v>
      </c>
      <c r="T8" s="21" t="s">
        <v>174</v>
      </c>
      <c r="U8" s="98">
        <v>1</v>
      </c>
      <c r="V8" s="3"/>
      <c r="W8" s="3"/>
      <c r="X8" s="3"/>
    </row>
    <row r="9" spans="1:25" ht="15" thickBot="1">
      <c r="A9" s="169"/>
      <c r="B9" s="24" t="s">
        <v>140</v>
      </c>
      <c r="C9" s="22">
        <f>MAX(ABS('Geo Forces'!I25),ABS('Geo Forces'!I34))</f>
        <v>806.19256536358682</v>
      </c>
      <c r="D9" s="22">
        <f>MAX(ABS('Geo Forces'!J25),ABS('Geo Forces'!J34))</f>
        <v>430.0904290978927</v>
      </c>
      <c r="E9" s="20">
        <v>12.9062</v>
      </c>
      <c r="F9" s="29">
        <v>0.375</v>
      </c>
      <c r="G9" s="29">
        <v>0.16600000000000001</v>
      </c>
      <c r="H9" s="7">
        <f t="shared" si="0"/>
        <v>0.10899441552364429</v>
      </c>
      <c r="I9" s="7">
        <f t="shared" si="1"/>
        <v>1.406703725631258</v>
      </c>
      <c r="J9" s="31">
        <f>I9*$W$4</f>
        <v>0.39894117658902478</v>
      </c>
      <c r="K9" s="30">
        <f t="shared" si="2"/>
        <v>9.7055439733223091E-4</v>
      </c>
      <c r="L9" s="100">
        <f>0.282*SQRT($W$6*1000*H9/C9)</f>
        <v>17.879249141003328</v>
      </c>
      <c r="M9" s="26">
        <f>SQRT(2*PI()^2*U9*$W$6*1000/C9)</f>
        <v>934.65974407737281</v>
      </c>
      <c r="N9" s="30">
        <f t="shared" si="3"/>
        <v>136.76991387851402</v>
      </c>
      <c r="O9" s="30">
        <f>H9*($W$5-($W$5*E9/(2*PI()*SQRT(K9/H9))^2/(U9*$W$6*1000)))</f>
        <v>7271.8120669299224</v>
      </c>
      <c r="P9" s="30">
        <f>U9*PI()^2*$W$6*1000*K9/E9^2</f>
        <v>2051.8186311306104</v>
      </c>
      <c r="Q9" s="26">
        <f t="shared" si="4"/>
        <v>7271.8195494861493</v>
      </c>
      <c r="R9" s="148">
        <f t="shared" si="5"/>
        <v>2.5450726281570897</v>
      </c>
      <c r="S9" s="26">
        <f t="shared" si="6"/>
        <v>8.0701282888368908</v>
      </c>
      <c r="T9" s="19" t="s">
        <v>175</v>
      </c>
      <c r="U9" s="40">
        <v>1.2</v>
      </c>
      <c r="V9" s="3"/>
      <c r="W9" s="3"/>
      <c r="X9" s="3"/>
    </row>
    <row r="10" spans="1:25" ht="15" thickBot="1">
      <c r="A10" s="169"/>
      <c r="B10" s="24" t="s">
        <v>141</v>
      </c>
      <c r="C10" s="22">
        <f>MAX(ABS('Geo Forces'!I26),ABS('Geo Forces'!I35))</f>
        <v>266.55741049663993</v>
      </c>
      <c r="D10" s="22">
        <f>MAX(ABS('Geo Forces'!J26),ABS('Geo Forces'!J35))</f>
        <v>715.96568107598227</v>
      </c>
      <c r="E10" s="20">
        <v>9.5704999999999991</v>
      </c>
      <c r="F10" s="29">
        <v>0.375</v>
      </c>
      <c r="G10" s="29">
        <v>0.16600000000000001</v>
      </c>
      <c r="H10" s="7">
        <f t="shared" si="0"/>
        <v>0.10899441552364429</v>
      </c>
      <c r="I10" s="7">
        <f t="shared" si="1"/>
        <v>1.0431310537690377</v>
      </c>
      <c r="J10" s="31">
        <f>I10*$W$4</f>
        <v>0.29583196684889912</v>
      </c>
      <c r="K10" s="30">
        <f t="shared" si="2"/>
        <v>9.7055439733223091E-4</v>
      </c>
      <c r="L10" s="100">
        <f>0.282*SQRT($W$6*1000*H10/C10)</f>
        <v>31.093763443597783</v>
      </c>
      <c r="M10" s="26">
        <f>SQRT(2*PI()^2*U10*$W$6*1000/C10)</f>
        <v>1625.464735873388</v>
      </c>
      <c r="N10" s="30">
        <f t="shared" si="3"/>
        <v>101.42074822754323</v>
      </c>
      <c r="O10" s="30">
        <f>H10*($W$5-($W$5*E10/(2*PI()*SQRT(K10/H10))^2/(U10*$W$6*1000)))</f>
        <v>7271.8140008502714</v>
      </c>
      <c r="P10" s="30">
        <f>U10*PI()^2*$W$6*1000*K10/E10^2</f>
        <v>3731.3543629189639</v>
      </c>
      <c r="Q10" s="26">
        <f t="shared" si="4"/>
        <v>7271.8195494861502</v>
      </c>
      <c r="R10" s="148">
        <f t="shared" si="5"/>
        <v>10.156659378641955</v>
      </c>
      <c r="S10" s="26">
        <f t="shared" si="6"/>
        <v>14.387256173163571</v>
      </c>
      <c r="T10" s="19" t="s">
        <v>175</v>
      </c>
      <c r="U10" s="40">
        <v>1.2</v>
      </c>
      <c r="V10" s="3"/>
      <c r="W10" s="3"/>
      <c r="X10" s="3"/>
    </row>
    <row r="11" spans="1:25" ht="15" thickBot="1">
      <c r="A11" s="169"/>
      <c r="B11" s="24" t="s">
        <v>142</v>
      </c>
      <c r="C11" s="22">
        <f>MAX(ABS('Geo Forces'!I27),ABS('Geo Forces'!I36))</f>
        <v>116.21885388197305</v>
      </c>
      <c r="D11" s="22">
        <f>MAX(ABS('Geo Forces'!J27),ABS('Geo Forces'!J36))</f>
        <v>401.60089089573518</v>
      </c>
      <c r="E11" s="20">
        <v>9.7676999999999996</v>
      </c>
      <c r="F11" s="29">
        <v>0.375</v>
      </c>
      <c r="G11" s="29">
        <v>0.16600000000000001</v>
      </c>
      <c r="H11" s="7">
        <f t="shared" si="0"/>
        <v>0.10899441552364429</v>
      </c>
      <c r="I11" s="7">
        <f t="shared" si="1"/>
        <v>1.0646247525103003</v>
      </c>
      <c r="J11" s="31">
        <f>I11*$W$4</f>
        <v>0.3019275798119212</v>
      </c>
      <c r="K11" s="30">
        <f t="shared" si="2"/>
        <v>9.7055439733223091E-4</v>
      </c>
      <c r="L11" s="100">
        <f>0.282*SQRT($W$6*1000*H11/C11)</f>
        <v>47.090182812087015</v>
      </c>
      <c r="M11" s="26">
        <f>SQRT(2*PI()^2*U11*$W$6*1000/C11)</f>
        <v>2461.6972373165363</v>
      </c>
      <c r="N11" s="30">
        <f t="shared" si="3"/>
        <v>103.51052112869485</v>
      </c>
      <c r="O11" s="30">
        <f>H11*($W$5-($W$5*E11/(2*PI()*SQRT(K11/H11))^2/(U11*$W$6*1000)))</f>
        <v>7271.8138865207175</v>
      </c>
      <c r="P11" s="30">
        <f>U11*PI()^2*$W$6*1000*K11/E11^2</f>
        <v>3582.2106918659151</v>
      </c>
      <c r="Q11" s="26">
        <f t="shared" si="4"/>
        <v>7271.8195494861493</v>
      </c>
      <c r="R11" s="148">
        <f t="shared" si="5"/>
        <v>18.107080224017931</v>
      </c>
      <c r="S11" s="26">
        <f t="shared" si="6"/>
        <v>10.400726187141689</v>
      </c>
      <c r="T11" s="19" t="s">
        <v>175</v>
      </c>
      <c r="U11" s="40">
        <v>1.2</v>
      </c>
      <c r="V11" s="3"/>
      <c r="W11" s="3"/>
      <c r="X11" s="3"/>
    </row>
    <row r="12" spans="1:25" ht="15" thickBot="1">
      <c r="A12" s="169"/>
      <c r="B12" s="24" t="s">
        <v>143</v>
      </c>
      <c r="C12" s="22">
        <f>MAX(ABS('Geo Forces'!I28),ABS('Geo Forces'!I37))</f>
        <v>555.53187274854497</v>
      </c>
      <c r="D12" s="22">
        <f>MAX(ABS('Geo Forces'!J28),ABS('Geo Forces'!J37))</f>
        <v>373.83512651796269</v>
      </c>
      <c r="E12" s="20">
        <v>8.1851000000000003</v>
      </c>
      <c r="F12" s="29">
        <v>0.375</v>
      </c>
      <c r="G12" s="29">
        <v>0.16600000000000001</v>
      </c>
      <c r="H12" s="7">
        <f t="shared" si="0"/>
        <v>0.10899441552364429</v>
      </c>
      <c r="I12" s="7">
        <f t="shared" si="1"/>
        <v>0.89213019050258091</v>
      </c>
      <c r="J12" s="31">
        <f>I12*$W$4</f>
        <v>0.25300812202653195</v>
      </c>
      <c r="K12" s="30">
        <f t="shared" si="2"/>
        <v>9.7055439733223091E-4</v>
      </c>
      <c r="L12" s="100">
        <f>0.282*SQRT($W$6*1000*H12/C12)</f>
        <v>21.538436794068858</v>
      </c>
      <c r="M12" s="26">
        <f>SQRT(2*PI()^2*U12*$W$6*1000/C12)</f>
        <v>1125.9482802106852</v>
      </c>
      <c r="N12" s="30">
        <f t="shared" si="3"/>
        <v>86.739351791156594</v>
      </c>
      <c r="O12" s="30">
        <f>H12*($W$5-($W$5*E12/(2*PI()*SQRT(K12/H12))^2/(U12*$W$6*1000)))</f>
        <v>7271.8148040559709</v>
      </c>
      <c r="P12" s="30">
        <f>U12*PI()^2*$W$6*1000*K12/E12^2</f>
        <v>5101.3811291147331</v>
      </c>
      <c r="Q12" s="26">
        <f t="shared" si="4"/>
        <v>7271.8195494861493</v>
      </c>
      <c r="R12" s="148">
        <f t="shared" si="5"/>
        <v>9.182877489774226</v>
      </c>
      <c r="S12" s="26">
        <f t="shared" si="6"/>
        <v>4.9110123079669039</v>
      </c>
      <c r="T12" s="19" t="s">
        <v>175</v>
      </c>
      <c r="U12" s="40">
        <v>1.2</v>
      </c>
      <c r="V12" s="3"/>
      <c r="W12" s="3"/>
      <c r="X12" s="3"/>
    </row>
    <row r="13" spans="1:25" ht="15" thickBot="1">
      <c r="A13" s="170"/>
      <c r="B13" s="93" t="s">
        <v>144</v>
      </c>
      <c r="C13" s="21">
        <f>MAX(ABS('Geo Forces'!I29),ABS('Geo Forces'!I38))</f>
        <v>1176.5262504666061</v>
      </c>
      <c r="D13" s="21">
        <f>MAX(ABS('Geo Forces'!J29),ABS('Geo Forces'!J38))</f>
        <v>4.5451405800616982</v>
      </c>
      <c r="E13" s="21">
        <v>9.9464000000000006</v>
      </c>
      <c r="F13" s="29">
        <v>0.375</v>
      </c>
      <c r="G13" s="29">
        <v>0.16600000000000001</v>
      </c>
      <c r="H13" s="8">
        <f t="shared" si="0"/>
        <v>0.10899441552364429</v>
      </c>
      <c r="I13" s="8">
        <f t="shared" si="1"/>
        <v>1.0841020545643756</v>
      </c>
      <c r="J13" s="94">
        <f>I13*$W$4</f>
        <v>0.30745134267445695</v>
      </c>
      <c r="K13" s="95">
        <f t="shared" si="2"/>
        <v>9.7055439733223091E-4</v>
      </c>
      <c r="L13" s="80">
        <f>0.282*SQRT($W$6*1000*H13/C13)</f>
        <v>14.800209392190622</v>
      </c>
      <c r="M13" s="147">
        <f>SQRT(2*PI()^2*U13*$W$6*1000/C13)</f>
        <v>706.28746501402179</v>
      </c>
      <c r="N13" s="95">
        <f t="shared" si="3"/>
        <v>105.40424535504269</v>
      </c>
      <c r="O13" s="95">
        <f>H13*($W$5-($W$5*E13/(2*PI()*SQRT(K13/H13))^2/(U13*$W$6*1000)))</f>
        <v>7271.8126296029377</v>
      </c>
      <c r="P13" s="95">
        <f>U13*PI()^2*$W$6*1000*K13/E13^2</f>
        <v>2878.8740390202788</v>
      </c>
      <c r="Q13" s="97">
        <f t="shared" si="4"/>
        <v>7271.8195494861493</v>
      </c>
      <c r="R13" s="147">
        <f t="shared" si="5"/>
        <v>2.4469271619553985</v>
      </c>
      <c r="S13" s="97" cm="1">
        <f t="array" ref="S13">$W$7/(MAX(C13:D13/H13))</f>
        <v>4.9110123079669039</v>
      </c>
      <c r="T13" s="21" t="s">
        <v>174</v>
      </c>
      <c r="U13" s="98">
        <v>1</v>
      </c>
      <c r="V13" s="3"/>
      <c r="W13" s="3"/>
      <c r="X13" s="3"/>
    </row>
    <row r="14" spans="1:25">
      <c r="L14" t="s">
        <v>184</v>
      </c>
    </row>
    <row r="16" spans="1:25">
      <c r="R16" s="41"/>
    </row>
  </sheetData>
  <mergeCells count="3">
    <mergeCell ref="V3:X3"/>
    <mergeCell ref="A2:A7"/>
    <mergeCell ref="A8:A13"/>
  </mergeCells>
  <conditionalFormatting sqref="R2:R13">
    <cfRule type="cellIs" dxfId="7" priority="3" operator="lessThan">
      <formula>1.5</formula>
    </cfRule>
    <cfRule type="cellIs" dxfId="6" priority="4" operator="greaterThan">
      <formula>1.5</formula>
    </cfRule>
  </conditionalFormatting>
  <conditionalFormatting sqref="S2:S13">
    <cfRule type="cellIs" dxfId="5" priority="1" operator="lessThan">
      <formula>1.5</formula>
    </cfRule>
    <cfRule type="cellIs" dxfId="4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workbookViewId="0">
      <selection activeCell="E14" sqref="E14"/>
    </sheetView>
  </sheetViews>
  <sheetFormatPr defaultRowHeight="14.45"/>
  <cols>
    <col min="2" max="2" width="14.140625" customWidth="1"/>
    <col min="3" max="3" width="17" customWidth="1"/>
    <col min="4" max="4" width="15.5703125" customWidth="1"/>
    <col min="7" max="7" width="14.7109375" customWidth="1"/>
    <col min="15" max="15" width="19" customWidth="1"/>
    <col min="16" max="16" width="18.42578125" customWidth="1"/>
    <col min="18" max="18" width="12.42578125" customWidth="1"/>
    <col min="22" max="22" width="23.42578125" customWidth="1"/>
  </cols>
  <sheetData>
    <row r="1" spans="1:25" ht="44.1" thickBot="1">
      <c r="A1" s="4" t="s">
        <v>125</v>
      </c>
      <c r="B1" s="5" t="s">
        <v>126</v>
      </c>
      <c r="C1" s="5" t="s">
        <v>155</v>
      </c>
      <c r="D1" s="5" t="s">
        <v>156</v>
      </c>
      <c r="E1" s="5" t="s">
        <v>157</v>
      </c>
      <c r="F1" s="5" t="s">
        <v>158</v>
      </c>
      <c r="G1" s="5" t="s">
        <v>159</v>
      </c>
      <c r="H1" s="5" t="s">
        <v>160</v>
      </c>
      <c r="I1" s="5" t="s">
        <v>161</v>
      </c>
      <c r="J1" s="5" t="s">
        <v>162</v>
      </c>
      <c r="K1" s="5" t="s">
        <v>163</v>
      </c>
      <c r="L1" s="5" t="s">
        <v>164</v>
      </c>
      <c r="M1" s="5" t="s">
        <v>165</v>
      </c>
      <c r="N1" s="5" t="s">
        <v>166</v>
      </c>
      <c r="O1" s="5" t="s">
        <v>167</v>
      </c>
      <c r="P1" s="5" t="s">
        <v>168</v>
      </c>
      <c r="Q1" s="5" t="s">
        <v>169</v>
      </c>
      <c r="R1" s="5" t="s">
        <v>170</v>
      </c>
      <c r="S1" s="5" t="s">
        <v>171</v>
      </c>
      <c r="T1" s="5" t="s">
        <v>172</v>
      </c>
      <c r="U1" s="28" t="s">
        <v>173</v>
      </c>
    </row>
    <row r="2" spans="1:25" ht="15" thickBot="1">
      <c r="A2" s="168" t="s">
        <v>151</v>
      </c>
      <c r="B2" s="23" t="s">
        <v>139</v>
      </c>
      <c r="C2" s="19">
        <f>MAX(ABS('Geo Forces'!I6),ABS('Geo Forces'!I15))</f>
        <v>208.37309891502312</v>
      </c>
      <c r="D2" s="19">
        <f>MAX(ABS('Geo Forces'!J6),ABS('Geo Forces'!J15))</f>
        <v>194.12612252055962</v>
      </c>
      <c r="E2" s="19">
        <v>10.1089</v>
      </c>
      <c r="F2" s="29">
        <v>0.58799999999999997</v>
      </c>
      <c r="G2" s="29">
        <v>4.5999999999999999E-2</v>
      </c>
      <c r="H2" s="7">
        <f>PI()*((F2/2)^2-(F2/2-G2)^2)</f>
        <v>7.8326188039300693E-2</v>
      </c>
      <c r="I2" s="7">
        <f>H2*E2</f>
        <v>0.79179160227048684</v>
      </c>
      <c r="J2" s="31">
        <f>I2*$W$4</f>
        <v>4.2677567362379244E-2</v>
      </c>
      <c r="K2" s="30">
        <f>PI()*(F2^4-(F2-(2*G2))^4)/64</f>
        <v>2.8968940646335356E-3</v>
      </c>
      <c r="L2" s="42">
        <f>0.282*SQRT($W$6*1000*H2/C2)</f>
        <v>24.143436383763305</v>
      </c>
      <c r="M2" s="26">
        <f>SQRT(2*PI()^2*U2*$W$6*1000/C2)</f>
        <v>1359.1311021524837</v>
      </c>
      <c r="N2" s="30">
        <f>E2/SQRT(K2/H2)</f>
        <v>52.56432464349222</v>
      </c>
      <c r="O2" s="30">
        <f>H2*($W$5-($W$5*E2/(2*PI()*SQRT(K2/H2))^2/(U2*$W$6*1000)))</f>
        <v>4942.3807105095566</v>
      </c>
      <c r="P2" s="30">
        <f>U2*PI()^2*$W$6*1000*K2/E2^2</f>
        <v>5455.809150742808</v>
      </c>
      <c r="Q2" s="26">
        <f>I2/E2*$W$5</f>
        <v>4942.3824652798739</v>
      </c>
      <c r="R2" s="148">
        <f>MIN(ABS(P2/C2),ABS(Q2/C2),ABS(Q2/D2))</f>
        <v>23.718908491615959</v>
      </c>
      <c r="S2" s="26">
        <f>$W$7/(MAX(C3:D3)/H3)</f>
        <v>5.7619666302138723</v>
      </c>
      <c r="T2" s="21" t="s">
        <v>174</v>
      </c>
      <c r="U2" s="98">
        <v>1</v>
      </c>
      <c r="V2" s="3"/>
      <c r="W2" s="3"/>
      <c r="X2" s="3"/>
    </row>
    <row r="3" spans="1:25" ht="15" thickBot="1">
      <c r="A3" s="169"/>
      <c r="B3" s="24" t="s">
        <v>140</v>
      </c>
      <c r="C3" s="20">
        <f>MAX(ABS('Geo Forces'!I7),ABS('Geo Forces'!I16))</f>
        <v>37.092540037867209</v>
      </c>
      <c r="D3" s="20">
        <f>MAX(ABS('Geo Forces'!J7),ABS('Geo Forces'!J16))</f>
        <v>788.43200556869874</v>
      </c>
      <c r="E3" s="20">
        <v>11.1532</v>
      </c>
      <c r="F3" s="29">
        <v>0.58799999999999997</v>
      </c>
      <c r="G3" s="29">
        <v>4.5999999999999999E-2</v>
      </c>
      <c r="H3" s="7">
        <f t="shared" ref="H3:H13" si="0">PI()*((F3/2)^2-(F3/2-G3)^2)</f>
        <v>7.8326188039300693E-2</v>
      </c>
      <c r="I3" s="7">
        <f t="shared" ref="I3:I13" si="1">H3*E3</f>
        <v>0.87358764043992854</v>
      </c>
      <c r="J3" s="31">
        <f>I3*$W$4</f>
        <v>4.7086373819712153E-2</v>
      </c>
      <c r="K3" s="30">
        <f t="shared" ref="K3:K13" si="2">PI()*(F3^4-(F3-(2*G3))^4)/64</f>
        <v>2.8968940646335356E-3</v>
      </c>
      <c r="L3" s="42">
        <f>0.282*SQRT($W$6*1000*H3/C3)</f>
        <v>57.223790543358859</v>
      </c>
      <c r="M3" s="26">
        <f>SQRT(2*PI()^2*U3*$W$6*1000/C3)</f>
        <v>3528.8200485053708</v>
      </c>
      <c r="N3" s="30">
        <f t="shared" ref="N3:N13" si="3">E3/SQRT(K3/H3)</f>
        <v>57.994482645371647</v>
      </c>
      <c r="O3" s="30">
        <f>H3*($W$5-($W$5*E3/(2*PI()*SQRT(K3/H3))^2/(U3*$W$6*1000)))</f>
        <v>4942.3808519074737</v>
      </c>
      <c r="P3" s="30">
        <f>U3*PI()^2*$W$6*1000*K3/E3^2</f>
        <v>5378.352176827043</v>
      </c>
      <c r="Q3" s="26">
        <f t="shared" ref="Q3:Q13" si="4">I3/E3*$W$5</f>
        <v>4942.3824652798739</v>
      </c>
      <c r="R3" s="148">
        <f t="shared" ref="R3:R13" si="5">MIN(ABS(P3/C3),ABS(Q3/C3),ABS(Q3/D3))</f>
        <v>6.2686223166637136</v>
      </c>
      <c r="S3" s="26">
        <f t="shared" ref="S3:S12" si="6">$W$7/(MAX(C4:D4)/H4)</f>
        <v>5.1158113105383594</v>
      </c>
      <c r="T3" s="19" t="s">
        <v>175</v>
      </c>
      <c r="U3" s="32">
        <v>1.2</v>
      </c>
      <c r="V3" s="165" t="s">
        <v>176</v>
      </c>
      <c r="W3" s="166"/>
      <c r="X3" s="167"/>
    </row>
    <row r="4" spans="1:25" ht="15" thickBot="1">
      <c r="A4" s="169"/>
      <c r="B4" s="24" t="s">
        <v>141</v>
      </c>
      <c r="C4" s="20">
        <f>MAX(ABS('Geo Forces'!I8),ABS('Geo Forces'!I17))</f>
        <v>888.01533725867</v>
      </c>
      <c r="D4" s="20">
        <f>MAX(ABS('Geo Forces'!J8),ABS('Geo Forces'!J17))</f>
        <v>335.68203376654606</v>
      </c>
      <c r="E4" s="20">
        <v>11.0952</v>
      </c>
      <c r="F4" s="29">
        <v>0.58799999999999997</v>
      </c>
      <c r="G4" s="29">
        <v>4.5999999999999999E-2</v>
      </c>
      <c r="H4" s="7">
        <f t="shared" si="0"/>
        <v>7.8326188039300693E-2</v>
      </c>
      <c r="I4" s="7">
        <f t="shared" si="1"/>
        <v>0.86904472153364909</v>
      </c>
      <c r="J4" s="31">
        <f>I4*$W$4</f>
        <v>4.6841510490663686E-2</v>
      </c>
      <c r="K4" s="30">
        <f t="shared" si="2"/>
        <v>2.8968940646335356E-3</v>
      </c>
      <c r="L4" s="42">
        <f>0.282*SQRT($W$6*1000*H4/C4)</f>
        <v>11.695254478114281</v>
      </c>
      <c r="M4" s="26">
        <f>SQRT(2*PI()^2*U4*$W$6*1000/C4)</f>
        <v>721.21137175404317</v>
      </c>
      <c r="N4" s="30">
        <f t="shared" si="3"/>
        <v>57.692893864265635</v>
      </c>
      <c r="O4" s="30">
        <f>H4*($W$5-($W$5*E4/(2*PI()*SQRT(K4/H4))^2/(U4*$W$6*1000)))</f>
        <v>4942.3808602974968</v>
      </c>
      <c r="P4" s="30">
        <f>U4*PI()^2*$W$6*1000*K4/E4^2</f>
        <v>5434.729667774297</v>
      </c>
      <c r="Q4" s="26">
        <f t="shared" si="4"/>
        <v>4942.3824652798739</v>
      </c>
      <c r="R4" s="148">
        <f t="shared" si="5"/>
        <v>5.5656498912925949</v>
      </c>
      <c r="S4" s="26">
        <f t="shared" si="6"/>
        <v>18.227764015587244</v>
      </c>
      <c r="T4" s="19" t="s">
        <v>175</v>
      </c>
      <c r="U4" s="32">
        <v>1.2</v>
      </c>
      <c r="V4" s="33" t="s">
        <v>177</v>
      </c>
      <c r="W4" s="146">
        <v>5.3900000000000003E-2</v>
      </c>
      <c r="X4" s="35" t="s">
        <v>178</v>
      </c>
    </row>
    <row r="5" spans="1:25" ht="15" thickBot="1">
      <c r="A5" s="169"/>
      <c r="B5" s="24" t="s">
        <v>142</v>
      </c>
      <c r="C5" s="20">
        <f>MAX(ABS('Geo Forces'!I9),ABS('Geo Forces'!I18))</f>
        <v>247.51938813763212</v>
      </c>
      <c r="D5" s="20">
        <f>MAX(ABS('Geo Forces'!J9),ABS('Geo Forces'!J18))</f>
        <v>249.23072859592759</v>
      </c>
      <c r="E5" s="20">
        <v>9.9745000000000008</v>
      </c>
      <c r="F5" s="29">
        <v>0.58799999999999997</v>
      </c>
      <c r="G5" s="29">
        <v>4.5999999999999999E-2</v>
      </c>
      <c r="H5" s="7">
        <f t="shared" si="0"/>
        <v>7.8326188039300693E-2</v>
      </c>
      <c r="I5" s="7">
        <f t="shared" si="1"/>
        <v>0.78126456259800481</v>
      </c>
      <c r="J5" s="31">
        <f>I5*$W$4</f>
        <v>4.2110159924032463E-2</v>
      </c>
      <c r="K5" s="30">
        <f t="shared" si="2"/>
        <v>2.8968940646335356E-3</v>
      </c>
      <c r="L5" s="42">
        <f>0.282*SQRT($W$6*1000*H5/C5)</f>
        <v>22.152120138067072</v>
      </c>
      <c r="M5" s="26">
        <f>SQRT(2*PI()^2*U5*$W$6*1000/C5)</f>
        <v>1366.0550082029267</v>
      </c>
      <c r="N5" s="30">
        <f t="shared" si="3"/>
        <v>51.865470640377609</v>
      </c>
      <c r="O5" s="30">
        <f>H5*($W$5-($W$5*E5/(2*PI()*SQRT(K5/H5))^2/(U5*$W$6*1000)))</f>
        <v>4942.3810224129838</v>
      </c>
      <c r="P5" s="30">
        <f>U5*PI()^2*$W$6*1000*K5/E5^2</f>
        <v>6724.5921210495308</v>
      </c>
      <c r="Q5" s="26">
        <f t="shared" si="4"/>
        <v>4942.3824652798739</v>
      </c>
      <c r="R5" s="148">
        <f t="shared" si="5"/>
        <v>19.830550161785435</v>
      </c>
      <c r="S5" s="26">
        <f t="shared" si="6"/>
        <v>11.913596094911298</v>
      </c>
      <c r="T5" s="19" t="s">
        <v>175</v>
      </c>
      <c r="U5" s="32">
        <v>1.2</v>
      </c>
      <c r="V5" s="33" t="s">
        <v>179</v>
      </c>
      <c r="W5" s="144">
        <v>63100</v>
      </c>
      <c r="X5" s="35" t="s">
        <v>180</v>
      </c>
    </row>
    <row r="6" spans="1:25" ht="15" thickBot="1">
      <c r="A6" s="169"/>
      <c r="B6" s="24" t="s">
        <v>143</v>
      </c>
      <c r="C6" s="20">
        <f>MAX(ABS('Geo Forces'!I10),ABS('Geo Forces'!I19))</f>
        <v>210.91781969299919</v>
      </c>
      <c r="D6" s="20">
        <f>MAX(ABS('Geo Forces'!J10),ABS('Geo Forces'!J19))</f>
        <v>381.32221959580068</v>
      </c>
      <c r="E6" s="20">
        <v>10.076599999999999</v>
      </c>
      <c r="F6" s="29">
        <v>0.58799999999999997</v>
      </c>
      <c r="G6" s="29">
        <v>4.5999999999999999E-2</v>
      </c>
      <c r="H6" s="7">
        <f t="shared" si="0"/>
        <v>7.8326188039300693E-2</v>
      </c>
      <c r="I6" s="7">
        <f t="shared" si="1"/>
        <v>0.78926166639681727</v>
      </c>
      <c r="J6" s="31">
        <f>I6*$W$4</f>
        <v>4.2541203818788453E-2</v>
      </c>
      <c r="K6" s="30">
        <f t="shared" si="2"/>
        <v>2.8968940646335356E-3</v>
      </c>
      <c r="L6" s="42">
        <f>0.282*SQRT($W$6*1000*H6/C6)</f>
        <v>23.997349287386211</v>
      </c>
      <c r="M6" s="26">
        <f>SQRT(2*PI()^2*U6*$W$6*1000/C6)</f>
        <v>1479.8447721171171</v>
      </c>
      <c r="N6" s="30">
        <f t="shared" si="3"/>
        <v>52.396370891255593</v>
      </c>
      <c r="O6" s="30">
        <f>H6*($W$5-($W$5*E6/(2*PI()*SQRT(K6/H6))^2/(U6*$W$6*1000)))</f>
        <v>4942.3810076436503</v>
      </c>
      <c r="P6" s="30">
        <f>U6*PI()^2*$W$6*1000*K6/E6^2</f>
        <v>6589.0101778423132</v>
      </c>
      <c r="Q6" s="26">
        <f t="shared" si="4"/>
        <v>4942.3824652798739</v>
      </c>
      <c r="R6" s="148">
        <f t="shared" si="5"/>
        <v>12.961170923946606</v>
      </c>
      <c r="S6" s="26">
        <f t="shared" si="6"/>
        <v>5.0933910441227841</v>
      </c>
      <c r="T6" s="19" t="s">
        <v>175</v>
      </c>
      <c r="U6" s="32">
        <v>1.2</v>
      </c>
      <c r="V6" s="33" t="s">
        <v>181</v>
      </c>
      <c r="W6" s="144">
        <v>19500</v>
      </c>
      <c r="X6" s="35" t="s">
        <v>182</v>
      </c>
    </row>
    <row r="7" spans="1:25" ht="15" thickBot="1">
      <c r="A7" s="170"/>
      <c r="B7" s="93" t="s">
        <v>144</v>
      </c>
      <c r="C7" s="21">
        <f>MAX(ABS('Geo Forces'!I11),ABS('Geo Forces'!I20))</f>
        <v>891.9242341546643</v>
      </c>
      <c r="D7" s="21">
        <f>MAX(ABS('Geo Forces'!J11),ABS('Geo Forces'!J20))</f>
        <v>9.7679879239617726</v>
      </c>
      <c r="E7" s="21">
        <v>14.9847</v>
      </c>
      <c r="F7" s="29">
        <v>0.58799999999999997</v>
      </c>
      <c r="G7" s="29">
        <v>4.5999999999999999E-2</v>
      </c>
      <c r="H7" s="8">
        <f t="shared" si="0"/>
        <v>7.8326188039300693E-2</v>
      </c>
      <c r="I7" s="8">
        <f t="shared" si="1"/>
        <v>1.1736944299125092</v>
      </c>
      <c r="J7" s="94">
        <f>I7*$W$4</f>
        <v>6.3262129772284251E-2</v>
      </c>
      <c r="K7" s="95">
        <f t="shared" si="2"/>
        <v>2.8968940646335356E-3</v>
      </c>
      <c r="L7" s="96">
        <f>0.282*SQRT($W$6*1000*H7/C7)</f>
        <v>11.669598856356449</v>
      </c>
      <c r="M7" s="97">
        <f>SQRT(2*PI()^2*U7*$W$6*1000/C7)</f>
        <v>656.92863696832546</v>
      </c>
      <c r="N7" s="95">
        <f t="shared" si="3"/>
        <v>77.917541521366118</v>
      </c>
      <c r="O7" s="95">
        <f>H7*($W$5-($W$5*E7/(2*PI()*SQRT(K7/H7))^2/(U7*$W$6*1000)))</f>
        <v>4942.379864135657</v>
      </c>
      <c r="P7" s="95">
        <f>U7*PI()^2*$W$6*1000*K7/E7^2</f>
        <v>2482.9665306264869</v>
      </c>
      <c r="Q7" s="97">
        <f t="shared" si="4"/>
        <v>4942.3824652798739</v>
      </c>
      <c r="R7" s="148">
        <f t="shared" si="5"/>
        <v>2.7838312219196051</v>
      </c>
      <c r="S7" s="97">
        <f t="shared" si="6"/>
        <v>13.840201555238993</v>
      </c>
      <c r="T7" s="21" t="s">
        <v>174</v>
      </c>
      <c r="U7" s="98">
        <v>1</v>
      </c>
      <c r="V7" s="36" t="s">
        <v>171</v>
      </c>
      <c r="W7" s="145">
        <v>58000</v>
      </c>
      <c r="X7" s="38" t="s">
        <v>180</v>
      </c>
      <c r="Y7" s="102" t="s">
        <v>183</v>
      </c>
    </row>
    <row r="8" spans="1:25" ht="15" thickBot="1">
      <c r="A8" s="168" t="s">
        <v>152</v>
      </c>
      <c r="B8" s="25" t="s">
        <v>147</v>
      </c>
      <c r="C8" s="22">
        <f>MAX(ABS('Geo Forces'!I24),ABS('Geo Forces'!I33))</f>
        <v>80.547452384382751</v>
      </c>
      <c r="D8" s="22">
        <f>MAX(ABS('Geo Forces'!J24),ABS('Geo Forces'!J33))</f>
        <v>328.24080546426649</v>
      </c>
      <c r="E8" s="22">
        <v>9.6919000000000004</v>
      </c>
      <c r="F8" s="29">
        <v>0.58799999999999997</v>
      </c>
      <c r="G8" s="29">
        <v>4.5999999999999999E-2</v>
      </c>
      <c r="H8" s="39">
        <f t="shared" si="0"/>
        <v>7.8326188039300693E-2</v>
      </c>
      <c r="I8" s="39">
        <f t="shared" si="1"/>
        <v>0.75912958185809842</v>
      </c>
      <c r="J8" s="99">
        <f>I8*$W$4</f>
        <v>4.0917084462151511E-2</v>
      </c>
      <c r="K8" s="39">
        <f t="shared" si="2"/>
        <v>2.8968940646335356E-3</v>
      </c>
      <c r="L8" s="100">
        <f>0.282*SQRT($W$6*1000*H8/C8)</f>
        <v>38.832379660822845</v>
      </c>
      <c r="M8" s="26">
        <f>SQRT(2*PI()^2*U8*$W$6*1000/C8)</f>
        <v>2186.0307757644541</v>
      </c>
      <c r="N8" s="39">
        <f t="shared" si="3"/>
        <v>50.396005303471426</v>
      </c>
      <c r="O8" s="39">
        <f>H8*($W$5-($W$5*E8/(2*PI()*SQRT(K8/H8))^2/(U8*$W$6*1000)))</f>
        <v>4942.3807828951994</v>
      </c>
      <c r="P8" s="39">
        <f>U8*PI()^2*$W$6*1000*K8/E8^2</f>
        <v>5935.3881013547743</v>
      </c>
      <c r="Q8" s="26">
        <f t="shared" si="4"/>
        <v>4942.3824652798739</v>
      </c>
      <c r="R8" s="149">
        <f t="shared" si="5"/>
        <v>15.05718479544104</v>
      </c>
      <c r="S8" s="26">
        <f t="shared" si="6"/>
        <v>5.6350295220480202</v>
      </c>
      <c r="T8" s="21" t="s">
        <v>174</v>
      </c>
      <c r="U8" s="98">
        <v>1</v>
      </c>
      <c r="V8" s="3"/>
      <c r="W8" s="3"/>
      <c r="X8" s="3"/>
    </row>
    <row r="9" spans="1:25" ht="15" thickBot="1">
      <c r="A9" s="169"/>
      <c r="B9" s="24" t="s">
        <v>140</v>
      </c>
      <c r="C9" s="22">
        <f>MAX(ABS('Geo Forces'!I25),ABS('Geo Forces'!I34))</f>
        <v>806.19256536358682</v>
      </c>
      <c r="D9" s="22">
        <f>MAX(ABS('Geo Forces'!J25),ABS('Geo Forces'!J34))</f>
        <v>430.0904290978927</v>
      </c>
      <c r="E9" s="20">
        <v>12.9062</v>
      </c>
      <c r="F9" s="29">
        <v>0.58799999999999997</v>
      </c>
      <c r="G9" s="29">
        <v>4.5999999999999999E-2</v>
      </c>
      <c r="H9" s="7">
        <f t="shared" si="0"/>
        <v>7.8326188039300693E-2</v>
      </c>
      <c r="I9" s="7">
        <f t="shared" si="1"/>
        <v>1.0108934480728227</v>
      </c>
      <c r="J9" s="31">
        <f>I9*$W$4</f>
        <v>5.4487156851125144E-2</v>
      </c>
      <c r="K9" s="30">
        <f t="shared" si="2"/>
        <v>2.8968940646335356E-3</v>
      </c>
      <c r="L9" s="100">
        <f t="shared" ref="L9:L13" si="7">0.282*SQRT($W$6*1000*H9/C9)</f>
        <v>12.274406868436385</v>
      </c>
      <c r="M9" s="26">
        <f>SQRT(2*PI()^2*U9*$W$6*1000/C9)</f>
        <v>756.92596784602881</v>
      </c>
      <c r="N9" s="30">
        <f t="shared" si="3"/>
        <v>67.109743563972273</v>
      </c>
      <c r="O9" s="30">
        <f>H9*($W$5-($W$5*E9/(2*PI()*SQRT(K9/H9))^2/(U9*$W$6*1000)))</f>
        <v>4942.3805983262764</v>
      </c>
      <c r="P9" s="30">
        <f>U9*PI()^2*$W$6*1000*K9/E9^2</f>
        <v>4016.5338839829351</v>
      </c>
      <c r="Q9" s="26">
        <f t="shared" si="4"/>
        <v>4942.3824652798739</v>
      </c>
      <c r="R9" s="148">
        <f t="shared" si="5"/>
        <v>4.9821023618240741</v>
      </c>
      <c r="S9" s="26">
        <f t="shared" si="6"/>
        <v>6.3451629405646326</v>
      </c>
      <c r="T9" s="19" t="s">
        <v>175</v>
      </c>
      <c r="U9" s="40">
        <v>1.2</v>
      </c>
      <c r="V9" s="3"/>
      <c r="W9" s="3"/>
      <c r="X9" s="3"/>
    </row>
    <row r="10" spans="1:25" ht="15" thickBot="1">
      <c r="A10" s="169"/>
      <c r="B10" s="24" t="s">
        <v>141</v>
      </c>
      <c r="C10" s="22">
        <f>MAX(ABS('Geo Forces'!I26),ABS('Geo Forces'!I35))</f>
        <v>266.55741049663993</v>
      </c>
      <c r="D10" s="22">
        <f>MAX(ABS('Geo Forces'!J26),ABS('Geo Forces'!J35))</f>
        <v>715.96568107598227</v>
      </c>
      <c r="E10" s="20">
        <v>9.5704999999999991</v>
      </c>
      <c r="F10" s="29">
        <v>0.58799999999999997</v>
      </c>
      <c r="G10" s="29">
        <v>4.5999999999999999E-2</v>
      </c>
      <c r="H10" s="7">
        <f t="shared" si="0"/>
        <v>7.8326188039300693E-2</v>
      </c>
      <c r="I10" s="7">
        <f t="shared" si="1"/>
        <v>0.74962078263012721</v>
      </c>
      <c r="J10" s="31">
        <f>I10*$W$4</f>
        <v>4.0404560183763857E-2</v>
      </c>
      <c r="K10" s="30">
        <f t="shared" si="2"/>
        <v>2.8968940646335356E-3</v>
      </c>
      <c r="L10" s="100">
        <f t="shared" si="7"/>
        <v>21.346394390934435</v>
      </c>
      <c r="M10" s="26">
        <f>SQRT(2*PI()^2*U10*$W$6*1000/C10)</f>
        <v>1316.3683107108363</v>
      </c>
      <c r="N10" s="30">
        <f t="shared" si="3"/>
        <v>49.764748785777115</v>
      </c>
      <c r="O10" s="30">
        <f>H10*($W$5-($W$5*E10/(2*PI()*SQRT(K10/H10))^2/(U10*$W$6*1000)))</f>
        <v>4942.3810808538301</v>
      </c>
      <c r="P10" s="30">
        <f>U10*PI()^2*$W$6*1000*K10/E10^2</f>
        <v>7304.3060455851564</v>
      </c>
      <c r="Q10" s="26">
        <f t="shared" si="4"/>
        <v>4942.3824652798739</v>
      </c>
      <c r="R10" s="148">
        <f t="shared" si="5"/>
        <v>6.9030996818901444</v>
      </c>
      <c r="S10" s="26">
        <f t="shared" si="6"/>
        <v>11.312023975212959</v>
      </c>
      <c r="T10" s="19" t="s">
        <v>175</v>
      </c>
      <c r="U10" s="40">
        <v>1.2</v>
      </c>
      <c r="V10" s="3"/>
      <c r="W10" s="3"/>
      <c r="X10" s="3"/>
    </row>
    <row r="11" spans="1:25" ht="15" thickBot="1">
      <c r="A11" s="169"/>
      <c r="B11" s="24" t="s">
        <v>142</v>
      </c>
      <c r="C11" s="22">
        <f>MAX(ABS('Geo Forces'!I27),ABS('Geo Forces'!I36))</f>
        <v>116.21885388197305</v>
      </c>
      <c r="D11" s="22">
        <f>MAX(ABS('Geo Forces'!J27),ABS('Geo Forces'!J36))</f>
        <v>401.60089089573518</v>
      </c>
      <c r="E11" s="20">
        <v>9.7676999999999996</v>
      </c>
      <c r="F11" s="29">
        <v>0.58799999999999997</v>
      </c>
      <c r="G11" s="29">
        <v>4.5999999999999999E-2</v>
      </c>
      <c r="H11" s="7">
        <f t="shared" si="0"/>
        <v>7.8326188039300693E-2</v>
      </c>
      <c r="I11" s="7">
        <f t="shared" si="1"/>
        <v>0.76506670691147738</v>
      </c>
      <c r="J11" s="31">
        <f>I11*$W$4</f>
        <v>4.1237095502528631E-2</v>
      </c>
      <c r="K11" s="30">
        <f t="shared" si="2"/>
        <v>2.8968940646335356E-3</v>
      </c>
      <c r="L11" s="100">
        <f t="shared" si="7"/>
        <v>32.328206782411335</v>
      </c>
      <c r="M11" s="26">
        <f>SQRT(2*PI()^2*U11*$W$6*1000/C11)</f>
        <v>1993.5838423629225</v>
      </c>
      <c r="N11" s="30">
        <f t="shared" si="3"/>
        <v>50.790150641537551</v>
      </c>
      <c r="O11" s="30">
        <f>H11*($W$5-($W$5*E11/(2*PI()*SQRT(K11/H11))^2/(U11*$W$6*1000)))</f>
        <v>4942.3810523277534</v>
      </c>
      <c r="P11" s="30">
        <f>U11*PI()^2*$W$6*1000*K11/E11^2</f>
        <v>7012.3501196190846</v>
      </c>
      <c r="Q11" s="26">
        <f t="shared" si="4"/>
        <v>4942.3824652798739</v>
      </c>
      <c r="R11" s="148">
        <f>MIN(ABS(P11/C11),ABS(Q11/C11),ABS(Q11/D11))</f>
        <v>12.306701945447204</v>
      </c>
      <c r="S11" s="26">
        <f t="shared" si="6"/>
        <v>8.1776026347560062</v>
      </c>
      <c r="T11" s="19" t="s">
        <v>175</v>
      </c>
      <c r="U11" s="40">
        <v>1.2</v>
      </c>
      <c r="V11" s="3"/>
      <c r="W11" s="3"/>
      <c r="X11" s="3"/>
    </row>
    <row r="12" spans="1:25" ht="15" thickBot="1">
      <c r="A12" s="169"/>
      <c r="B12" s="24" t="s">
        <v>143</v>
      </c>
      <c r="C12" s="22">
        <f>MAX(ABS('Geo Forces'!I28),ABS('Geo Forces'!I37))</f>
        <v>555.53187274854497</v>
      </c>
      <c r="D12" s="22">
        <f>MAX(ABS('Geo Forces'!J28),ABS('Geo Forces'!J37))</f>
        <v>373.83512651796269</v>
      </c>
      <c r="E12" s="20">
        <v>8.1851000000000003</v>
      </c>
      <c r="F12" s="29">
        <v>0.58799999999999997</v>
      </c>
      <c r="G12" s="29">
        <v>4.5999999999999999E-2</v>
      </c>
      <c r="H12" s="7">
        <f t="shared" si="0"/>
        <v>7.8326188039300693E-2</v>
      </c>
      <c r="I12" s="7">
        <f t="shared" si="1"/>
        <v>0.64110768172048016</v>
      </c>
      <c r="J12" s="31">
        <f>I12*$W$4</f>
        <v>3.4555704044733883E-2</v>
      </c>
      <c r="K12" s="30">
        <f t="shared" si="2"/>
        <v>2.8968940646335356E-3</v>
      </c>
      <c r="L12" s="100">
        <f t="shared" si="7"/>
        <v>14.786501068112862</v>
      </c>
      <c r="M12" s="26">
        <f>SQRT(2*PI()^2*U12*$W$6*1000/C12)</f>
        <v>911.83930531247199</v>
      </c>
      <c r="N12" s="30">
        <f t="shared" si="3"/>
        <v>42.560936762600107</v>
      </c>
      <c r="O12" s="30">
        <f>H12*($W$5-($W$5*E12/(2*PI()*SQRT(K12/H12))^2/(U12*$W$6*1000)))</f>
        <v>4942.3812812596443</v>
      </c>
      <c r="P12" s="30">
        <f>U12*PI()^2*$W$6*1000*K12/E12^2</f>
        <v>9986.1994863112977</v>
      </c>
      <c r="Q12" s="26">
        <f t="shared" si="4"/>
        <v>4942.3824652798739</v>
      </c>
      <c r="R12" s="148">
        <f>MIN(ABS(P12/C12),ABS(Q12/C12),ABS(Q12/D12))</f>
        <v>8.896667694019035</v>
      </c>
      <c r="S12" s="26">
        <f t="shared" si="6"/>
        <v>3.8612983811264177</v>
      </c>
      <c r="T12" s="19" t="s">
        <v>175</v>
      </c>
      <c r="U12" s="40">
        <v>1.2</v>
      </c>
      <c r="V12" s="3"/>
      <c r="W12" s="3"/>
      <c r="X12" s="3"/>
    </row>
    <row r="13" spans="1:25" ht="15" thickBot="1">
      <c r="A13" s="170"/>
      <c r="B13" s="93" t="s">
        <v>144</v>
      </c>
      <c r="C13" s="21">
        <f>MAX(ABS('Geo Forces'!I29),ABS('Geo Forces'!I38))</f>
        <v>1176.5262504666061</v>
      </c>
      <c r="D13" s="21">
        <f>MAX(ABS('Geo Forces'!J29),ABS('Geo Forces'!J38))</f>
        <v>4.5451405800616982</v>
      </c>
      <c r="E13" s="21">
        <v>6.726</v>
      </c>
      <c r="F13" s="29">
        <v>0.58799999999999997</v>
      </c>
      <c r="G13" s="29">
        <v>4.5999999999999999E-2</v>
      </c>
      <c r="H13" s="8">
        <f t="shared" si="0"/>
        <v>7.8326188039300693E-2</v>
      </c>
      <c r="I13" s="8">
        <f t="shared" si="1"/>
        <v>0.52682194075233646</v>
      </c>
      <c r="J13" s="94">
        <f>I13*$W$4</f>
        <v>2.8395702606550936E-2</v>
      </c>
      <c r="K13" s="95">
        <f t="shared" si="2"/>
        <v>2.8968940646335356E-3</v>
      </c>
      <c r="L13" s="100">
        <f t="shared" si="7"/>
        <v>10.160594015169412</v>
      </c>
      <c r="M13" s="100">
        <f>SQRT(2*PI()^2*U13*$W$6*1000/C13)</f>
        <v>571.98068753991492</v>
      </c>
      <c r="N13" s="95">
        <f t="shared" si="3"/>
        <v>34.973898995155622</v>
      </c>
      <c r="O13" s="95">
        <f>H13*($W$5-($W$5*E13/(2*PI()*SQRT(K13/H13))^2/(U13*$W$6*1000)))</f>
        <v>4942.3812977359121</v>
      </c>
      <c r="P13" s="95">
        <f>U13*PI()^2*$W$6*1000*K13/E13^2</f>
        <v>12324.044129261996</v>
      </c>
      <c r="Q13" s="97">
        <f t="shared" si="4"/>
        <v>4942.3824652798739</v>
      </c>
      <c r="R13" s="147">
        <f t="shared" si="5"/>
        <v>4.200826342225465</v>
      </c>
      <c r="S13" s="97" cm="1">
        <f t="array" ref="S13">$W$7/(MAX(C13:D13/H13))</f>
        <v>3.8612983811264177</v>
      </c>
      <c r="T13" s="21" t="s">
        <v>174</v>
      </c>
      <c r="U13" s="98">
        <v>1</v>
      </c>
      <c r="V13" s="3"/>
      <c r="W13" s="3"/>
      <c r="X13" s="3"/>
    </row>
    <row r="14" spans="1:25">
      <c r="L14" t="s">
        <v>184</v>
      </c>
    </row>
    <row r="16" spans="1:25">
      <c r="R16" s="41"/>
    </row>
  </sheetData>
  <mergeCells count="3">
    <mergeCell ref="A2:A7"/>
    <mergeCell ref="A8:A13"/>
    <mergeCell ref="V3:X3"/>
  </mergeCells>
  <conditionalFormatting sqref="R2:R13">
    <cfRule type="cellIs" dxfId="3" priority="3" operator="lessThan">
      <formula>1.5</formula>
    </cfRule>
    <cfRule type="cellIs" dxfId="2" priority="4" operator="greaterThan">
      <formula>1.5</formula>
    </cfRule>
  </conditionalFormatting>
  <conditionalFormatting sqref="S2:S13">
    <cfRule type="cellIs" dxfId="1" priority="1" operator="lessThan">
      <formula>1.5</formula>
    </cfRule>
    <cfRule type="cellIs" dxfId="0" priority="2" operator="greaterThan">
      <formula>1.5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V36"/>
  <sheetViews>
    <sheetView zoomScale="90" zoomScaleNormal="90" workbookViewId="0">
      <selection activeCell="P12" sqref="P12"/>
    </sheetView>
  </sheetViews>
  <sheetFormatPr defaultRowHeight="14.45"/>
  <sheetData>
    <row r="1" spans="1:22">
      <c r="A1" s="46" t="s">
        <v>151</v>
      </c>
      <c r="D1" s="46" t="s">
        <v>152</v>
      </c>
      <c r="G1" s="105" t="s">
        <v>185</v>
      </c>
      <c r="R1" t="s">
        <v>186</v>
      </c>
    </row>
    <row r="2" spans="1:22">
      <c r="A2" s="104" t="s">
        <v>187</v>
      </c>
      <c r="B2">
        <v>2</v>
      </c>
      <c r="D2" s="104" t="s">
        <v>187</v>
      </c>
      <c r="E2">
        <v>2</v>
      </c>
      <c r="R2" t="s">
        <v>151</v>
      </c>
      <c r="U2" t="s">
        <v>152</v>
      </c>
    </row>
    <row r="3" spans="1:22">
      <c r="A3" s="104" t="s">
        <v>188</v>
      </c>
      <c r="B3">
        <v>-0.13500000000000001</v>
      </c>
      <c r="D3" s="104" t="s">
        <v>188</v>
      </c>
      <c r="E3">
        <v>-0.23960000000000001</v>
      </c>
      <c r="R3" t="s">
        <v>189</v>
      </c>
      <c r="S3">
        <f>(-(B11*B7)+(B12*(B2+B3)))/B2</f>
        <v>-1613.2842000000001</v>
      </c>
      <c r="U3" t="s">
        <v>189</v>
      </c>
      <c r="V3">
        <f>(-(E11*E7)+(E12*(E2+E3)))/E2</f>
        <v>-1979.0115639999999</v>
      </c>
    </row>
    <row r="4" spans="1:22">
      <c r="A4" s="104" t="s">
        <v>190</v>
      </c>
      <c r="B4">
        <v>2.0299999999999998</v>
      </c>
      <c r="D4" s="104" t="s">
        <v>190</v>
      </c>
      <c r="E4">
        <v>2.2869999999999999</v>
      </c>
      <c r="R4" t="s">
        <v>191</v>
      </c>
      <c r="S4">
        <f>S3-B12</f>
        <v>-1903.1242</v>
      </c>
      <c r="U4" t="s">
        <v>191</v>
      </c>
      <c r="V4">
        <f>V3-E12</f>
        <v>-2329.1915639999997</v>
      </c>
    </row>
    <row r="5" spans="1:22">
      <c r="A5" s="104" t="s">
        <v>192</v>
      </c>
      <c r="B5">
        <v>1.1100000000000001</v>
      </c>
      <c r="D5" s="104" t="s">
        <v>192</v>
      </c>
      <c r="E5">
        <v>1.1140000000000001</v>
      </c>
      <c r="S5">
        <f>S3+B12</f>
        <v>-1323.4442000000001</v>
      </c>
    </row>
    <row r="6" spans="1:22">
      <c r="A6" s="104" t="s">
        <v>193</v>
      </c>
      <c r="B6">
        <v>3.78</v>
      </c>
      <c r="D6" s="104" t="s">
        <v>193</v>
      </c>
      <c r="E6">
        <v>2.5196999999999998</v>
      </c>
      <c r="R6" t="s">
        <v>194</v>
      </c>
    </row>
    <row r="7" spans="1:22">
      <c r="A7" s="104" t="s">
        <v>195</v>
      </c>
      <c r="B7">
        <v>8</v>
      </c>
      <c r="D7" s="104" t="s">
        <v>195</v>
      </c>
      <c r="E7">
        <v>8</v>
      </c>
      <c r="R7" t="s">
        <v>196</v>
      </c>
    </row>
    <row r="8" spans="1:22">
      <c r="A8" t="s">
        <v>197</v>
      </c>
      <c r="D8" t="s">
        <v>197</v>
      </c>
      <c r="R8" t="s">
        <v>198</v>
      </c>
    </row>
    <row r="9" spans="1:22">
      <c r="R9" t="s">
        <v>199</v>
      </c>
    </row>
    <row r="10" spans="1:22">
      <c r="A10" s="105" t="s">
        <v>185</v>
      </c>
      <c r="D10" s="105" t="s">
        <v>185</v>
      </c>
    </row>
    <row r="11" spans="1:22">
      <c r="A11" s="47" t="s">
        <v>200</v>
      </c>
      <c r="B11">
        <f>ABS('Geo Forces'!F13)</f>
        <v>470.89</v>
      </c>
      <c r="C11" s="109" t="s">
        <v>201</v>
      </c>
      <c r="D11" s="47" t="s">
        <v>200</v>
      </c>
      <c r="E11">
        <f>ABS('Geo Forces'!F31)</f>
        <v>571.80999999999995</v>
      </c>
      <c r="F11" s="109" t="s">
        <v>201</v>
      </c>
      <c r="R11" t="s">
        <v>202</v>
      </c>
    </row>
    <row r="12" spans="1:22">
      <c r="A12" t="s">
        <v>203</v>
      </c>
      <c r="B12">
        <f>ABS('Geo Forces'!F14)</f>
        <v>289.83999999999997</v>
      </c>
      <c r="D12" t="s">
        <v>203</v>
      </c>
      <c r="E12">
        <f>ABS('Geo Forces'!F32)</f>
        <v>350.18</v>
      </c>
      <c r="R12" t="s">
        <v>204</v>
      </c>
    </row>
    <row r="14" spans="1:22">
      <c r="A14" s="47" t="s">
        <v>205</v>
      </c>
      <c r="B14">
        <f>((B12*(B2+B3))-(B11*B7))/B2</f>
        <v>-1613.2842000000001</v>
      </c>
      <c r="D14" s="47" t="s">
        <v>205</v>
      </c>
      <c r="E14">
        <f>((E12*(E2+E3))-(E11*E7))/E2</f>
        <v>-1979.0115639999999</v>
      </c>
    </row>
    <row r="15" spans="1:22">
      <c r="A15" s="47" t="s">
        <v>206</v>
      </c>
      <c r="B15">
        <f>B14-B12</f>
        <v>-1903.1242</v>
      </c>
      <c r="D15" s="47" t="s">
        <v>206</v>
      </c>
      <c r="E15">
        <f>E14-E12</f>
        <v>-2329.1915639999997</v>
      </c>
      <c r="G15" s="105" t="s">
        <v>207</v>
      </c>
    </row>
    <row r="17" spans="1:7">
      <c r="A17" s="105" t="s">
        <v>207</v>
      </c>
      <c r="D17" s="105" t="s">
        <v>207</v>
      </c>
    </row>
    <row r="18" spans="1:7">
      <c r="A18" t="s">
        <v>208</v>
      </c>
      <c r="B18">
        <f>ABS('Geo Forces'!E12)</f>
        <v>453.39370000000002</v>
      </c>
      <c r="D18" t="s">
        <v>208</v>
      </c>
      <c r="E18">
        <f>ABS('Geo Forces'!E30)</f>
        <v>201.41890000000001</v>
      </c>
    </row>
    <row r="19" spans="1:7">
      <c r="A19" t="s">
        <v>203</v>
      </c>
      <c r="B19">
        <f>ABS('Geo Forces'!E14)</f>
        <v>278.60289999999998</v>
      </c>
      <c r="D19" t="s">
        <v>203</v>
      </c>
      <c r="E19">
        <f>ABS('Geo Forces'!E32)</f>
        <v>112.0312</v>
      </c>
    </row>
    <row r="21" spans="1:7">
      <c r="A21" s="47" t="s">
        <v>209</v>
      </c>
      <c r="B21">
        <f>(B19*(B2+B3))/B2</f>
        <v>259.79720424999999</v>
      </c>
      <c r="D21" s="47" t="s">
        <v>209</v>
      </c>
      <c r="E21">
        <f>(E19*(E2+E3))/E2</f>
        <v>98.609862239999998</v>
      </c>
    </row>
    <row r="22" spans="1:7">
      <c r="A22" s="47" t="s">
        <v>210</v>
      </c>
      <c r="B22">
        <f>(B18*(B2+B3))/B2</f>
        <v>422.78962525000003</v>
      </c>
      <c r="D22" s="47" t="s">
        <v>210</v>
      </c>
      <c r="E22">
        <f>(E18*(E2+E3))/E2</f>
        <v>177.28891578</v>
      </c>
    </row>
    <row r="23" spans="1:7">
      <c r="A23" s="47" t="s">
        <v>211</v>
      </c>
      <c r="B23">
        <f>B21-B19</f>
        <v>-18.805695749999984</v>
      </c>
      <c r="D23" s="47" t="s">
        <v>211</v>
      </c>
      <c r="E23">
        <f>E21-E19</f>
        <v>-13.42133776</v>
      </c>
    </row>
    <row r="24" spans="1:7">
      <c r="A24" s="47" t="s">
        <v>212</v>
      </c>
      <c r="B24">
        <f>B22-B18</f>
        <v>-30.604074749999995</v>
      </c>
      <c r="D24" s="47" t="s">
        <v>212</v>
      </c>
      <c r="E24">
        <f>E22-E18</f>
        <v>-24.129984220000011</v>
      </c>
    </row>
    <row r="25" spans="1:7">
      <c r="A25" t="s">
        <v>213</v>
      </c>
      <c r="B25">
        <f>(B18*B7)/(B4+B5)</f>
        <v>1155.1431847133761</v>
      </c>
      <c r="D25" t="s">
        <v>213</v>
      </c>
      <c r="E25">
        <f>(E18*E7)/(E4+E5)</f>
        <v>473.7874742722729</v>
      </c>
    </row>
    <row r="26" spans="1:7">
      <c r="A26" s="47" t="s">
        <v>214</v>
      </c>
      <c r="B26">
        <f>B25/2</f>
        <v>577.57159235668803</v>
      </c>
      <c r="D26" s="47" t="s">
        <v>214</v>
      </c>
      <c r="E26">
        <f>E25/2</f>
        <v>236.89373713613645</v>
      </c>
    </row>
    <row r="27" spans="1:7">
      <c r="A27" s="47" t="s">
        <v>215</v>
      </c>
      <c r="B27">
        <f>(B25*B5)/B6</f>
        <v>339.20871297138825</v>
      </c>
      <c r="D27" s="47" t="s">
        <v>215</v>
      </c>
      <c r="E27">
        <f>(E25*E5)/E6</f>
        <v>209.46908216823911</v>
      </c>
    </row>
    <row r="29" spans="1:7">
      <c r="D29" s="105" t="s">
        <v>216</v>
      </c>
      <c r="G29" s="105" t="s">
        <v>216</v>
      </c>
    </row>
    <row r="30" spans="1:7">
      <c r="D30" t="s">
        <v>208</v>
      </c>
      <c r="E30">
        <f>ABS('Geo Forces'!D30)</f>
        <v>377.0566</v>
      </c>
    </row>
    <row r="31" spans="1:7">
      <c r="D31" t="s">
        <v>203</v>
      </c>
      <c r="E31">
        <f>ABS('Geo Forces'!D32)</f>
        <v>277.8494</v>
      </c>
    </row>
    <row r="33" spans="4:5">
      <c r="D33" s="47" t="s">
        <v>209</v>
      </c>
      <c r="E33">
        <f>(E31*(E2+E3))/E2</f>
        <v>244.56304187999999</v>
      </c>
    </row>
    <row r="34" spans="4:5">
      <c r="D34" s="47" t="s">
        <v>210</v>
      </c>
      <c r="E34">
        <f>(E30*(E2+E3))/E2</f>
        <v>331.88521931999998</v>
      </c>
    </row>
    <row r="35" spans="4:5">
      <c r="D35" s="47" t="s">
        <v>211</v>
      </c>
      <c r="E35">
        <f>E33-E31</f>
        <v>-33.286358120000017</v>
      </c>
    </row>
    <row r="36" spans="4:5">
      <c r="D36" s="47" t="s">
        <v>212</v>
      </c>
      <c r="E36">
        <f>E34-E30</f>
        <v>-45.171380680000027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workbookViewId="0"/>
  </sheetViews>
  <sheetFormatPr defaultRowHeight="14.4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N26" sqref="N26"/>
    </sheetView>
  </sheetViews>
  <sheetFormatPr defaultRowHeight="14.45"/>
  <cols>
    <col min="1" max="1" width="27" customWidth="1"/>
    <col min="3" max="4" width="10.7109375" customWidth="1"/>
    <col min="5" max="5" width="10.42578125" customWidth="1"/>
    <col min="6" max="6" width="10.7109375" customWidth="1"/>
    <col min="7" max="7" width="13.7109375" customWidth="1"/>
    <col min="8" max="9" width="12.42578125" customWidth="1"/>
    <col min="11" max="11" width="17" customWidth="1"/>
    <col min="15" max="15" width="6" customWidth="1"/>
    <col min="17" max="17" width="9.42578125" customWidth="1"/>
  </cols>
  <sheetData>
    <row r="1" spans="1:18">
      <c r="A1" s="104" t="s">
        <v>217</v>
      </c>
      <c r="C1" s="106" t="s">
        <v>218</v>
      </c>
      <c r="D1" s="106" t="s">
        <v>219</v>
      </c>
      <c r="E1" s="106" t="s">
        <v>220</v>
      </c>
      <c r="F1" s="106" t="s">
        <v>221</v>
      </c>
      <c r="G1" s="106" t="s">
        <v>222</v>
      </c>
      <c r="H1" s="106" t="s">
        <v>223</v>
      </c>
      <c r="I1" s="106" t="s">
        <v>224</v>
      </c>
      <c r="K1" t="s">
        <v>225</v>
      </c>
      <c r="Q1" s="171" t="s">
        <v>226</v>
      </c>
      <c r="R1" s="171"/>
    </row>
    <row r="2" spans="1:18">
      <c r="A2" t="s">
        <v>227</v>
      </c>
      <c r="B2" t="s">
        <v>228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229</v>
      </c>
      <c r="Q2" t="s">
        <v>230</v>
      </c>
      <c r="R2" t="s">
        <v>231</v>
      </c>
    </row>
    <row r="3" spans="1:18" ht="15.6">
      <c r="K3" t="s">
        <v>232</v>
      </c>
      <c r="Q3" s="107">
        <v>150</v>
      </c>
      <c r="R3">
        <v>26.27</v>
      </c>
    </row>
    <row r="4" spans="1:18" ht="15.6">
      <c r="B4" t="s">
        <v>233</v>
      </c>
      <c r="C4" s="108" t="s">
        <v>218</v>
      </c>
      <c r="D4" s="108" t="s">
        <v>234</v>
      </c>
      <c r="E4" s="108" t="s">
        <v>235</v>
      </c>
      <c r="F4" s="108" t="s">
        <v>236</v>
      </c>
      <c r="G4" s="108" t="s">
        <v>237</v>
      </c>
      <c r="Q4" s="107">
        <v>175</v>
      </c>
      <c r="R4">
        <v>30.65</v>
      </c>
    </row>
    <row r="5" spans="1:18" ht="15.6">
      <c r="C5">
        <v>124</v>
      </c>
      <c r="D5">
        <v>100</v>
      </c>
      <c r="E5">
        <v>70</v>
      </c>
      <c r="F5">
        <v>50</v>
      </c>
      <c r="G5">
        <v>30</v>
      </c>
      <c r="Q5" s="107">
        <v>200</v>
      </c>
      <c r="R5">
        <v>35.03</v>
      </c>
    </row>
    <row r="6" spans="1:18" ht="15.6">
      <c r="Q6" s="107">
        <v>225</v>
      </c>
      <c r="R6">
        <v>39.4</v>
      </c>
    </row>
    <row r="7" spans="1:18" ht="15.6">
      <c r="A7" t="s">
        <v>238</v>
      </c>
      <c r="B7" t="s">
        <v>228</v>
      </c>
      <c r="C7" s="106" t="s">
        <v>218</v>
      </c>
      <c r="D7" s="106" t="s">
        <v>219</v>
      </c>
      <c r="E7" s="106" t="s">
        <v>220</v>
      </c>
      <c r="F7" s="106" t="s">
        <v>221</v>
      </c>
      <c r="G7" s="106" t="s">
        <v>222</v>
      </c>
      <c r="H7" s="106" t="s">
        <v>223</v>
      </c>
      <c r="I7" s="106" t="s">
        <v>224</v>
      </c>
      <c r="Q7" s="107">
        <v>250</v>
      </c>
      <c r="R7">
        <v>43.78</v>
      </c>
    </row>
    <row r="8" spans="1:18" ht="15.6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7">
        <v>300</v>
      </c>
      <c r="R8">
        <v>52.54</v>
      </c>
    </row>
    <row r="9" spans="1:18" ht="15.6">
      <c r="Q9" s="107">
        <v>350</v>
      </c>
      <c r="R9">
        <v>61.29</v>
      </c>
    </row>
    <row r="10" spans="1:18" ht="15.6">
      <c r="B10" t="s">
        <v>233</v>
      </c>
      <c r="C10" s="108" t="s">
        <v>218</v>
      </c>
      <c r="D10" s="108" t="s">
        <v>234</v>
      </c>
      <c r="E10" s="108" t="s">
        <v>235</v>
      </c>
      <c r="F10" s="108" t="s">
        <v>236</v>
      </c>
      <c r="G10" s="108" t="s">
        <v>237</v>
      </c>
      <c r="Q10" s="107">
        <v>400</v>
      </c>
      <c r="R10">
        <v>70.05</v>
      </c>
    </row>
    <row r="11" spans="1:18" ht="15.6">
      <c r="C11">
        <v>140</v>
      </c>
      <c r="D11">
        <v>140</v>
      </c>
      <c r="E11">
        <v>110</v>
      </c>
      <c r="F11">
        <v>60</v>
      </c>
      <c r="G11">
        <v>20</v>
      </c>
      <c r="Q11" s="107">
        <v>450</v>
      </c>
      <c r="R11">
        <v>78.81</v>
      </c>
    </row>
    <row r="12" spans="1:18" ht="15.6">
      <c r="Q12" s="107">
        <v>500</v>
      </c>
      <c r="R12">
        <v>87.56</v>
      </c>
    </row>
    <row r="13" spans="1:18" ht="15.6">
      <c r="A13" t="s">
        <v>239</v>
      </c>
      <c r="B13" t="s">
        <v>228</v>
      </c>
      <c r="C13" s="106" t="s">
        <v>218</v>
      </c>
      <c r="D13" s="106" t="s">
        <v>219</v>
      </c>
      <c r="E13" s="106" t="s">
        <v>220</v>
      </c>
      <c r="F13" s="106" t="s">
        <v>221</v>
      </c>
      <c r="G13" s="106" t="s">
        <v>222</v>
      </c>
      <c r="H13" s="106" t="s">
        <v>223</v>
      </c>
      <c r="I13" s="106" t="s">
        <v>224</v>
      </c>
      <c r="Q13" s="107">
        <v>550</v>
      </c>
      <c r="R13">
        <v>96.32</v>
      </c>
    </row>
    <row r="14" spans="1:18" ht="15.6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7">
        <v>600</v>
      </c>
      <c r="R14">
        <v>105.1</v>
      </c>
    </row>
    <row r="15" spans="1:18" ht="15.6">
      <c r="Q15" s="107">
        <v>650</v>
      </c>
      <c r="R15">
        <v>113.8</v>
      </c>
    </row>
    <row r="16" spans="1:18">
      <c r="B16" t="s">
        <v>233</v>
      </c>
      <c r="C16" s="108" t="s">
        <v>218</v>
      </c>
      <c r="D16" s="108" t="s">
        <v>234</v>
      </c>
      <c r="E16" s="108" t="s">
        <v>235</v>
      </c>
      <c r="F16" s="108" t="s">
        <v>236</v>
      </c>
      <c r="G16" s="108" t="s">
        <v>237</v>
      </c>
    </row>
    <row r="17" spans="1:9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>
      <c r="A19" t="s">
        <v>240</v>
      </c>
      <c r="B19" t="s">
        <v>228</v>
      </c>
      <c r="C19" s="106" t="s">
        <v>218</v>
      </c>
      <c r="D19" s="106" t="s">
        <v>219</v>
      </c>
      <c r="E19" s="106" t="s">
        <v>220</v>
      </c>
      <c r="F19" s="106" t="s">
        <v>221</v>
      </c>
      <c r="G19" s="106" t="s">
        <v>222</v>
      </c>
      <c r="H19" s="106" t="s">
        <v>223</v>
      </c>
      <c r="I19" s="106" t="s">
        <v>224</v>
      </c>
    </row>
    <row r="20" spans="1:9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>
      <c r="B22" t="s">
        <v>233</v>
      </c>
      <c r="C22" s="108" t="s">
        <v>218</v>
      </c>
      <c r="D22" s="108" t="s">
        <v>234</v>
      </c>
      <c r="E22" s="108" t="s">
        <v>235</v>
      </c>
      <c r="F22" s="108" t="s">
        <v>236</v>
      </c>
      <c r="G22" s="108" t="s">
        <v>237</v>
      </c>
    </row>
    <row r="23" spans="1:9">
      <c r="C23">
        <v>150</v>
      </c>
      <c r="D23">
        <v>100</v>
      </c>
      <c r="E23">
        <v>70</v>
      </c>
      <c r="F23">
        <v>44</v>
      </c>
      <c r="G23">
        <v>20</v>
      </c>
    </row>
    <row r="25" spans="1:9">
      <c r="A25" t="s">
        <v>241</v>
      </c>
      <c r="B25" t="s">
        <v>228</v>
      </c>
      <c r="C25" s="106" t="s">
        <v>218</v>
      </c>
      <c r="D25" s="106" t="s">
        <v>219</v>
      </c>
      <c r="E25" s="106" t="s">
        <v>220</v>
      </c>
      <c r="F25" s="106" t="s">
        <v>221</v>
      </c>
      <c r="G25" s="106" t="s">
        <v>222</v>
      </c>
      <c r="H25" s="106" t="s">
        <v>223</v>
      </c>
      <c r="I25" s="106" t="s">
        <v>224</v>
      </c>
    </row>
    <row r="26" spans="1:9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>
      <c r="B28" t="s">
        <v>233</v>
      </c>
      <c r="C28" s="108" t="s">
        <v>218</v>
      </c>
      <c r="D28" s="108" t="s">
        <v>234</v>
      </c>
      <c r="E28" s="108" t="s">
        <v>235</v>
      </c>
      <c r="F28" s="108" t="s">
        <v>236</v>
      </c>
      <c r="G28" s="108" t="s">
        <v>237</v>
      </c>
    </row>
    <row r="29" spans="1:9">
      <c r="C29">
        <v>150</v>
      </c>
      <c r="D29">
        <v>130</v>
      </c>
      <c r="E29">
        <v>104</v>
      </c>
      <c r="F29">
        <v>50</v>
      </c>
      <c r="G29">
        <v>20</v>
      </c>
    </row>
    <row r="31" spans="1:9">
      <c r="A31" t="s">
        <v>242</v>
      </c>
      <c r="B31" t="s">
        <v>228</v>
      </c>
      <c r="C31" s="106" t="s">
        <v>218</v>
      </c>
      <c r="D31" s="106" t="s">
        <v>219</v>
      </c>
      <c r="E31" s="106" t="s">
        <v>220</v>
      </c>
      <c r="F31" s="106" t="s">
        <v>221</v>
      </c>
      <c r="G31" s="106" t="s">
        <v>222</v>
      </c>
      <c r="H31" s="106" t="s">
        <v>223</v>
      </c>
      <c r="I31" s="106" t="s">
        <v>224</v>
      </c>
    </row>
    <row r="32" spans="1:9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>
      <c r="B34" t="s">
        <v>233</v>
      </c>
      <c r="C34" s="108" t="s">
        <v>218</v>
      </c>
      <c r="D34" s="108" t="s">
        <v>234</v>
      </c>
      <c r="E34" s="108" t="s">
        <v>235</v>
      </c>
      <c r="F34" s="108" t="s">
        <v>236</v>
      </c>
      <c r="G34" s="108" t="s">
        <v>237</v>
      </c>
    </row>
    <row r="35" spans="1:7">
      <c r="C35">
        <v>150</v>
      </c>
      <c r="D35">
        <v>150</v>
      </c>
      <c r="E35">
        <v>140</v>
      </c>
      <c r="F35">
        <v>80</v>
      </c>
      <c r="G35">
        <v>20</v>
      </c>
    </row>
    <row r="36" spans="1:7">
      <c r="A36" t="s">
        <v>243</v>
      </c>
    </row>
  </sheetData>
  <mergeCells count="1">
    <mergeCell ref="Q1:R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33B0E582-8221-4AEF-B830-2EAF58C1DADB}"/>
</file>

<file path=customXml/itemProps2.xml><?xml version="1.0" encoding="utf-8"?>
<ds:datastoreItem xmlns:ds="http://schemas.openxmlformats.org/officeDocument/2006/customXml" ds:itemID="{54A18FDE-D87D-412B-9D8C-C9A505D9ED89}"/>
</file>

<file path=customXml/itemProps3.xml><?xml version="1.0" encoding="utf-8"?>
<ds:datastoreItem xmlns:ds="http://schemas.openxmlformats.org/officeDocument/2006/customXml" ds:itemID="{87D3C9A4-DECC-45B4-BD47-E6C1E78A407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/>
  <cp:revision/>
  <dcterms:created xsi:type="dcterms:W3CDTF">2022-06-19T12:42:23Z</dcterms:created>
  <dcterms:modified xsi:type="dcterms:W3CDTF">2023-10-20T22:21:48Z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