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504" documentId="13_ncr:1_{25B62D78-2787-4D6A-9F3E-D571215EA930}" xr6:coauthVersionLast="47" xr6:coauthVersionMax="47" xr10:uidLastSave="{0C394594-C819-4D5A-8A62-8B02DBF7267D}"/>
  <bookViews>
    <workbookView minimized="1" xWindow="12880" yWindow="1970" windowWidth="19200" windowHeight="11170" tabRatio="744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15" l="1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B25" i="11"/>
  <c r="B26" i="11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R8" i="3" s="1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15" l="1"/>
  <c r="R13" i="15"/>
  <c r="R13" i="3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<sst xmlns="http://schemas.openxmlformats.org/spreadsheetml/2006/main" count="699" uniqueCount="292">
  <si>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</si>
  <si>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</si>
  <si>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</si>
  <si>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</si>
  <si>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</si>
  <si>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</si>
  <si>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</si>
  <si>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</si>
  <si>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</si>
  <si>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</si>
  <si>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</si>
  <si>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</si>
  <si>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</si>
  <si>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</si>
  <si>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</si>
  <si>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</si>
  <si>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</si>
  <si>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</si>
  <si>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</si>
  <si>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</si>
  <si>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</si>
  <si>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</si>
  <si>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</si>
  <si>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</si>
  <si>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</si>
  <si>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</si>
  <si>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</si>
  <si>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</si>
  <si>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</si>
  <si>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</si>
  <si>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</si>
  <si>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</si>
  <si>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</si>
  <si>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</si>
  <si>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</si>
  <si>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</si>
  <si>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</si>
  <si>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</si>
  <si>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</si>
  <si>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</si>
  <si>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</si>
  <si>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</si>
  <si>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</si>
  <si>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</si>
  <si>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</si>
  <si>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</si>
  <si>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</si>
  <si>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</si>
  <si>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</si>
  <si>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</si>
  <si>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</si>
  <si>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</si>
  <si>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</si>
  <si>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</si>
  <si>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</si>
  <si>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</si>
  <si>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</si>
  <si>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</si>
  <si>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</si>
  <si>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</si>
  <si>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</si>
  <si>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</si>
  <si>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</si>
  <si>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</si>
  <si>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</si>
  <si>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</si>
  <si>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</si>
  <si>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</si>
  <si>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</si>
  <si>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</si>
  <si>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</si>
  <si>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</si>
  <si>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</si>
  <si>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</si>
  <si>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</si>
  <si>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</si>
  <si>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</si>
  <si>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</si>
  <si>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</si>
  <si>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</si>
  <si>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</si>
  <si>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</si>
  <si>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</si>
  <si>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</si>
  <si>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</si>
  <si>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</si>
  <si>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</si>
  <si>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</si>
  <si>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</si>
  <si>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</si>
  <si>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</si>
  <si>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</si>
  <si>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</si>
  <si>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</si>
  <si>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</si>
  <si>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</si>
  <si>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</si>
  <si>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</si>
  <si>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</si>
  <si>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</si>
  <si>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</si>
  <si>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</si>
  <si>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</si>
  <si>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</si>
  <si>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</si>
  <si>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</si>
  <si>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</si>
  <si>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</si>
  <si>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</si>
  <si>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</si>
  <si>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</si>
  <si>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</si>
  <si>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</si>
  <si>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</si>
  <si>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</si>
  <si>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</si>
  <si>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</si>
  <si>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</si>
  <si>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</si>
  <si>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</si>
  <si>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</si>
  <si>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</si>
  <si>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</si>
  <si>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</si>
  <si>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</si>
  <si>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</si>
  <si>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</si>
  <si>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</si>
  <si>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</si>
  <si>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</si>
  <si>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</si>
  <si>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</si>
  <si>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</si>
  <si>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</si>
  <si>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</si>
  <si>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</si>
  <si>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</si>
  <si>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</si>
  <si>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</si>
  <si>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</si>
  <si>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</si>
  <si>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</si>
  <si>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</si>
  <si>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</si>
  <si>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</si>
  <si>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</si>
  <si>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</si>
  <si>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</si>
  <si>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</si>
  <si>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</si>
  <si>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</si>
  <si>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</si>
  <si>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</si>
  <si>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</si>
  <si>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</si>
  <si>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</si>
  <si>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</si>
  <si>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</si>
  <si>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</si>
  <si>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</si>
  <si>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</si>
  <si>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</si>
  <si>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</si>
  <si>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</si>
  <si>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</si>
  <si>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</si>
  <si>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</si>
  <si>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</si>
  <si>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</si>
  <si>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</si>
  <si>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</si>
  <si>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</si>
  <si>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</si>
  <si>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</si>
  <si>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</si>
  <si>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</si>
  <si>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</si>
  <si>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</si>
  <si>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</si>
  <si>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</si>
  <si>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</si>
  <si>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</si>
  <si>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</si>
  <si>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</si>
  <si>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</si>
  <si>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</si>
  <si>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Max Deceleration @ Tire Limits (~4.0g)</t>
  </si>
  <si>
    <t>*maximum velocity analysis</t>
  </si>
  <si>
    <t>Max Cornering @ Tire Limits (~4.0g)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</si>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</sst>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charset val="1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6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tabSelected="1" workbookViewId="0">
      <selection activeCell="B10" sqref="B10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6" t="s">
        <v>0</v>
      </c>
    </row>
    <row r="3" spans="1:12" x14ac:dyDescent="0.35">
      <c r="A3" s="46" t="s">
        <v>1</v>
      </c>
      <c r="D3" s="112"/>
      <c r="E3" s="110" t="s">
        <v>2</v>
      </c>
    </row>
    <row r="4" spans="1:12" x14ac:dyDescent="0.3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50" t="s">
        <v>7</v>
      </c>
      <c r="B5">
        <v>0.45</v>
      </c>
      <c r="E5" s="111" t="s">
        <v>8</v>
      </c>
      <c r="F5">
        <v>450</v>
      </c>
    </row>
    <row r="6" spans="1:12" x14ac:dyDescent="0.3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3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35">
      <c r="A8" s="150" t="s">
        <v>19</v>
      </c>
      <c r="B8">
        <v>44</v>
      </c>
      <c r="E8" s="111" t="s">
        <v>20</v>
      </c>
      <c r="F8">
        <v>1</v>
      </c>
    </row>
    <row r="9" spans="1:12" x14ac:dyDescent="0.35">
      <c r="A9" s="150" t="s">
        <v>21</v>
      </c>
      <c r="B9">
        <v>6.5</v>
      </c>
      <c r="E9" s="111" t="s">
        <v>22</v>
      </c>
      <c r="F9">
        <v>1</v>
      </c>
    </row>
    <row r="10" spans="1:12" x14ac:dyDescent="0.35">
      <c r="A10" s="150" t="s">
        <v>23</v>
      </c>
      <c r="B10">
        <v>8</v>
      </c>
      <c r="E10" s="111" t="s">
        <v>24</v>
      </c>
      <c r="F10">
        <v>1</v>
      </c>
    </row>
    <row r="11" spans="1:12" x14ac:dyDescent="0.35">
      <c r="A11" s="150" t="s">
        <v>25</v>
      </c>
      <c r="B11">
        <v>8</v>
      </c>
      <c r="E11" s="111" t="s">
        <v>26</v>
      </c>
      <c r="F11">
        <v>1</v>
      </c>
    </row>
    <row r="12" spans="1:12" x14ac:dyDescent="0.35">
      <c r="A12" s="150" t="s">
        <v>27</v>
      </c>
      <c r="B12">
        <v>8</v>
      </c>
      <c r="E12" s="111" t="s">
        <v>28</v>
      </c>
      <c r="F12">
        <v>12</v>
      </c>
    </row>
    <row r="13" spans="1:12" x14ac:dyDescent="0.3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3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3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35">
      <c r="A16" s="151" t="s">
        <v>36</v>
      </c>
      <c r="B16">
        <f>B6*B15</f>
        <v>33.550000000000004</v>
      </c>
      <c r="D16" s="46"/>
      <c r="E16" s="111" t="s">
        <v>37</v>
      </c>
      <c r="F16">
        <v>-0.12655</v>
      </c>
    </row>
    <row r="17" spans="1:7" x14ac:dyDescent="0.3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3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3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35">
      <c r="A20" s="151" t="s">
        <v>44</v>
      </c>
      <c r="B20">
        <f>B9-B13</f>
        <v>5.5625999999999998</v>
      </c>
      <c r="E20" s="111" t="s">
        <v>45</v>
      </c>
      <c r="F20">
        <v>0</v>
      </c>
    </row>
    <row r="21" spans="1:7" x14ac:dyDescent="0.35">
      <c r="A21" s="151" t="s">
        <v>46</v>
      </c>
      <c r="B21">
        <f>B9-B14</f>
        <v>4.8429000000000002</v>
      </c>
      <c r="E21" s="111" t="s">
        <v>47</v>
      </c>
      <c r="F21">
        <v>8</v>
      </c>
    </row>
    <row r="22" spans="1:7" x14ac:dyDescent="0.35">
      <c r="A22" s="151" t="s">
        <v>48</v>
      </c>
      <c r="B22">
        <f>B20+(((B21-B20)/B6)*B16)</f>
        <v>5.1667649999999998</v>
      </c>
      <c r="E22" s="111" t="s">
        <v>49</v>
      </c>
      <c r="F22">
        <v>8</v>
      </c>
    </row>
    <row r="24" spans="1:7" x14ac:dyDescent="0.35">
      <c r="A24" s="114" t="s">
        <v>50</v>
      </c>
      <c r="E24" s="117" t="s">
        <v>51</v>
      </c>
      <c r="F24" s="148"/>
      <c r="G24" s="148"/>
    </row>
    <row r="25" spans="1:7" x14ac:dyDescent="0.3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3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3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3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3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3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35">
      <c r="E31" s="149" t="s">
        <v>64</v>
      </c>
      <c r="F31">
        <v>1.45</v>
      </c>
    </row>
    <row r="32" spans="1:7" s="148" customFormat="1" x14ac:dyDescent="0.3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3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35">
      <c r="E34" s="149" t="s">
        <v>69</v>
      </c>
      <c r="F34">
        <v>2</v>
      </c>
    </row>
    <row r="35" spans="1:7" x14ac:dyDescent="0.35">
      <c r="E35" s="149" t="s">
        <v>70</v>
      </c>
      <c r="F35">
        <v>0.8125</v>
      </c>
    </row>
    <row r="36" spans="1:7" x14ac:dyDescent="0.35">
      <c r="E36" s="149" t="s">
        <v>71</v>
      </c>
      <c r="F36">
        <v>6.8</v>
      </c>
    </row>
    <row r="37" spans="1:7" x14ac:dyDescent="0.35">
      <c r="E37" s="149" t="s">
        <v>72</v>
      </c>
      <c r="F37">
        <v>6</v>
      </c>
    </row>
    <row r="38" spans="1:7" x14ac:dyDescent="0.35">
      <c r="E38" s="149" t="s">
        <v>73</v>
      </c>
      <c r="F38">
        <v>0.5</v>
      </c>
    </row>
    <row r="39" spans="1:7" x14ac:dyDescent="0.35">
      <c r="E39" s="152" t="s">
        <v>74</v>
      </c>
      <c r="F39">
        <f>(PI()*(F26/2)^2)*F28</f>
        <v>3.1415926535897931</v>
      </c>
      <c r="G39" t="s">
        <v>34</v>
      </c>
    </row>
    <row r="40" spans="1:7" x14ac:dyDescent="0.35">
      <c r="E40" s="152" t="s">
        <v>75</v>
      </c>
      <c r="F40">
        <f>(PI()*(F29/2)^2)</f>
        <v>0.6013204688511713</v>
      </c>
    </row>
    <row r="41" spans="1:7" x14ac:dyDescent="0.35">
      <c r="E41" s="152" t="s">
        <v>76</v>
      </c>
      <c r="F41">
        <f>(PI()*(F32/2)^2)*F34</f>
        <v>1.5707963267948966</v>
      </c>
    </row>
    <row r="42" spans="1:7" x14ac:dyDescent="0.3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73" zoomScaleNormal="60" workbookViewId="0">
      <selection activeCell="T24" sqref="T2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7"/>
    </row>
    <row r="2" spans="1:50" ht="15.5" x14ac:dyDescent="0.3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" thickBot="1" x14ac:dyDescent="0.4">
      <c r="AF3" s="119" t="s">
        <v>84</v>
      </c>
      <c r="AG3" s="120"/>
      <c r="AH3" s="121" t="s">
        <v>85</v>
      </c>
      <c r="AI3" s="120"/>
      <c r="AJ3" s="122"/>
    </row>
    <row r="4" spans="1:50" ht="15" thickBot="1" x14ac:dyDescent="0.4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3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 x14ac:dyDescent="0.4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 x14ac:dyDescent="0.4">
      <c r="AF7" s="132"/>
      <c r="AG7" s="133"/>
      <c r="AH7" s="133"/>
      <c r="AI7" s="133"/>
      <c r="AJ7" s="134"/>
    </row>
    <row r="8" spans="1:50" x14ac:dyDescent="0.35">
      <c r="AF8" s="135"/>
      <c r="AG8" s="136"/>
      <c r="AH8" s="136"/>
      <c r="AI8" s="136"/>
      <c r="AJ8" s="137"/>
    </row>
    <row r="9" spans="1:50" ht="21" x14ac:dyDescent="0.35">
      <c r="A9" s="101" t="s">
        <v>79</v>
      </c>
      <c r="AF9" s="138"/>
    </row>
    <row r="10" spans="1:50" ht="15.5" x14ac:dyDescent="0.35">
      <c r="AF10" s="118"/>
    </row>
    <row r="11" spans="1:50" ht="15.5" x14ac:dyDescent="0.35">
      <c r="AF11" s="118"/>
      <c r="AX11" s="46"/>
    </row>
    <row r="12" spans="1:50" x14ac:dyDescent="0.3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3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3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3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3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3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3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3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3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3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3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3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3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3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3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3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3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3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3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3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3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3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3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3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3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3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3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3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3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3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3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3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3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3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3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3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3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3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3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3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3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3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3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3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3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3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3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3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3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3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3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3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3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3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3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3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3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3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3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3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3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3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3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3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3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3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3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3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3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3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3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3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3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3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3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3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3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3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3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3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3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3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3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3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3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3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3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3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3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3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3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3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3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3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3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3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3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3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3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3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3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3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3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3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3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3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3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3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3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3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3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3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3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3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3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3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3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3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3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3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3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3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3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3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3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3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3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3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3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3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3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3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3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3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3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3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3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3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3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3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3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3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3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3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3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3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3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3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3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3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3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3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3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3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3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3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3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3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3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3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3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3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3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3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3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3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3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3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3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3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3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3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3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3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3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3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3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3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3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3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3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3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3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3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3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3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3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3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3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3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3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3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3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3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3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3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3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3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3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3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3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3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3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3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3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3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3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3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3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3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3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3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3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3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3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3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3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3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3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3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3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3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3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3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3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B20" sqref="B20:D36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7"/>
  <sheetViews>
    <sheetView workbookViewId="0">
      <selection activeCell="B2" sqref="B2:B7"/>
    </sheetView>
  </sheetViews>
  <sheetFormatPr defaultRowHeight="14.5" x14ac:dyDescent="0.35"/>
  <sheetData>
    <row r="1" spans="1:7" x14ac:dyDescent="0.35">
      <c r="A1" s="46" t="s">
        <v>119</v>
      </c>
      <c r="D1" s="46" t="s">
        <v>120</v>
      </c>
      <c r="F1" s="46"/>
      <c r="G1" s="46" t="s">
        <v>121</v>
      </c>
    </row>
    <row r="2" spans="1:7" x14ac:dyDescent="0.35">
      <c r="A2" t="s">
        <v>122</v>
      </c>
      <c r="D2" t="s">
        <v>122</v>
      </c>
      <c r="G2" t="s">
        <v>122</v>
      </c>
    </row>
    <row r="4" spans="1:7" x14ac:dyDescent="0.35">
      <c r="A4" t="s">
        <v>123</v>
      </c>
      <c r="D4" t="s">
        <v>123</v>
      </c>
      <c r="G4" t="s">
        <v>123</v>
      </c>
    </row>
    <row r="7" spans="1:7" x14ac:dyDescent="0.35">
      <c r="A7" t="s">
        <v>124</v>
      </c>
      <c r="D7" t="s">
        <v>124</v>
      </c>
      <c r="G7" t="s">
        <v>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A18" sqref="A18:E53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9" t="s">
        <v>141</v>
      </c>
    </row>
    <row r="54" spans="1:5" x14ac:dyDescent="0.35">
      <c r="B54">
        <f>((B19*Parameters!$B$33*'Motor Data'!$B$52)/Parameters!$B$12)</f>
        <v>597.40309314000012</v>
      </c>
      <c r="D54" s="109"/>
    </row>
    <row r="55" spans="1:5" x14ac:dyDescent="0.35">
      <c r="A55" t="s">
        <v>142</v>
      </c>
    </row>
    <row r="56" spans="1:5" x14ac:dyDescent="0.35">
      <c r="A56" s="109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5" sqref="C5:C35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2" t="s">
        <v>157</v>
      </c>
      <c r="R1" s="162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7">
        <v>150</v>
      </c>
      <c r="R3">
        <v>26.27</v>
      </c>
    </row>
    <row r="4" spans="1:18" ht="15.5" x14ac:dyDescent="0.3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5" x14ac:dyDescent="0.35">
      <c r="Q6" s="107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5" x14ac:dyDescent="0.35">
      <c r="Q9" s="107">
        <v>350</v>
      </c>
      <c r="R9">
        <v>61.29</v>
      </c>
    </row>
    <row r="10" spans="1:18" ht="15.5" x14ac:dyDescent="0.3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5" x14ac:dyDescent="0.35">
      <c r="Q12" s="107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5" x14ac:dyDescent="0.35">
      <c r="Q15" s="107">
        <v>650</v>
      </c>
      <c r="R15">
        <v>113.8</v>
      </c>
    </row>
    <row r="16" spans="1:18" x14ac:dyDescent="0.3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H20" sqref="H20"/>
    </sheetView>
  </sheetViews>
  <sheetFormatPr defaultRowHeight="14.5" x14ac:dyDescent="0.35"/>
  <cols>
    <col min="1" max="1" width="29.54296875" customWidth="1"/>
    <col min="2" max="2" width="5.26953125" customWidth="1"/>
    <col min="6" max="6" width="9.453125" bestFit="1" customWidth="1"/>
    <col min="8" max="8" width="27.54296875" customWidth="1"/>
    <col min="9" max="9" width="5.26953125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5" t="s">
        <v>175</v>
      </c>
      <c r="B2" s="75"/>
      <c r="C2" s="59" t="s">
        <v>176</v>
      </c>
      <c r="D2" s="60"/>
      <c r="E2" s="61" t="s">
        <v>177</v>
      </c>
      <c r="F2" s="60"/>
      <c r="H2" s="165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6"/>
      <c r="B3" s="57"/>
      <c r="C3" s="62" t="s">
        <v>179</v>
      </c>
      <c r="D3">
        <v>0</v>
      </c>
      <c r="E3" s="52" t="s">
        <v>179</v>
      </c>
      <c r="F3" s="63">
        <v>0</v>
      </c>
      <c r="H3" s="166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3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4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-97.121899999999997</v>
      </c>
      <c r="E15" s="52" t="s">
        <v>181</v>
      </c>
      <c r="F15" s="63">
        <v>-97.121899999999997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378.70310000000001</v>
      </c>
      <c r="E18" s="52" t="s">
        <v>179</v>
      </c>
      <c r="F18" s="63">
        <v>378.70310000000001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-227.87809999999999</v>
      </c>
      <c r="E20" s="73" t="s">
        <v>181</v>
      </c>
      <c r="F20" s="74">
        <v>-227.87809999999999</v>
      </c>
      <c r="H20" s="3"/>
      <c r="I20" s="3"/>
    </row>
    <row r="22" spans="1:13" x14ac:dyDescent="0.35">
      <c r="A22" s="163" t="s">
        <v>186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4"/>
      <c r="B23" s="57"/>
      <c r="C23" s="62" t="s">
        <v>179</v>
      </c>
      <c r="D23">
        <v>-867.63459999999998</v>
      </c>
      <c r="E23" s="52" t="s">
        <v>179</v>
      </c>
      <c r="F23" s="63">
        <v>-867.63459999999998</v>
      </c>
      <c r="H23" s="77"/>
      <c r="I23" s="57"/>
    </row>
    <row r="24" spans="1:13" x14ac:dyDescent="0.35">
      <c r="A24" t="s">
        <v>187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-577.98410000000001</v>
      </c>
      <c r="E25" s="52" t="s">
        <v>181</v>
      </c>
      <c r="F25" s="63">
        <v>-577.98410000000001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-464.62740000000002</v>
      </c>
      <c r="E28" s="52" t="s">
        <v>179</v>
      </c>
      <c r="F28" s="63">
        <v>-464.62740000000002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-286.38189999999997</v>
      </c>
      <c r="E30" s="73" t="s">
        <v>181</v>
      </c>
      <c r="F30" s="74">
        <v>-286.38189999999997</v>
      </c>
      <c r="H30" s="3"/>
      <c r="I30" s="3"/>
    </row>
    <row r="32" spans="1:13" ht="14.65" customHeight="1" x14ac:dyDescent="0.35">
      <c r="A32" s="163" t="s">
        <v>188</v>
      </c>
      <c r="B32" s="75"/>
      <c r="C32" s="59" t="s">
        <v>176</v>
      </c>
      <c r="D32" s="60"/>
      <c r="E32" s="61" t="s">
        <v>177</v>
      </c>
      <c r="F32" s="60"/>
      <c r="H32" s="165" t="s">
        <v>189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4"/>
      <c r="B33" s="57"/>
      <c r="C33" s="62" t="s">
        <v>179</v>
      </c>
      <c r="D33">
        <v>0</v>
      </c>
      <c r="E33" s="52" t="s">
        <v>179</v>
      </c>
      <c r="F33" s="63">
        <v>0</v>
      </c>
      <c r="H33" s="166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187</v>
      </c>
      <c r="C34" s="62" t="s">
        <v>180</v>
      </c>
      <c r="D34">
        <v>-191.23439999999999</v>
      </c>
      <c r="E34" s="52" t="s">
        <v>180</v>
      </c>
      <c r="F34" s="63">
        <v>-919.68399999999997</v>
      </c>
      <c r="J34" s="62" t="s">
        <v>180</v>
      </c>
      <c r="K34">
        <v>413.84100000000001</v>
      </c>
      <c r="L34" s="52" t="s">
        <v>180</v>
      </c>
      <c r="M34" s="63">
        <v>80.080500000000001</v>
      </c>
    </row>
    <row r="35" spans="1:13" x14ac:dyDescent="0.35">
      <c r="C35" s="62" t="s">
        <v>181</v>
      </c>
      <c r="D35">
        <v>-106.6579</v>
      </c>
      <c r="E35" s="52" t="s">
        <v>181</v>
      </c>
      <c r="F35" s="63">
        <v>-617.33489999999995</v>
      </c>
      <c r="J35" s="62" t="s">
        <v>181</v>
      </c>
      <c r="K35">
        <v>-251.6122</v>
      </c>
      <c r="L35" s="52" t="s">
        <v>181</v>
      </c>
      <c r="M35" s="63">
        <v>-40.887799999999999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-309.59530000000001</v>
      </c>
      <c r="E39" s="52" t="s">
        <v>180</v>
      </c>
      <c r="F39" s="161">
        <v>-1184.8</v>
      </c>
      <c r="H39" s="3"/>
      <c r="I39" s="3"/>
      <c r="J39" s="62" t="s">
        <v>180</v>
      </c>
      <c r="K39">
        <v>500.03500000000003</v>
      </c>
      <c r="L39" s="52" t="s">
        <v>180</v>
      </c>
      <c r="M39" s="63">
        <v>90.167100000000005</v>
      </c>
    </row>
    <row r="40" spans="1:13" x14ac:dyDescent="0.35">
      <c r="A40" s="3"/>
      <c r="B40" s="3"/>
      <c r="C40" s="71" t="s">
        <v>181</v>
      </c>
      <c r="D40" s="72">
        <v>-182.04580000000001</v>
      </c>
      <c r="E40" s="73" t="s">
        <v>181</v>
      </c>
      <c r="F40" s="74">
        <v>-822.6934</v>
      </c>
      <c r="H40" s="3"/>
      <c r="I40" s="3"/>
      <c r="J40" s="71" t="s">
        <v>181</v>
      </c>
      <c r="K40" s="72">
        <v>-310.92759999999998</v>
      </c>
      <c r="L40" s="73" t="s">
        <v>181</v>
      </c>
      <c r="M40" s="74">
        <v>-46.572400000000002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I20" sqref="I20"/>
    </sheetView>
  </sheetViews>
  <sheetFormatPr defaultRowHeight="14.5" x14ac:dyDescent="0.35"/>
  <cols>
    <col min="1" max="1" width="15" customWidth="1"/>
    <col min="2" max="2" width="18.7265625" customWidth="1"/>
    <col min="3" max="3" width="8.81640625" customWidth="1"/>
    <col min="4" max="4" width="27.453125" customWidth="1"/>
    <col min="5" max="5" width="23.453125" customWidth="1"/>
    <col min="6" max="6" width="29.26953125" customWidth="1"/>
    <col min="7" max="7" width="22.453125" customWidth="1"/>
    <col min="8" max="8" width="20.7265625" customWidth="1"/>
    <col min="9" max="9" width="24.54296875" customWidth="1"/>
    <col min="10" max="10" width="23" customWidth="1"/>
  </cols>
  <sheetData>
    <row r="1" spans="1:10" ht="29" x14ac:dyDescent="0.35">
      <c r="A1" s="170" t="s">
        <v>190</v>
      </c>
      <c r="B1" s="172" t="s">
        <v>191</v>
      </c>
      <c r="C1" s="88" t="s">
        <v>192</v>
      </c>
      <c r="D1" s="5" t="s">
        <v>193</v>
      </c>
      <c r="E1" s="5" t="s">
        <v>194</v>
      </c>
      <c r="F1" s="5" t="s">
        <v>195</v>
      </c>
      <c r="G1" s="88" t="s">
        <v>189</v>
      </c>
      <c r="H1" s="88" t="s">
        <v>178</v>
      </c>
      <c r="I1" s="5" t="s">
        <v>196</v>
      </c>
      <c r="J1" s="5" t="s">
        <v>197</v>
      </c>
    </row>
    <row r="2" spans="1:10" ht="15" thickBot="1" x14ac:dyDescent="0.4">
      <c r="A2" s="171"/>
      <c r="B2" s="173"/>
      <c r="C2" s="89" t="s">
        <v>198</v>
      </c>
      <c r="D2" s="6" t="s">
        <v>198</v>
      </c>
      <c r="E2" s="6" t="s">
        <v>198</v>
      </c>
      <c r="F2" s="6" t="s">
        <v>198</v>
      </c>
      <c r="G2" s="89" t="s">
        <v>198</v>
      </c>
      <c r="H2" s="89" t="s">
        <v>198</v>
      </c>
      <c r="I2" s="6" t="s">
        <v>198</v>
      </c>
      <c r="J2" s="6" t="s">
        <v>198</v>
      </c>
    </row>
    <row r="3" spans="1:10" x14ac:dyDescent="0.35">
      <c r="A3" s="174" t="s">
        <v>199</v>
      </c>
      <c r="B3" s="14" t="s">
        <v>200</v>
      </c>
      <c r="C3" s="2">
        <f>-'Tire Load Cases'!D3</f>
        <v>0</v>
      </c>
      <c r="D3" s="2">
        <f>-'Tire Load Cases'!D13</f>
        <v>0</v>
      </c>
      <c r="E3" s="2">
        <f>-'Tire Load Cases'!D23</f>
        <v>867.63459999999998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201</v>
      </c>
      <c r="J3" s="81" t="s">
        <v>201</v>
      </c>
    </row>
    <row r="4" spans="1:10" x14ac:dyDescent="0.35">
      <c r="A4" s="175"/>
      <c r="B4" s="15" t="s">
        <v>202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-191.23439999999999</v>
      </c>
      <c r="G4" s="2">
        <f>'Tire Load Cases'!K34</f>
        <v>413.84100000000001</v>
      </c>
      <c r="H4" s="2">
        <f>'Tire Load Cases'!K4</f>
        <v>0</v>
      </c>
      <c r="I4" s="9" t="s">
        <v>201</v>
      </c>
      <c r="J4" s="82" t="s">
        <v>201</v>
      </c>
    </row>
    <row r="5" spans="1:10" x14ac:dyDescent="0.35">
      <c r="A5" s="175"/>
      <c r="B5" s="18" t="s">
        <v>203</v>
      </c>
      <c r="C5" s="11">
        <f>-'Tire Load Cases'!D5</f>
        <v>146.25</v>
      </c>
      <c r="D5" s="2">
        <f>-'Tire Load Cases'!D15</f>
        <v>97.121899999999997</v>
      </c>
      <c r="E5" s="2">
        <f>-'Tire Load Cases'!D25</f>
        <v>577.98410000000001</v>
      </c>
      <c r="F5" s="2">
        <f>-'Tire Load Cases'!D35</f>
        <v>106.6579</v>
      </c>
      <c r="G5" s="2">
        <f>-'Tire Load Cases'!K35</f>
        <v>251.6122</v>
      </c>
      <c r="H5" s="79">
        <f>-'Tire Load Cases'!K5</f>
        <v>731.25</v>
      </c>
      <c r="I5" s="9" t="s">
        <v>201</v>
      </c>
      <c r="J5" s="82" t="s">
        <v>201</v>
      </c>
    </row>
    <row r="6" spans="1:10" x14ac:dyDescent="0.35">
      <c r="A6" s="175"/>
      <c r="B6" s="16" t="s">
        <v>204</v>
      </c>
      <c r="C6" s="12">
        <v>-16.581299999999999</v>
      </c>
      <c r="D6" s="7">
        <v>-11.0114</v>
      </c>
      <c r="E6" s="7">
        <v>386.85884352580302</v>
      </c>
      <c r="F6" s="7">
        <v>49.143599999999999</v>
      </c>
      <c r="G6" s="7">
        <v>-161.04506118528599</v>
      </c>
      <c r="H6" s="7">
        <v>-82.906669775582003</v>
      </c>
      <c r="I6" s="27">
        <f>IF(MIN(C6:H6)&lt;0, MIN(C6:H6), 0)</f>
        <v>-161.04506118528599</v>
      </c>
      <c r="J6" s="83">
        <f>IF(MAX(C6:H6)&gt;0, MAX(C6:H6), 0)</f>
        <v>386.85884352580302</v>
      </c>
    </row>
    <row r="7" spans="1:10" x14ac:dyDescent="0.35">
      <c r="A7" s="175"/>
      <c r="B7" s="16" t="s">
        <v>205</v>
      </c>
      <c r="C7" s="12">
        <v>267.0299</v>
      </c>
      <c r="D7" s="7">
        <v>177.3296</v>
      </c>
      <c r="E7" s="7">
        <v>2292.3374424732501</v>
      </c>
      <c r="F7" s="7">
        <v>-108.4573</v>
      </c>
      <c r="G7" s="7">
        <v>1115.54132050413</v>
      </c>
      <c r="H7" s="7">
        <v>1335.1495621755</v>
      </c>
      <c r="I7" s="27">
        <f t="shared" ref="I7:I11" si="0">IF(MIN(C7:H7)&lt;0, MIN(C7:H7), 0)</f>
        <v>-108.4573</v>
      </c>
      <c r="J7" s="83">
        <f t="shared" ref="J7:J11" si="1">IF(MAX(C7:H7)&gt;0, MAX(C7:H7), 0)</f>
        <v>2292.3374424732501</v>
      </c>
    </row>
    <row r="8" spans="1:10" x14ac:dyDescent="0.35">
      <c r="A8" s="175"/>
      <c r="B8" s="16" t="s">
        <v>206</v>
      </c>
      <c r="C8" s="12">
        <v>219.81479999999999</v>
      </c>
      <c r="D8" s="7">
        <v>145.97489999999999</v>
      </c>
      <c r="E8" s="7">
        <v>-1060.3255974767301</v>
      </c>
      <c r="F8" s="7">
        <v>-79.735500000000002</v>
      </c>
      <c r="G8" s="7">
        <v>897.64039087698904</v>
      </c>
      <c r="H8" s="7">
        <v>1099.07388144376</v>
      </c>
      <c r="I8" s="27">
        <f t="shared" si="0"/>
        <v>-1060.3255974767301</v>
      </c>
      <c r="J8" s="83">
        <f t="shared" si="1"/>
        <v>1099.07388144376</v>
      </c>
    </row>
    <row r="9" spans="1:10" x14ac:dyDescent="0.35">
      <c r="A9" s="175"/>
      <c r="B9" s="16" t="s">
        <v>207</v>
      </c>
      <c r="C9" s="12">
        <v>-32.523899999999998</v>
      </c>
      <c r="D9" s="7">
        <v>-21.598500000000001</v>
      </c>
      <c r="E9" s="7">
        <v>-755.076789556687</v>
      </c>
      <c r="F9" s="7">
        <v>178.67920000000001</v>
      </c>
      <c r="G9" s="7">
        <v>-493.95557889106402</v>
      </c>
      <c r="H9" s="7">
        <v>-162.61965355448601</v>
      </c>
      <c r="I9" s="27">
        <f t="shared" si="0"/>
        <v>-755.076789556687</v>
      </c>
      <c r="J9" s="83">
        <f t="shared" si="1"/>
        <v>178.67920000000001</v>
      </c>
    </row>
    <row r="10" spans="1:10" x14ac:dyDescent="0.35">
      <c r="A10" s="175"/>
      <c r="B10" s="16" t="s">
        <v>208</v>
      </c>
      <c r="C10" s="12">
        <v>-3.5541999999999998</v>
      </c>
      <c r="D10" s="7">
        <v>-2.3603000000000001</v>
      </c>
      <c r="E10" s="7">
        <v>532.88669286934805</v>
      </c>
      <c r="F10" s="7">
        <v>176.29910000000001</v>
      </c>
      <c r="G10" s="7">
        <v>-393.24439819289802</v>
      </c>
      <c r="H10" s="7">
        <v>-17.771180501740901</v>
      </c>
      <c r="I10" s="27">
        <f t="shared" si="0"/>
        <v>-393.24439819289802</v>
      </c>
      <c r="J10" s="83">
        <f t="shared" si="1"/>
        <v>532.88669286934805</v>
      </c>
    </row>
    <row r="11" spans="1:10" ht="15" thickBot="1" x14ac:dyDescent="0.4">
      <c r="A11" s="176"/>
      <c r="B11" s="17" t="s">
        <v>209</v>
      </c>
      <c r="C11" s="13">
        <v>-398.23559999999998</v>
      </c>
      <c r="D11" s="8">
        <v>-264.46089999999998</v>
      </c>
      <c r="E11" s="8">
        <v>-1434.4315554196401</v>
      </c>
      <c r="F11" s="8">
        <v>33.332900000000002</v>
      </c>
      <c r="G11" s="8">
        <v>-1385.7680053295401</v>
      </c>
      <c r="H11" s="8">
        <v>-1991.1782126860301</v>
      </c>
      <c r="I11" s="80">
        <f t="shared" si="0"/>
        <v>-1991.1782126860301</v>
      </c>
      <c r="J11" s="84">
        <f t="shared" si="1"/>
        <v>33.332900000000002</v>
      </c>
    </row>
    <row r="12" spans="1:10" x14ac:dyDescent="0.35">
      <c r="A12" s="177" t="s">
        <v>210</v>
      </c>
      <c r="B12" s="14" t="s">
        <v>200</v>
      </c>
      <c r="C12" s="2">
        <f>-'Tire Load Cases'!F3</f>
        <v>0</v>
      </c>
      <c r="D12" s="2">
        <f>-'Tire Load Cases'!F13</f>
        <v>0</v>
      </c>
      <c r="E12" s="2">
        <f>-'Tire Load Cases'!F23</f>
        <v>867.63459999999998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201</v>
      </c>
      <c r="J12" s="85" t="s">
        <v>201</v>
      </c>
    </row>
    <row r="13" spans="1:10" x14ac:dyDescent="0.35">
      <c r="A13" s="175"/>
      <c r="B13" s="15" t="s">
        <v>202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-919.68399999999997</v>
      </c>
      <c r="G13" s="2">
        <f>'Tire Load Cases'!M34</f>
        <v>80.080500000000001</v>
      </c>
      <c r="H13" s="79">
        <f>'Tire Load Cases'!M4</f>
        <v>0</v>
      </c>
      <c r="I13" s="9" t="s">
        <v>201</v>
      </c>
      <c r="J13" s="82" t="s">
        <v>201</v>
      </c>
    </row>
    <row r="14" spans="1:10" x14ac:dyDescent="0.35">
      <c r="A14" s="175"/>
      <c r="B14" s="15" t="s">
        <v>200</v>
      </c>
      <c r="C14" s="2">
        <f>-'Tire Load Cases'!F5</f>
        <v>146.25</v>
      </c>
      <c r="D14" s="2">
        <f>-'Tire Load Cases'!F15</f>
        <v>97.121899999999997</v>
      </c>
      <c r="E14" s="2">
        <f>-'Tire Load Cases'!F25</f>
        <v>577.98410000000001</v>
      </c>
      <c r="F14" s="2">
        <f>-'Tire Load Cases'!F35</f>
        <v>617.33489999999995</v>
      </c>
      <c r="G14" s="2">
        <f>-'Tire Load Cases'!M35</f>
        <v>40.887799999999999</v>
      </c>
      <c r="H14" s="79">
        <f>-'Tire Load Cases'!M5</f>
        <v>731.25</v>
      </c>
      <c r="I14" s="9" t="s">
        <v>201</v>
      </c>
      <c r="J14" s="82" t="s">
        <v>201</v>
      </c>
    </row>
    <row r="15" spans="1:10" x14ac:dyDescent="0.35">
      <c r="A15" s="175"/>
      <c r="B15" s="16" t="s">
        <v>204</v>
      </c>
      <c r="C15" s="12">
        <v>-16.581299999999999</v>
      </c>
      <c r="D15" s="7">
        <v>-11.0114</v>
      </c>
      <c r="E15" s="7">
        <v>386.85884352580302</v>
      </c>
      <c r="F15" s="7">
        <v>-364.48801236704003</v>
      </c>
      <c r="G15" s="7">
        <v>21.007300000000001</v>
      </c>
      <c r="H15" s="7">
        <v>-82.906669775582003</v>
      </c>
      <c r="I15" s="27">
        <f t="shared" ref="I15:I20" si="2">IF(MIN(C15:H15)&lt;0, MIN(C15:H15), 0)</f>
        <v>-364.48801236704003</v>
      </c>
      <c r="J15" s="83">
        <f t="shared" ref="J15:J20" si="3">IF(MAX(C15:H15)&gt;0, MAX(C15:H15), 0)</f>
        <v>386.85884352580302</v>
      </c>
    </row>
    <row r="16" spans="1:10" x14ac:dyDescent="0.35">
      <c r="A16" s="175"/>
      <c r="B16" s="16" t="s">
        <v>205</v>
      </c>
      <c r="C16" s="12">
        <v>267.0299</v>
      </c>
      <c r="D16" s="7">
        <v>177.3296</v>
      </c>
      <c r="E16" s="7">
        <v>2292.3374424732501</v>
      </c>
      <c r="F16" s="7">
        <v>2585.2980488982298</v>
      </c>
      <c r="G16" s="7">
        <v>-52.311199999999999</v>
      </c>
      <c r="H16" s="7">
        <v>1335.1495621755</v>
      </c>
      <c r="I16" s="27">
        <f t="shared" si="2"/>
        <v>-52.311199999999999</v>
      </c>
      <c r="J16" s="83">
        <f t="shared" si="3"/>
        <v>2585.2980488982298</v>
      </c>
    </row>
    <row r="17" spans="1:10" x14ac:dyDescent="0.35">
      <c r="A17" s="175"/>
      <c r="B17" s="16" t="s">
        <v>206</v>
      </c>
      <c r="C17" s="12">
        <v>219.81479999999999</v>
      </c>
      <c r="D17" s="7">
        <v>145.97489999999999</v>
      </c>
      <c r="E17" s="7">
        <v>-1060.3255974767301</v>
      </c>
      <c r="F17" s="7">
        <v>2082.27330116455</v>
      </c>
      <c r="G17" s="7">
        <v>-39.064799999999998</v>
      </c>
      <c r="H17" s="7">
        <v>1099.07388144376</v>
      </c>
      <c r="I17" s="27">
        <f t="shared" si="2"/>
        <v>-1060.3255974767301</v>
      </c>
      <c r="J17" s="83">
        <f t="shared" si="3"/>
        <v>2082.27330116455</v>
      </c>
    </row>
    <row r="18" spans="1:10" x14ac:dyDescent="0.35">
      <c r="A18" s="175"/>
      <c r="B18" s="16" t="s">
        <v>207</v>
      </c>
      <c r="C18" s="12">
        <v>-32.523899999999998</v>
      </c>
      <c r="D18" s="7">
        <v>-21.598500000000001</v>
      </c>
      <c r="E18" s="7">
        <v>-755.076789556687</v>
      </c>
      <c r="F18" s="7">
        <v>-1110.6606947287701</v>
      </c>
      <c r="G18" s="7">
        <v>75.662599999999998</v>
      </c>
      <c r="H18" s="7">
        <v>-162.61965355448601</v>
      </c>
      <c r="I18" s="27">
        <f>IF(MIN(C18:H18)&lt;0, MIN(C18:H18), 0)</f>
        <v>-1110.6606947287701</v>
      </c>
      <c r="J18" s="83">
        <f t="shared" si="3"/>
        <v>75.662599999999998</v>
      </c>
    </row>
    <row r="19" spans="1:10" x14ac:dyDescent="0.35">
      <c r="A19" s="175"/>
      <c r="B19" s="16" t="s">
        <v>208</v>
      </c>
      <c r="C19" s="12">
        <v>-3.5541999999999998</v>
      </c>
      <c r="D19" s="7">
        <v>-2.3603000000000001</v>
      </c>
      <c r="E19" s="7">
        <v>532.88669286934805</v>
      </c>
      <c r="F19" s="7">
        <v>-875.32568704031098</v>
      </c>
      <c r="G19" s="7">
        <v>73.918000000000006</v>
      </c>
      <c r="H19" s="7">
        <v>-17.771180501740901</v>
      </c>
      <c r="I19" s="27">
        <f t="shared" si="2"/>
        <v>-875.32568704031098</v>
      </c>
      <c r="J19" s="83">
        <f t="shared" si="3"/>
        <v>532.88669286934805</v>
      </c>
    </row>
    <row r="20" spans="1:10" ht="15" thickBot="1" x14ac:dyDescent="0.4">
      <c r="A20" s="176"/>
      <c r="B20" s="17" t="s">
        <v>209</v>
      </c>
      <c r="C20" s="13">
        <v>-398.23559999999998</v>
      </c>
      <c r="D20" s="8">
        <v>-264.46089999999998</v>
      </c>
      <c r="E20" s="8">
        <v>-1434.4315554196401</v>
      </c>
      <c r="F20" s="44">
        <v>-3238.0159787165499</v>
      </c>
      <c r="G20" s="44">
        <v>24.239799999999999</v>
      </c>
      <c r="H20" s="8">
        <v>-1991.1782126860301</v>
      </c>
      <c r="I20" s="80">
        <f t="shared" si="2"/>
        <v>-3238.0159787165499</v>
      </c>
      <c r="J20" s="84">
        <f t="shared" si="3"/>
        <v>24.239799999999999</v>
      </c>
    </row>
    <row r="21" spans="1:10" x14ac:dyDescent="0.35">
      <c r="A21" s="167" t="s">
        <v>211</v>
      </c>
      <c r="B21" s="14" t="s">
        <v>200</v>
      </c>
      <c r="C21" s="91">
        <f>-'Tire Load Cases'!D8</f>
        <v>0</v>
      </c>
      <c r="D21" s="1">
        <f>-'Tire Load Cases'!D18</f>
        <v>-378.70310000000001</v>
      </c>
      <c r="E21" s="1">
        <f>-'Tire Load Cases'!D28</f>
        <v>464.62740000000002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201</v>
      </c>
      <c r="J21" s="85" t="s">
        <v>201</v>
      </c>
    </row>
    <row r="22" spans="1:10" x14ac:dyDescent="0.35">
      <c r="A22" s="168"/>
      <c r="B22" s="15" t="s">
        <v>202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-309.59530000000001</v>
      </c>
      <c r="G22" s="2">
        <f>'Tire Load Cases'!K39</f>
        <v>500.03500000000003</v>
      </c>
      <c r="H22" s="2">
        <f>'Tire Load Cases'!K9</f>
        <v>0</v>
      </c>
      <c r="I22" s="9" t="s">
        <v>201</v>
      </c>
      <c r="J22" s="82" t="s">
        <v>201</v>
      </c>
    </row>
    <row r="23" spans="1:10" x14ac:dyDescent="0.35">
      <c r="A23" s="168"/>
      <c r="B23" s="15" t="s">
        <v>200</v>
      </c>
      <c r="C23" s="90">
        <f>-'Tire Load Cases'!D10</f>
        <v>178.75</v>
      </c>
      <c r="D23" s="79">
        <f>-'Tire Load Cases'!D20</f>
        <v>227.87809999999999</v>
      </c>
      <c r="E23" s="79">
        <f>-'Tire Load Cases'!D30</f>
        <v>286.38189999999997</v>
      </c>
      <c r="F23" s="79">
        <f>-'Tire Load Cases'!D40</f>
        <v>182.04580000000001</v>
      </c>
      <c r="G23" s="79">
        <f>-'Tire Load Cases'!K40</f>
        <v>310.92759999999998</v>
      </c>
      <c r="H23" s="79">
        <f>-'Tire Load Cases'!K10</f>
        <v>893.75</v>
      </c>
      <c r="I23" s="9" t="s">
        <v>201</v>
      </c>
      <c r="J23" s="82" t="s">
        <v>201</v>
      </c>
    </row>
    <row r="24" spans="1:10" x14ac:dyDescent="0.35">
      <c r="A24" s="168"/>
      <c r="B24" s="16" t="s">
        <v>212</v>
      </c>
      <c r="C24" s="12">
        <v>11.7759</v>
      </c>
      <c r="D24" s="7">
        <v>168.93299999999999</v>
      </c>
      <c r="E24" s="7">
        <v>-169.97730000000001</v>
      </c>
      <c r="F24" s="7">
        <v>-169.0204</v>
      </c>
      <c r="G24" s="7">
        <v>312.84285104016499</v>
      </c>
      <c r="H24" s="7">
        <v>58.879357309926299</v>
      </c>
      <c r="I24" s="27">
        <f t="shared" ref="I24:I29" si="4">IF(MIN(C24:H24)&lt;0, MIN(C24:H24), 0)</f>
        <v>-169.97730000000001</v>
      </c>
      <c r="J24" s="83">
        <f t="shared" ref="J24:J29" si="5">IF(MAX(C24:H24)&gt;0, MAX(C24:H24), 0)</f>
        <v>312.84285104016499</v>
      </c>
    </row>
    <row r="25" spans="1:10" x14ac:dyDescent="0.35">
      <c r="A25" s="168"/>
      <c r="B25" s="16" t="s">
        <v>205</v>
      </c>
      <c r="C25" s="12">
        <v>-15.463800000000001</v>
      </c>
      <c r="D25" s="7">
        <v>-824.50890000000004</v>
      </c>
      <c r="E25" s="7">
        <v>962.62070000000006</v>
      </c>
      <c r="F25" s="7">
        <v>-46.765999999999998</v>
      </c>
      <c r="G25" s="7">
        <v>23.198008607459499</v>
      </c>
      <c r="H25" s="7">
        <v>-77.318886419378401</v>
      </c>
      <c r="I25" s="27">
        <f t="shared" si="4"/>
        <v>-824.50890000000004</v>
      </c>
      <c r="J25" s="83">
        <f t="shared" si="5"/>
        <v>962.62070000000006</v>
      </c>
    </row>
    <row r="26" spans="1:10" x14ac:dyDescent="0.35">
      <c r="A26" s="168"/>
      <c r="B26" s="16" t="s">
        <v>206</v>
      </c>
      <c r="C26" s="12">
        <v>61.699100000000001</v>
      </c>
      <c r="D26" s="7">
        <v>678.66769999999997</v>
      </c>
      <c r="E26" s="7">
        <v>-637.29790000000003</v>
      </c>
      <c r="F26" s="7">
        <v>-34.275799999999997</v>
      </c>
      <c r="G26" s="7">
        <v>264.17147074407501</v>
      </c>
      <c r="H26" s="7">
        <v>308.49530474667398</v>
      </c>
      <c r="I26" s="27">
        <f t="shared" si="4"/>
        <v>-637.29790000000003</v>
      </c>
      <c r="J26" s="83">
        <f t="shared" si="5"/>
        <v>678.66769999999997</v>
      </c>
    </row>
    <row r="27" spans="1:10" x14ac:dyDescent="0.35">
      <c r="A27" s="168"/>
      <c r="B27" s="16" t="s">
        <v>207</v>
      </c>
      <c r="C27" s="12">
        <v>110.04600000000001</v>
      </c>
      <c r="D27" s="7">
        <v>426.13830000000002</v>
      </c>
      <c r="E27" s="7">
        <v>-174.39449999999999</v>
      </c>
      <c r="F27" s="7">
        <v>177.4605</v>
      </c>
      <c r="G27" s="7">
        <v>85.814184516589805</v>
      </c>
      <c r="H27" s="7">
        <v>550.22977235628196</v>
      </c>
      <c r="I27" s="27">
        <f t="shared" si="4"/>
        <v>-174.39449999999999</v>
      </c>
      <c r="J27" s="83">
        <f t="shared" si="5"/>
        <v>550.22977235628196</v>
      </c>
    </row>
    <row r="28" spans="1:10" x14ac:dyDescent="0.35">
      <c r="A28" s="168"/>
      <c r="B28" s="16" t="s">
        <v>208</v>
      </c>
      <c r="C28" s="12">
        <v>187.9873</v>
      </c>
      <c r="D28" s="7">
        <v>-188.5873</v>
      </c>
      <c r="E28" s="7">
        <v>826.58690000000001</v>
      </c>
      <c r="F28" s="7">
        <v>462.06889999999999</v>
      </c>
      <c r="G28" s="7">
        <v>-110.082191827401</v>
      </c>
      <c r="H28" s="7">
        <v>939.93660819694401</v>
      </c>
      <c r="I28" s="27">
        <f t="shared" si="4"/>
        <v>-188.5873</v>
      </c>
      <c r="J28" s="83">
        <f t="shared" si="5"/>
        <v>939.93660819694401</v>
      </c>
    </row>
    <row r="29" spans="1:10" ht="15" thickBot="1" x14ac:dyDescent="0.4">
      <c r="A29" s="169"/>
      <c r="B29" s="17" t="s">
        <v>209</v>
      </c>
      <c r="C29" s="43">
        <v>-323.37279999999998</v>
      </c>
      <c r="D29" s="44">
        <v>-319.79430000000002</v>
      </c>
      <c r="E29" s="44">
        <v>-631.51959999999997</v>
      </c>
      <c r="F29" s="44">
        <v>-16.671199999999999</v>
      </c>
      <c r="G29" s="44">
        <v>-1067.4836737816099</v>
      </c>
      <c r="H29" s="7">
        <v>-1616.86379364101</v>
      </c>
      <c r="I29" s="27">
        <f t="shared" si="4"/>
        <v>-1616.86379364101</v>
      </c>
      <c r="J29" s="83">
        <f t="shared" si="5"/>
        <v>0</v>
      </c>
    </row>
    <row r="30" spans="1:10" x14ac:dyDescent="0.35">
      <c r="A30" s="167" t="s">
        <v>213</v>
      </c>
      <c r="B30" s="14" t="s">
        <v>200</v>
      </c>
      <c r="C30" s="91">
        <f>-'Tire Load Cases'!F8</f>
        <v>0</v>
      </c>
      <c r="D30" s="1">
        <f>-'Tire Load Cases'!F18</f>
        <v>-378.70310000000001</v>
      </c>
      <c r="E30" s="1">
        <f>-'Tire Load Cases'!F28</f>
        <v>464.62740000000002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35">
      <c r="A31" s="168"/>
      <c r="B31" s="15" t="s">
        <v>202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-1184.8</v>
      </c>
      <c r="G31" s="2">
        <f>'Tire Load Cases'!M39</f>
        <v>90.167100000000005</v>
      </c>
      <c r="H31" s="2">
        <f>'Tire Load Cases'!M9</f>
        <v>0</v>
      </c>
      <c r="I31" s="2"/>
      <c r="J31" s="87"/>
    </row>
    <row r="32" spans="1:10" x14ac:dyDescent="0.35">
      <c r="A32" s="168"/>
      <c r="B32" s="15" t="s">
        <v>200</v>
      </c>
      <c r="C32" s="90">
        <f>-'Tire Load Cases'!F10</f>
        <v>178.75</v>
      </c>
      <c r="D32" s="79">
        <f>-'Tire Load Cases'!F20</f>
        <v>227.87809999999999</v>
      </c>
      <c r="E32" s="79">
        <f>-'Tire Load Cases'!F30</f>
        <v>286.38189999999997</v>
      </c>
      <c r="F32" s="79">
        <f>-'Tire Load Cases'!F40</f>
        <v>822.6934</v>
      </c>
      <c r="G32" s="79">
        <f>-'Tire Load Cases'!M40</f>
        <v>46.572400000000002</v>
      </c>
      <c r="H32" s="79">
        <f>-'Tire Load Cases'!M10</f>
        <v>893.75</v>
      </c>
      <c r="I32" s="2"/>
      <c r="J32" s="87"/>
    </row>
    <row r="33" spans="1:10" x14ac:dyDescent="0.35">
      <c r="A33" s="168"/>
      <c r="B33" s="16" t="s">
        <v>212</v>
      </c>
      <c r="C33" s="12">
        <v>11.7759</v>
      </c>
      <c r="D33" s="7">
        <v>168.93299999999999</v>
      </c>
      <c r="E33" s="7">
        <v>-169.97730000000001</v>
      </c>
      <c r="F33" s="7">
        <v>746.92421056148896</v>
      </c>
      <c r="G33" s="7">
        <v>-49.650500000000001</v>
      </c>
      <c r="H33" s="7">
        <v>58.879357309926299</v>
      </c>
      <c r="I33" s="27">
        <f t="shared" ref="I33:I38" si="6">IF(MIN(C33:H33)&lt;0, MIN(C33:H33), 0)</f>
        <v>-169.97730000000001</v>
      </c>
      <c r="J33" s="83">
        <f t="shared" ref="J33:J38" si="7">IF(MAX(C33:H33)&gt;0, MAX(C33:H33), 0)</f>
        <v>746.92421056148896</v>
      </c>
    </row>
    <row r="34" spans="1:10" x14ac:dyDescent="0.35">
      <c r="A34" s="168"/>
      <c r="B34" s="16" t="s">
        <v>205</v>
      </c>
      <c r="C34" s="12">
        <v>-15.463800000000001</v>
      </c>
      <c r="D34" s="7">
        <v>-824.50890000000004</v>
      </c>
      <c r="E34" s="7">
        <v>962.62070000000006</v>
      </c>
      <c r="F34" s="7">
        <v>47.5287532386496</v>
      </c>
      <c r="G34" s="7">
        <v>-13.0625</v>
      </c>
      <c r="H34" s="7">
        <v>-77.318886419378401</v>
      </c>
      <c r="I34" s="27">
        <f t="shared" si="6"/>
        <v>-824.50890000000004</v>
      </c>
      <c r="J34" s="83">
        <f t="shared" si="7"/>
        <v>962.62070000000006</v>
      </c>
    </row>
    <row r="35" spans="1:10" x14ac:dyDescent="0.35">
      <c r="A35" s="168"/>
      <c r="B35" s="16" t="s">
        <v>206</v>
      </c>
      <c r="C35" s="12">
        <v>61.699100000000001</v>
      </c>
      <c r="D35" s="7">
        <v>678.66769999999997</v>
      </c>
      <c r="E35" s="7">
        <v>-637.29790000000003</v>
      </c>
      <c r="F35" s="7">
        <v>655.61145044902798</v>
      </c>
      <c r="G35" s="7">
        <v>-12.207800000000001</v>
      </c>
      <c r="H35" s="7">
        <v>308.49530474667398</v>
      </c>
      <c r="I35" s="27">
        <f t="shared" si="6"/>
        <v>-637.29790000000003</v>
      </c>
      <c r="J35" s="83">
        <f t="shared" si="7"/>
        <v>678.66769999999997</v>
      </c>
    </row>
    <row r="36" spans="1:10" x14ac:dyDescent="0.35">
      <c r="A36" s="168"/>
      <c r="B36" s="16" t="s">
        <v>207</v>
      </c>
      <c r="C36" s="12">
        <v>110.04600000000001</v>
      </c>
      <c r="D36" s="7">
        <v>426.13830000000002</v>
      </c>
      <c r="E36" s="7">
        <v>-174.39449999999999</v>
      </c>
      <c r="F36" s="7">
        <v>256.25834800067503</v>
      </c>
      <c r="G36" s="7">
        <v>47.7149</v>
      </c>
      <c r="H36" s="7">
        <v>550.22977235628196</v>
      </c>
      <c r="I36" s="27">
        <f t="shared" si="6"/>
        <v>-174.39449999999999</v>
      </c>
      <c r="J36" s="83">
        <f t="shared" si="7"/>
        <v>550.22977235628196</v>
      </c>
    </row>
    <row r="37" spans="1:10" x14ac:dyDescent="0.35">
      <c r="A37" s="168"/>
      <c r="B37" s="16" t="s">
        <v>208</v>
      </c>
      <c r="C37" s="12">
        <v>187.9873</v>
      </c>
      <c r="D37" s="7">
        <v>-188.5873</v>
      </c>
      <c r="E37" s="7">
        <v>826.58690000000001</v>
      </c>
      <c r="F37" s="7">
        <v>-170.41882629416901</v>
      </c>
      <c r="G37" s="7">
        <v>127.7937</v>
      </c>
      <c r="H37" s="7">
        <v>939.93660819694401</v>
      </c>
      <c r="I37" s="27">
        <f t="shared" si="6"/>
        <v>-188.5873</v>
      </c>
      <c r="J37" s="83">
        <f t="shared" si="7"/>
        <v>939.93660819694401</v>
      </c>
    </row>
    <row r="38" spans="1:10" ht="15" thickBot="1" x14ac:dyDescent="0.4">
      <c r="A38" s="169"/>
      <c r="B38" s="17" t="s">
        <v>209</v>
      </c>
      <c r="C38" s="45">
        <v>-323.37279999999998</v>
      </c>
      <c r="D38" s="8">
        <v>-319.79430000000002</v>
      </c>
      <c r="E38" s="8">
        <v>-631.51959999999997</v>
      </c>
      <c r="F38" s="8">
        <v>-2684.8604093898598</v>
      </c>
      <c r="G38" s="8">
        <v>6.8076999999999996</v>
      </c>
      <c r="H38" s="8">
        <v>-1616.86379364101</v>
      </c>
      <c r="I38" s="80">
        <f t="shared" si="6"/>
        <v>-2684.8604093898598</v>
      </c>
      <c r="J38" s="84">
        <f t="shared" si="7"/>
        <v>6.8076999999999996</v>
      </c>
    </row>
    <row r="39" spans="1:10" x14ac:dyDescent="0.35">
      <c r="A39" t="s">
        <v>214</v>
      </c>
    </row>
    <row r="41" spans="1:10" x14ac:dyDescent="0.35">
      <c r="A41" s="46" t="s">
        <v>119</v>
      </c>
    </row>
    <row r="42" spans="1:10" x14ac:dyDescent="0.35">
      <c r="A42" t="s">
        <v>215</v>
      </c>
    </row>
    <row r="57" spans="1:1" x14ac:dyDescent="0.35">
      <c r="A57" t="s">
        <v>216</v>
      </c>
    </row>
    <row r="75" spans="1:1" x14ac:dyDescent="0.35">
      <c r="A75" s="46" t="s">
        <v>120</v>
      </c>
    </row>
    <row r="76" spans="1:1" x14ac:dyDescent="0.35">
      <c r="A76" t="s">
        <v>215</v>
      </c>
    </row>
    <row r="91" spans="1:1" x14ac:dyDescent="0.35">
      <c r="A91" t="s">
        <v>216</v>
      </c>
    </row>
    <row r="107" spans="1:1" x14ac:dyDescent="0.35">
      <c r="A107" s="46" t="s">
        <v>121</v>
      </c>
    </row>
    <row r="108" spans="1:1" x14ac:dyDescent="0.35">
      <c r="A108" t="s">
        <v>215</v>
      </c>
    </row>
    <row r="121" spans="1:1" x14ac:dyDescent="0.35">
      <c r="A121" t="s">
        <v>216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E2" sqref="E2:E13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" thickBot="1" x14ac:dyDescent="0.4">
      <c r="A2" s="181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27.865211685130575</v>
      </c>
      <c r="M2" s="26">
        <f t="shared" ref="M2:M13" si="2">SQRT(2*PI()^2*U2*$W$6*1000/C2)</f>
        <v>1268.9388226831952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6">
        <f>MIN(ABS(P2/C2),ABS(Q2/C2),ABS(Q2/D2))</f>
        <v>13.58014711250204</v>
      </c>
      <c r="S2" s="26">
        <f>$W$7/(MAX(C3:D3)/H3)</f>
        <v>2.4543281422118284</v>
      </c>
      <c r="T2" s="21" t="s">
        <v>236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51.082786213415332</v>
      </c>
      <c r="M3" s="26">
        <f t="shared" si="2"/>
        <v>3289.7880056256749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6">
        <f t="shared" ref="R3:R13" si="11">MIN(ABS(P3/C3),ABS(Q3/C3),ABS(Q3/D3))</f>
        <v>3.088894507209051</v>
      </c>
      <c r="S3" s="26">
        <f t="shared" ref="S3:S12" si="12">$W$7/(MAX(C4:D4)/H4)</f>
        <v>3.0472319622345458</v>
      </c>
      <c r="T3" s="19" t="s">
        <v>237</v>
      </c>
      <c r="U3" s="32">
        <v>2</v>
      </c>
      <c r="V3" s="178" t="s">
        <v>238</v>
      </c>
      <c r="W3" s="179"/>
      <c r="X3" s="180"/>
    </row>
    <row r="4" spans="1:25" ht="15" thickBot="1" x14ac:dyDescent="0.4">
      <c r="A4" s="182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16.337452893837856</v>
      </c>
      <c r="M4" s="26">
        <f t="shared" si="2"/>
        <v>1052.1500598670812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6">
        <f t="shared" si="11"/>
        <v>3.8350935673400124</v>
      </c>
      <c r="S4" s="26">
        <f t="shared" si="12"/>
        <v>5.7129686748893063</v>
      </c>
      <c r="T4" s="19" t="s">
        <v>237</v>
      </c>
      <c r="U4" s="32">
        <v>2</v>
      </c>
      <c r="V4" s="33" t="s">
        <v>239</v>
      </c>
      <c r="W4" s="34">
        <v>0.28360000000000002</v>
      </c>
      <c r="X4" s="35" t="s">
        <v>240</v>
      </c>
    </row>
    <row r="5" spans="1:25" ht="15" thickBot="1" x14ac:dyDescent="0.4">
      <c r="A5" s="182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15.962954284896469</v>
      </c>
      <c r="M5" s="26">
        <f t="shared" si="2"/>
        <v>1028.0319346992078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6">
        <f t="shared" si="11"/>
        <v>7.1900563157051103</v>
      </c>
      <c r="S5" s="26">
        <f t="shared" si="12"/>
        <v>7.2489244304834921</v>
      </c>
      <c r="T5" s="19" t="s">
        <v>237</v>
      </c>
      <c r="U5" s="32">
        <v>2</v>
      </c>
      <c r="V5" s="33" t="s">
        <v>241</v>
      </c>
      <c r="W5" s="34">
        <v>66717.358999999997</v>
      </c>
      <c r="X5" s="35" t="s">
        <v>242</v>
      </c>
    </row>
    <row r="6" spans="1:25" ht="15" thickBot="1" x14ac:dyDescent="0.4">
      <c r="A6" s="182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17.981219172374789</v>
      </c>
      <c r="M6" s="26">
        <f t="shared" si="2"/>
        <v>1158.0104286533594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6">
        <f t="shared" si="11"/>
        <v>9.1231333216572867</v>
      </c>
      <c r="S6" s="26">
        <f t="shared" si="12"/>
        <v>1.9595856842964956</v>
      </c>
      <c r="T6" s="19" t="s">
        <v>237</v>
      </c>
      <c r="U6" s="32">
        <v>2</v>
      </c>
      <c r="V6" s="33" t="s">
        <v>243</v>
      </c>
      <c r="W6" s="34">
        <v>29732.736199999999</v>
      </c>
      <c r="X6" s="35" t="s">
        <v>244</v>
      </c>
    </row>
    <row r="7" spans="1:25" ht="15" thickBot="1" x14ac:dyDescent="0.4">
      <c r="A7" s="183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4">
        <f t="shared" si="0"/>
        <v>0.28088470015152467</v>
      </c>
      <c r="K7" s="95">
        <f t="shared" si="8"/>
        <v>1.7236969049343337E-3</v>
      </c>
      <c r="L7" s="96">
        <f t="shared" si="1"/>
        <v>9.3489853138551204</v>
      </c>
      <c r="M7" s="97">
        <f t="shared" si="2"/>
        <v>425.73839206742082</v>
      </c>
      <c r="N7" s="95">
        <f t="shared" si="9"/>
        <v>68.953129552019831</v>
      </c>
      <c r="O7" s="95">
        <f t="shared" si="3"/>
        <v>7985.7090336107158</v>
      </c>
      <c r="P7" s="95">
        <f t="shared" si="13"/>
        <v>7387.5682671179993</v>
      </c>
      <c r="Q7" s="145">
        <f t="shared" si="10"/>
        <v>7985.7129427400187</v>
      </c>
      <c r="R7" s="145">
        <f t="shared" si="11"/>
        <v>2.281510750927858</v>
      </c>
      <c r="S7" s="97">
        <f t="shared" si="12"/>
        <v>8.4950650517090232</v>
      </c>
      <c r="T7" s="21" t="s">
        <v>236</v>
      </c>
      <c r="U7" s="98">
        <v>1</v>
      </c>
      <c r="V7" s="36" t="s">
        <v>233</v>
      </c>
      <c r="W7" s="37">
        <v>53011.292999999998</v>
      </c>
      <c r="X7" s="38" t="s">
        <v>242</v>
      </c>
      <c r="Y7" s="102" t="s">
        <v>245</v>
      </c>
    </row>
    <row r="8" spans="1:25" ht="15" thickBot="1" x14ac:dyDescent="0.4">
      <c r="A8" s="181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9">
        <f t="shared" si="0"/>
        <v>0.32600833536185769</v>
      </c>
      <c r="K8" s="39">
        <f t="shared" si="8"/>
        <v>1.7236969049343337E-3</v>
      </c>
      <c r="L8" s="100">
        <f t="shared" si="1"/>
        <v>40.804542049434588</v>
      </c>
      <c r="M8" s="26">
        <f t="shared" si="2"/>
        <v>1858.1759985683675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6">
        <f t="shared" si="11"/>
        <v>10.691463511052721</v>
      </c>
      <c r="S8" s="26">
        <f t="shared" si="12"/>
        <v>6.5915575651097642</v>
      </c>
      <c r="T8" s="21" t="s">
        <v>236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205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100">
        <f t="shared" si="1"/>
        <v>18.5270510154124</v>
      </c>
      <c r="M9" s="26">
        <f t="shared" si="2"/>
        <v>1193.1626038462252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6">
        <f t="shared" si="11"/>
        <v>7.366028433338939</v>
      </c>
      <c r="S9" s="26">
        <f t="shared" si="12"/>
        <v>9.3494500436903927</v>
      </c>
      <c r="T9" s="19" t="s">
        <v>237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100">
        <f t="shared" si="1"/>
        <v>21.073308627293915</v>
      </c>
      <c r="M10" s="26">
        <f t="shared" si="2"/>
        <v>1357.1444139966084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6">
        <f t="shared" si="11"/>
        <v>11.766749681383127</v>
      </c>
      <c r="S10" s="26">
        <f t="shared" si="12"/>
        <v>11.531854647275733</v>
      </c>
      <c r="T10" s="19" t="s">
        <v>237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100">
        <f t="shared" si="1"/>
        <v>40.284463042679164</v>
      </c>
      <c r="M11" s="26">
        <f t="shared" si="2"/>
        <v>2594.3640344361729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6">
        <f t="shared" si="11"/>
        <v>14.513414838572476</v>
      </c>
      <c r="S11" s="26">
        <f t="shared" si="12"/>
        <v>6.750635842972466</v>
      </c>
      <c r="T11" s="19" t="s">
        <v>237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208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100">
        <f t="shared" si="1"/>
        <v>38.738941502555974</v>
      </c>
      <c r="M12" s="26">
        <f t="shared" si="2"/>
        <v>2494.8307356084338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6">
        <f t="shared" si="11"/>
        <v>8.4960122556124329</v>
      </c>
      <c r="S12" s="26">
        <f t="shared" si="12"/>
        <v>2.3633145824732882</v>
      </c>
      <c r="T12" s="19" t="s">
        <v>237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4">
        <f t="shared" si="0"/>
        <v>0.30413391233504766</v>
      </c>
      <c r="K13" s="95">
        <f t="shared" si="8"/>
        <v>1.7236969049343337E-3</v>
      </c>
      <c r="L13" s="80">
        <f t="shared" si="1"/>
        <v>10.26698945303257</v>
      </c>
      <c r="M13" s="145">
        <f t="shared" si="2"/>
        <v>467.54288667342246</v>
      </c>
      <c r="N13" s="95">
        <f t="shared" si="9"/>
        <v>74.660474732473077</v>
      </c>
      <c r="O13" s="95">
        <f t="shared" si="3"/>
        <v>7985.7087100467179</v>
      </c>
      <c r="P13" s="95">
        <f t="shared" si="13"/>
        <v>6301.2683801833018</v>
      </c>
      <c r="Q13" s="145">
        <f t="shared" si="10"/>
        <v>7985.7129427400187</v>
      </c>
      <c r="R13" s="145">
        <f t="shared" si="11"/>
        <v>2.3469631263307571</v>
      </c>
      <c r="S13" s="97" cm="1">
        <f t="array" ref="S13">$W$7/(MAX(C13:D13/H13))</f>
        <v>2.3633145824732882</v>
      </c>
      <c r="T13" s="21" t="s">
        <v>236</v>
      </c>
      <c r="U13" s="98">
        <v>1</v>
      </c>
      <c r="V13" s="3"/>
      <c r="W13" s="3"/>
      <c r="X13" s="3"/>
    </row>
    <row r="14" spans="1:25" x14ac:dyDescent="0.35">
      <c r="L14" t="s">
        <v>246</v>
      </c>
    </row>
    <row r="16" spans="1:25" x14ac:dyDescent="0.35">
      <c r="R16" s="41"/>
    </row>
    <row r="17" spans="15:15" x14ac:dyDescent="0.35">
      <c r="O17" s="160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22" sqref="F22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" thickBot="1" x14ac:dyDescent="0.4">
      <c r="A2" s="181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f>'Steel A-Arm Tube Force Analysis'!E2-1.168</f>
        <v>8.940900000000001</v>
      </c>
      <c r="F2" s="29">
        <v>0.60499999999999998</v>
      </c>
      <c r="G2" s="29">
        <v>5.6500000000000002E-2</v>
      </c>
      <c r="H2" s="7">
        <f>PI()*((F2/2)^2-(F2/2-G2)^2)</f>
        <v>9.7358741732911078E-2</v>
      </c>
      <c r="I2" s="7">
        <f>H2*E2</f>
        <v>0.87047477395978479</v>
      </c>
      <c r="J2" s="31">
        <f t="shared" ref="J2:J13" si="0">I2*$W$4</f>
        <v>4.6918590316432404E-2</v>
      </c>
      <c r="K2" s="30">
        <f>PI()*(F2^4-(F2-(2*G2))^4)/64</f>
        <v>3.7001737438515096E-3</v>
      </c>
      <c r="L2" s="42">
        <f t="shared" ref="L2:L8" si="1">0.282*SQRT($W$6*1000*H2/C2)</f>
        <v>20.35224235160721</v>
      </c>
      <c r="M2" s="147">
        <f t="shared" ref="M2:M13" si="2">SQRT(2*PI()^2*U2*$W$6*1000/C2)</f>
        <v>1027.6389376810118</v>
      </c>
      <c r="N2" s="30">
        <f>E2/SQRT(K2/H2)</f>
        <v>45.86249265157759</v>
      </c>
      <c r="O2" s="30">
        <f>H2*($W$5-($W$5*E2/(2*PI()*SQRT(K2/H2))^2/(U2*$W$6*1000)))</f>
        <v>6143.3347260019218</v>
      </c>
      <c r="P2" s="30">
        <f>U2*PI()^2*$W$6*1000*K2/E2^2</f>
        <v>8908.2828664510944</v>
      </c>
      <c r="Q2" s="26">
        <f>H2*$W$5</f>
        <v>6143.3366033466891</v>
      </c>
      <c r="R2" s="146">
        <f>MIN(ABS(P2/C2),ABS(Q2/C2),ABS(Q2/D2))</f>
        <v>15.880046963271594</v>
      </c>
      <c r="S2" s="26">
        <f>$W$7/(MAX(C3:D3)/H3)</f>
        <v>2.1841996217478012</v>
      </c>
      <c r="T2" s="21" t="s">
        <v>236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19">
        <f>'Steel A-Arm Tube Force Analysis'!E3-0.584</f>
        <v>10.5692</v>
      </c>
      <c r="F3" s="29">
        <v>0.60499999999999998</v>
      </c>
      <c r="G3" s="29">
        <v>5.6500000000000002E-2</v>
      </c>
      <c r="H3" s="7">
        <f t="shared" ref="H3:H13" si="3">PI()*((F3/2)^2-(F3/2-G3)^2)</f>
        <v>9.7358741732911078E-2</v>
      </c>
      <c r="I3" s="7">
        <f t="shared" ref="I3:I13" si="4">H3*E3</f>
        <v>1.0290040131234839</v>
      </c>
      <c r="J3" s="31">
        <f t="shared" si="0"/>
        <v>5.5463316307355785E-2</v>
      </c>
      <c r="K3" s="30">
        <f t="shared" ref="K3:K13" si="5">PI()*(F3^4-(F3-(2*G3))^4)/64</f>
        <v>3.7001737438515096E-3</v>
      </c>
      <c r="L3" s="42">
        <f t="shared" si="1"/>
        <v>37.309935297048021</v>
      </c>
      <c r="M3" s="146">
        <f t="shared" si="2"/>
        <v>2664.2058630914285</v>
      </c>
      <c r="N3" s="30">
        <f t="shared" ref="N3:N13" si="6">E3/SQRT(K3/H3)</f>
        <v>54.214884109323876</v>
      </c>
      <c r="O3" s="30">
        <f t="shared" ref="O3:O13" si="7">H3*($W$5-($W$5*E3/(2*PI()*SQRT(K3/H3))^2/(U3*$W$6*1000)))</f>
        <v>6143.3354937250451</v>
      </c>
      <c r="P3" s="30">
        <f t="shared" ref="P3:P13" si="8">U3*PI()^2*$W$6*1000*K3/E3^2</f>
        <v>12749.766681479599</v>
      </c>
      <c r="Q3" s="26">
        <f t="shared" ref="Q3:Q13" si="9">H3*$W$5</f>
        <v>6143.3366033466891</v>
      </c>
      <c r="R3" s="146">
        <f t="shared" ref="R3:R13" si="10">MIN(ABS(P3/C3),ABS(Q3/C3),ABS(Q3/D3))</f>
        <v>2.3762585540049357</v>
      </c>
      <c r="S3" s="26">
        <f t="shared" ref="S3:S12" si="11">$W$7/(MAX(C4:D4)/H4)</f>
        <v>2.7118471995730635</v>
      </c>
      <c r="T3" s="19" t="s">
        <v>237</v>
      </c>
      <c r="U3" s="32">
        <v>2</v>
      </c>
      <c r="V3" s="178" t="s">
        <v>238</v>
      </c>
      <c r="W3" s="179"/>
      <c r="X3" s="180"/>
    </row>
    <row r="4" spans="1:25" ht="15" thickBot="1" x14ac:dyDescent="0.4">
      <c r="A4" s="182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19">
        <f>'Steel A-Arm Tube Force Analysis'!E4-0.584</f>
        <v>10.511200000000001</v>
      </c>
      <c r="F4" s="29">
        <v>0.60499999999999998</v>
      </c>
      <c r="G4" s="29">
        <v>5.6500000000000002E-2</v>
      </c>
      <c r="H4" s="7">
        <f t="shared" si="3"/>
        <v>9.7358741732911078E-2</v>
      </c>
      <c r="I4" s="7">
        <f t="shared" si="4"/>
        <v>1.023357206102975</v>
      </c>
      <c r="J4" s="31">
        <f t="shared" si="0"/>
        <v>5.5158953408950356E-2</v>
      </c>
      <c r="K4" s="30">
        <f t="shared" si="5"/>
        <v>3.7001737438515096E-3</v>
      </c>
      <c r="L4" s="42">
        <f t="shared" si="1"/>
        <v>11.932577597491752</v>
      </c>
      <c r="M4" s="146">
        <f t="shared" si="2"/>
        <v>852.07446606175881</v>
      </c>
      <c r="N4" s="30">
        <f t="shared" si="6"/>
        <v>53.917372161556706</v>
      </c>
      <c r="O4" s="30">
        <f t="shared" si="7"/>
        <v>6143.3354998142531</v>
      </c>
      <c r="P4" s="30">
        <f t="shared" si="8"/>
        <v>12890.859360239881</v>
      </c>
      <c r="Q4" s="26">
        <f t="shared" si="9"/>
        <v>6143.3366033466891</v>
      </c>
      <c r="R4" s="146">
        <f t="shared" si="10"/>
        <v>2.9503027291906947</v>
      </c>
      <c r="S4" s="26">
        <f t="shared" si="11"/>
        <v>5.0841873195916296</v>
      </c>
      <c r="T4" s="19" t="s">
        <v>237</v>
      </c>
      <c r="U4" s="32">
        <v>2</v>
      </c>
      <c r="V4" s="33" t="s">
        <v>239</v>
      </c>
      <c r="W4" s="144">
        <v>5.3900000000000003E-2</v>
      </c>
      <c r="X4" s="35" t="s">
        <v>240</v>
      </c>
    </row>
    <row r="5" spans="1:25" ht="15" thickBot="1" x14ac:dyDescent="0.4">
      <c r="A5" s="182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19">
        <f>'Steel A-Arm Tube Force Analysis'!E5-0.584</f>
        <v>9.3905000000000012</v>
      </c>
      <c r="F5" s="29">
        <v>0.60499999999999998</v>
      </c>
      <c r="G5" s="29">
        <v>5.6500000000000002E-2</v>
      </c>
      <c r="H5" s="7">
        <f t="shared" si="3"/>
        <v>9.7358741732911078E-2</v>
      </c>
      <c r="I5" s="7">
        <f t="shared" si="4"/>
        <v>0.91424726424290159</v>
      </c>
      <c r="J5" s="31">
        <f t="shared" si="0"/>
        <v>4.9277927542692397E-2</v>
      </c>
      <c r="K5" s="30">
        <f t="shared" si="5"/>
        <v>3.7001737438515096E-3</v>
      </c>
      <c r="L5" s="42">
        <f t="shared" si="1"/>
        <v>11.659050644399123</v>
      </c>
      <c r="M5" s="146">
        <f t="shared" si="2"/>
        <v>832.54261465700506</v>
      </c>
      <c r="N5" s="30">
        <f t="shared" si="6"/>
        <v>48.16872319840725</v>
      </c>
      <c r="O5" s="30">
        <f t="shared" si="7"/>
        <v>6143.3356174724458</v>
      </c>
      <c r="P5" s="30">
        <f t="shared" si="8"/>
        <v>16151.357700800178</v>
      </c>
      <c r="Q5" s="26">
        <f t="shared" si="9"/>
        <v>6143.3366033466891</v>
      </c>
      <c r="R5" s="146">
        <f t="shared" si="10"/>
        <v>5.5312451701074457</v>
      </c>
      <c r="S5" s="26">
        <f t="shared" si="11"/>
        <v>6.4510925523070961</v>
      </c>
      <c r="T5" s="19" t="s">
        <v>237</v>
      </c>
      <c r="U5" s="32">
        <v>2</v>
      </c>
      <c r="V5" s="33" t="s">
        <v>241</v>
      </c>
      <c r="W5" s="142">
        <v>63100</v>
      </c>
      <c r="X5" s="35" t="s">
        <v>242</v>
      </c>
    </row>
    <row r="6" spans="1:25" ht="15" thickBot="1" x14ac:dyDescent="0.4">
      <c r="A6" s="182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19">
        <f>'Steel A-Arm Tube Force Analysis'!E6-0.584</f>
        <v>9.4925999999999995</v>
      </c>
      <c r="F6" s="29">
        <v>0.60499999999999998</v>
      </c>
      <c r="G6" s="29">
        <v>5.6500000000000002E-2</v>
      </c>
      <c r="H6" s="7">
        <f t="shared" si="3"/>
        <v>9.7358741732911078E-2</v>
      </c>
      <c r="I6" s="7">
        <f t="shared" si="4"/>
        <v>0.9241875917738317</v>
      </c>
      <c r="J6" s="31">
        <f t="shared" si="0"/>
        <v>4.9813711196609531E-2</v>
      </c>
      <c r="K6" s="30">
        <f t="shared" si="5"/>
        <v>3.7001737438515096E-3</v>
      </c>
      <c r="L6" s="42">
        <f t="shared" si="1"/>
        <v>13.133154504934916</v>
      </c>
      <c r="M6" s="146">
        <f t="shared" si="2"/>
        <v>937.80455405136001</v>
      </c>
      <c r="N6" s="30">
        <f t="shared" si="6"/>
        <v>48.692446816804278</v>
      </c>
      <c r="O6" s="30">
        <f t="shared" si="7"/>
        <v>6143.3356067533405</v>
      </c>
      <c r="P6" s="30">
        <f t="shared" si="8"/>
        <v>15805.786367376904</v>
      </c>
      <c r="Q6" s="26">
        <f t="shared" si="9"/>
        <v>6143.3366033466891</v>
      </c>
      <c r="R6" s="146">
        <f t="shared" si="10"/>
        <v>7.0183437939754789</v>
      </c>
      <c r="S6" s="26">
        <f t="shared" si="11"/>
        <v>1.7439095599358541</v>
      </c>
      <c r="T6" s="19" t="s">
        <v>237</v>
      </c>
      <c r="U6" s="32">
        <v>2</v>
      </c>
      <c r="V6" s="33" t="s">
        <v>243</v>
      </c>
      <c r="W6" s="142">
        <v>19500</v>
      </c>
      <c r="X6" s="35" t="s">
        <v>244</v>
      </c>
    </row>
    <row r="7" spans="1:25" ht="15" thickBot="1" x14ac:dyDescent="0.4">
      <c r="A7" s="183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19">
        <f>'Steel A-Arm Tube Force Analysis'!E7-1.168</f>
        <v>7.1065999999999994</v>
      </c>
      <c r="F7" s="29">
        <v>0.60499999999999998</v>
      </c>
      <c r="G7" s="29">
        <v>5.6500000000000002E-2</v>
      </c>
      <c r="H7" s="8">
        <f t="shared" si="3"/>
        <v>9.7358741732911078E-2</v>
      </c>
      <c r="I7" s="8">
        <f t="shared" si="4"/>
        <v>0.69188963399910586</v>
      </c>
      <c r="J7" s="94">
        <f t="shared" si="0"/>
        <v>3.7292851272551809E-2</v>
      </c>
      <c r="K7" s="95">
        <f t="shared" si="5"/>
        <v>3.7001737438515096E-3</v>
      </c>
      <c r="L7" s="96">
        <f t="shared" si="1"/>
        <v>6.8283283471601708</v>
      </c>
      <c r="M7" s="145">
        <f t="shared" si="2"/>
        <v>344.78048991288097</v>
      </c>
      <c r="N7" s="95">
        <f t="shared" si="6"/>
        <v>36.453420827623759</v>
      </c>
      <c r="O7" s="95">
        <f t="shared" si="7"/>
        <v>6143.3351111548154</v>
      </c>
      <c r="P7" s="95">
        <f t="shared" si="8"/>
        <v>14100.442137597538</v>
      </c>
      <c r="Q7" s="145">
        <f t="shared" si="9"/>
        <v>6143.3366033466891</v>
      </c>
      <c r="R7" s="145">
        <f t="shared" si="10"/>
        <v>1.8972533315853861</v>
      </c>
      <c r="S7" s="97">
        <f t="shared" si="11"/>
        <v>7.5600803142583111</v>
      </c>
      <c r="T7" s="21" t="s">
        <v>236</v>
      </c>
      <c r="U7" s="98">
        <v>1</v>
      </c>
      <c r="V7" s="36" t="s">
        <v>233</v>
      </c>
      <c r="W7" s="143">
        <v>58000</v>
      </c>
      <c r="X7" s="38" t="s">
        <v>242</v>
      </c>
      <c r="Y7" s="102" t="s">
        <v>245</v>
      </c>
    </row>
    <row r="8" spans="1:25" ht="15" thickBot="1" x14ac:dyDescent="0.4">
      <c r="A8" s="181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19">
        <f>'Steel A-Arm Tube Force Analysis'!E8-1.168</f>
        <v>8.4359000000000002</v>
      </c>
      <c r="F8" s="29">
        <v>0.60499999999999998</v>
      </c>
      <c r="G8" s="29">
        <v>5.6500000000000002E-2</v>
      </c>
      <c r="H8" s="39">
        <f t="shared" si="3"/>
        <v>9.7358741732911078E-2</v>
      </c>
      <c r="I8" s="39">
        <f t="shared" si="4"/>
        <v>0.82130860938466455</v>
      </c>
      <c r="J8" s="99">
        <f t="shared" si="0"/>
        <v>4.4268534045833419E-2</v>
      </c>
      <c r="K8" s="39">
        <f t="shared" si="5"/>
        <v>3.7001737438515096E-3</v>
      </c>
      <c r="L8" s="100">
        <f t="shared" si="1"/>
        <v>29.802893235495912</v>
      </c>
      <c r="M8" s="26">
        <f t="shared" si="2"/>
        <v>1504.8274787238399</v>
      </c>
      <c r="N8" s="39">
        <f t="shared" si="6"/>
        <v>43.272086899466871</v>
      </c>
      <c r="O8" s="39">
        <f t="shared" si="7"/>
        <v>6143.3348320381274</v>
      </c>
      <c r="P8" s="39">
        <f t="shared" si="8"/>
        <v>10006.763320552158</v>
      </c>
      <c r="Q8" s="26">
        <f t="shared" si="9"/>
        <v>6143.3366033466891</v>
      </c>
      <c r="R8" s="146">
        <f t="shared" si="10"/>
        <v>8.2248459970637828</v>
      </c>
      <c r="S8" s="26">
        <f t="shared" si="11"/>
        <v>5.8660768675646002</v>
      </c>
      <c r="T8" s="21" t="s">
        <v>236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205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19">
        <f>'Steel A-Arm Tube Force Analysis'!E9-0.584</f>
        <v>12.3222</v>
      </c>
      <c r="F9" s="29">
        <v>0.60499999999999998</v>
      </c>
      <c r="G9" s="29">
        <v>5.6500000000000002E-2</v>
      </c>
      <c r="H9" s="7">
        <f t="shared" si="3"/>
        <v>9.7358741732911078E-2</v>
      </c>
      <c r="I9" s="7">
        <f t="shared" si="4"/>
        <v>1.1996738873812769</v>
      </c>
      <c r="J9" s="31">
        <f t="shared" si="0"/>
        <v>6.4662422529850827E-2</v>
      </c>
      <c r="K9" s="30">
        <f t="shared" si="5"/>
        <v>3.7001737438515096E-3</v>
      </c>
      <c r="L9" s="100">
        <f t="shared" ref="L9:L13" si="12">0.282*SQRT($W$6*1000*H9/C9)</f>
        <v>13.531820127082471</v>
      </c>
      <c r="M9" s="26">
        <f t="shared" si="2"/>
        <v>966.27223375871495</v>
      </c>
      <c r="N9" s="30">
        <f t="shared" si="6"/>
        <v>63.206926254769577</v>
      </c>
      <c r="O9" s="30">
        <f t="shared" si="7"/>
        <v>6143.3353096839883</v>
      </c>
      <c r="P9" s="30">
        <f t="shared" si="8"/>
        <v>9380.1538705173716</v>
      </c>
      <c r="Q9" s="26">
        <f t="shared" si="9"/>
        <v>6143.3366033466891</v>
      </c>
      <c r="R9" s="146">
        <f t="shared" si="10"/>
        <v>6.3818870748849355</v>
      </c>
      <c r="S9" s="26">
        <f t="shared" si="11"/>
        <v>8.3204298959694754</v>
      </c>
      <c r="T9" s="19" t="s">
        <v>237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19">
        <f>'Steel A-Arm Tube Force Analysis'!E10-0.584</f>
        <v>8.9864999999999995</v>
      </c>
      <c r="F10" s="29">
        <v>0.60499999999999998</v>
      </c>
      <c r="G10" s="29">
        <v>5.6500000000000002E-2</v>
      </c>
      <c r="H10" s="7">
        <f t="shared" si="3"/>
        <v>9.7358741732911078E-2</v>
      </c>
      <c r="I10" s="7">
        <f t="shared" si="4"/>
        <v>0.87491433258280538</v>
      </c>
      <c r="J10" s="31">
        <f t="shared" si="0"/>
        <v>4.715788252621321E-2</v>
      </c>
      <c r="K10" s="30">
        <f t="shared" si="5"/>
        <v>3.7001737438515096E-3</v>
      </c>
      <c r="L10" s="100">
        <f t="shared" si="12"/>
        <v>15.391560242901884</v>
      </c>
      <c r="M10" s="26">
        <f t="shared" si="2"/>
        <v>1099.0714595130526</v>
      </c>
      <c r="N10" s="30">
        <f t="shared" si="6"/>
        <v>46.096398596718672</v>
      </c>
      <c r="O10" s="30">
        <f t="shared" si="7"/>
        <v>6143.3356598869286</v>
      </c>
      <c r="P10" s="30">
        <f t="shared" si="8"/>
        <v>17636.212061093476</v>
      </c>
      <c r="Q10" s="26">
        <f t="shared" si="9"/>
        <v>6143.3366033466891</v>
      </c>
      <c r="R10" s="146">
        <f t="shared" si="10"/>
        <v>9.0520539040633423</v>
      </c>
      <c r="S10" s="26">
        <f t="shared" si="11"/>
        <v>10.262634456014952</v>
      </c>
      <c r="T10" s="19" t="s">
        <v>237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19">
        <f>'Steel A-Arm Tube Force Analysis'!E11-0.584</f>
        <v>9.0334000000000003</v>
      </c>
      <c r="F11" s="29">
        <v>0.60499999999999998</v>
      </c>
      <c r="G11" s="29">
        <v>5.6500000000000002E-2</v>
      </c>
      <c r="H11" s="7">
        <f t="shared" si="3"/>
        <v>9.7358741732911078E-2</v>
      </c>
      <c r="I11" s="7">
        <f t="shared" si="4"/>
        <v>0.87948045757007898</v>
      </c>
      <c r="J11" s="31">
        <f t="shared" si="0"/>
        <v>4.7403996663027262E-2</v>
      </c>
      <c r="K11" s="30">
        <f t="shared" si="5"/>
        <v>3.7001737438515096E-3</v>
      </c>
      <c r="L11" s="100">
        <f t="shared" si="12"/>
        <v>29.423037015235522</v>
      </c>
      <c r="M11" s="26">
        <f t="shared" si="2"/>
        <v>2101.0228804162193</v>
      </c>
      <c r="N11" s="30">
        <f t="shared" si="6"/>
        <v>46.336972913102819</v>
      </c>
      <c r="O11" s="30">
        <f t="shared" si="7"/>
        <v>6143.3356549630689</v>
      </c>
      <c r="P11" s="30">
        <f t="shared" si="8"/>
        <v>17453.558539894129</v>
      </c>
      <c r="Q11" s="26">
        <f t="shared" si="9"/>
        <v>6143.3366033466891</v>
      </c>
      <c r="R11" s="146">
        <f t="shared" si="10"/>
        <v>11.16503852025075</v>
      </c>
      <c r="S11" s="26">
        <f t="shared" si="11"/>
        <v>6.0076466553855861</v>
      </c>
      <c r="T11" s="19" t="s">
        <v>237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208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19">
        <f>'Steel A-Arm Tube Force Analysis'!E12-0.584</f>
        <v>7.4614000000000011</v>
      </c>
      <c r="F12" s="29">
        <v>0.60499999999999998</v>
      </c>
      <c r="G12" s="29">
        <v>5.6500000000000002E-2</v>
      </c>
      <c r="H12" s="7">
        <f t="shared" si="3"/>
        <v>9.7358741732911078E-2</v>
      </c>
      <c r="I12" s="7">
        <f t="shared" si="4"/>
        <v>0.72643251556594279</v>
      </c>
      <c r="J12" s="31">
        <f t="shared" si="0"/>
        <v>3.9154712589004319E-2</v>
      </c>
      <c r="K12" s="30">
        <f t="shared" si="5"/>
        <v>3.7001737438515096E-3</v>
      </c>
      <c r="L12" s="100">
        <f t="shared" si="12"/>
        <v>28.294216272739554</v>
      </c>
      <c r="M12" s="26">
        <f t="shared" si="2"/>
        <v>2020.4167143483053</v>
      </c>
      <c r="N12" s="30">
        <f t="shared" si="6"/>
        <v>38.273373225344322</v>
      </c>
      <c r="O12" s="30">
        <f t="shared" si="7"/>
        <v>6143.3358200015982</v>
      </c>
      <c r="P12" s="30">
        <f t="shared" si="8"/>
        <v>25582.667357624567</v>
      </c>
      <c r="Q12" s="26">
        <f t="shared" si="9"/>
        <v>6143.3366033466891</v>
      </c>
      <c r="R12" s="146">
        <f t="shared" si="10"/>
        <v>6.5359052406005258</v>
      </c>
      <c r="S12" s="26">
        <f t="shared" si="11"/>
        <v>2.1032032059320698</v>
      </c>
      <c r="T12" s="19" t="s">
        <v>237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19">
        <f>'Steel A-Arm Tube Force Analysis'!E13-1.168</f>
        <v>7.7915000000000001</v>
      </c>
      <c r="F13" s="29">
        <v>0.60499999999999998</v>
      </c>
      <c r="G13" s="29">
        <v>5.6500000000000002E-2</v>
      </c>
      <c r="H13" s="8">
        <f t="shared" si="3"/>
        <v>9.7358741732911078E-2</v>
      </c>
      <c r="I13" s="8">
        <f t="shared" si="4"/>
        <v>0.75857063621197662</v>
      </c>
      <c r="J13" s="94">
        <f t="shared" si="0"/>
        <v>4.0886957291825544E-2</v>
      </c>
      <c r="K13" s="95">
        <f t="shared" si="5"/>
        <v>3.7001737438515096E-3</v>
      </c>
      <c r="L13" s="100">
        <f t="shared" si="12"/>
        <v>7.4988218259621968</v>
      </c>
      <c r="M13" s="100">
        <f t="shared" si="2"/>
        <v>378.63549195022387</v>
      </c>
      <c r="N13" s="95">
        <f t="shared" si="6"/>
        <v>39.966626569446788</v>
      </c>
      <c r="O13" s="95">
        <f t="shared" si="7"/>
        <v>6143.3349673445246</v>
      </c>
      <c r="P13" s="95">
        <f t="shared" si="8"/>
        <v>11730.440577003053</v>
      </c>
      <c r="Q13" s="145">
        <f t="shared" si="9"/>
        <v>6143.3366033466891</v>
      </c>
      <c r="R13" s="145">
        <f t="shared" si="10"/>
        <v>2.2881400395571312</v>
      </c>
      <c r="S13" s="97" cm="1">
        <f t="array" ref="S13">$W$7/(MAX(C13:D13/H13))</f>
        <v>2.1032032059320698</v>
      </c>
      <c r="T13" s="21" t="s">
        <v>236</v>
      </c>
      <c r="U13" s="98">
        <v>1</v>
      </c>
      <c r="V13" s="3"/>
      <c r="W13" s="3"/>
      <c r="X13" s="3"/>
    </row>
    <row r="14" spans="1:25" x14ac:dyDescent="0.35">
      <c r="L14" t="s">
        <v>246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4" t="s">
        <v>215</v>
      </c>
      <c r="C1" s="184"/>
      <c r="D1" s="184"/>
      <c r="E1" s="184"/>
      <c r="F1" s="185" t="s">
        <v>216</v>
      </c>
      <c r="G1" s="185"/>
      <c r="H1" s="185"/>
      <c r="I1" s="185"/>
      <c r="J1" s="158"/>
    </row>
    <row r="2" spans="1:18" x14ac:dyDescent="0.35">
      <c r="B2" t="s">
        <v>205</v>
      </c>
      <c r="C2" t="s">
        <v>206</v>
      </c>
      <c r="D2" t="s">
        <v>207</v>
      </c>
      <c r="E2" t="s">
        <v>208</v>
      </c>
      <c r="F2" t="s">
        <v>205</v>
      </c>
      <c r="G2" t="s">
        <v>206</v>
      </c>
      <c r="H2" t="s">
        <v>207</v>
      </c>
      <c r="I2" t="s">
        <v>208</v>
      </c>
      <c r="J2" t="s">
        <v>212</v>
      </c>
      <c r="L2" s="104" t="s">
        <v>247</v>
      </c>
      <c r="M2">
        <v>2860</v>
      </c>
      <c r="N2" t="s">
        <v>248</v>
      </c>
      <c r="O2" t="s">
        <v>249</v>
      </c>
    </row>
    <row r="3" spans="1:18" x14ac:dyDescent="0.35">
      <c r="A3" t="s">
        <v>247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250</v>
      </c>
      <c r="M3">
        <v>0.5</v>
      </c>
      <c r="N3" s="104" t="s">
        <v>251</v>
      </c>
      <c r="O3">
        <v>0.42</v>
      </c>
    </row>
    <row r="4" spans="1:18" x14ac:dyDescent="0.35">
      <c r="A4" t="s">
        <v>252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178.67920000000001</v>
      </c>
      <c r="E4">
        <f>IF('Steel A-Arm Tube Force Analysis'!D6&lt;$M$4,'Steel A-Arm Tube Force Analysis'!D6,$O$4)</f>
        <v>532.88669286934805</v>
      </c>
      <c r="F4">
        <f>IF('Steel A-Arm Tube Force Analysis'!D9&lt;$M$4,'Steel A-Arm Tube Force Analysis'!D9,$O$4)</f>
        <v>962.62070000000006</v>
      </c>
      <c r="G4">
        <f>IF('Steel A-Arm Tube Force Analysis'!D10&lt;$M$4,'Steel A-Arm Tube Force Analysis'!D10,$O$4)</f>
        <v>678.66769999999997</v>
      </c>
      <c r="H4">
        <f>IF('Steel A-Arm Tube Force Analysis'!D11&lt;$M$4,'Steel A-Arm Tube Force Analysis'!D11,$O$4)</f>
        <v>550.22977235628196</v>
      </c>
      <c r="I4">
        <f>IF('Steel A-Arm Tube Force Analysis'!D12&lt;$M$4,'Steel A-Arm Tube Force Analysis'!D12,$O$4)</f>
        <v>939.93660819694401</v>
      </c>
      <c r="J4">
        <f>IF('Steel A-Arm Tube Force Analysis'!D8&lt;$M$4,'Steel A-Arm Tube Force Analysis'!D8,$O$4)</f>
        <v>746.92421056148896</v>
      </c>
      <c r="L4" t="s">
        <v>253</v>
      </c>
      <c r="M4">
        <f>M3*$M$2</f>
        <v>1430</v>
      </c>
      <c r="O4">
        <f>O3*$M$2</f>
        <v>1201.2</v>
      </c>
    </row>
    <row r="5" spans="1:18" x14ac:dyDescent="0.35">
      <c r="A5" t="s">
        <v>254</v>
      </c>
      <c r="B5">
        <f>IF('Steel A-Arm Tube Force Analysis'!C3&lt;$M$4,'Steel A-Arm Tube Force Analysis'!C3,$O$4)</f>
        <v>108.4573</v>
      </c>
      <c r="C5">
        <f>IF('Steel A-Arm Tube Force Analysis'!C4&lt;$M$4,'Steel A-Arm Tube Force Analysis'!C4,$O$4)</f>
        <v>1060.3255974767301</v>
      </c>
      <c r="D5">
        <f>IF('Steel A-Arm Tube Force Analysis'!C5&lt;$M$4,'Steel A-Arm Tube Force Analysis'!C5,$O$4)</f>
        <v>1110.6606947287701</v>
      </c>
      <c r="E5">
        <f>IF('Steel A-Arm Tube Force Analysis'!C6&lt;$M$4,'Steel A-Arm Tube Force Analysis'!C6,$O$4)</f>
        <v>875.32568704031098</v>
      </c>
      <c r="F5">
        <f>IF('Steel A-Arm Tube Force Analysis'!C9&lt;$M$4,'Steel A-Arm Tube Force Analysis'!C9,$O$4)</f>
        <v>824.50890000000004</v>
      </c>
      <c r="G5">
        <f>IF('Steel A-Arm Tube Force Analysis'!C10&lt;$M$4,'Steel A-Arm Tube Force Analysis'!C10,$O$4)</f>
        <v>637.29790000000003</v>
      </c>
      <c r="H5">
        <f>IF('Steel A-Arm Tube Force Analysis'!C11&lt;$M$4,'Steel A-Arm Tube Force Analysis'!C11,$O$4)</f>
        <v>174.39449999999999</v>
      </c>
      <c r="I5">
        <f>IF('Steel A-Arm Tube Force Analysis'!C12&lt;$M$4,'Steel A-Arm Tube Force Analysis'!C12,$O$4)</f>
        <v>188.5873</v>
      </c>
      <c r="J5">
        <f>IF('Steel A-Arm Tube Force Analysis'!C8&lt;$M$4,'Steel A-Arm Tube Force Analysis'!C8,$O$4)</f>
        <v>169.97730000000001</v>
      </c>
    </row>
    <row r="6" spans="1:18" x14ac:dyDescent="0.35">
      <c r="Q6" s="104"/>
      <c r="R6" s="109" t="s">
        <v>255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215</v>
      </c>
      <c r="D1" s="46" t="s">
        <v>216</v>
      </c>
      <c r="G1" s="105" t="s">
        <v>256</v>
      </c>
    </row>
    <row r="2" spans="1:16" x14ac:dyDescent="0.35">
      <c r="A2" s="104" t="s">
        <v>257</v>
      </c>
      <c r="B2">
        <v>2</v>
      </c>
      <c r="D2" s="104" t="s">
        <v>257</v>
      </c>
      <c r="E2">
        <v>2</v>
      </c>
      <c r="O2" s="104"/>
      <c r="P2" s="109" t="s">
        <v>255</v>
      </c>
    </row>
    <row r="3" spans="1:16" x14ac:dyDescent="0.35">
      <c r="A3" s="104" t="s">
        <v>258</v>
      </c>
      <c r="B3">
        <v>-0.13500000000000001</v>
      </c>
      <c r="D3" s="104" t="s">
        <v>258</v>
      </c>
      <c r="E3">
        <v>-0.23960000000000001</v>
      </c>
    </row>
    <row r="4" spans="1:16" x14ac:dyDescent="0.35">
      <c r="A4" s="104" t="s">
        <v>259</v>
      </c>
      <c r="B4">
        <v>2.0299999999999998</v>
      </c>
      <c r="D4" s="104" t="s">
        <v>259</v>
      </c>
      <c r="E4">
        <v>2.2869999999999999</v>
      </c>
    </row>
    <row r="5" spans="1:16" x14ac:dyDescent="0.35">
      <c r="A5" s="104" t="s">
        <v>260</v>
      </c>
      <c r="B5">
        <v>1.1100000000000001</v>
      </c>
      <c r="D5" s="104" t="s">
        <v>260</v>
      </c>
      <c r="E5">
        <v>1.1140000000000001</v>
      </c>
    </row>
    <row r="6" spans="1:16" x14ac:dyDescent="0.35">
      <c r="A6" s="104" t="s">
        <v>261</v>
      </c>
      <c r="B6">
        <v>3.78</v>
      </c>
      <c r="D6" s="104" t="s">
        <v>261</v>
      </c>
      <c r="E6">
        <v>2.5196999999999998</v>
      </c>
    </row>
    <row r="7" spans="1:16" x14ac:dyDescent="0.35">
      <c r="A7" s="104" t="s">
        <v>262</v>
      </c>
      <c r="B7">
        <v>8</v>
      </c>
      <c r="D7" s="104" t="s">
        <v>262</v>
      </c>
      <c r="E7">
        <v>8</v>
      </c>
    </row>
    <row r="8" spans="1:16" x14ac:dyDescent="0.35">
      <c r="A8" t="s">
        <v>263</v>
      </c>
      <c r="D8" t="s">
        <v>263</v>
      </c>
    </row>
    <row r="10" spans="1:16" x14ac:dyDescent="0.35">
      <c r="A10" s="105" t="s">
        <v>256</v>
      </c>
      <c r="D10" s="105" t="s">
        <v>256</v>
      </c>
    </row>
    <row r="11" spans="1:16" x14ac:dyDescent="0.35">
      <c r="A11" s="47" t="s">
        <v>264</v>
      </c>
      <c r="B11">
        <f>ABS('Geo Forces'!F13)</f>
        <v>919.68399999999997</v>
      </c>
      <c r="C11" s="109" t="s">
        <v>265</v>
      </c>
      <c r="D11" s="47" t="s">
        <v>264</v>
      </c>
      <c r="E11">
        <f>ABS('Geo Forces'!F31)</f>
        <v>1184.8</v>
      </c>
      <c r="F11" s="109" t="s">
        <v>265</v>
      </c>
    </row>
    <row r="12" spans="1:16" x14ac:dyDescent="0.35">
      <c r="A12" t="s">
        <v>266</v>
      </c>
      <c r="B12">
        <f>ABS('Geo Forces'!F14)</f>
        <v>617.33489999999995</v>
      </c>
      <c r="D12" t="s">
        <v>266</v>
      </c>
      <c r="E12">
        <f>ABS('Geo Forces'!F32)</f>
        <v>822.6934</v>
      </c>
    </row>
    <row r="14" spans="1:16" x14ac:dyDescent="0.35">
      <c r="A14" s="47" t="s">
        <v>267</v>
      </c>
      <c r="B14">
        <f>((B12*(B2+B3))-(B11*B7))/B2</f>
        <v>-3103.07120575</v>
      </c>
      <c r="D14" s="47" t="s">
        <v>267</v>
      </c>
      <c r="E14">
        <f>((E12*(E2+E3))-(E11*E7))/E2</f>
        <v>-4015.06526932</v>
      </c>
    </row>
    <row r="15" spans="1:16" x14ac:dyDescent="0.35">
      <c r="A15" s="47" t="s">
        <v>268</v>
      </c>
      <c r="B15">
        <f>B14-B12</f>
        <v>-3720.4061057499998</v>
      </c>
      <c r="D15" s="47" t="s">
        <v>268</v>
      </c>
      <c r="E15">
        <f>E14-E12</f>
        <v>-4837.7586693200001</v>
      </c>
      <c r="G15" s="105" t="s">
        <v>269</v>
      </c>
    </row>
    <row r="17" spans="1:7" x14ac:dyDescent="0.35">
      <c r="A17" s="105" t="s">
        <v>269</v>
      </c>
      <c r="D17" s="105" t="s">
        <v>269</v>
      </c>
    </row>
    <row r="18" spans="1:7" x14ac:dyDescent="0.35">
      <c r="A18" t="s">
        <v>270</v>
      </c>
      <c r="B18">
        <f>ABS('Geo Forces'!E12)</f>
        <v>867.63459999999998</v>
      </c>
      <c r="D18" t="s">
        <v>270</v>
      </c>
      <c r="E18">
        <f>ABS('Geo Forces'!E30)</f>
        <v>464.62740000000002</v>
      </c>
    </row>
    <row r="19" spans="1:7" x14ac:dyDescent="0.35">
      <c r="A19" t="s">
        <v>266</v>
      </c>
      <c r="B19">
        <f>ABS('Geo Forces'!E14)</f>
        <v>577.98410000000001</v>
      </c>
      <c r="D19" t="s">
        <v>266</v>
      </c>
      <c r="E19">
        <f>ABS('Geo Forces'!E32)</f>
        <v>286.38189999999997</v>
      </c>
    </row>
    <row r="21" spans="1:7" x14ac:dyDescent="0.35">
      <c r="A21" s="47" t="s">
        <v>271</v>
      </c>
      <c r="B21">
        <f>(B19*(B2+B3))/B2</f>
        <v>538.97017325000002</v>
      </c>
      <c r="D21" s="47" t="s">
        <v>271</v>
      </c>
      <c r="E21">
        <f>(E19*(E2+E3))/E2</f>
        <v>252.07334837999997</v>
      </c>
    </row>
    <row r="22" spans="1:7" x14ac:dyDescent="0.35">
      <c r="A22" s="47" t="s">
        <v>272</v>
      </c>
      <c r="B22">
        <f>(B18*(B2+B3))/B2</f>
        <v>809.06926450000003</v>
      </c>
      <c r="D22" s="47" t="s">
        <v>272</v>
      </c>
      <c r="E22">
        <f>(E18*(E2+E3))/E2</f>
        <v>408.96503748000003</v>
      </c>
    </row>
    <row r="23" spans="1:7" x14ac:dyDescent="0.35">
      <c r="A23" s="47" t="s">
        <v>273</v>
      </c>
      <c r="B23">
        <f>B21-B19</f>
        <v>-39.013926749999996</v>
      </c>
      <c r="D23" s="47" t="s">
        <v>273</v>
      </c>
      <c r="E23">
        <f>E21-E19</f>
        <v>-34.308551620000003</v>
      </c>
    </row>
    <row r="24" spans="1:7" x14ac:dyDescent="0.35">
      <c r="A24" s="47" t="s">
        <v>274</v>
      </c>
      <c r="B24">
        <f>B22-B18</f>
        <v>-58.565335499999946</v>
      </c>
      <c r="D24" s="47" t="s">
        <v>274</v>
      </c>
      <c r="E24">
        <f>E22-E18</f>
        <v>-55.662362519999988</v>
      </c>
    </row>
    <row r="25" spans="1:7" x14ac:dyDescent="0.35">
      <c r="A25" t="s">
        <v>275</v>
      </c>
      <c r="B25">
        <f>(B18*B7)/(B4+B5)</f>
        <v>2210.5340127388536</v>
      </c>
      <c r="D25" t="s">
        <v>275</v>
      </c>
      <c r="E25">
        <f>(E18*E7)/(E4+E5)</f>
        <v>1092.9194942663923</v>
      </c>
    </row>
    <row r="26" spans="1:7" x14ac:dyDescent="0.35">
      <c r="A26" s="47" t="s">
        <v>276</v>
      </c>
      <c r="B26">
        <f>B25/2</f>
        <v>1105.2670063694268</v>
      </c>
      <c r="D26" s="47" t="s">
        <v>276</v>
      </c>
      <c r="E26">
        <f>E25/2</f>
        <v>546.45974713319617</v>
      </c>
    </row>
    <row r="27" spans="1:7" x14ac:dyDescent="0.35">
      <c r="A27" s="47" t="s">
        <v>277</v>
      </c>
      <c r="B27">
        <f>(B25*B5)/B6</f>
        <v>649.12506723283809</v>
      </c>
      <c r="D27" s="47" t="s">
        <v>277</v>
      </c>
      <c r="E27">
        <f>(E25*E5)/E6</f>
        <v>483.19733167153282</v>
      </c>
    </row>
    <row r="29" spans="1:7" x14ac:dyDescent="0.35">
      <c r="D29" s="105" t="s">
        <v>278</v>
      </c>
      <c r="G29" s="105" t="s">
        <v>278</v>
      </c>
    </row>
    <row r="30" spans="1:7" x14ac:dyDescent="0.35">
      <c r="D30" t="s">
        <v>270</v>
      </c>
      <c r="E30">
        <f>ABS('Geo Forces'!D30)</f>
        <v>378.70310000000001</v>
      </c>
    </row>
    <row r="31" spans="1:7" x14ac:dyDescent="0.35">
      <c r="D31" t="s">
        <v>266</v>
      </c>
      <c r="E31">
        <f>ABS('Geo Forces'!D32)</f>
        <v>227.87809999999999</v>
      </c>
    </row>
    <row r="33" spans="4:5" x14ac:dyDescent="0.35">
      <c r="D33" s="47" t="s">
        <v>271</v>
      </c>
      <c r="E33">
        <f>(E31*(E2+E3))/E2</f>
        <v>200.57830361999999</v>
      </c>
    </row>
    <row r="34" spans="4:5" x14ac:dyDescent="0.35">
      <c r="D34" s="47" t="s">
        <v>272</v>
      </c>
      <c r="E34">
        <f>(E30*(E2+E3))/E2</f>
        <v>333.33446862</v>
      </c>
    </row>
    <row r="35" spans="4:5" x14ac:dyDescent="0.35">
      <c r="D35" s="47" t="s">
        <v>273</v>
      </c>
      <c r="E35">
        <f>E33-E31</f>
        <v>-27.299796380000004</v>
      </c>
    </row>
    <row r="36" spans="4:5" x14ac:dyDescent="0.35">
      <c r="D36" s="47" t="s">
        <v>274</v>
      </c>
      <c r="E36">
        <f>E34-E30</f>
        <v>-45.368631380000011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279</v>
      </c>
    </row>
    <row r="2" spans="1:7" x14ac:dyDescent="0.35">
      <c r="A2" s="154" t="s">
        <v>280</v>
      </c>
      <c r="B2" s="156" t="s">
        <v>215</v>
      </c>
      <c r="C2" s="157" t="s">
        <v>216</v>
      </c>
      <c r="D2" t="s">
        <v>281</v>
      </c>
      <c r="F2" t="s">
        <v>282</v>
      </c>
      <c r="G2">
        <v>4.4249999999999998</v>
      </c>
    </row>
    <row r="3" spans="1:7" x14ac:dyDescent="0.35">
      <c r="A3" t="s">
        <v>283</v>
      </c>
      <c r="B3">
        <f>-'Geo Forces'!H20</f>
        <v>1991.1782126860301</v>
      </c>
      <c r="C3">
        <f>-'Geo Forces'!H38</f>
        <v>1616.86379364101</v>
      </c>
      <c r="F3" t="s">
        <v>284</v>
      </c>
      <c r="G3">
        <f>G2-Parameters!K4</f>
        <v>3.4249999999999998</v>
      </c>
    </row>
    <row r="4" spans="1:7" x14ac:dyDescent="0.35">
      <c r="A4" t="s">
        <v>285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286</v>
      </c>
      <c r="G4">
        <v>2</v>
      </c>
    </row>
    <row r="5" spans="1:7" x14ac:dyDescent="0.35">
      <c r="A5" t="s">
        <v>287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288</v>
      </c>
    </row>
    <row r="7" spans="1:7" x14ac:dyDescent="0.35">
      <c r="A7" s="155" t="s">
        <v>289</v>
      </c>
      <c r="B7" s="156" t="s">
        <v>215</v>
      </c>
      <c r="C7" s="157" t="s">
        <v>216</v>
      </c>
      <c r="D7" t="s">
        <v>290</v>
      </c>
      <c r="F7" t="s">
        <v>291</v>
      </c>
    </row>
    <row r="8" spans="1:7" x14ac:dyDescent="0.35">
      <c r="A8" t="s">
        <v>283</v>
      </c>
      <c r="B8">
        <f>-'Geo Forces'!D20</f>
        <v>264.46089999999998</v>
      </c>
      <c r="C8">
        <f>-'Geo Forces'!E38</f>
        <v>631.51959999999997</v>
      </c>
    </row>
    <row r="9" spans="1:7" x14ac:dyDescent="0.35">
      <c r="A9" t="s">
        <v>285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287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2023-11-17T14:51:09Z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