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652" documentId="13_ncr:1_{25B62D78-2787-4D6A-9F3E-D571215EA930}" xr6:coauthVersionLast="47" xr6:coauthVersionMax="47" xr10:uidLastSave="{A3E0AE35-58DC-4EF5-86E0-66F8EBB1BF85}"/>
  <bookViews>
    <workbookView xWindow="38280" yWindow="-7380" windowWidth="29040" windowHeight="15720" tabRatio="744" activeTab="7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0" i="2" l="1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<sst xmlns="http://schemas.openxmlformats.org/spreadsheetml/2006/main" count="730" uniqueCount="302">
  <si>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</si>
  <si>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</si>
  <si>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</si>
  <si>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</si>
  <si>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</si>
  <si>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</si>
  <si>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</si>
  <si>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</si>
  <si>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</si>
  <si>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</si>
  <si>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</si>
  <si>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</si>
  <si>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</si>
  <si>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</si>
  <si>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</si>
  <si>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</si>
  <si>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</si>
  <si>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</si>
  <si>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</si>
  <si>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</si>
  <si>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</si>
  <si>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</si>
  <si>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</si>
  <si>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</si>
  <si>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</si>
  <si>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</si>
  <si>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</si>
  <si>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</si>
  <si>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</si>
  <si>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</si>
  <si>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</si>
  <si>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</si>
  <si>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</si>
  <si>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</si>
  <si>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</si>
  <si>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</si>
  <si>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</si>
  <si>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</si>
  <si>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</si>
  <si>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</si>
  <si>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</si>
  <si>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</si>
  <si>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</si>
  <si>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</si>
  <si>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</si>
  <si>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</si>
  <si>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</si>
  <si>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</si>
  <si>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</si>
  <si>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</si>
  <si>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</si>
  <si>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</si>
  <si>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</si>
  <si>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</si>
  <si>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</si>
  <si>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</si>
  <si>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</si>
  <si>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</si>
  <si>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</si>
  <si>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</si>
  <si>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</si>
  <si>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</si>
  <si>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</si>
  <si>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</si>
  <si>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</si>
  <si>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</si>
  <si>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</si>
  <si>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</si>
  <si>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</si>
  <si>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</si>
  <si>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</si>
  <si>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</si>
  <si>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</si>
  <si>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</si>
  <si>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</si>
  <si>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</si>
  <si>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</si>
  <si>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</si>
  <si>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</si>
  <si>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</si>
  <si>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</si>
  <si>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</si>
  <si>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</si>
  <si>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</si>
  <si>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</si>
  <si>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</si>
  <si>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</si>
  <si>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</si>
  <si>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</si>
  <si>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</si>
  <si>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</si>
  <si>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</si>
  <si>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</si>
  <si>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</si>
  <si>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</si>
  <si>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</si>
  <si>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</si>
  <si>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</si>
  <si>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</si>
  <si>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</si>
  <si>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</si>
  <si>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</si>
  <si>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</si>
  <si>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</si>
  <si>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</si>
  <si>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</si>
  <si>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</si>
  <si>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</si>
  <si>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</si>
  <si>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</si>
  <si>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</si>
  <si>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</si>
  <si>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</si>
  <si>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</si>
  <si>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</si>
  <si>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</si>
  <si>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</si>
  <si>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</si>
  <si>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</si>
  <si>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</si>
  <si>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</si>
  <si>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</si>
  <si>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</si>
  <si>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</si>
  <si>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</si>
  <si>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</si>
  <si>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</si>
  <si>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</si>
  <si>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</si>
  <si>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</si>
  <si>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</si>
  <si>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</si>
  <si>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</si>
  <si>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</si>
  <si>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</si>
  <si>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</si>
  <si>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</si>
  <si>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</si>
  <si>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</si>
  <si>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</si>
  <si>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</si>
  <si>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</si>
  <si>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</si>
  <si>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</si>
  <si>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</si>
  <si>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</si>
  <si>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</si>
  <si>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</si>
  <si>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</si>
  <si>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</si>
  <si>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</si>
  <si>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</si>
  <si>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</si>
  <si>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</si>
  <si>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</si>
  <si>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</si>
  <si>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</si>
  <si>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</si>
  <si>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</si>
  <si>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</si>
  <si>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</si>
  <si>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</si>
  <si>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</si>
  <si>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</si>
  <si>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</si>
  <si>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</si>
  <si>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</si>
  <si>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</si>
  <si>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</si>
  <si>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</si>
  <si>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</si>
  <si>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</si>
  <si>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</si>
  <si>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</si>
  <si>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</si>
  <si>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</si>
  <si>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</si>
  <si>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</si>
  <si>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</si>
  <si>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</si>
  <si>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</si>
  <si>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</si>
  <si>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</si>
  <si>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</si>
  <si>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</si>
  <si>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</si>
  <si>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Max Deceleration @ Tire Limits (~4.0g)</t>
  </si>
  <si>
    <t>*maximum velocity analysis</t>
  </si>
  <si>
    <t>Max Cornering @ Tire Limits (~4.0g)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</si>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</sst>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8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B10" sqref="B10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8.5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7.5625999999999998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6.8429000000000002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7.1667649999999998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37" sqref="A3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workbookViewId="0">
      <selection activeCell="F6" sqref="F6"/>
    </sheetView>
  </sheetViews>
  <sheetFormatPr defaultRowHeight="14.5" x14ac:dyDescent="0.35"/>
  <cols>
    <col min="2" max="2" width="39.6328125" bestFit="1" customWidth="1"/>
    <col min="3" max="3" width="39" bestFit="1" customWidth="1"/>
    <col min="4" max="4" width="16.90625" customWidth="1"/>
  </cols>
  <sheetData>
    <row r="1" spans="1:7" x14ac:dyDescent="0.35">
      <c r="B1" s="162" t="s">
        <v>292</v>
      </c>
      <c r="C1" s="163" t="s">
        <v>293</v>
      </c>
      <c r="D1" s="46" t="s">
        <v>298</v>
      </c>
    </row>
    <row r="2" spans="1:7" x14ac:dyDescent="0.35">
      <c r="A2" s="46" t="s">
        <v>119</v>
      </c>
      <c r="D2" s="46"/>
      <c r="F2" s="46"/>
      <c r="G2" s="46"/>
    </row>
    <row r="3" spans="1:7" x14ac:dyDescent="0.35">
      <c r="A3" t="s">
        <v>122</v>
      </c>
      <c r="B3">
        <v>1.1E-5</v>
      </c>
      <c r="C3">
        <v>1.2E-5</v>
      </c>
      <c r="D3" t="s">
        <v>294</v>
      </c>
    </row>
    <row r="4" spans="1:7" x14ac:dyDescent="0.35">
      <c r="B4">
        <v>-9.3155000000000002E-2</v>
      </c>
      <c r="C4">
        <v>-8.9315000000000005E-2</v>
      </c>
      <c r="D4" t="s">
        <v>295</v>
      </c>
    </row>
    <row r="5" spans="1:7" x14ac:dyDescent="0.35">
      <c r="B5">
        <v>-1.16E-4</v>
      </c>
      <c r="C5">
        <v>-1.18E-4</v>
      </c>
      <c r="D5" t="s">
        <v>296</v>
      </c>
    </row>
    <row r="6" spans="1:7" x14ac:dyDescent="0.35">
      <c r="B6">
        <v>0</v>
      </c>
      <c r="C6">
        <v>0</v>
      </c>
      <c r="D6" t="s">
        <v>297</v>
      </c>
    </row>
    <row r="8" spans="1:7" x14ac:dyDescent="0.35">
      <c r="A8" t="s">
        <v>123</v>
      </c>
      <c r="B8">
        <v>6.0000000000000002E-6</v>
      </c>
      <c r="C8">
        <v>-2.3E-5</v>
      </c>
      <c r="D8" t="s">
        <v>294</v>
      </c>
    </row>
    <row r="9" spans="1:7" x14ac:dyDescent="0.35">
      <c r="B9">
        <v>2.05E-4</v>
      </c>
      <c r="C9">
        <v>-6.3E-5</v>
      </c>
      <c r="D9" t="s">
        <v>295</v>
      </c>
    </row>
    <row r="10" spans="1:7" x14ac:dyDescent="0.35">
      <c r="B10">
        <v>0</v>
      </c>
      <c r="C10">
        <v>7.4999999999999993E-5</v>
      </c>
      <c r="D10" t="s">
        <v>296</v>
      </c>
    </row>
    <row r="11" spans="1:7" x14ac:dyDescent="0.35">
      <c r="B11">
        <v>0</v>
      </c>
      <c r="C11">
        <v>0</v>
      </c>
      <c r="D11" t="s">
        <v>297</v>
      </c>
    </row>
    <row r="12" spans="1:7" x14ac:dyDescent="0.35">
      <c r="A12" t="s">
        <v>124</v>
      </c>
      <c r="B12" t="s">
        <v>299</v>
      </c>
    </row>
    <row r="14" spans="1:7" x14ac:dyDescent="0.35">
      <c r="A14" s="46" t="s">
        <v>120</v>
      </c>
    </row>
    <row r="15" spans="1:7" x14ac:dyDescent="0.35">
      <c r="A15" t="s">
        <v>122</v>
      </c>
      <c r="D15" t="s">
        <v>294</v>
      </c>
    </row>
    <row r="16" spans="1:7" x14ac:dyDescent="0.35">
      <c r="D16" t="s">
        <v>295</v>
      </c>
    </row>
    <row r="17" spans="1:4" x14ac:dyDescent="0.35">
      <c r="D17" t="s">
        <v>296</v>
      </c>
    </row>
    <row r="18" spans="1:4" x14ac:dyDescent="0.35">
      <c r="D18" t="s">
        <v>297</v>
      </c>
    </row>
    <row r="20" spans="1:4" x14ac:dyDescent="0.35">
      <c r="A20" t="s">
        <v>123</v>
      </c>
      <c r="D20" t="s">
        <v>294</v>
      </c>
    </row>
    <row r="21" spans="1:4" x14ac:dyDescent="0.35">
      <c r="D21" t="s">
        <v>295</v>
      </c>
    </row>
    <row r="22" spans="1:4" x14ac:dyDescent="0.35">
      <c r="D22" t="s">
        <v>296</v>
      </c>
    </row>
    <row r="23" spans="1:4" x14ac:dyDescent="0.35">
      <c r="D23" t="s">
        <v>297</v>
      </c>
    </row>
    <row r="24" spans="1:4" x14ac:dyDescent="0.35">
      <c r="A24" t="s">
        <v>124</v>
      </c>
      <c r="B24" t="s">
        <v>300</v>
      </c>
    </row>
    <row r="26" spans="1:4" x14ac:dyDescent="0.35">
      <c r="A26" s="46" t="s">
        <v>121</v>
      </c>
    </row>
    <row r="27" spans="1:4" x14ac:dyDescent="0.35">
      <c r="A27" t="s">
        <v>122</v>
      </c>
      <c r="C27">
        <v>0</v>
      </c>
      <c r="D27" t="s">
        <v>294</v>
      </c>
    </row>
    <row r="28" spans="1:4" x14ac:dyDescent="0.35">
      <c r="C28">
        <v>0</v>
      </c>
      <c r="D28" t="s">
        <v>295</v>
      </c>
    </row>
    <row r="29" spans="1:4" x14ac:dyDescent="0.35">
      <c r="C29">
        <v>0</v>
      </c>
      <c r="D29" t="s">
        <v>296</v>
      </c>
    </row>
    <row r="30" spans="1:4" x14ac:dyDescent="0.35">
      <c r="C30">
        <v>0</v>
      </c>
      <c r="D30" t="s">
        <v>297</v>
      </c>
    </row>
    <row r="32" spans="1:4" x14ac:dyDescent="0.35">
      <c r="A32" t="s">
        <v>123</v>
      </c>
      <c r="C32">
        <v>0</v>
      </c>
      <c r="D32" t="s">
        <v>294</v>
      </c>
    </row>
    <row r="33" spans="1:4" x14ac:dyDescent="0.35">
      <c r="C33">
        <v>0</v>
      </c>
      <c r="D33" t="s">
        <v>295</v>
      </c>
    </row>
    <row r="34" spans="1:4" x14ac:dyDescent="0.35">
      <c r="C34">
        <v>0</v>
      </c>
      <c r="D34" t="s">
        <v>296</v>
      </c>
    </row>
    <row r="35" spans="1:4" x14ac:dyDescent="0.35">
      <c r="C35">
        <v>0</v>
      </c>
      <c r="D35" t="s">
        <v>297</v>
      </c>
    </row>
    <row r="36" spans="1:4" x14ac:dyDescent="0.35">
      <c r="A36" t="s">
        <v>124</v>
      </c>
      <c r="B36" t="s">
        <v>301</v>
      </c>
    </row>
    <row r="37" spans="1:4" x14ac:dyDescent="0.35">
      <c r="A37" t="s">
        <v>118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B54">
        <f>((B19*Parameters!$B$33*'Motor Data'!$B$52)/Parameters!$B$12)</f>
        <v>597.40309314000012</v>
      </c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4" t="s">
        <v>157</v>
      </c>
      <c r="R1" s="164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O11" sqref="O11"/>
    </sheetView>
  </sheetViews>
  <sheetFormatPr defaultRowHeight="14.5" x14ac:dyDescent="0.35"/>
  <cols>
    <col min="1" max="1" width="29.54296875" customWidth="1"/>
    <col min="2" max="2" width="5.26953125" customWidth="1"/>
    <col min="4" max="4" width="10.08984375" bestFit="1" customWidth="1"/>
    <col min="6" max="6" width="10.08984375" bestFit="1" customWidth="1"/>
    <col min="8" max="8" width="27.54296875" customWidth="1"/>
    <col min="9" max="9" width="5.26953125" customWidth="1"/>
    <col min="11" max="11" width="10.08984375" bestFit="1" customWidth="1"/>
    <col min="13" max="13" width="9.36328125" bestFit="1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7" t="s">
        <v>175</v>
      </c>
      <c r="B2" s="75"/>
      <c r="C2" s="59" t="s">
        <v>176</v>
      </c>
      <c r="D2" s="60"/>
      <c r="E2" s="61" t="s">
        <v>177</v>
      </c>
      <c r="F2" s="60"/>
      <c r="H2" s="167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8"/>
      <c r="B3" s="57"/>
      <c r="C3" s="62" t="s">
        <v>179</v>
      </c>
      <c r="D3">
        <v>0</v>
      </c>
      <c r="E3" s="52" t="s">
        <v>179</v>
      </c>
      <c r="F3" s="63">
        <v>0</v>
      </c>
      <c r="H3" s="168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5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6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-105.3002</v>
      </c>
      <c r="E15" s="52" t="s">
        <v>181</v>
      </c>
      <c r="F15" s="63">
        <v>-105.3002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356.43650000000002</v>
      </c>
      <c r="E18" s="52" t="s">
        <v>179</v>
      </c>
      <c r="F18" s="63">
        <v>356.43650000000002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-219.69980000000001</v>
      </c>
      <c r="E20" s="73" t="s">
        <v>181</v>
      </c>
      <c r="F20" s="74">
        <v>-219.69980000000001</v>
      </c>
      <c r="H20" s="3"/>
      <c r="I20" s="3"/>
    </row>
    <row r="22" spans="1:13" x14ac:dyDescent="0.35">
      <c r="A22" s="165" t="s">
        <v>186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6"/>
      <c r="B23" s="57"/>
      <c r="C23" s="62" t="s">
        <v>179</v>
      </c>
      <c r="D23">
        <v>-821.46130000000005</v>
      </c>
      <c r="E23" s="52" t="s">
        <v>179</v>
      </c>
      <c r="F23" s="63">
        <v>-821.46130000000005</v>
      </c>
      <c r="H23" s="77"/>
      <c r="I23" s="57"/>
    </row>
    <row r="24" spans="1:13" x14ac:dyDescent="0.35">
      <c r="A24" t="s">
        <v>187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-548.10699999999997</v>
      </c>
      <c r="E25" s="52" t="s">
        <v>181</v>
      </c>
      <c r="F25" s="63">
        <v>-548.10699999999997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-500.9862</v>
      </c>
      <c r="E28" s="52" t="s">
        <v>179</v>
      </c>
      <c r="F28" s="63">
        <v>-500.9862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-316.25900000000001</v>
      </c>
      <c r="E30" s="73" t="s">
        <v>181</v>
      </c>
      <c r="F30" s="74">
        <v>-316.25900000000001</v>
      </c>
      <c r="H30" s="3"/>
      <c r="I30" s="3"/>
    </row>
    <row r="32" spans="1:13" ht="14.65" customHeight="1" x14ac:dyDescent="0.35">
      <c r="A32" s="165" t="s">
        <v>188</v>
      </c>
      <c r="B32" s="75"/>
      <c r="C32" s="59" t="s">
        <v>176</v>
      </c>
      <c r="D32" s="60"/>
      <c r="E32" s="61" t="s">
        <v>177</v>
      </c>
      <c r="F32" s="60"/>
      <c r="H32" s="167" t="s">
        <v>189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6"/>
      <c r="B33" s="57"/>
      <c r="C33" s="62" t="s">
        <v>179</v>
      </c>
      <c r="D33">
        <v>0</v>
      </c>
      <c r="E33" s="52" t="s">
        <v>179</v>
      </c>
      <c r="F33" s="63">
        <v>0</v>
      </c>
      <c r="H33" s="168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187</v>
      </c>
      <c r="C34" s="62" t="s">
        <v>180</v>
      </c>
      <c r="D34">
        <v>-243.20240000000001</v>
      </c>
      <c r="E34" s="52" t="s">
        <v>180</v>
      </c>
      <c r="F34" s="63">
        <v>-864.88990000000001</v>
      </c>
      <c r="J34" s="62" t="s">
        <v>180</v>
      </c>
      <c r="K34">
        <v>383.25099999999998</v>
      </c>
      <c r="L34" s="52" t="s">
        <v>180</v>
      </c>
      <c r="M34" s="63">
        <v>102.3192</v>
      </c>
    </row>
    <row r="35" spans="1:13" x14ac:dyDescent="0.35">
      <c r="C35" s="62" t="s">
        <v>181</v>
      </c>
      <c r="D35">
        <v>-143.7165</v>
      </c>
      <c r="E35" s="52" t="s">
        <v>181</v>
      </c>
      <c r="F35" s="63">
        <v>-580.27629999999999</v>
      </c>
      <c r="J35" s="62" t="s">
        <v>181</v>
      </c>
      <c r="K35">
        <v>-236.54509999999999</v>
      </c>
      <c r="L35" s="52" t="s">
        <v>181</v>
      </c>
      <c r="M35" s="63">
        <v>-55.954900000000002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-363.65269999999998</v>
      </c>
      <c r="E39" s="52" t="s">
        <v>180</v>
      </c>
      <c r="F39" s="161">
        <v>-1161.9992999999999</v>
      </c>
      <c r="H39" s="3"/>
      <c r="I39" s="3"/>
      <c r="J39" s="62" t="s">
        <v>180</v>
      </c>
      <c r="K39">
        <v>467.55239999999998</v>
      </c>
      <c r="L39" s="52" t="s">
        <v>180</v>
      </c>
      <c r="M39" s="63">
        <v>111.7771</v>
      </c>
    </row>
    <row r="40" spans="1:13" x14ac:dyDescent="0.35">
      <c r="A40" s="3"/>
      <c r="B40" s="3"/>
      <c r="C40" s="71" t="s">
        <v>181</v>
      </c>
      <c r="D40" s="72">
        <v>-224.45920000000001</v>
      </c>
      <c r="E40" s="73" t="s">
        <v>181</v>
      </c>
      <c r="F40" s="74">
        <v>-780.28</v>
      </c>
      <c r="H40" s="3"/>
      <c r="I40" s="3"/>
      <c r="J40" s="71" t="s">
        <v>181</v>
      </c>
      <c r="K40" s="72">
        <v>-293.7122</v>
      </c>
      <c r="L40" s="73" t="s">
        <v>181</v>
      </c>
      <c r="M40" s="74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tabSelected="1" zoomScale="73" zoomScaleNormal="25" workbookViewId="0">
      <selection activeCell="E14" sqref="E14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2" t="s">
        <v>190</v>
      </c>
      <c r="B1" s="174" t="s">
        <v>191</v>
      </c>
      <c r="C1" s="88" t="s">
        <v>192</v>
      </c>
      <c r="D1" s="5" t="s">
        <v>193</v>
      </c>
      <c r="E1" s="5" t="s">
        <v>194</v>
      </c>
      <c r="F1" s="5" t="s">
        <v>195</v>
      </c>
      <c r="G1" s="88" t="s">
        <v>189</v>
      </c>
      <c r="H1" s="88" t="s">
        <v>178</v>
      </c>
      <c r="I1" s="5" t="s">
        <v>196</v>
      </c>
      <c r="J1" s="5" t="s">
        <v>197</v>
      </c>
    </row>
    <row r="2" spans="1:10" ht="15" thickBot="1" x14ac:dyDescent="0.4">
      <c r="A2" s="173"/>
      <c r="B2" s="175"/>
      <c r="C2" s="89" t="s">
        <v>198</v>
      </c>
      <c r="D2" s="6" t="s">
        <v>198</v>
      </c>
      <c r="E2" s="6" t="s">
        <v>198</v>
      </c>
      <c r="F2" s="6" t="s">
        <v>198</v>
      </c>
      <c r="G2" s="89" t="s">
        <v>198</v>
      </c>
      <c r="H2" s="89" t="s">
        <v>198</v>
      </c>
      <c r="I2" s="6" t="s">
        <v>198</v>
      </c>
      <c r="J2" s="6" t="s">
        <v>198</v>
      </c>
    </row>
    <row r="3" spans="1:10" x14ac:dyDescent="0.35">
      <c r="A3" s="176" t="s">
        <v>199</v>
      </c>
      <c r="B3" s="14" t="s">
        <v>200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201</v>
      </c>
      <c r="J3" s="81" t="s">
        <v>201</v>
      </c>
    </row>
    <row r="4" spans="1:10" x14ac:dyDescent="0.35">
      <c r="A4" s="177"/>
      <c r="B4" s="15" t="s">
        <v>202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201</v>
      </c>
      <c r="J4" s="82" t="s">
        <v>201</v>
      </c>
    </row>
    <row r="5" spans="1:10" x14ac:dyDescent="0.35">
      <c r="A5" s="177"/>
      <c r="B5" s="18" t="s">
        <v>203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9">
        <f>-'Tire Load Cases'!K5</f>
        <v>731.25</v>
      </c>
      <c r="I5" s="9" t="s">
        <v>201</v>
      </c>
      <c r="J5" s="82" t="s">
        <v>201</v>
      </c>
    </row>
    <row r="6" spans="1:10" x14ac:dyDescent="0.35">
      <c r="A6" s="177"/>
      <c r="B6" s="16" t="s">
        <v>204</v>
      </c>
      <c r="C6" s="12">
        <v>-16.581299999999999</v>
      </c>
      <c r="D6" s="7">
        <v>-11.938599999999999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7"/>
      <c r="B7" s="16" t="s">
        <v>205</v>
      </c>
      <c r="C7" s="12">
        <v>267.0299</v>
      </c>
      <c r="D7" s="7">
        <v>192.2619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7"/>
      <c r="B8" s="16" t="s">
        <v>206</v>
      </c>
      <c r="C8" s="12">
        <v>219.81479999999999</v>
      </c>
      <c r="D8" s="7">
        <v>158.26689999999999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7"/>
      <c r="B9" s="16" t="s">
        <v>207</v>
      </c>
      <c r="C9" s="12">
        <v>-32.523899999999998</v>
      </c>
      <c r="D9" s="7">
        <v>-23.417300000000001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7"/>
      <c r="B10" s="16" t="s">
        <v>208</v>
      </c>
      <c r="C10" s="12">
        <v>-3.5541999999999998</v>
      </c>
      <c r="D10" s="7">
        <v>-2.5590999999999999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8"/>
      <c r="B11" s="17" t="s">
        <v>209</v>
      </c>
      <c r="C11" s="13">
        <v>-398.23559999999998</v>
      </c>
      <c r="D11" s="8">
        <v>-286.73020000000002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9" t="s">
        <v>210</v>
      </c>
      <c r="B12" s="14" t="s">
        <v>200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201</v>
      </c>
      <c r="J12" s="85" t="s">
        <v>201</v>
      </c>
    </row>
    <row r="13" spans="1:10" x14ac:dyDescent="0.35">
      <c r="A13" s="177"/>
      <c r="B13" s="15" t="s">
        <v>202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9">
        <f>'Tire Load Cases'!M4</f>
        <v>0</v>
      </c>
      <c r="I13" s="9" t="s">
        <v>201</v>
      </c>
      <c r="J13" s="82" t="s">
        <v>201</v>
      </c>
    </row>
    <row r="14" spans="1:10" x14ac:dyDescent="0.35">
      <c r="A14" s="177"/>
      <c r="B14" s="15" t="s">
        <v>200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9">
        <f>-'Tire Load Cases'!M5</f>
        <v>731.25</v>
      </c>
      <c r="I14" s="9" t="s">
        <v>201</v>
      </c>
      <c r="J14" s="82" t="s">
        <v>201</v>
      </c>
    </row>
    <row r="15" spans="1:10" x14ac:dyDescent="0.35">
      <c r="A15" s="177"/>
      <c r="B15" s="16" t="s">
        <v>204</v>
      </c>
      <c r="C15" s="12">
        <v>-16.581299999999999</v>
      </c>
      <c r="D15" s="7">
        <v>-11.938599999999999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7"/>
      <c r="B16" s="16" t="s">
        <v>205</v>
      </c>
      <c r="C16" s="12">
        <v>267.0299</v>
      </c>
      <c r="D16" s="7">
        <v>192.2619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7"/>
      <c r="B17" s="16" t="s">
        <v>206</v>
      </c>
      <c r="C17" s="12">
        <v>219.81479999999999</v>
      </c>
      <c r="D17" s="7">
        <v>158.26689999999999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7"/>
      <c r="B18" s="16" t="s">
        <v>207</v>
      </c>
      <c r="C18" s="12">
        <v>-32.523899999999998</v>
      </c>
      <c r="D18" s="7">
        <v>-23.417300000000001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7"/>
      <c r="B19" s="16" t="s">
        <v>208</v>
      </c>
      <c r="C19" s="12">
        <v>-3.5541999999999998</v>
      </c>
      <c r="D19" s="7">
        <v>-2.5590999999999999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8"/>
      <c r="B20" s="17" t="s">
        <v>209</v>
      </c>
      <c r="C20" s="13">
        <v>-398.23559999999998</v>
      </c>
      <c r="D20" s="8">
        <v>-286.73020000000002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>IF(MIN(C20:H20)&lt;0, MIN(C20:H20), 0)</f>
        <v>-3238.0159787165499</v>
      </c>
      <c r="J20" s="84">
        <f t="shared" si="3"/>
        <v>24.239799999999999</v>
      </c>
    </row>
    <row r="21" spans="1:10" x14ac:dyDescent="0.35">
      <c r="A21" s="169" t="s">
        <v>211</v>
      </c>
      <c r="B21" s="14" t="s">
        <v>200</v>
      </c>
      <c r="C21" s="91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201</v>
      </c>
      <c r="J21" s="85" t="s">
        <v>201</v>
      </c>
    </row>
    <row r="22" spans="1:10" x14ac:dyDescent="0.35">
      <c r="A22" s="170"/>
      <c r="B22" s="15" t="s">
        <v>202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201</v>
      </c>
      <c r="J22" s="82" t="s">
        <v>201</v>
      </c>
    </row>
    <row r="23" spans="1:10" x14ac:dyDescent="0.35">
      <c r="A23" s="170"/>
      <c r="B23" s="15" t="s">
        <v>200</v>
      </c>
      <c r="C23" s="90">
        <f>-'Tire Load Cases'!D10</f>
        <v>178.75</v>
      </c>
      <c r="D23" s="79">
        <f>-'Tire Load Cases'!D20</f>
        <v>219.69980000000001</v>
      </c>
      <c r="E23" s="79">
        <f>-'Tire Load Cases'!D30</f>
        <v>316.25900000000001</v>
      </c>
      <c r="F23" s="79">
        <f>-'Tire Load Cases'!D40</f>
        <v>224.45920000000001</v>
      </c>
      <c r="G23" s="79">
        <f>-'Tire Load Cases'!K40</f>
        <v>293.7122</v>
      </c>
      <c r="H23" s="79">
        <f>-'Tire Load Cases'!K10</f>
        <v>893.75</v>
      </c>
      <c r="I23" s="9" t="s">
        <v>201</v>
      </c>
      <c r="J23" s="82" t="s">
        <v>201</v>
      </c>
    </row>
    <row r="24" spans="1:10" x14ac:dyDescent="0.35">
      <c r="A24" s="170"/>
      <c r="B24" s="16" t="s">
        <v>212</v>
      </c>
      <c r="C24" s="12">
        <v>11.7758</v>
      </c>
      <c r="D24" s="7">
        <v>159.3441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70"/>
      <c r="B25" s="16" t="s">
        <v>205</v>
      </c>
      <c r="C25" s="12">
        <v>-15.463699999999999</v>
      </c>
      <c r="D25" s="7">
        <v>-776.48180000000002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-776.48180000000002</v>
      </c>
      <c r="J25" s="83">
        <f t="shared" si="5"/>
        <v>962.62070000000006</v>
      </c>
    </row>
    <row r="26" spans="1:10" x14ac:dyDescent="0.35">
      <c r="A26" s="170"/>
      <c r="B26" s="16" t="s">
        <v>206</v>
      </c>
      <c r="C26" s="12">
        <v>61.699100000000001</v>
      </c>
      <c r="D26" s="7">
        <v>640.56600000000003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640.56600000000003</v>
      </c>
    </row>
    <row r="27" spans="1:10" x14ac:dyDescent="0.35">
      <c r="A27" s="170"/>
      <c r="B27" s="16" t="s">
        <v>207</v>
      </c>
      <c r="C27" s="12">
        <v>110.0458</v>
      </c>
      <c r="D27" s="7">
        <v>404.29629999999997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70"/>
      <c r="B28" s="16" t="s">
        <v>208</v>
      </c>
      <c r="C28" s="12">
        <v>187.98750000000001</v>
      </c>
      <c r="D28" s="7">
        <v>-172.00880000000001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-172.00880000000001</v>
      </c>
      <c r="J28" s="83">
        <f t="shared" si="5"/>
        <v>939.93660819694401</v>
      </c>
    </row>
    <row r="29" spans="1:10" ht="15" thickBot="1" x14ac:dyDescent="0.4">
      <c r="A29" s="171"/>
      <c r="B29" s="17" t="s">
        <v>209</v>
      </c>
      <c r="C29" s="43">
        <v>-323.37279999999998</v>
      </c>
      <c r="D29" s="44">
        <v>-310.43520000000001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9" t="s">
        <v>213</v>
      </c>
      <c r="B30" s="14" t="s">
        <v>200</v>
      </c>
      <c r="C30" s="91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70"/>
      <c r="B31" s="15" t="s">
        <v>202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2"/>
      <c r="J31" s="87"/>
    </row>
    <row r="32" spans="1:10" x14ac:dyDescent="0.35">
      <c r="A32" s="170"/>
      <c r="B32" s="15" t="s">
        <v>200</v>
      </c>
      <c r="C32" s="90">
        <f>-'Tire Load Cases'!F10</f>
        <v>178.75</v>
      </c>
      <c r="D32" s="79">
        <f>-'Tire Load Cases'!F20</f>
        <v>219.69980000000001</v>
      </c>
      <c r="E32" s="79">
        <f>-'Tire Load Cases'!F30</f>
        <v>316.25900000000001</v>
      </c>
      <c r="F32" s="79">
        <f>-'Tire Load Cases'!F40</f>
        <v>780.28</v>
      </c>
      <c r="G32" s="79">
        <f>-'Tire Load Cases'!M40</f>
        <v>63.787799999999997</v>
      </c>
      <c r="H32" s="79">
        <f>-'Tire Load Cases'!M10</f>
        <v>893.75</v>
      </c>
      <c r="I32" s="2"/>
      <c r="J32" s="87"/>
    </row>
    <row r="33" spans="1:10" x14ac:dyDescent="0.35">
      <c r="A33" s="170"/>
      <c r="B33" s="16" t="s">
        <v>212</v>
      </c>
      <c r="C33" s="12">
        <v>11.7758</v>
      </c>
      <c r="D33" s="7">
        <v>159.3441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70"/>
      <c r="B34" s="16" t="s">
        <v>205</v>
      </c>
      <c r="C34" s="12">
        <v>-15.463699999999999</v>
      </c>
      <c r="D34" s="7">
        <v>-776.48180000000002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-776.48180000000002</v>
      </c>
      <c r="J34" s="83">
        <f t="shared" si="7"/>
        <v>962.62070000000006</v>
      </c>
    </row>
    <row r="35" spans="1:10" x14ac:dyDescent="0.35">
      <c r="A35" s="170"/>
      <c r="B35" s="16" t="s">
        <v>206</v>
      </c>
      <c r="C35" s="12">
        <v>61.699100000000001</v>
      </c>
      <c r="D35" s="7">
        <v>640.56600000000003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655.61145044902798</v>
      </c>
    </row>
    <row r="36" spans="1:10" x14ac:dyDescent="0.35">
      <c r="A36" s="170"/>
      <c r="B36" s="16" t="s">
        <v>207</v>
      </c>
      <c r="C36" s="12">
        <v>110.0458</v>
      </c>
      <c r="D36" s="7">
        <v>404.29629999999997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70"/>
      <c r="B37" s="16" t="s">
        <v>208</v>
      </c>
      <c r="C37" s="12">
        <v>187.98750000000001</v>
      </c>
      <c r="D37" s="7">
        <v>-172.00880000000001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-172.00880000000001</v>
      </c>
      <c r="J37" s="83">
        <f t="shared" si="7"/>
        <v>939.93660819694401</v>
      </c>
    </row>
    <row r="38" spans="1:10" ht="15" thickBot="1" x14ac:dyDescent="0.4">
      <c r="A38" s="171"/>
      <c r="B38" s="17" t="s">
        <v>209</v>
      </c>
      <c r="C38" s="45">
        <v>-323.37279999999998</v>
      </c>
      <c r="D38" s="8">
        <v>-310.43520000000001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214</v>
      </c>
    </row>
    <row r="41" spans="1:10" x14ac:dyDescent="0.35">
      <c r="A41" s="46" t="s">
        <v>119</v>
      </c>
    </row>
    <row r="42" spans="1:10" x14ac:dyDescent="0.35">
      <c r="A42" t="s">
        <v>215</v>
      </c>
    </row>
    <row r="57" spans="1:1" x14ac:dyDescent="0.35">
      <c r="A57" t="s">
        <v>216</v>
      </c>
    </row>
    <row r="75" spans="1:1" x14ac:dyDescent="0.35">
      <c r="A75" s="46" t="s">
        <v>120</v>
      </c>
    </row>
    <row r="76" spans="1:1" x14ac:dyDescent="0.35">
      <c r="A76" t="s">
        <v>215</v>
      </c>
    </row>
    <row r="91" spans="1:1" x14ac:dyDescent="0.35">
      <c r="A91" t="s">
        <v>216</v>
      </c>
    </row>
    <row r="107" spans="1:1" x14ac:dyDescent="0.35">
      <c r="A107" s="46" t="s">
        <v>121</v>
      </c>
    </row>
    <row r="108" spans="1:1" x14ac:dyDescent="0.35">
      <c r="A108" t="s">
        <v>215</v>
      </c>
    </row>
    <row r="121" spans="1:1" x14ac:dyDescent="0.35">
      <c r="A121" t="s">
        <v>216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E2" sqref="E2:E1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3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4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237</v>
      </c>
      <c r="U3" s="32">
        <v>2</v>
      </c>
      <c r="V3" s="180" t="s">
        <v>238</v>
      </c>
      <c r="W3" s="181"/>
      <c r="X3" s="182"/>
    </row>
    <row r="4" spans="1:25" ht="15" thickBot="1" x14ac:dyDescent="0.4">
      <c r="A4" s="184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237</v>
      </c>
      <c r="U4" s="32">
        <v>2</v>
      </c>
      <c r="V4" s="33" t="s">
        <v>239</v>
      </c>
      <c r="W4" s="34">
        <v>0.28360000000000002</v>
      </c>
      <c r="X4" s="35" t="s">
        <v>240</v>
      </c>
    </row>
    <row r="5" spans="1:25" ht="15" thickBot="1" x14ac:dyDescent="0.4">
      <c r="A5" s="184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237</v>
      </c>
      <c r="U5" s="32">
        <v>2</v>
      </c>
      <c r="V5" s="33" t="s">
        <v>241</v>
      </c>
      <c r="W5" s="34">
        <v>66717.358999999997</v>
      </c>
      <c r="X5" s="35" t="s">
        <v>242</v>
      </c>
    </row>
    <row r="6" spans="1:25" ht="15" thickBot="1" x14ac:dyDescent="0.4">
      <c r="A6" s="184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237</v>
      </c>
      <c r="U6" s="32">
        <v>2</v>
      </c>
      <c r="V6" s="33" t="s">
        <v>243</v>
      </c>
      <c r="W6" s="34">
        <v>29732.736199999999</v>
      </c>
      <c r="X6" s="35" t="s">
        <v>244</v>
      </c>
    </row>
    <row r="7" spans="1:25" ht="15" thickBot="1" x14ac:dyDescent="0.4">
      <c r="A7" s="185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236</v>
      </c>
      <c r="U7" s="98">
        <v>1</v>
      </c>
      <c r="V7" s="36" t="s">
        <v>233</v>
      </c>
      <c r="W7" s="37">
        <v>53011.292999999998</v>
      </c>
      <c r="X7" s="38" t="s">
        <v>242</v>
      </c>
      <c r="Y7" s="102" t="s">
        <v>245</v>
      </c>
    </row>
    <row r="8" spans="1:25" ht="15" thickBot="1" x14ac:dyDescent="0.4">
      <c r="A8" s="183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4"/>
      <c r="B9" s="24" t="s">
        <v>205</v>
      </c>
      <c r="C9" s="22">
        <f>MAX(ABS('Geo Forces'!I25),ABS('Geo Forces'!I34))</f>
        <v>776.48180000000002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19.091424351824976</v>
      </c>
      <c r="M9" s="26">
        <f t="shared" si="2"/>
        <v>1229.5088717468871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7.8216334252019966</v>
      </c>
      <c r="S9" s="26">
        <f t="shared" si="12"/>
        <v>9.6782473110719067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4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655.61145044902798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12.180557458645067</v>
      </c>
      <c r="S10" s="26">
        <f t="shared" si="12"/>
        <v>11.531854647275733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4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4"/>
      <c r="B12" s="24" t="s">
        <v>208</v>
      </c>
      <c r="C12" s="22">
        <f>MAX(ABS('Geo Forces'!I28),ABS('Geo Forces'!I37))</f>
        <v>172.00880000000001</v>
      </c>
      <c r="D12" s="22">
        <f>MAX(ABS('Geo Forces'!J28),ABS('Geo Forces'!J37))</f>
        <v>939.93660819694401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100">
        <f t="shared" si="1"/>
        <v>40.56286651241345</v>
      </c>
      <c r="M12" s="26">
        <f t="shared" si="2"/>
        <v>2612.2935262150663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5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4">
        <f t="shared" si="0"/>
        <v>0.30413391233504766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74.660474732473077</v>
      </c>
      <c r="O13" s="95">
        <f t="shared" si="3"/>
        <v>7985.7087100467179</v>
      </c>
      <c r="P13" s="95">
        <f t="shared" si="13"/>
        <v>6301.2683801833018</v>
      </c>
      <c r="Q13" s="145">
        <f t="shared" si="10"/>
        <v>7985.7129427400187</v>
      </c>
      <c r="R13" s="145">
        <f t="shared" si="11"/>
        <v>2.3469631263307571</v>
      </c>
      <c r="S13" s="97" cm="1">
        <f t="array" ref="S13">$W$7/(MAX(C13:D13/H13))</f>
        <v>2.3633145824732882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  <row r="17" spans="15:15" x14ac:dyDescent="0.35">
      <c r="O17" s="16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2" sqref="F2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3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f>'Steel A-Arm Tube Force Analysis'!E2-1.168</f>
        <v>8.940900000000001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0.87047477395978479</v>
      </c>
      <c r="J2" s="31">
        <f t="shared" ref="J2:J13" si="0">I2*$W$4</f>
        <v>4.6918590316432404E-2</v>
      </c>
      <c r="K2" s="30">
        <f>PI()*(F2^4-(F2-(2*G2))^4)/64</f>
        <v>3.7001737438515096E-3</v>
      </c>
      <c r="L2" s="42">
        <f t="shared" ref="L2:L8" si="1">0.282*SQRT($W$6*1000*H2/C2)</f>
        <v>20.35224235160721</v>
      </c>
      <c r="M2" s="147">
        <f t="shared" ref="M2:M13" si="2">SQRT(2*PI()^2*U2*$W$6*1000/C2)</f>
        <v>1027.6389376810118</v>
      </c>
      <c r="N2" s="30">
        <f>E2/SQRT(K2/H2)</f>
        <v>45.86249265157759</v>
      </c>
      <c r="O2" s="30">
        <f>H2*($W$5-($W$5*E2/(2*PI()*SQRT(K2/H2))^2/(U2*$W$6*1000)))</f>
        <v>6143.3347260019218</v>
      </c>
      <c r="P2" s="30">
        <f>U2*PI()^2*$W$6*1000*K2/E2^2</f>
        <v>8908.2828664510944</v>
      </c>
      <c r="Q2" s="26">
        <f>H2*$W$5</f>
        <v>6143.3366033466891</v>
      </c>
      <c r="R2" s="146">
        <f>MIN(ABS(P2/C2),ABS(Q2/C2),ABS(Q2/D2))</f>
        <v>15.880046963271594</v>
      </c>
      <c r="S2" s="26">
        <f>$W$7/(MAX(C3:D3)/H3)</f>
        <v>2.1841996217478012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4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19">
        <f>'Steel A-Arm Tube Force Analysis'!E3-0.584</f>
        <v>10.5692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1.0290040131234839</v>
      </c>
      <c r="J3" s="31">
        <f t="shared" si="0"/>
        <v>5.5463316307355785E-2</v>
      </c>
      <c r="K3" s="30">
        <f t="shared" ref="K3:K13" si="5">PI()*(F3^4-(F3-(2*G3))^4)/64</f>
        <v>3.7001737438515096E-3</v>
      </c>
      <c r="L3" s="42">
        <f t="shared" si="1"/>
        <v>37.309935297048021</v>
      </c>
      <c r="M3" s="146">
        <f t="shared" si="2"/>
        <v>2664.2058630914285</v>
      </c>
      <c r="N3" s="30">
        <f t="shared" ref="N3:N13" si="6">E3/SQRT(K3/H3)</f>
        <v>54.214884109323876</v>
      </c>
      <c r="O3" s="30">
        <f t="shared" ref="O3:O13" si="7">H3*($W$5-($W$5*E3/(2*PI()*SQRT(K3/H3))^2/(U3*$W$6*1000)))</f>
        <v>6143.3354937250451</v>
      </c>
      <c r="P3" s="30">
        <f t="shared" ref="P3:P13" si="8">U3*PI()^2*$W$6*1000*K3/E3^2</f>
        <v>12749.766681479599</v>
      </c>
      <c r="Q3" s="26">
        <f t="shared" ref="Q3:Q13" si="9">H3*$W$5</f>
        <v>6143.3366033466891</v>
      </c>
      <c r="R3" s="146">
        <f t="shared" ref="R3:R13" si="10">MIN(ABS(P3/C3),ABS(Q3/C3),ABS(Q3/D3))</f>
        <v>2.3762585540049357</v>
      </c>
      <c r="S3" s="26">
        <f t="shared" ref="S3:S12" si="11">$W$7/(MAX(C4:D4)/H4)</f>
        <v>2.7118471995730635</v>
      </c>
      <c r="T3" s="19" t="s">
        <v>237</v>
      </c>
      <c r="U3" s="32">
        <v>2</v>
      </c>
      <c r="V3" s="180" t="s">
        <v>238</v>
      </c>
      <c r="W3" s="181"/>
      <c r="X3" s="182"/>
    </row>
    <row r="4" spans="1:25" ht="15" thickBot="1" x14ac:dyDescent="0.4">
      <c r="A4" s="184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19">
        <f>'Steel A-Arm Tube Force Analysis'!E4-0.584</f>
        <v>10.511200000000001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1.023357206102975</v>
      </c>
      <c r="J4" s="31">
        <f t="shared" si="0"/>
        <v>5.5158953408950356E-2</v>
      </c>
      <c r="K4" s="30">
        <f t="shared" si="5"/>
        <v>3.7001737438515096E-3</v>
      </c>
      <c r="L4" s="42">
        <f t="shared" si="1"/>
        <v>11.932577597491752</v>
      </c>
      <c r="M4" s="146">
        <f t="shared" si="2"/>
        <v>852.07446606175881</v>
      </c>
      <c r="N4" s="30">
        <f t="shared" si="6"/>
        <v>53.917372161556706</v>
      </c>
      <c r="O4" s="30">
        <f t="shared" si="7"/>
        <v>6143.3354998142531</v>
      </c>
      <c r="P4" s="30">
        <f t="shared" si="8"/>
        <v>12890.859360239881</v>
      </c>
      <c r="Q4" s="26">
        <f t="shared" si="9"/>
        <v>6143.3366033466891</v>
      </c>
      <c r="R4" s="146">
        <f t="shared" si="10"/>
        <v>2.9503027291906947</v>
      </c>
      <c r="S4" s="26">
        <f t="shared" si="11"/>
        <v>5.0841873195916296</v>
      </c>
      <c r="T4" s="19" t="s">
        <v>237</v>
      </c>
      <c r="U4" s="32">
        <v>2</v>
      </c>
      <c r="V4" s="33" t="s">
        <v>239</v>
      </c>
      <c r="W4" s="144">
        <v>5.3900000000000003E-2</v>
      </c>
      <c r="X4" s="35" t="s">
        <v>240</v>
      </c>
    </row>
    <row r="5" spans="1:25" ht="15" thickBot="1" x14ac:dyDescent="0.4">
      <c r="A5" s="184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19">
        <f>'Steel A-Arm Tube Force Analysis'!E5-0.584</f>
        <v>9.3905000000000012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0.91424726424290159</v>
      </c>
      <c r="J5" s="31">
        <f t="shared" si="0"/>
        <v>4.9277927542692397E-2</v>
      </c>
      <c r="K5" s="30">
        <f t="shared" si="5"/>
        <v>3.7001737438515096E-3</v>
      </c>
      <c r="L5" s="42">
        <f t="shared" si="1"/>
        <v>11.659050644399123</v>
      </c>
      <c r="M5" s="146">
        <f t="shared" si="2"/>
        <v>832.54261465700506</v>
      </c>
      <c r="N5" s="30">
        <f t="shared" si="6"/>
        <v>48.16872319840725</v>
      </c>
      <c r="O5" s="30">
        <f t="shared" si="7"/>
        <v>6143.3356174724458</v>
      </c>
      <c r="P5" s="30">
        <f t="shared" si="8"/>
        <v>16151.357700800178</v>
      </c>
      <c r="Q5" s="26">
        <f t="shared" si="9"/>
        <v>6143.3366033466891</v>
      </c>
      <c r="R5" s="146">
        <f t="shared" si="10"/>
        <v>5.5312451701074457</v>
      </c>
      <c r="S5" s="26">
        <f t="shared" si="11"/>
        <v>6.4510925523070961</v>
      </c>
      <c r="T5" s="19" t="s">
        <v>237</v>
      </c>
      <c r="U5" s="32">
        <v>2</v>
      </c>
      <c r="V5" s="33" t="s">
        <v>241</v>
      </c>
      <c r="W5" s="142">
        <v>63100</v>
      </c>
      <c r="X5" s="35" t="s">
        <v>242</v>
      </c>
    </row>
    <row r="6" spans="1:25" ht="15" thickBot="1" x14ac:dyDescent="0.4">
      <c r="A6" s="184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19">
        <f>'Steel A-Arm Tube Force Analysis'!E6-0.584</f>
        <v>9.4925999999999995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0.9241875917738317</v>
      </c>
      <c r="J6" s="31">
        <f t="shared" si="0"/>
        <v>4.9813711196609531E-2</v>
      </c>
      <c r="K6" s="30">
        <f t="shared" si="5"/>
        <v>3.7001737438515096E-3</v>
      </c>
      <c r="L6" s="42">
        <f t="shared" si="1"/>
        <v>13.133154504934916</v>
      </c>
      <c r="M6" s="146">
        <f t="shared" si="2"/>
        <v>937.80455405136001</v>
      </c>
      <c r="N6" s="30">
        <f t="shared" si="6"/>
        <v>48.692446816804278</v>
      </c>
      <c r="O6" s="30">
        <f t="shared" si="7"/>
        <v>6143.3356067533405</v>
      </c>
      <c r="P6" s="30">
        <f t="shared" si="8"/>
        <v>15805.786367376904</v>
      </c>
      <c r="Q6" s="26">
        <f t="shared" si="9"/>
        <v>6143.3366033466891</v>
      </c>
      <c r="R6" s="146">
        <f t="shared" si="10"/>
        <v>7.0183437939754789</v>
      </c>
      <c r="S6" s="26">
        <f t="shared" si="11"/>
        <v>1.7439095599358541</v>
      </c>
      <c r="T6" s="19" t="s">
        <v>237</v>
      </c>
      <c r="U6" s="32">
        <v>2</v>
      </c>
      <c r="V6" s="33" t="s">
        <v>243</v>
      </c>
      <c r="W6" s="142">
        <v>19500</v>
      </c>
      <c r="X6" s="35" t="s">
        <v>244</v>
      </c>
    </row>
    <row r="7" spans="1:25" ht="15" thickBot="1" x14ac:dyDescent="0.4">
      <c r="A7" s="185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19">
        <f>'Steel A-Arm Tube Force Analysis'!E7-1.168</f>
        <v>7.1065999999999994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0.69188963399910586</v>
      </c>
      <c r="J7" s="94">
        <f t="shared" si="0"/>
        <v>3.7292851272551809E-2</v>
      </c>
      <c r="K7" s="95">
        <f t="shared" si="5"/>
        <v>3.7001737438515096E-3</v>
      </c>
      <c r="L7" s="96">
        <f t="shared" si="1"/>
        <v>6.8283283471601708</v>
      </c>
      <c r="M7" s="145">
        <f t="shared" si="2"/>
        <v>344.78048991288097</v>
      </c>
      <c r="N7" s="95">
        <f t="shared" si="6"/>
        <v>36.453420827623759</v>
      </c>
      <c r="O7" s="95">
        <f t="shared" si="7"/>
        <v>6143.3351111548154</v>
      </c>
      <c r="P7" s="95">
        <f t="shared" si="8"/>
        <v>14100.442137597538</v>
      </c>
      <c r="Q7" s="145">
        <f t="shared" si="9"/>
        <v>6143.3366033466891</v>
      </c>
      <c r="R7" s="145">
        <f t="shared" si="10"/>
        <v>1.8972533315853861</v>
      </c>
      <c r="S7" s="97">
        <f t="shared" si="11"/>
        <v>7.5600803142583111</v>
      </c>
      <c r="T7" s="21" t="s">
        <v>236</v>
      </c>
      <c r="U7" s="98">
        <v>1</v>
      </c>
      <c r="V7" s="36" t="s">
        <v>233</v>
      </c>
      <c r="W7" s="143">
        <v>58000</v>
      </c>
      <c r="X7" s="38" t="s">
        <v>242</v>
      </c>
      <c r="Y7" s="102" t="s">
        <v>245</v>
      </c>
    </row>
    <row r="8" spans="1:25" ht="15" thickBot="1" x14ac:dyDescent="0.4">
      <c r="A8" s="183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19">
        <f>'Steel A-Arm Tube Force Analysis'!E8-1.168</f>
        <v>8.4359000000000002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0.82130860938466455</v>
      </c>
      <c r="J8" s="99">
        <f t="shared" si="0"/>
        <v>4.4268534045833419E-2</v>
      </c>
      <c r="K8" s="39">
        <f t="shared" si="5"/>
        <v>3.7001737438515096E-3</v>
      </c>
      <c r="L8" s="100">
        <f t="shared" si="1"/>
        <v>29.802893235495912</v>
      </c>
      <c r="M8" s="26">
        <f t="shared" si="2"/>
        <v>1504.8274787238399</v>
      </c>
      <c r="N8" s="39">
        <f t="shared" si="6"/>
        <v>43.272086899466871</v>
      </c>
      <c r="O8" s="39">
        <f t="shared" si="7"/>
        <v>6143.3348320381274</v>
      </c>
      <c r="P8" s="39">
        <f t="shared" si="8"/>
        <v>10006.763320552158</v>
      </c>
      <c r="Q8" s="26">
        <f t="shared" si="9"/>
        <v>6143.3366033466891</v>
      </c>
      <c r="R8" s="146">
        <f t="shared" si="10"/>
        <v>8.2248459970637828</v>
      </c>
      <c r="S8" s="26">
        <f t="shared" si="11"/>
        <v>5.8660768675646002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4"/>
      <c r="B9" s="24" t="s">
        <v>205</v>
      </c>
      <c r="C9" s="22">
        <f>MAX(ABS('Geo Forces'!I25),ABS('Geo Forces'!I34))</f>
        <v>776.48180000000002</v>
      </c>
      <c r="D9" s="22">
        <f>MAX(ABS('Geo Forces'!J25),ABS('Geo Forces'!J34))</f>
        <v>962.62070000000006</v>
      </c>
      <c r="E9" s="19">
        <f>'Steel A-Arm Tube Force Analysis'!E9-0.584</f>
        <v>12.3222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1.1996738873812769</v>
      </c>
      <c r="J9" s="31">
        <f t="shared" si="0"/>
        <v>6.4662422529850827E-2</v>
      </c>
      <c r="K9" s="30">
        <f t="shared" si="5"/>
        <v>3.7001737438515096E-3</v>
      </c>
      <c r="L9" s="100">
        <f t="shared" ref="L9:L13" si="12">0.282*SQRT($W$6*1000*H9/C9)</f>
        <v>13.944028117793092</v>
      </c>
      <c r="M9" s="26">
        <f t="shared" si="2"/>
        <v>995.70693893632665</v>
      </c>
      <c r="N9" s="30">
        <f t="shared" si="6"/>
        <v>63.206926254769577</v>
      </c>
      <c r="O9" s="30">
        <f t="shared" si="7"/>
        <v>6143.3353096839883</v>
      </c>
      <c r="P9" s="30">
        <f t="shared" si="8"/>
        <v>9380.1538705173716</v>
      </c>
      <c r="Q9" s="26">
        <f t="shared" si="9"/>
        <v>6143.3366033466891</v>
      </c>
      <c r="R9" s="146">
        <f t="shared" si="10"/>
        <v>6.3818870748849355</v>
      </c>
      <c r="S9" s="26">
        <f t="shared" si="11"/>
        <v>8.6130390441493159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4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655.61145044902798</v>
      </c>
      <c r="E10" s="19">
        <f>'Steel A-Arm Tube Force Analysis'!E10-0.584</f>
        <v>8.9864999999999995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0.87491433258280538</v>
      </c>
      <c r="J10" s="31">
        <f t="shared" si="0"/>
        <v>4.715788252621321E-2</v>
      </c>
      <c r="K10" s="30">
        <f t="shared" si="5"/>
        <v>3.7001737438515096E-3</v>
      </c>
      <c r="L10" s="100">
        <f t="shared" si="12"/>
        <v>15.391560242901884</v>
      </c>
      <c r="M10" s="26">
        <f t="shared" si="2"/>
        <v>1099.0714595130526</v>
      </c>
      <c r="N10" s="30">
        <f t="shared" si="6"/>
        <v>46.096398596718672</v>
      </c>
      <c r="O10" s="30">
        <f t="shared" si="7"/>
        <v>6143.3356598869286</v>
      </c>
      <c r="P10" s="30">
        <f t="shared" si="8"/>
        <v>17636.212061093476</v>
      </c>
      <c r="Q10" s="26">
        <f t="shared" si="9"/>
        <v>6143.3366033466891</v>
      </c>
      <c r="R10" s="146">
        <f t="shared" si="10"/>
        <v>9.3703924773417562</v>
      </c>
      <c r="S10" s="26">
        <f t="shared" si="11"/>
        <v>10.262634456014952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4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19">
        <f>'Steel A-Arm Tube Force Analysis'!E11-0.584</f>
        <v>9.0334000000000003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0.87948045757007898</v>
      </c>
      <c r="J11" s="31">
        <f t="shared" si="0"/>
        <v>4.7403996663027262E-2</v>
      </c>
      <c r="K11" s="30">
        <f t="shared" si="5"/>
        <v>3.7001737438515096E-3</v>
      </c>
      <c r="L11" s="100">
        <f t="shared" si="12"/>
        <v>29.423037015235522</v>
      </c>
      <c r="M11" s="26">
        <f t="shared" si="2"/>
        <v>2101.0228804162193</v>
      </c>
      <c r="N11" s="30">
        <f t="shared" si="6"/>
        <v>46.336972913102819</v>
      </c>
      <c r="O11" s="30">
        <f t="shared" si="7"/>
        <v>6143.3356549630689</v>
      </c>
      <c r="P11" s="30">
        <f t="shared" si="8"/>
        <v>17453.558539894129</v>
      </c>
      <c r="Q11" s="26">
        <f t="shared" si="9"/>
        <v>6143.3366033466891</v>
      </c>
      <c r="R11" s="146">
        <f t="shared" si="10"/>
        <v>11.16503852025075</v>
      </c>
      <c r="S11" s="26">
        <f t="shared" si="11"/>
        <v>6.0076466553855861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4"/>
      <c r="B12" s="24" t="s">
        <v>208</v>
      </c>
      <c r="C12" s="22">
        <f>MAX(ABS('Geo Forces'!I28),ABS('Geo Forces'!I37))</f>
        <v>172.00880000000001</v>
      </c>
      <c r="D12" s="22">
        <f>MAX(ABS('Geo Forces'!J28),ABS('Geo Forces'!J37))</f>
        <v>939.93660819694401</v>
      </c>
      <c r="E12" s="19">
        <f>'Steel A-Arm Tube Force Analysis'!E12-0.584</f>
        <v>7.4614000000000011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0.72643251556594279</v>
      </c>
      <c r="J12" s="31">
        <f t="shared" si="0"/>
        <v>3.9154712589004319E-2</v>
      </c>
      <c r="K12" s="30">
        <f t="shared" si="5"/>
        <v>3.7001737438515096E-3</v>
      </c>
      <c r="L12" s="100">
        <f t="shared" si="12"/>
        <v>29.626377831432656</v>
      </c>
      <c r="M12" s="26">
        <f t="shared" si="2"/>
        <v>2115.5429215367694</v>
      </c>
      <c r="N12" s="30">
        <f t="shared" si="6"/>
        <v>38.273373225344322</v>
      </c>
      <c r="O12" s="30">
        <f t="shared" si="7"/>
        <v>6143.3358200015982</v>
      </c>
      <c r="P12" s="30">
        <f t="shared" si="8"/>
        <v>25582.667357624567</v>
      </c>
      <c r="Q12" s="26">
        <f t="shared" si="9"/>
        <v>6143.3366033466891</v>
      </c>
      <c r="R12" s="146">
        <f t="shared" si="10"/>
        <v>6.5359052406005258</v>
      </c>
      <c r="S12" s="26">
        <f t="shared" si="11"/>
        <v>2.1032032059320698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5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19">
        <f>'Steel A-Arm Tube Force Analysis'!E13-1.168</f>
        <v>7.7915000000000001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0.75857063621197662</v>
      </c>
      <c r="J13" s="94">
        <f t="shared" si="0"/>
        <v>4.0886957291825544E-2</v>
      </c>
      <c r="K13" s="95">
        <f t="shared" si="5"/>
        <v>3.7001737438515096E-3</v>
      </c>
      <c r="L13" s="100">
        <f t="shared" si="12"/>
        <v>7.4988218259621968</v>
      </c>
      <c r="M13" s="100">
        <f t="shared" si="2"/>
        <v>378.63549195022387</v>
      </c>
      <c r="N13" s="95">
        <f t="shared" si="6"/>
        <v>39.966626569446788</v>
      </c>
      <c r="O13" s="95">
        <f t="shared" si="7"/>
        <v>6143.3349673445246</v>
      </c>
      <c r="P13" s="95">
        <f t="shared" si="8"/>
        <v>11730.440577003053</v>
      </c>
      <c r="Q13" s="145">
        <f t="shared" si="9"/>
        <v>6143.3366033466891</v>
      </c>
      <c r="R13" s="145">
        <f t="shared" si="10"/>
        <v>2.2881400395571312</v>
      </c>
      <c r="S13" s="97" cm="1">
        <f t="array" ref="S13">$W$7/(MAX(C13:D13/H13))</f>
        <v>2.1032032059320698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6" t="s">
        <v>215</v>
      </c>
      <c r="C1" s="186"/>
      <c r="D1" s="186"/>
      <c r="E1" s="186"/>
      <c r="F1" s="187" t="s">
        <v>216</v>
      </c>
      <c r="G1" s="187"/>
      <c r="H1" s="187"/>
      <c r="I1" s="187"/>
      <c r="J1" s="158"/>
    </row>
    <row r="2" spans="1:18" x14ac:dyDescent="0.35">
      <c r="B2" t="s">
        <v>205</v>
      </c>
      <c r="C2" t="s">
        <v>206</v>
      </c>
      <c r="D2" t="s">
        <v>207</v>
      </c>
      <c r="E2" t="s">
        <v>208</v>
      </c>
      <c r="F2" t="s">
        <v>205</v>
      </c>
      <c r="G2" t="s">
        <v>206</v>
      </c>
      <c r="H2" t="s">
        <v>207</v>
      </c>
      <c r="I2" t="s">
        <v>208</v>
      </c>
      <c r="J2" t="s">
        <v>212</v>
      </c>
      <c r="L2" s="104" t="s">
        <v>247</v>
      </c>
      <c r="M2">
        <v>2860</v>
      </c>
      <c r="N2" t="s">
        <v>248</v>
      </c>
      <c r="O2" t="s">
        <v>249</v>
      </c>
    </row>
    <row r="3" spans="1:18" x14ac:dyDescent="0.35">
      <c r="A3" t="s">
        <v>247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250</v>
      </c>
      <c r="M3">
        <v>0.5</v>
      </c>
      <c r="N3" s="104" t="s">
        <v>251</v>
      </c>
      <c r="O3">
        <v>0.42</v>
      </c>
    </row>
    <row r="4" spans="1:18" x14ac:dyDescent="0.35">
      <c r="A4" t="s">
        <v>252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655.61145044902798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253</v>
      </c>
      <c r="M4">
        <f>M3*$M$2</f>
        <v>1430</v>
      </c>
      <c r="O4">
        <f>O3*$M$2</f>
        <v>1201.2</v>
      </c>
    </row>
    <row r="5" spans="1:18" x14ac:dyDescent="0.35">
      <c r="A5" t="s">
        <v>254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172.00880000000001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255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215</v>
      </c>
      <c r="D1" s="46" t="s">
        <v>216</v>
      </c>
      <c r="G1" s="105" t="s">
        <v>256</v>
      </c>
    </row>
    <row r="2" spans="1:16" x14ac:dyDescent="0.35">
      <c r="A2" s="104" t="s">
        <v>257</v>
      </c>
      <c r="B2">
        <v>2</v>
      </c>
      <c r="D2" s="104" t="s">
        <v>257</v>
      </c>
      <c r="E2">
        <v>2</v>
      </c>
      <c r="O2" s="104"/>
      <c r="P2" s="109" t="s">
        <v>255</v>
      </c>
    </row>
    <row r="3" spans="1:16" x14ac:dyDescent="0.35">
      <c r="A3" s="104" t="s">
        <v>258</v>
      </c>
      <c r="B3">
        <v>-0.13500000000000001</v>
      </c>
      <c r="D3" s="104" t="s">
        <v>258</v>
      </c>
      <c r="E3">
        <v>-0.23960000000000001</v>
      </c>
    </row>
    <row r="4" spans="1:16" x14ac:dyDescent="0.35">
      <c r="A4" s="104" t="s">
        <v>259</v>
      </c>
      <c r="B4">
        <v>2.0299999999999998</v>
      </c>
      <c r="D4" s="104" t="s">
        <v>259</v>
      </c>
      <c r="E4">
        <v>2.2869999999999999</v>
      </c>
    </row>
    <row r="5" spans="1:16" x14ac:dyDescent="0.35">
      <c r="A5" s="104" t="s">
        <v>260</v>
      </c>
      <c r="B5">
        <v>1.1100000000000001</v>
      </c>
      <c r="D5" s="104" t="s">
        <v>260</v>
      </c>
      <c r="E5">
        <v>1.1140000000000001</v>
      </c>
    </row>
    <row r="6" spans="1:16" x14ac:dyDescent="0.35">
      <c r="A6" s="104" t="s">
        <v>261</v>
      </c>
      <c r="B6">
        <v>3.78</v>
      </c>
      <c r="D6" s="104" t="s">
        <v>261</v>
      </c>
      <c r="E6">
        <v>2.5196999999999998</v>
      </c>
    </row>
    <row r="7" spans="1:16" x14ac:dyDescent="0.35">
      <c r="A7" s="104" t="s">
        <v>262</v>
      </c>
      <c r="B7">
        <v>8</v>
      </c>
      <c r="D7" s="104" t="s">
        <v>262</v>
      </c>
      <c r="E7">
        <v>8</v>
      </c>
    </row>
    <row r="8" spans="1:16" x14ac:dyDescent="0.35">
      <c r="A8" t="s">
        <v>263</v>
      </c>
      <c r="D8" t="s">
        <v>263</v>
      </c>
    </row>
    <row r="10" spans="1:16" x14ac:dyDescent="0.35">
      <c r="A10" s="105" t="s">
        <v>256</v>
      </c>
      <c r="D10" s="105" t="s">
        <v>256</v>
      </c>
    </row>
    <row r="11" spans="1:16" x14ac:dyDescent="0.35">
      <c r="A11" s="47" t="s">
        <v>264</v>
      </c>
      <c r="B11">
        <f>ABS('Geo Forces'!F13)</f>
        <v>864.88990000000001</v>
      </c>
      <c r="C11" s="109" t="s">
        <v>265</v>
      </c>
      <c r="D11" s="47" t="s">
        <v>264</v>
      </c>
      <c r="E11">
        <f>ABS('Geo Forces'!F31)</f>
        <v>1161.9992999999999</v>
      </c>
      <c r="F11" s="109" t="s">
        <v>265</v>
      </c>
    </row>
    <row r="12" spans="1:16" x14ac:dyDescent="0.35">
      <c r="A12" t="s">
        <v>266</v>
      </c>
      <c r="B12">
        <f>ABS('Geo Forces'!F14)</f>
        <v>580.27629999999999</v>
      </c>
      <c r="D12" t="s">
        <v>266</v>
      </c>
      <c r="E12">
        <f>ABS('Geo Forces'!F32)</f>
        <v>780.28</v>
      </c>
    </row>
    <row r="14" spans="1:16" x14ac:dyDescent="0.35">
      <c r="A14" s="47" t="s">
        <v>267</v>
      </c>
      <c r="B14">
        <f>((B12*(B2+B3))-(B11*B7))/B2</f>
        <v>-2918.4519502500002</v>
      </c>
      <c r="D14" s="47" t="s">
        <v>267</v>
      </c>
      <c r="E14">
        <f>((E12*(E2+E3))-(E11*E7))/E2</f>
        <v>-3961.1947439999999</v>
      </c>
    </row>
    <row r="15" spans="1:16" x14ac:dyDescent="0.35">
      <c r="A15" s="47" t="s">
        <v>268</v>
      </c>
      <c r="B15">
        <f>B14-B12</f>
        <v>-3498.7282502500002</v>
      </c>
      <c r="D15" s="47" t="s">
        <v>268</v>
      </c>
      <c r="E15">
        <f>E14-E12</f>
        <v>-4741.4747440000001</v>
      </c>
      <c r="G15" s="105" t="s">
        <v>269</v>
      </c>
    </row>
    <row r="17" spans="1:7" x14ac:dyDescent="0.35">
      <c r="A17" s="105" t="s">
        <v>269</v>
      </c>
      <c r="D17" s="105" t="s">
        <v>269</v>
      </c>
    </row>
    <row r="18" spans="1:7" x14ac:dyDescent="0.35">
      <c r="A18" t="s">
        <v>270</v>
      </c>
      <c r="B18">
        <f>ABS('Geo Forces'!E12)</f>
        <v>821.46130000000005</v>
      </c>
      <c r="D18" t="s">
        <v>270</v>
      </c>
      <c r="E18">
        <f>ABS('Geo Forces'!E30)</f>
        <v>500.9862</v>
      </c>
    </row>
    <row r="19" spans="1:7" x14ac:dyDescent="0.35">
      <c r="A19" t="s">
        <v>266</v>
      </c>
      <c r="B19">
        <f>ABS('Geo Forces'!E14)</f>
        <v>548.10699999999997</v>
      </c>
      <c r="D19" t="s">
        <v>266</v>
      </c>
      <c r="E19">
        <f>ABS('Geo Forces'!E32)</f>
        <v>316.25900000000001</v>
      </c>
    </row>
    <row r="21" spans="1:7" x14ac:dyDescent="0.35">
      <c r="A21" s="47" t="s">
        <v>271</v>
      </c>
      <c r="B21">
        <f>(B19*(B2+B3))/B2</f>
        <v>511.10977749999995</v>
      </c>
      <c r="D21" s="47" t="s">
        <v>271</v>
      </c>
      <c r="E21">
        <f>(E19*(E2+E3))/E2</f>
        <v>278.37117180000001</v>
      </c>
    </row>
    <row r="22" spans="1:7" x14ac:dyDescent="0.35">
      <c r="A22" s="47" t="s">
        <v>272</v>
      </c>
      <c r="B22">
        <f>(B18*(B2+B3))/B2</f>
        <v>766.01266225000006</v>
      </c>
      <c r="D22" s="47" t="s">
        <v>272</v>
      </c>
      <c r="E22">
        <f>(E18*(E2+E3))/E2</f>
        <v>440.96805323999996</v>
      </c>
    </row>
    <row r="23" spans="1:7" x14ac:dyDescent="0.35">
      <c r="A23" s="47" t="s">
        <v>273</v>
      </c>
      <c r="B23">
        <f>B21-B19</f>
        <v>-36.997222500000021</v>
      </c>
      <c r="D23" s="47" t="s">
        <v>273</v>
      </c>
      <c r="E23">
        <f>E21-E19</f>
        <v>-37.887828200000001</v>
      </c>
    </row>
    <row r="24" spans="1:7" x14ac:dyDescent="0.35">
      <c r="A24" s="47" t="s">
        <v>274</v>
      </c>
      <c r="B24">
        <f>B22-B18</f>
        <v>-55.448637749999989</v>
      </c>
      <c r="D24" s="47" t="s">
        <v>274</v>
      </c>
      <c r="E24">
        <f>E22-E18</f>
        <v>-60.018146760000036</v>
      </c>
    </row>
    <row r="25" spans="1:7" x14ac:dyDescent="0.35">
      <c r="A25" t="s">
        <v>275</v>
      </c>
      <c r="B25">
        <f>(B18*B7)/(B4+B5)</f>
        <v>2092.8950318471343</v>
      </c>
      <c r="D25" t="s">
        <v>275</v>
      </c>
      <c r="E25">
        <f>(E18*E7)/(E4+E5)</f>
        <v>1178.4444575124965</v>
      </c>
    </row>
    <row r="26" spans="1:7" x14ac:dyDescent="0.35">
      <c r="A26" s="47" t="s">
        <v>276</v>
      </c>
      <c r="B26">
        <f>B25/2</f>
        <v>1046.4475159235672</v>
      </c>
      <c r="D26" s="47" t="s">
        <v>276</v>
      </c>
      <c r="E26">
        <f>E25/2</f>
        <v>589.22222875624823</v>
      </c>
    </row>
    <row r="27" spans="1:7" x14ac:dyDescent="0.35">
      <c r="A27" s="47" t="s">
        <v>277</v>
      </c>
      <c r="B27">
        <f>(B25*B5)/B6</f>
        <v>614.58028712971418</v>
      </c>
      <c r="D27" s="47" t="s">
        <v>277</v>
      </c>
      <c r="E27">
        <f>(E25*E5)/E6</f>
        <v>521.0092970071521</v>
      </c>
    </row>
    <row r="29" spans="1:7" x14ac:dyDescent="0.35">
      <c r="D29" s="105" t="s">
        <v>278</v>
      </c>
      <c r="G29" s="105" t="s">
        <v>278</v>
      </c>
    </row>
    <row r="30" spans="1:7" x14ac:dyDescent="0.35">
      <c r="D30" t="s">
        <v>270</v>
      </c>
      <c r="E30">
        <f>ABS('Geo Forces'!D30)</f>
        <v>356.43650000000002</v>
      </c>
    </row>
    <row r="31" spans="1:7" x14ac:dyDescent="0.35">
      <c r="D31" t="s">
        <v>266</v>
      </c>
      <c r="E31">
        <f>ABS('Geo Forces'!D32)</f>
        <v>219.69980000000001</v>
      </c>
    </row>
    <row r="33" spans="4:5" x14ac:dyDescent="0.35">
      <c r="D33" s="47" t="s">
        <v>271</v>
      </c>
      <c r="E33">
        <f>(E31*(E2+E3))/E2</f>
        <v>193.37976395999999</v>
      </c>
    </row>
    <row r="34" spans="4:5" x14ac:dyDescent="0.35">
      <c r="D34" s="47" t="s">
        <v>272</v>
      </c>
      <c r="E34">
        <f>(E30*(E2+E3))/E2</f>
        <v>313.73540730000002</v>
      </c>
    </row>
    <row r="35" spans="4:5" x14ac:dyDescent="0.35">
      <c r="D35" s="47" t="s">
        <v>273</v>
      </c>
      <c r="E35">
        <f>E33-E31</f>
        <v>-26.320036040000019</v>
      </c>
    </row>
    <row r="36" spans="4:5" x14ac:dyDescent="0.35">
      <c r="D36" s="47" t="s">
        <v>274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279</v>
      </c>
    </row>
    <row r="2" spans="1:7" x14ac:dyDescent="0.35">
      <c r="A2" s="154" t="s">
        <v>280</v>
      </c>
      <c r="B2" s="156" t="s">
        <v>215</v>
      </c>
      <c r="C2" s="157" t="s">
        <v>216</v>
      </c>
      <c r="D2" t="s">
        <v>281</v>
      </c>
      <c r="F2" t="s">
        <v>282</v>
      </c>
      <c r="G2">
        <v>4.4249999999999998</v>
      </c>
    </row>
    <row r="3" spans="1:7" x14ac:dyDescent="0.35">
      <c r="A3" t="s">
        <v>283</v>
      </c>
      <c r="B3">
        <f>-'Geo Forces'!H20</f>
        <v>1991.1782126860301</v>
      </c>
      <c r="C3">
        <f>-'Geo Forces'!H38</f>
        <v>1616.86379364101</v>
      </c>
      <c r="F3" t="s">
        <v>284</v>
      </c>
      <c r="G3">
        <f>G2-Parameters!K4</f>
        <v>3.4249999999999998</v>
      </c>
    </row>
    <row r="4" spans="1:7" x14ac:dyDescent="0.35">
      <c r="A4" t="s">
        <v>285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286</v>
      </c>
      <c r="G4">
        <v>2</v>
      </c>
    </row>
    <row r="5" spans="1:7" x14ac:dyDescent="0.35">
      <c r="A5" t="s">
        <v>287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288</v>
      </c>
    </row>
    <row r="7" spans="1:7" x14ac:dyDescent="0.35">
      <c r="A7" s="155" t="s">
        <v>289</v>
      </c>
      <c r="B7" s="156" t="s">
        <v>215</v>
      </c>
      <c r="C7" s="157" t="s">
        <v>216</v>
      </c>
      <c r="D7" t="s">
        <v>290</v>
      </c>
      <c r="F7" t="s">
        <v>291</v>
      </c>
    </row>
    <row r="8" spans="1:7" x14ac:dyDescent="0.35">
      <c r="A8" t="s">
        <v>283</v>
      </c>
      <c r="B8">
        <f>-'Geo Forces'!D20</f>
        <v>286.73020000000002</v>
      </c>
      <c r="C8">
        <f>-'Geo Forces'!E38</f>
        <v>631.51959999999997</v>
      </c>
    </row>
    <row r="9" spans="1:7" x14ac:dyDescent="0.35">
      <c r="A9" t="s">
        <v>285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287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2023-11-18T02:21:00Z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