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291" documentId="13_ncr:1_{25B62D78-2787-4D6A-9F3E-D571215EA930}" xr6:coauthVersionLast="47" xr6:coauthVersionMax="47" xr10:uidLastSave="{01DF4EC3-5395-457D-BB74-BF1C015A1B7A}"/>
  <bookViews>
    <workbookView xWindow="-90" yWindow="0" windowWidth="12980" windowHeight="15370" tabRatio="744" firstSheet="4" activeTab="7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3" l="1"/>
  <c r="Q2" i="3"/>
  <c r="O6" i="3"/>
  <c r="O7" i="3"/>
  <c r="L2" i="3"/>
  <c r="N2" i="3"/>
  <c r="R3" i="3"/>
  <c r="R4" i="3"/>
  <c r="R5" i="3"/>
  <c r="R6" i="3"/>
  <c r="R7" i="3"/>
  <c r="R2" i="3"/>
  <c r="R2" i="15"/>
  <c r="R3" i="15"/>
  <c r="R4" i="15"/>
  <c r="R5" i="15"/>
  <c r="R6" i="15"/>
  <c r="R7" i="15"/>
  <c r="O2" i="15"/>
  <c r="P2" i="15"/>
  <c r="Q3" i="15"/>
  <c r="Q4" i="15"/>
  <c r="Q5" i="15"/>
  <c r="Q6" i="15"/>
  <c r="Q7" i="15"/>
  <c r="Q8" i="15"/>
  <c r="Q9" i="15"/>
  <c r="Q10" i="15"/>
  <c r="Q11" i="15"/>
  <c r="Q12" i="15"/>
  <c r="Q13" i="15"/>
  <c r="Q2" i="15"/>
  <c r="Q3" i="3"/>
  <c r="Q4" i="3"/>
  <c r="Q5" i="3"/>
  <c r="Q6" i="3"/>
  <c r="Q7" i="3"/>
  <c r="Q8" i="3"/>
  <c r="Q9" i="3"/>
  <c r="Q10" i="3"/>
  <c r="Q11" i="3"/>
  <c r="Q12" i="3"/>
  <c r="Q13" i="3"/>
  <c r="P2" i="3"/>
  <c r="P3" i="3"/>
  <c r="P4" i="3"/>
  <c r="P5" i="3"/>
  <c r="P6" i="3"/>
  <c r="P7" i="3"/>
  <c r="P8" i="3"/>
  <c r="P9" i="3"/>
  <c r="P10" i="3"/>
  <c r="P11" i="3"/>
  <c r="P12" i="3"/>
  <c r="P13" i="3"/>
  <c r="O2" i="3"/>
  <c r="O3" i="3"/>
  <c r="B5" i="19"/>
  <c r="B4" i="19"/>
  <c r="O4" i="19"/>
  <c r="M4" i="19"/>
  <c r="C3" i="19"/>
  <c r="D3" i="19"/>
  <c r="E3" i="19"/>
  <c r="F3" i="19"/>
  <c r="G3" i="19"/>
  <c r="H3" i="19"/>
  <c r="I3" i="19"/>
  <c r="J3" i="19"/>
  <c r="B3" i="19"/>
  <c r="D3" i="3"/>
  <c r="C3" i="3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K12" i="15"/>
  <c r="P12" i="15" s="1"/>
  <c r="H12" i="15"/>
  <c r="O12" i="15" s="1"/>
  <c r="K11" i="15"/>
  <c r="P11" i="15" s="1"/>
  <c r="H11" i="15"/>
  <c r="K10" i="15"/>
  <c r="P10" i="15" s="1"/>
  <c r="H10" i="15"/>
  <c r="K9" i="15"/>
  <c r="P9" i="15" s="1"/>
  <c r="H9" i="15"/>
  <c r="I9" i="15" s="1"/>
  <c r="K8" i="15"/>
  <c r="P8" i="15" s="1"/>
  <c r="H8" i="15"/>
  <c r="I8" i="15" s="1"/>
  <c r="K7" i="15"/>
  <c r="P7" i="15" s="1"/>
  <c r="H7" i="15"/>
  <c r="K6" i="15"/>
  <c r="P6" i="15" s="1"/>
  <c r="H6" i="15"/>
  <c r="O6" i="15" s="1"/>
  <c r="K5" i="15"/>
  <c r="P5" i="15" s="1"/>
  <c r="H5" i="15"/>
  <c r="O5" i="15" s="1"/>
  <c r="K4" i="15"/>
  <c r="P4" i="15" s="1"/>
  <c r="H4" i="15"/>
  <c r="O4" i="15" s="1"/>
  <c r="K3" i="15"/>
  <c r="P3" i="15" s="1"/>
  <c r="H3" i="15"/>
  <c r="O3" i="15" s="1"/>
  <c r="K2" i="15"/>
  <c r="H2" i="15"/>
  <c r="E31" i="11"/>
  <c r="O11" i="15" l="1"/>
  <c r="N9" i="15"/>
  <c r="O9" i="15"/>
  <c r="N5" i="15"/>
  <c r="I7" i="15"/>
  <c r="O13" i="15"/>
  <c r="N2" i="15"/>
  <c r="J9" i="15"/>
  <c r="J8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J7" i="15" l="1"/>
  <c r="J12" i="15"/>
  <c r="J5" i="15"/>
  <c r="J2" i="15"/>
  <c r="J11" i="15"/>
  <c r="J4" i="15"/>
  <c r="J6" i="15"/>
  <c r="J13" i="15"/>
  <c r="J10" i="15"/>
  <c r="J3" i="15"/>
  <c r="C19" i="14" l="1"/>
  <c r="C36" i="14" s="1"/>
  <c r="B19" i="14"/>
  <c r="B36" i="14" s="1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B14" i="11"/>
  <c r="B15" i="11"/>
  <c r="E14" i="11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F30" i="2"/>
  <c r="F23" i="2"/>
  <c r="F21" i="2"/>
  <c r="F14" i="2"/>
  <c r="B12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D3" i="15" s="1"/>
  <c r="J8" i="2"/>
  <c r="D4" i="15" s="1"/>
  <c r="J9" i="2"/>
  <c r="J10" i="2"/>
  <c r="J11" i="2"/>
  <c r="I7" i="2"/>
  <c r="I8" i="2"/>
  <c r="I9" i="2"/>
  <c r="I10" i="2"/>
  <c r="I11" i="2"/>
  <c r="J6" i="2"/>
  <c r="I6" i="2"/>
  <c r="K3" i="3"/>
  <c r="K4" i="3"/>
  <c r="K5" i="3"/>
  <c r="K6" i="3"/>
  <c r="K7" i="3"/>
  <c r="K8" i="3"/>
  <c r="K9" i="3"/>
  <c r="K10" i="3"/>
  <c r="K11" i="3"/>
  <c r="K12" i="3"/>
  <c r="K13" i="3"/>
  <c r="K2" i="3"/>
  <c r="H2" i="3"/>
  <c r="H3" i="3"/>
  <c r="H4" i="3"/>
  <c r="H5" i="3"/>
  <c r="H6" i="3"/>
  <c r="H7" i="3"/>
  <c r="H8" i="3"/>
  <c r="H9" i="3"/>
  <c r="H10" i="3"/>
  <c r="H11" i="3"/>
  <c r="H12" i="3"/>
  <c r="H13" i="3"/>
  <c r="I7" i="3" l="1"/>
  <c r="I8" i="3"/>
  <c r="O9" i="3"/>
  <c r="I11" i="3"/>
  <c r="D40" i="14"/>
  <c r="E40" i="14"/>
  <c r="A25" i="14"/>
  <c r="A41" i="14"/>
  <c r="O13" i="3"/>
  <c r="O5" i="3"/>
  <c r="D7" i="15"/>
  <c r="C2" i="15"/>
  <c r="L2" i="15" s="1"/>
  <c r="D2" i="15"/>
  <c r="C7" i="15"/>
  <c r="M7" i="15" s="1"/>
  <c r="C6" i="15"/>
  <c r="L6" i="15" s="1"/>
  <c r="C5" i="15"/>
  <c r="M5" i="15" s="1"/>
  <c r="C4" i="15"/>
  <c r="C3" i="15"/>
  <c r="M3" i="15" s="1"/>
  <c r="D6" i="15"/>
  <c r="D5" i="15"/>
  <c r="M2" i="15"/>
  <c r="B25" i="11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J11" i="3"/>
  <c r="J8" i="3"/>
  <c r="J7" i="3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5" i="19" s="1"/>
  <c r="D4" i="3"/>
  <c r="C4" i="19" s="1"/>
  <c r="D7" i="3"/>
  <c r="D5" i="3"/>
  <c r="D4" i="19" s="1"/>
  <c r="C4" i="3"/>
  <c r="C5" i="19" s="1"/>
  <c r="C6" i="3"/>
  <c r="E5" i="19" s="1"/>
  <c r="C2" i="3"/>
  <c r="D41" i="14" l="1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B26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R13" i="3" s="1"/>
  <c r="C13" i="15"/>
  <c r="R13" i="15" s="1"/>
  <c r="C8" i="3"/>
  <c r="R8" i="3" s="1"/>
  <c r="C8" i="15"/>
  <c r="R8" i="15" s="1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11" i="15" l="1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<sst xmlns="http://schemas.openxmlformats.org/spreadsheetml/2006/main" count="699" uniqueCount="293">
  <si>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</si>
  <si>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</si>
  <si>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</si>
  <si>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</si>
  <si>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</si>
  <si>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</si>
  <si>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</si>
  <si>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</si>
  <si>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</si>
  <si>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</si>
  <si>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</si>
  <si>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</si>
  <si>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</si>
  <si>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</si>
  <si>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</si>
  <si>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</si>
  <si>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</si>
  <si>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</si>
  <si>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</si>
  <si>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</si>
  <si>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</si>
  <si>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</si>
  <si>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</si>
  <si>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</si>
  <si>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</si>
  <si>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</si>
  <si>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</si>
  <si>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</si>
  <si>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</si>
  <si>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</si>
  <si>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</si>
  <si>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</si>
  <si>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</si>
  <si>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</si>
  <si>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</si>
  <si>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</si>
  <si>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</si>
  <si>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</si>
  <si>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</si>
  <si>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</si>
  <si>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</si>
  <si>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</si>
  <si>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</si>
  <si>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</si>
  <si>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</si>
  <si>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</si>
  <si>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</si>
  <si>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</si>
  <si>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</si>
  <si>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</si>
  <si>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</si>
  <si>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</si>
  <si>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</si>
  <si>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</si>
  <si>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</si>
  <si>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</si>
  <si>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</si>
  <si>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</si>
  <si>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</si>
  <si>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</si>
  <si>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</si>
  <si>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</si>
  <si>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</si>
  <si>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</si>
  <si>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</si>
  <si>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</si>
  <si>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</si>
  <si>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</si>
  <si>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</si>
  <si>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</si>
  <si>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</si>
  <si>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</si>
  <si>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</si>
  <si>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</si>
  <si>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</si>
  <si>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</si>
  <si>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</si>
  <si>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</si>
  <si>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</si>
  <si>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</si>
  <si>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</si>
  <si>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</si>
  <si>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</si>
  <si>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</si>
  <si>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</si>
  <si>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</si>
  <si>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</si>
  <si>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</si>
  <si>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</si>
  <si>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</si>
  <si>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</si>
  <si>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</si>
  <si>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</si>
  <si>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</si>
  <si>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</si>
  <si>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</si>
  <si>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</si>
  <si>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</si>
  <si>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</si>
  <si>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</si>
  <si>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</si>
  <si>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</si>
  <si>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</si>
  <si>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</si>
  <si>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</si>
  <si>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</si>
  <si>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</si>
  <si>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</si>
  <si>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</si>
  <si>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</si>
  <si>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</si>
  <si>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</si>
  <si>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</si>
  <si>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</si>
  <si>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</si>
  <si>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</si>
  <si>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</si>
  <si>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</si>
  <si>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</si>
  <si>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</si>
  <si>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</si>
  <si>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</si>
  <si>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</si>
  <si>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</si>
  <si>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</si>
  <si>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</si>
  <si>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</si>
  <si>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</si>
  <si>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</si>
  <si>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</si>
  <si>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</si>
  <si>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</si>
  <si>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</si>
  <si>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</si>
  <si>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</si>
  <si>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</si>
  <si>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</si>
  <si>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</si>
  <si>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</si>
  <si>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</si>
  <si>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</si>
  <si>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</si>
  <si>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</si>
  <si>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</si>
  <si>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</si>
  <si>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</si>
  <si>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</si>
  <si>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</si>
  <si>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</si>
  <si>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</si>
  <si>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</si>
  <si>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</si>
  <si>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</si>
  <si>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</si>
  <si>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</si>
  <si>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</si>
  <si>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</si>
  <si>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</si>
  <si>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</si>
  <si>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</si>
  <si>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</si>
  <si>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</si>
  <si>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</si>
  <si>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</si>
  <si>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</si>
  <si>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</si>
  <si>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</si>
  <si>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</si>
  <si>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</si>
  <si>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</si>
  <si>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</si>
  <si>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</si>
  <si>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</si>
  <si>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</si>
  <si>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</si>
  <si>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</si>
  <si>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</si>
  <si>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</si>
  <si>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</si>
  <si>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</si>
  <si>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</si>
  <si>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</si>
  <si>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</si>
  <si>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</si>
  <si>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</si>
  <si>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</si>
  <si>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(~2.0g)</t>
  </si>
  <si>
    <t>*30 mph analysis</t>
  </si>
  <si>
    <t>Max Cornering @ Tire Limits (~1.9g) - Skidpad</t>
  </si>
  <si>
    <t>Tilt Test (1.7g C)</t>
  </si>
  <si>
    <t>*25 mph entry analysis</t>
  </si>
  <si>
    <t>Tire</t>
  </si>
  <si>
    <t>Component</t>
  </si>
  <si>
    <t>0g Static</t>
  </si>
  <si>
    <t>Max Acceleration @ Tire Limits</t>
  </si>
  <si>
    <t>Max Deceleration @ Tire Limits</t>
  </si>
  <si>
    <t>Max Cornering @ Tire Limits - Skidpad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</si>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</sst>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3" fillId="5" borderId="47" xfId="0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F4" sqref="F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J29" sqref="J29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-739.71180000000004</v>
      </c>
      <c r="C8" s="51">
        <v>513.39400000000001</v>
      </c>
      <c r="D8" s="51">
        <v>289.72280000000001</v>
      </c>
      <c r="E8" s="52">
        <f t="shared" si="2"/>
        <v>-29.122511811023621</v>
      </c>
      <c r="F8" s="52">
        <f t="shared" si="0"/>
        <v>20.21236220472441</v>
      </c>
      <c r="G8" s="51">
        <f t="shared" si="0"/>
        <v>11.406409448818899</v>
      </c>
    </row>
    <row r="9" spans="1:7" x14ac:dyDescent="0.35">
      <c r="A9" t="s">
        <v>107</v>
      </c>
      <c r="B9" s="51">
        <v>-725.78809999999999</v>
      </c>
      <c r="C9" s="51">
        <v>181.86519999999999</v>
      </c>
      <c r="D9" s="51">
        <v>507.9742</v>
      </c>
      <c r="E9" s="52">
        <f t="shared" si="2"/>
        <v>-28.574334645669293</v>
      </c>
      <c r="F9" s="52">
        <f t="shared" si="0"/>
        <v>7.1600472440944873</v>
      </c>
      <c r="G9" s="51">
        <f t="shared" si="0"/>
        <v>19.998984251968505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-954.52890000000002</v>
      </c>
      <c r="C12" s="51">
        <v>88.371700000000004</v>
      </c>
      <c r="D12" s="51">
        <v>578.54629999999997</v>
      </c>
      <c r="E12" s="52">
        <f t="shared" si="2"/>
        <v>-37.579877952755908</v>
      </c>
      <c r="F12" s="52">
        <f t="shared" si="0"/>
        <v>3.4792007874015751</v>
      </c>
      <c r="G12" s="51">
        <f t="shared" si="0"/>
        <v>22.777413385826772</v>
      </c>
    </row>
    <row r="13" spans="1:7" x14ac:dyDescent="0.35">
      <c r="A13" t="s">
        <v>111</v>
      </c>
      <c r="B13" s="51">
        <v>-782.92550000000006</v>
      </c>
      <c r="C13" s="51">
        <v>87.029200000000003</v>
      </c>
      <c r="D13" s="51">
        <v>572.77700000000004</v>
      </c>
      <c r="E13" s="52">
        <f t="shared" si="2"/>
        <v>-30.823838582677169</v>
      </c>
      <c r="F13" s="52">
        <f t="shared" si="0"/>
        <v>3.4263464566929134</v>
      </c>
      <c r="G13" s="51">
        <f t="shared" si="0"/>
        <v>22.55027559055118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-831.42819999999995</v>
      </c>
      <c r="C16" s="51">
        <v>195.91290000000001</v>
      </c>
      <c r="D16" s="51">
        <v>524.58140000000003</v>
      </c>
      <c r="E16" s="52">
        <f t="shared" si="2"/>
        <v>-32.733393700787396</v>
      </c>
      <c r="F16" s="52">
        <f t="shared" si="0"/>
        <v>7.7131062992125985</v>
      </c>
      <c r="G16" s="51">
        <f t="shared" si="0"/>
        <v>20.652811023622046</v>
      </c>
    </row>
    <row r="17" spans="1:7" x14ac:dyDescent="0.35">
      <c r="A17" t="s">
        <v>115</v>
      </c>
      <c r="B17" s="51">
        <v>-832.63239999999996</v>
      </c>
      <c r="C17" s="51">
        <v>175.42269999999999</v>
      </c>
      <c r="D17" s="51">
        <v>493.53320000000002</v>
      </c>
      <c r="E17" s="52">
        <f t="shared" si="2"/>
        <v>-32.780803149606299</v>
      </c>
      <c r="F17" s="52">
        <f t="shared" si="0"/>
        <v>6.9064055118110241</v>
      </c>
      <c r="G17" s="51">
        <f t="shared" si="0"/>
        <v>19.430440944881891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823.03409999999997</v>
      </c>
      <c r="C26" s="51">
        <v>464.1909</v>
      </c>
      <c r="D26" s="51">
        <v>291.0813</v>
      </c>
      <c r="E26" s="52">
        <f t="shared" si="5"/>
        <v>32.402917322834647</v>
      </c>
      <c r="F26" s="52">
        <f t="shared" si="3"/>
        <v>18.275232283464568</v>
      </c>
      <c r="G26" s="51">
        <f t="shared" si="3"/>
        <v>11.459893700787401</v>
      </c>
    </row>
    <row r="27" spans="1:7" x14ac:dyDescent="0.35">
      <c r="A27" t="s">
        <v>107</v>
      </c>
      <c r="B27" s="51">
        <v>827.37990000000002</v>
      </c>
      <c r="C27" s="51">
        <v>234.00559999999999</v>
      </c>
      <c r="D27" s="51">
        <v>397.447</v>
      </c>
      <c r="E27" s="52">
        <f t="shared" si="5"/>
        <v>32.574011811023624</v>
      </c>
      <c r="F27" s="52">
        <f t="shared" si="3"/>
        <v>9.2128188976377956</v>
      </c>
      <c r="G27" s="51">
        <f t="shared" si="3"/>
        <v>15.64751968503937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581.57420000000002</v>
      </c>
      <c r="C30" s="51">
        <v>281.94560000000001</v>
      </c>
      <c r="D30" s="51">
        <v>385.30059999999997</v>
      </c>
      <c r="E30" s="52">
        <f t="shared" si="5"/>
        <v>22.896622047244094</v>
      </c>
      <c r="F30" s="52">
        <f t="shared" si="3"/>
        <v>11.100220472440945</v>
      </c>
      <c r="G30" s="51">
        <f t="shared" si="3"/>
        <v>15.16931496062992</v>
      </c>
    </row>
    <row r="31" spans="1:7" x14ac:dyDescent="0.35">
      <c r="A31" t="s">
        <v>111</v>
      </c>
      <c r="B31" s="51">
        <v>707.83069999999998</v>
      </c>
      <c r="C31" s="51">
        <v>174.48820000000001</v>
      </c>
      <c r="D31" s="51">
        <v>429.87970000000001</v>
      </c>
      <c r="E31" s="52">
        <f t="shared" si="5"/>
        <v>27.867350393700789</v>
      </c>
      <c r="F31" s="52">
        <f t="shared" si="3"/>
        <v>6.8696141732283467</v>
      </c>
      <c r="G31" s="51">
        <f t="shared" si="3"/>
        <v>16.924397637795277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760.59059999999999</v>
      </c>
      <c r="C34" s="51">
        <v>254.001</v>
      </c>
      <c r="D34" s="51">
        <v>411.92689999999999</v>
      </c>
      <c r="E34" s="52">
        <f t="shared" si="5"/>
        <v>29.944511811023624</v>
      </c>
      <c r="F34" s="52">
        <f t="shared" si="3"/>
        <v>10.00003937007874</v>
      </c>
      <c r="G34" s="51">
        <f t="shared" si="3"/>
        <v>16.217594488188979</v>
      </c>
    </row>
    <row r="35" spans="1:7" x14ac:dyDescent="0.35">
      <c r="A35" t="s">
        <v>115</v>
      </c>
      <c r="B35" s="51">
        <v>759.1789</v>
      </c>
      <c r="C35" s="51">
        <v>238.00829999999999</v>
      </c>
      <c r="D35" s="51">
        <v>377.37479999999999</v>
      </c>
      <c r="E35" s="52">
        <f t="shared" si="5"/>
        <v>29.888933070866141</v>
      </c>
      <c r="F35" s="52">
        <f t="shared" si="3"/>
        <v>9.3704055118110237</v>
      </c>
      <c r="G35" s="51">
        <f t="shared" si="3"/>
        <v>14.857275590551181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7" sqref="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D58" sqref="D58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I33" sqref="I33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R26" sqref="R26"/>
    </sheetView>
  </sheetViews>
  <sheetFormatPr defaultRowHeight="14.5" x14ac:dyDescent="0.35"/>
  <cols>
    <col min="1" max="1" width="29.54296875" customWidth="1"/>
    <col min="2" max="2" width="5.26953125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-97.150599999999997</v>
      </c>
      <c r="E15" s="52" t="s">
        <v>181</v>
      </c>
      <c r="F15" s="63">
        <v>-97.150599999999997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377.0566</v>
      </c>
      <c r="E18" s="52" t="s">
        <v>179</v>
      </c>
      <c r="F18" s="63">
        <v>377.0566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-277.8494</v>
      </c>
      <c r="E20" s="73" t="s">
        <v>181</v>
      </c>
      <c r="F20" s="74">
        <v>-277.8494</v>
      </c>
      <c r="H20" s="3"/>
      <c r="I20" s="3"/>
    </row>
    <row r="22" spans="1:13" x14ac:dyDescent="0.35">
      <c r="A22" s="163" t="s">
        <v>186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-453.39370000000002</v>
      </c>
      <c r="E23" s="52" t="s">
        <v>179</v>
      </c>
      <c r="F23" s="63">
        <v>-453.39370000000002</v>
      </c>
      <c r="H23" s="77"/>
      <c r="I23" s="57"/>
    </row>
    <row r="24" spans="1:13" x14ac:dyDescent="0.35">
      <c r="A24" t="s">
        <v>187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-278.60289999999998</v>
      </c>
      <c r="E25" s="52" t="s">
        <v>181</v>
      </c>
      <c r="F25" s="63">
        <v>-278.60289999999998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-201.41890000000001</v>
      </c>
      <c r="E28" s="52" t="s">
        <v>179</v>
      </c>
      <c r="F28" s="63">
        <v>-201.41890000000001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-112.0312</v>
      </c>
      <c r="E30" s="73" t="s">
        <v>181</v>
      </c>
      <c r="F30" s="74">
        <v>-112.0312</v>
      </c>
      <c r="H30" s="3"/>
      <c r="I30" s="3"/>
    </row>
    <row r="32" spans="1:13" ht="14.65" customHeight="1" x14ac:dyDescent="0.35">
      <c r="A32" s="163" t="s">
        <v>188</v>
      </c>
      <c r="B32" s="75"/>
      <c r="C32" s="59" t="s">
        <v>176</v>
      </c>
      <c r="D32" s="60"/>
      <c r="E32" s="61" t="s">
        <v>177</v>
      </c>
      <c r="F32" s="60"/>
      <c r="H32" s="165" t="s">
        <v>189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190</v>
      </c>
      <c r="C34" s="62" t="s">
        <v>180</v>
      </c>
      <c r="D34">
        <v>-75.8</v>
      </c>
      <c r="E34" s="52" t="s">
        <v>180</v>
      </c>
      <c r="F34" s="63">
        <v>-470.89</v>
      </c>
      <c r="J34" s="62" t="s">
        <v>180</v>
      </c>
      <c r="K34">
        <v>419.83</v>
      </c>
      <c r="L34" s="52" t="s">
        <v>180</v>
      </c>
      <c r="M34" s="63">
        <v>69.89</v>
      </c>
    </row>
    <row r="35" spans="1:13" x14ac:dyDescent="0.35">
      <c r="C35" s="62" t="s">
        <v>181</v>
      </c>
      <c r="D35">
        <v>-39.119999999999997</v>
      </c>
      <c r="E35" s="52" t="s">
        <v>181</v>
      </c>
      <c r="F35" s="63">
        <v>-289.83999999999997</v>
      </c>
      <c r="J35" s="62" t="s">
        <v>181</v>
      </c>
      <c r="K35">
        <v>-256.56</v>
      </c>
      <c r="L35" s="52" t="s">
        <v>181</v>
      </c>
      <c r="M35" s="63">
        <v>-35.94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-117.2</v>
      </c>
      <c r="E39" s="52" t="s">
        <v>180</v>
      </c>
      <c r="F39" s="63">
        <v>-571.80999999999995</v>
      </c>
      <c r="H39" s="3"/>
      <c r="I39" s="3"/>
      <c r="J39" s="62" t="s">
        <v>180</v>
      </c>
      <c r="K39">
        <v>495.86</v>
      </c>
      <c r="L39" s="52" t="s">
        <v>180</v>
      </c>
      <c r="M39" s="63">
        <v>99.28</v>
      </c>
    </row>
    <row r="40" spans="1:13" x14ac:dyDescent="0.35">
      <c r="A40" s="3"/>
      <c r="B40" s="3"/>
      <c r="C40" s="71" t="s">
        <v>181</v>
      </c>
      <c r="D40" s="72">
        <v>-62.01</v>
      </c>
      <c r="E40" s="73" t="s">
        <v>181</v>
      </c>
      <c r="F40" s="74">
        <v>-350.18</v>
      </c>
      <c r="H40" s="3"/>
      <c r="I40" s="3"/>
      <c r="J40" s="71" t="s">
        <v>181</v>
      </c>
      <c r="K40" s="72">
        <v>-305.52999999999997</v>
      </c>
      <c r="L40" s="73" t="s">
        <v>181</v>
      </c>
      <c r="M40" s="74">
        <v>-51.97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tabSelected="1" zoomScale="73" zoomScaleNormal="25" workbookViewId="0">
      <selection activeCell="D21" sqref="D21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0" t="s">
        <v>191</v>
      </c>
      <c r="B1" s="172" t="s">
        <v>192</v>
      </c>
      <c r="C1" s="88" t="s">
        <v>193</v>
      </c>
      <c r="D1" s="5" t="s">
        <v>194</v>
      </c>
      <c r="E1" s="5" t="s">
        <v>195</v>
      </c>
      <c r="F1" s="5" t="s">
        <v>196</v>
      </c>
      <c r="G1" s="88" t="s">
        <v>189</v>
      </c>
      <c r="H1" s="88" t="s">
        <v>178</v>
      </c>
      <c r="I1" s="5" t="s">
        <v>197</v>
      </c>
      <c r="J1" s="5" t="s">
        <v>198</v>
      </c>
    </row>
    <row r="2" spans="1:10" ht="15" thickBot="1" x14ac:dyDescent="0.4">
      <c r="A2" s="171"/>
      <c r="B2" s="173"/>
      <c r="C2" s="89" t="s">
        <v>199</v>
      </c>
      <c r="D2" s="6" t="s">
        <v>199</v>
      </c>
      <c r="E2" s="6" t="s">
        <v>199</v>
      </c>
      <c r="F2" s="6" t="s">
        <v>199</v>
      </c>
      <c r="G2" s="89" t="s">
        <v>199</v>
      </c>
      <c r="H2" s="89" t="s">
        <v>199</v>
      </c>
      <c r="I2" s="6" t="s">
        <v>199</v>
      </c>
      <c r="J2" s="6" t="s">
        <v>199</v>
      </c>
    </row>
    <row r="3" spans="1:10" x14ac:dyDescent="0.35">
      <c r="A3" s="174" t="s">
        <v>200</v>
      </c>
      <c r="B3" s="14" t="s">
        <v>201</v>
      </c>
      <c r="C3" s="2">
        <f>-'Tire Load Cases'!D3</f>
        <v>0</v>
      </c>
      <c r="D3" s="2">
        <f>-'Tire Load Cases'!D13</f>
        <v>0</v>
      </c>
      <c r="E3" s="2">
        <f>-'Tire Load Cases'!D23</f>
        <v>453.39370000000002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202</v>
      </c>
      <c r="J3" s="81" t="s">
        <v>202</v>
      </c>
    </row>
    <row r="4" spans="1:10" x14ac:dyDescent="0.35">
      <c r="A4" s="175"/>
      <c r="B4" s="15" t="s">
        <v>203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-75.8</v>
      </c>
      <c r="G4" s="2">
        <f>'Tire Load Cases'!K34</f>
        <v>419.83</v>
      </c>
      <c r="H4" s="2">
        <f>'Tire Load Cases'!K4</f>
        <v>0</v>
      </c>
      <c r="I4" s="9" t="s">
        <v>202</v>
      </c>
      <c r="J4" s="82" t="s">
        <v>202</v>
      </c>
    </row>
    <row r="5" spans="1:10" x14ac:dyDescent="0.35">
      <c r="A5" s="175"/>
      <c r="B5" s="18" t="s">
        <v>204</v>
      </c>
      <c r="C5" s="11">
        <f>-'Tire Load Cases'!D5</f>
        <v>146.25</v>
      </c>
      <c r="D5" s="2">
        <f>-'Tire Load Cases'!D15</f>
        <v>97.150599999999997</v>
      </c>
      <c r="E5" s="2">
        <f>-'Tire Load Cases'!D25</f>
        <v>278.60289999999998</v>
      </c>
      <c r="F5" s="2">
        <f>-'Tire Load Cases'!D35</f>
        <v>39.119999999999997</v>
      </c>
      <c r="G5" s="2">
        <f>-'Tire Load Cases'!K35</f>
        <v>256.56</v>
      </c>
      <c r="H5" s="79">
        <f>-'Tire Load Cases'!K5</f>
        <v>731.25</v>
      </c>
      <c r="I5" s="9" t="s">
        <v>202</v>
      </c>
      <c r="J5" s="82" t="s">
        <v>202</v>
      </c>
    </row>
    <row r="6" spans="1:10" x14ac:dyDescent="0.35">
      <c r="A6" s="175"/>
      <c r="B6" s="16" t="s">
        <v>205</v>
      </c>
      <c r="C6" s="12">
        <v>-22.788136801499984</v>
      </c>
      <c r="D6" s="7">
        <v>-15.137648978788405</v>
      </c>
      <c r="E6" s="7">
        <v>194.12612252055962</v>
      </c>
      <c r="F6" s="7">
        <v>20.176877996422252</v>
      </c>
      <c r="G6" s="7">
        <v>-185.49004657475842</v>
      </c>
      <c r="H6" s="7">
        <v>-113.94068400749993</v>
      </c>
      <c r="I6" s="27">
        <f>IF(MIN(C6:H6)&lt;0, MIN(C6:H6), 0)</f>
        <v>-185.49004657475842</v>
      </c>
      <c r="J6" s="83">
        <f>IF(MAX(C6:H6)&gt;0, MAX(C6:H6), 0)</f>
        <v>194.12612252055962</v>
      </c>
    </row>
    <row r="7" spans="1:10" x14ac:dyDescent="0.35">
      <c r="A7" s="175"/>
      <c r="B7" s="16" t="s">
        <v>206</v>
      </c>
      <c r="C7" s="12">
        <v>54.098146266935544</v>
      </c>
      <c r="D7" s="7">
        <v>35.936187136550757</v>
      </c>
      <c r="E7" s="7">
        <v>788.43200556869874</v>
      </c>
      <c r="F7" s="7">
        <v>-37.092540037867209</v>
      </c>
      <c r="G7" s="7">
        <v>380.49221148366104</v>
      </c>
      <c r="H7" s="7">
        <v>270.49073133467772</v>
      </c>
      <c r="I7" s="27">
        <f t="shared" ref="I7:I11" si="0">IF(MIN(C7:H7)&lt;0, MIN(C7:H7), 0)</f>
        <v>-37.092540037867209</v>
      </c>
      <c r="J7" s="83">
        <f t="shared" ref="J7:J11" si="1">IF(MAX(C7:H7)&gt;0, MAX(C7:H7), 0)</f>
        <v>788.43200556869874</v>
      </c>
    </row>
    <row r="8" spans="1:10" x14ac:dyDescent="0.35">
      <c r="A8" s="175"/>
      <c r="B8" s="16" t="s">
        <v>207</v>
      </c>
      <c r="C8" s="12">
        <v>46.351128330659257</v>
      </c>
      <c r="D8" s="7">
        <v>30.79001660171313</v>
      </c>
      <c r="E8" s="7">
        <v>-888.01533725867</v>
      </c>
      <c r="F8" s="7">
        <v>-26.850258863419882</v>
      </c>
      <c r="G8" s="7">
        <v>298.6961458837647</v>
      </c>
      <c r="H8" s="7">
        <v>231.75564165329629</v>
      </c>
      <c r="I8" s="27">
        <f t="shared" si="0"/>
        <v>-888.01533725867</v>
      </c>
      <c r="J8" s="83">
        <f t="shared" si="1"/>
        <v>298.6961458837647</v>
      </c>
    </row>
    <row r="9" spans="1:10" x14ac:dyDescent="0.35">
      <c r="A9" s="175"/>
      <c r="B9" s="16" t="s">
        <v>208</v>
      </c>
      <c r="C9" s="12">
        <v>49.846145719185515</v>
      </c>
      <c r="D9" s="7">
        <v>33.111678388419172</v>
      </c>
      <c r="E9" s="7">
        <v>-247.51938813763212</v>
      </c>
      <c r="F9" s="7">
        <v>67.014970485408128</v>
      </c>
      <c r="G9" s="7">
        <v>-209.88182386400084</v>
      </c>
      <c r="H9" s="7">
        <v>249.23072859592759</v>
      </c>
      <c r="I9" s="27">
        <f t="shared" si="0"/>
        <v>-247.51938813763212</v>
      </c>
      <c r="J9" s="83">
        <f t="shared" si="1"/>
        <v>249.23072859592759</v>
      </c>
    </row>
    <row r="10" spans="1:10" x14ac:dyDescent="0.35">
      <c r="A10" s="175"/>
      <c r="B10" s="16" t="s">
        <v>209</v>
      </c>
      <c r="C10" s="12">
        <v>55.84362081920203</v>
      </c>
      <c r="D10" s="7">
        <v>37.095666794926281</v>
      </c>
      <c r="E10" s="7">
        <v>381.32221959580068</v>
      </c>
      <c r="F10" s="7">
        <v>66.704265838608706</v>
      </c>
      <c r="G10" s="7">
        <v>-188.75445558002127</v>
      </c>
      <c r="H10" s="7">
        <v>279.21810409601017</v>
      </c>
      <c r="I10" s="27">
        <f t="shared" si="0"/>
        <v>-188.75445558002127</v>
      </c>
      <c r="J10" s="83">
        <f t="shared" si="1"/>
        <v>381.32221959580068</v>
      </c>
    </row>
    <row r="11" spans="1:10" ht="15" thickBot="1" x14ac:dyDescent="0.4">
      <c r="A11" s="176"/>
      <c r="B11" s="17" t="s">
        <v>210</v>
      </c>
      <c r="C11" s="13">
        <v>-178.38484683093284</v>
      </c>
      <c r="D11" s="8">
        <v>-118.49705914894513</v>
      </c>
      <c r="E11" s="8">
        <v>-307.18727786373381</v>
      </c>
      <c r="F11" s="8">
        <v>9.7679879239617726</v>
      </c>
      <c r="G11" s="8">
        <v>-631.31481534206989</v>
      </c>
      <c r="H11" s="8">
        <v>-891.9242341546643</v>
      </c>
      <c r="I11" s="80">
        <f t="shared" si="0"/>
        <v>-891.9242341546643</v>
      </c>
      <c r="J11" s="84">
        <f t="shared" si="1"/>
        <v>9.7679879239617726</v>
      </c>
    </row>
    <row r="12" spans="1:10" x14ac:dyDescent="0.35">
      <c r="A12" s="177" t="s">
        <v>211</v>
      </c>
      <c r="B12" s="14" t="s">
        <v>201</v>
      </c>
      <c r="C12" s="2">
        <f>-'Tire Load Cases'!F3</f>
        <v>0</v>
      </c>
      <c r="D12" s="2">
        <f>-'Tire Load Cases'!F13</f>
        <v>0</v>
      </c>
      <c r="E12" s="2">
        <f>-'Tire Load Cases'!F23</f>
        <v>453.39370000000002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202</v>
      </c>
      <c r="J12" s="85" t="s">
        <v>202</v>
      </c>
    </row>
    <row r="13" spans="1:10" x14ac:dyDescent="0.35">
      <c r="A13" s="175"/>
      <c r="B13" s="15" t="s">
        <v>203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-470.89</v>
      </c>
      <c r="G13" s="2">
        <f>'Tire Load Cases'!M34</f>
        <v>69.89</v>
      </c>
      <c r="H13" s="79">
        <f>'Tire Load Cases'!M4</f>
        <v>0</v>
      </c>
      <c r="I13" s="9" t="s">
        <v>202</v>
      </c>
      <c r="J13" s="82" t="s">
        <v>202</v>
      </c>
    </row>
    <row r="14" spans="1:10" x14ac:dyDescent="0.35">
      <c r="A14" s="175"/>
      <c r="B14" s="15" t="s">
        <v>201</v>
      </c>
      <c r="C14" s="2">
        <f>-'Tire Load Cases'!F5</f>
        <v>146.25</v>
      </c>
      <c r="D14" s="2">
        <f>-'Tire Load Cases'!F15</f>
        <v>97.150599999999997</v>
      </c>
      <c r="E14" s="2">
        <f>-'Tire Load Cases'!F25</f>
        <v>278.60289999999998</v>
      </c>
      <c r="F14" s="2">
        <f>-'Tire Load Cases'!F35</f>
        <v>289.83999999999997</v>
      </c>
      <c r="G14" s="2">
        <f>-'Tire Load Cases'!M35</f>
        <v>35.94</v>
      </c>
      <c r="H14" s="79">
        <f>-'Tire Load Cases'!M5</f>
        <v>731.25</v>
      </c>
      <c r="I14" s="9" t="s">
        <v>202</v>
      </c>
      <c r="J14" s="82" t="s">
        <v>202</v>
      </c>
    </row>
    <row r="15" spans="1:10" x14ac:dyDescent="0.35">
      <c r="A15" s="175"/>
      <c r="B15" s="16" t="s">
        <v>205</v>
      </c>
      <c r="C15" s="12">
        <v>-22.788136801499984</v>
      </c>
      <c r="D15" s="7">
        <v>-15.137648978788405</v>
      </c>
      <c r="E15" s="7">
        <v>194.12612252055962</v>
      </c>
      <c r="F15" s="7">
        <v>-208.37309891502312</v>
      </c>
      <c r="G15" s="7">
        <v>18.623957568300636</v>
      </c>
      <c r="H15" s="7">
        <v>-113.94068400749993</v>
      </c>
      <c r="I15" s="27">
        <f t="shared" ref="I15:I20" si="2">IF(MIN(C15:H15)&lt;0, MIN(C15:H15), 0)</f>
        <v>-208.37309891502312</v>
      </c>
      <c r="J15" s="83">
        <f t="shared" ref="J15:J20" si="3">IF(MAX(C15:H15)&gt;0, MAX(C15:H15), 0)</f>
        <v>194.12612252055962</v>
      </c>
    </row>
    <row r="16" spans="1:10" x14ac:dyDescent="0.35">
      <c r="A16" s="175"/>
      <c r="B16" s="16" t="s">
        <v>206</v>
      </c>
      <c r="C16" s="12">
        <v>54.098146266935544</v>
      </c>
      <c r="D16" s="7">
        <v>35.936187136550757</v>
      </c>
      <c r="E16" s="7">
        <v>788.43200556869874</v>
      </c>
      <c r="F16" s="7">
        <v>427.53621165719574</v>
      </c>
      <c r="G16" s="7">
        <v>-34.248538694285472</v>
      </c>
      <c r="H16" s="7">
        <v>270.49073133467772</v>
      </c>
      <c r="I16" s="27">
        <f t="shared" si="2"/>
        <v>-34.248538694285472</v>
      </c>
      <c r="J16" s="83">
        <f t="shared" si="3"/>
        <v>788.43200556869874</v>
      </c>
    </row>
    <row r="17" spans="1:10" x14ac:dyDescent="0.35">
      <c r="A17" s="175"/>
      <c r="B17" s="16" t="s">
        <v>207</v>
      </c>
      <c r="C17" s="12">
        <v>46.351128330659257</v>
      </c>
      <c r="D17" s="7">
        <v>30.79001660171313</v>
      </c>
      <c r="E17" s="7">
        <v>-888.01533725867</v>
      </c>
      <c r="F17" s="7">
        <v>335.68203376654606</v>
      </c>
      <c r="G17" s="7">
        <v>-24.797951348621929</v>
      </c>
      <c r="H17" s="7">
        <v>231.75564165329629</v>
      </c>
      <c r="I17" s="27">
        <f t="shared" si="2"/>
        <v>-888.01533725867</v>
      </c>
      <c r="J17" s="83">
        <f t="shared" si="3"/>
        <v>335.68203376654606</v>
      </c>
    </row>
    <row r="18" spans="1:10" x14ac:dyDescent="0.35">
      <c r="A18" s="175"/>
      <c r="B18" s="16" t="s">
        <v>208</v>
      </c>
      <c r="C18" s="12">
        <v>49.846145719185515</v>
      </c>
      <c r="D18" s="7">
        <v>33.111678388419172</v>
      </c>
      <c r="E18" s="7">
        <v>-247.51938813763212</v>
      </c>
      <c r="F18" s="7">
        <v>-234.69988694993003</v>
      </c>
      <c r="G18" s="7">
        <v>61.745658315522682</v>
      </c>
      <c r="H18" s="7">
        <v>249.23072859592759</v>
      </c>
      <c r="I18" s="27">
        <f>IF(MIN(C18:H18)&lt;0, MIN(C18:H18), 0)</f>
        <v>-247.51938813763212</v>
      </c>
      <c r="J18" s="83">
        <f t="shared" si="3"/>
        <v>249.23072859592759</v>
      </c>
    </row>
    <row r="19" spans="1:10" x14ac:dyDescent="0.35">
      <c r="A19" s="175"/>
      <c r="B19" s="16" t="s">
        <v>209</v>
      </c>
      <c r="C19" s="12">
        <v>55.84362081920203</v>
      </c>
      <c r="D19" s="7">
        <v>37.095666794926281</v>
      </c>
      <c r="E19" s="7">
        <v>381.32221959580068</v>
      </c>
      <c r="F19" s="7">
        <v>-210.91781969299919</v>
      </c>
      <c r="G19" s="7">
        <v>61.453852681851664</v>
      </c>
      <c r="H19" s="7">
        <v>279.21810409601017</v>
      </c>
      <c r="I19" s="27">
        <f t="shared" si="2"/>
        <v>-210.91781969299919</v>
      </c>
      <c r="J19" s="83">
        <f t="shared" si="3"/>
        <v>381.32221959580068</v>
      </c>
    </row>
    <row r="20" spans="1:10" ht="15" thickBot="1" x14ac:dyDescent="0.4">
      <c r="A20" s="176"/>
      <c r="B20" s="17" t="s">
        <v>210</v>
      </c>
      <c r="C20" s="13">
        <v>-178.38484683093284</v>
      </c>
      <c r="D20" s="8">
        <v>-118.49705914894513</v>
      </c>
      <c r="E20" s="8">
        <v>-307.18727786373381</v>
      </c>
      <c r="F20" s="44">
        <v>-710.62911256108805</v>
      </c>
      <c r="G20" s="44">
        <v>9.164810410293672</v>
      </c>
      <c r="H20" s="8">
        <v>-891.9242341546643</v>
      </c>
      <c r="I20" s="80">
        <f t="shared" si="2"/>
        <v>-891.9242341546643</v>
      </c>
      <c r="J20" s="84">
        <f t="shared" si="3"/>
        <v>9.164810410293672</v>
      </c>
    </row>
    <row r="21" spans="1:10" x14ac:dyDescent="0.35">
      <c r="A21" s="167" t="s">
        <v>212</v>
      </c>
      <c r="B21" s="14" t="s">
        <v>201</v>
      </c>
      <c r="C21" s="91">
        <f>-'Tire Load Cases'!D8</f>
        <v>0</v>
      </c>
      <c r="D21" s="1">
        <f>-'Tire Load Cases'!D18</f>
        <v>-377.0566</v>
      </c>
      <c r="E21" s="1">
        <f>-'Tire Load Cases'!D28</f>
        <v>201.41890000000001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202</v>
      </c>
      <c r="J21" s="85" t="s">
        <v>202</v>
      </c>
    </row>
    <row r="22" spans="1:10" x14ac:dyDescent="0.35">
      <c r="A22" s="168"/>
      <c r="B22" s="15" t="s">
        <v>203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-117.2</v>
      </c>
      <c r="G22" s="2">
        <f>'Tire Load Cases'!K39</f>
        <v>495.86</v>
      </c>
      <c r="H22" s="2">
        <f>'Tire Load Cases'!K9</f>
        <v>0</v>
      </c>
      <c r="I22" s="9" t="s">
        <v>202</v>
      </c>
      <c r="J22" s="82" t="s">
        <v>202</v>
      </c>
    </row>
    <row r="23" spans="1:10" x14ac:dyDescent="0.35">
      <c r="A23" s="168"/>
      <c r="B23" s="15" t="s">
        <v>201</v>
      </c>
      <c r="C23" s="90">
        <f>-'Tire Load Cases'!D10</f>
        <v>178.75</v>
      </c>
      <c r="D23" s="79">
        <f>-'Tire Load Cases'!D20</f>
        <v>277.8494</v>
      </c>
      <c r="E23" s="79">
        <f>-'Tire Load Cases'!D30</f>
        <v>112.0312</v>
      </c>
      <c r="F23" s="79">
        <f>-'Tire Load Cases'!D40</f>
        <v>62.01</v>
      </c>
      <c r="G23" s="79">
        <f>-'Tire Load Cases'!K40</f>
        <v>305.52999999999997</v>
      </c>
      <c r="H23" s="79">
        <f>-'Tire Load Cases'!K10</f>
        <v>893.75</v>
      </c>
      <c r="I23" s="9" t="s">
        <v>202</v>
      </c>
      <c r="J23" s="82" t="s">
        <v>202</v>
      </c>
    </row>
    <row r="24" spans="1:10" x14ac:dyDescent="0.35">
      <c r="A24" s="168"/>
      <c r="B24" s="16" t="s">
        <v>213</v>
      </c>
      <c r="C24" s="12">
        <v>-4.2948000000000004</v>
      </c>
      <c r="D24" s="7">
        <v>161.67111400716325</v>
      </c>
      <c r="E24" s="7">
        <v>-80.547452384382751</v>
      </c>
      <c r="F24" s="7">
        <v>-64.290260098550291</v>
      </c>
      <c r="G24" s="7">
        <v>284.68418007815671</v>
      </c>
      <c r="H24" s="7">
        <v>19.954929617599859</v>
      </c>
      <c r="I24" s="27">
        <f t="shared" ref="I24:I29" si="4">IF(MIN(C24:H24)&lt;0, MIN(C24:H24), 0)</f>
        <v>-80.547452384382751</v>
      </c>
      <c r="J24" s="83">
        <f t="shared" ref="J24:J29" si="5">IF(MAX(C24:H24)&gt;0, MAX(C24:H24), 0)</f>
        <v>284.68418007815671</v>
      </c>
    </row>
    <row r="25" spans="1:10" x14ac:dyDescent="0.35">
      <c r="A25" s="168"/>
      <c r="B25" s="16" t="s">
        <v>206</v>
      </c>
      <c r="C25" s="12">
        <v>-0.3805</v>
      </c>
      <c r="D25" s="7">
        <v>-806.19256536358682</v>
      </c>
      <c r="E25" s="7">
        <v>430.0904290978927</v>
      </c>
      <c r="F25" s="7">
        <v>-17.394454950732889</v>
      </c>
      <c r="G25" s="7">
        <v>72.356591165614347</v>
      </c>
      <c r="H25" s="7">
        <v>-1.9474216736492256</v>
      </c>
      <c r="I25" s="27">
        <f t="shared" si="4"/>
        <v>-806.19256536358682</v>
      </c>
      <c r="J25" s="83">
        <f t="shared" si="5"/>
        <v>430.0904290978927</v>
      </c>
    </row>
    <row r="26" spans="1:10" x14ac:dyDescent="0.35">
      <c r="A26" s="168"/>
      <c r="B26" s="16" t="s">
        <v>207</v>
      </c>
      <c r="C26" s="12">
        <v>80.272900000000007</v>
      </c>
      <c r="D26" s="7">
        <v>715.96568107598227</v>
      </c>
      <c r="E26" s="7">
        <v>-266.55741049663993</v>
      </c>
      <c r="F26" s="7">
        <v>-15.699873981113939</v>
      </c>
      <c r="G26" s="7">
        <v>319.13437071880151</v>
      </c>
      <c r="H26" s="7">
        <v>397.71892643613455</v>
      </c>
      <c r="I26" s="27">
        <f t="shared" si="4"/>
        <v>-266.55741049663993</v>
      </c>
      <c r="J26" s="83">
        <f t="shared" si="5"/>
        <v>715.96568107598227</v>
      </c>
    </row>
    <row r="27" spans="1:10" x14ac:dyDescent="0.35">
      <c r="A27" s="168"/>
      <c r="B27" s="16" t="s">
        <v>208</v>
      </c>
      <c r="C27" s="12">
        <v>68.458500000000001</v>
      </c>
      <c r="D27" s="7">
        <v>401.60089089573518</v>
      </c>
      <c r="E27" s="7">
        <v>-116.21885388197305</v>
      </c>
      <c r="F27" s="7">
        <v>63.741960130827572</v>
      </c>
      <c r="G27" s="7">
        <v>-55.330289581229266</v>
      </c>
      <c r="H27" s="7">
        <v>337.35489790675479</v>
      </c>
      <c r="I27" s="27">
        <f t="shared" si="4"/>
        <v>-116.21885388197305</v>
      </c>
      <c r="J27" s="83">
        <f t="shared" si="5"/>
        <v>401.60089089573518</v>
      </c>
    </row>
    <row r="28" spans="1:10" x14ac:dyDescent="0.35">
      <c r="A28" s="168"/>
      <c r="B28" s="16" t="s">
        <v>209</v>
      </c>
      <c r="C28" s="12">
        <v>115.1832</v>
      </c>
      <c r="D28" s="7">
        <v>-277.93164993881072</v>
      </c>
      <c r="E28" s="7">
        <v>257.40989087353489</v>
      </c>
      <c r="F28" s="7">
        <v>169.82236567553414</v>
      </c>
      <c r="G28" s="7">
        <v>-480.96505868482478</v>
      </c>
      <c r="H28" s="7">
        <v>373.83512651796269</v>
      </c>
      <c r="I28" s="27">
        <f t="shared" si="4"/>
        <v>-480.96505868482478</v>
      </c>
      <c r="J28" s="83">
        <f t="shared" si="5"/>
        <v>373.83512651796269</v>
      </c>
    </row>
    <row r="29" spans="1:10" ht="15" thickBot="1" x14ac:dyDescent="0.4">
      <c r="A29" s="169"/>
      <c r="B29" s="17" t="s">
        <v>210</v>
      </c>
      <c r="C29" s="43">
        <v>-255.79050000000001</v>
      </c>
      <c r="D29" s="44">
        <v>-298.77569764538202</v>
      </c>
      <c r="E29" s="44">
        <v>-183.25873103156002</v>
      </c>
      <c r="F29" s="44">
        <v>4.4974597648350922</v>
      </c>
      <c r="G29" s="44">
        <v>-766.59115064714854</v>
      </c>
      <c r="H29" s="7">
        <v>-1176.5262504666061</v>
      </c>
      <c r="I29" s="27">
        <f t="shared" si="4"/>
        <v>-1176.5262504666061</v>
      </c>
      <c r="J29" s="83">
        <f t="shared" si="5"/>
        <v>4.4974597648350922</v>
      </c>
    </row>
    <row r="30" spans="1:10" x14ac:dyDescent="0.35">
      <c r="A30" s="167" t="s">
        <v>214</v>
      </c>
      <c r="B30" s="14" t="s">
        <v>201</v>
      </c>
      <c r="C30" s="91">
        <f>-'Tire Load Cases'!F8</f>
        <v>0</v>
      </c>
      <c r="D30" s="1">
        <f>-'Tire Load Cases'!F18</f>
        <v>-377.0566</v>
      </c>
      <c r="E30" s="1">
        <f>-'Tire Load Cases'!F28</f>
        <v>201.41890000000001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8"/>
      <c r="B31" s="15" t="s">
        <v>203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-571.80999999999995</v>
      </c>
      <c r="G31" s="2">
        <f>'Tire Load Cases'!M39</f>
        <v>99.28</v>
      </c>
      <c r="H31" s="2">
        <f>'Tire Load Cases'!M9</f>
        <v>0</v>
      </c>
      <c r="I31" s="2"/>
      <c r="J31" s="87"/>
    </row>
    <row r="32" spans="1:10" x14ac:dyDescent="0.35">
      <c r="A32" s="168"/>
      <c r="B32" s="15" t="s">
        <v>201</v>
      </c>
      <c r="C32" s="90">
        <f>-'Tire Load Cases'!F10</f>
        <v>178.75</v>
      </c>
      <c r="D32" s="79">
        <f>-'Tire Load Cases'!F20</f>
        <v>277.8494</v>
      </c>
      <c r="E32" s="79">
        <f>-'Tire Load Cases'!F30</f>
        <v>112.0312</v>
      </c>
      <c r="F32" s="79">
        <f>-'Tire Load Cases'!F40</f>
        <v>350.18</v>
      </c>
      <c r="G32" s="79">
        <f>-'Tire Load Cases'!M40</f>
        <v>51.97</v>
      </c>
      <c r="H32" s="79">
        <f>-'Tire Load Cases'!M10</f>
        <v>893.75</v>
      </c>
      <c r="I32" s="2"/>
      <c r="J32" s="87"/>
    </row>
    <row r="33" spans="1:10" x14ac:dyDescent="0.35">
      <c r="A33" s="168"/>
      <c r="B33" s="16" t="s">
        <v>213</v>
      </c>
      <c r="C33" s="12">
        <v>-4.2948000000000004</v>
      </c>
      <c r="D33" s="7">
        <v>161.67111400716325</v>
      </c>
      <c r="E33" s="7">
        <v>-80.547452384382751</v>
      </c>
      <c r="F33" s="7">
        <v>328.24080546426649</v>
      </c>
      <c r="G33" s="7">
        <v>-54.472685641477497</v>
      </c>
      <c r="H33" s="7">
        <v>19.954929617599859</v>
      </c>
      <c r="I33" s="27">
        <f t="shared" ref="I33:I38" si="6">IF(MIN(C33:H33)&lt;0, MIN(C33:H33), 0)</f>
        <v>-80.547452384382751</v>
      </c>
      <c r="J33" s="83">
        <f t="shared" ref="J33:J38" si="7">IF(MAX(C33:H33)&gt;0, MAX(C33:H33), 0)</f>
        <v>328.24080546426649</v>
      </c>
    </row>
    <row r="34" spans="1:10" x14ac:dyDescent="0.35">
      <c r="A34" s="168"/>
      <c r="B34" s="16" t="s">
        <v>206</v>
      </c>
      <c r="C34" s="12">
        <v>-0.3805</v>
      </c>
      <c r="D34" s="7">
        <v>-806.19256536358682</v>
      </c>
      <c r="E34" s="7">
        <v>430.0904290978927</v>
      </c>
      <c r="F34" s="7">
        <v>83.444001616148611</v>
      </c>
      <c r="G34" s="7">
        <v>-14.733607810218739</v>
      </c>
      <c r="H34" s="7">
        <v>-1.9474216736492256</v>
      </c>
      <c r="I34" s="27">
        <f t="shared" si="6"/>
        <v>-806.19256536358682</v>
      </c>
      <c r="J34" s="83">
        <f t="shared" si="7"/>
        <v>430.0904290978927</v>
      </c>
    </row>
    <row r="35" spans="1:10" x14ac:dyDescent="0.35">
      <c r="A35" s="168"/>
      <c r="B35" s="16" t="s">
        <v>207</v>
      </c>
      <c r="C35" s="12">
        <v>80.272900000000007</v>
      </c>
      <c r="D35" s="7">
        <v>715.96568107598227</v>
      </c>
      <c r="E35" s="7">
        <v>-266.55741049663993</v>
      </c>
      <c r="F35" s="7">
        <v>367.05998479006939</v>
      </c>
      <c r="G35" s="7">
        <v>-13.54792762601754</v>
      </c>
      <c r="H35" s="7">
        <v>397.71892643613455</v>
      </c>
      <c r="I35" s="27">
        <f t="shared" si="6"/>
        <v>-266.55741049663993</v>
      </c>
      <c r="J35" s="83">
        <f t="shared" si="7"/>
        <v>715.96568107598227</v>
      </c>
    </row>
    <row r="36" spans="1:10" x14ac:dyDescent="0.35">
      <c r="A36" s="168"/>
      <c r="B36" s="16" t="s">
        <v>208</v>
      </c>
      <c r="C36" s="12">
        <v>68.458500000000001</v>
      </c>
      <c r="D36" s="7">
        <v>401.60089089573518</v>
      </c>
      <c r="E36" s="7">
        <v>-116.21885388197305</v>
      </c>
      <c r="F36" s="7">
        <v>-64.615723979157082</v>
      </c>
      <c r="G36" s="7">
        <v>53.784897157530722</v>
      </c>
      <c r="H36" s="7">
        <v>337.35489790675479</v>
      </c>
      <c r="I36" s="27">
        <f t="shared" si="6"/>
        <v>-116.21885388197305</v>
      </c>
      <c r="J36" s="83">
        <f t="shared" si="7"/>
        <v>401.60089089573518</v>
      </c>
    </row>
    <row r="37" spans="1:10" x14ac:dyDescent="0.35">
      <c r="A37" s="168"/>
      <c r="B37" s="16" t="s">
        <v>209</v>
      </c>
      <c r="C37" s="12">
        <v>115.1832</v>
      </c>
      <c r="D37" s="7">
        <v>-277.93164993881072</v>
      </c>
      <c r="E37" s="7">
        <v>257.40989087353489</v>
      </c>
      <c r="F37" s="7">
        <v>-555.53187274854497</v>
      </c>
      <c r="G37" s="7">
        <v>143.6226993752374</v>
      </c>
      <c r="H37" s="7">
        <v>373.83512651796269</v>
      </c>
      <c r="I37" s="27">
        <f t="shared" si="6"/>
        <v>-555.53187274854497</v>
      </c>
      <c r="J37" s="83">
        <f t="shared" si="7"/>
        <v>373.83512651796269</v>
      </c>
    </row>
    <row r="38" spans="1:10" ht="15" thickBot="1" x14ac:dyDescent="0.4">
      <c r="A38" s="169"/>
      <c r="B38" s="17" t="s">
        <v>210</v>
      </c>
      <c r="C38" s="45">
        <v>-255.79050000000001</v>
      </c>
      <c r="D38" s="8">
        <v>-298.77569764538202</v>
      </c>
      <c r="E38" s="8">
        <v>-183.25873103156002</v>
      </c>
      <c r="F38" s="8">
        <v>-881.18162149341549</v>
      </c>
      <c r="G38" s="8">
        <v>4.5451405800616982</v>
      </c>
      <c r="H38" s="8">
        <v>-1176.5262504666061</v>
      </c>
      <c r="I38" s="80">
        <f t="shared" si="6"/>
        <v>-1176.5262504666061</v>
      </c>
      <c r="J38" s="84">
        <f t="shared" si="7"/>
        <v>4.5451405800616982</v>
      </c>
    </row>
    <row r="39" spans="1:10" x14ac:dyDescent="0.35">
      <c r="A39" t="s">
        <v>215</v>
      </c>
    </row>
    <row r="41" spans="1:10" x14ac:dyDescent="0.35">
      <c r="A41" s="46" t="s">
        <v>119</v>
      </c>
    </row>
    <row r="42" spans="1:10" x14ac:dyDescent="0.35">
      <c r="A42" t="s">
        <v>216</v>
      </c>
    </row>
    <row r="57" spans="1:1" x14ac:dyDescent="0.35">
      <c r="A57" t="s">
        <v>217</v>
      </c>
    </row>
    <row r="75" spans="1:1" x14ac:dyDescent="0.35">
      <c r="A75" s="46" t="s">
        <v>120</v>
      </c>
    </row>
    <row r="76" spans="1:1" x14ac:dyDescent="0.35">
      <c r="A76" t="s">
        <v>216</v>
      </c>
    </row>
    <row r="91" spans="1:1" x14ac:dyDescent="0.35">
      <c r="A91" t="s">
        <v>217</v>
      </c>
    </row>
    <row r="107" spans="1:1" x14ac:dyDescent="0.35">
      <c r="A107" s="46" t="s">
        <v>121</v>
      </c>
    </row>
    <row r="108" spans="1:1" x14ac:dyDescent="0.35">
      <c r="A108" t="s">
        <v>216</v>
      </c>
    </row>
    <row r="121" spans="1:1" x14ac:dyDescent="0.35">
      <c r="A121" t="s">
        <v>217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topLeftCell="G1" workbookViewId="0">
      <selection activeCell="Q3" sqref="Q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191</v>
      </c>
      <c r="B1" s="5" t="s">
        <v>192</v>
      </c>
      <c r="C1" s="5" t="s">
        <v>218</v>
      </c>
      <c r="D1" s="5" t="s">
        <v>219</v>
      </c>
      <c r="E1" s="5" t="s">
        <v>220</v>
      </c>
      <c r="F1" s="5" t="s">
        <v>221</v>
      </c>
      <c r="G1" s="5" t="s">
        <v>222</v>
      </c>
      <c r="H1" s="5" t="s">
        <v>223</v>
      </c>
      <c r="I1" s="5" t="s">
        <v>224</v>
      </c>
      <c r="J1" s="5" t="s">
        <v>225</v>
      </c>
      <c r="K1" s="5" t="s">
        <v>226</v>
      </c>
      <c r="L1" s="5" t="s">
        <v>227</v>
      </c>
      <c r="M1" s="160" t="s">
        <v>228</v>
      </c>
      <c r="N1" s="5" t="s">
        <v>229</v>
      </c>
      <c r="O1" s="5" t="s">
        <v>230</v>
      </c>
      <c r="P1" s="5" t="s">
        <v>231</v>
      </c>
      <c r="Q1" s="5" t="s">
        <v>232</v>
      </c>
      <c r="R1" s="5" t="s">
        <v>233</v>
      </c>
      <c r="S1" s="5" t="s">
        <v>234</v>
      </c>
      <c r="T1" s="5" t="s">
        <v>235</v>
      </c>
      <c r="U1" s="28" t="s">
        <v>236</v>
      </c>
    </row>
    <row r="2" spans="1:25" ht="15" thickBot="1" x14ac:dyDescent="0.4">
      <c r="A2" s="181" t="s">
        <v>216</v>
      </c>
      <c r="B2" s="23" t="s">
        <v>205</v>
      </c>
      <c r="C2" s="19">
        <f>MAX(ABS('Geo Forces'!I6),ABS('Geo Forces'!I15))</f>
        <v>208.37309891502312</v>
      </c>
      <c r="D2" s="19">
        <f>MAX(ABS('Geo Forces'!J6),ABS('Geo Forces'!J15))</f>
        <v>194.12612252055962</v>
      </c>
      <c r="E2" s="19">
        <v>10.1089</v>
      </c>
      <c r="F2" s="29">
        <v>0.375</v>
      </c>
      <c r="G2" s="29">
        <v>0.16600000000000001</v>
      </c>
      <c r="H2" s="7">
        <f>PI()*((F2/2)^2-(F2/2-G2)^2)</f>
        <v>0.10899441552364429</v>
      </c>
      <c r="I2" s="7">
        <f>H2*E2</f>
        <v>1.1018136470869677</v>
      </c>
      <c r="J2" s="31">
        <f t="shared" ref="J2:J13" si="0">I2*$W$4</f>
        <v>0.31247435031386406</v>
      </c>
      <c r="K2" s="30">
        <f>PI()*(F2^4-(F2-(2*G2))^4)/64</f>
        <v>9.7055439733223091E-4</v>
      </c>
      <c r="L2" s="42">
        <f t="shared" ref="L2:L13" si="1">0.282*SQRT($W$6*1000*H2/C2)</f>
        <v>35.168014133155246</v>
      </c>
      <c r="M2" s="26">
        <f t="shared" ref="M2:M13" si="2">SQRT(2*PI()^2*U2*$W$6*1000/C2)</f>
        <v>1678.2686577927568</v>
      </c>
      <c r="N2" s="30">
        <f>E2/SQRT(K2/H2)</f>
        <v>107.12629452561642</v>
      </c>
      <c r="O2" s="30">
        <f t="shared" ref="O2:O13" si="3">H2*($W$5-($W$5*E2/(2*PI()*SQRT(K2/H2))^2/(U2*$W$6*1000)))</f>
        <v>7271.8125165488664</v>
      </c>
      <c r="P2" s="30">
        <f>U2*PI()^2*$W$6*1000*K2/E2^2</f>
        <v>2787.0624739473824</v>
      </c>
      <c r="Q2" s="26">
        <f>H2*$W$5</f>
        <v>7271.8195494861493</v>
      </c>
      <c r="R2" s="146">
        <f>MIN(ABS(P2/C2),ABS(Q2/C2),ABS(Q2/D2))</f>
        <v>13.375346858396426</v>
      </c>
      <c r="S2" s="26">
        <f>$W$7/(MAX(C3:D3)/H3)</f>
        <v>7.3283870465405716</v>
      </c>
      <c r="T2" s="21" t="s">
        <v>237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206</v>
      </c>
      <c r="C3" s="20">
        <f>MAX(ABS('Geo Forces'!I7),ABS('Geo Forces'!I16))</f>
        <v>37.092540037867209</v>
      </c>
      <c r="D3" s="20">
        <f>MAX(ABS('Geo Forces'!J7),ABS('Geo Forces'!J16))</f>
        <v>788.43200556869874</v>
      </c>
      <c r="E3" s="20">
        <v>11.1532</v>
      </c>
      <c r="F3" s="29">
        <v>0.375</v>
      </c>
      <c r="G3" s="29">
        <v>0.16600000000000001</v>
      </c>
      <c r="H3" s="7">
        <f t="shared" ref="H3:H13" si="4">PI()*((F3/2)^2-(F3/2-G3)^2)</f>
        <v>0.10899441552364429</v>
      </c>
      <c r="I3" s="7">
        <f t="shared" ref="I3:I13" si="5">H3*E3</f>
        <v>1.2156365152183095</v>
      </c>
      <c r="J3" s="31">
        <f t="shared" si="0"/>
        <v>0.34475451571591259</v>
      </c>
      <c r="K3" s="30">
        <f t="shared" ref="K3:K13" si="6">PI()*(F3^4-(F3-(2*G3))^4)/64</f>
        <v>9.7055439733223091E-4</v>
      </c>
      <c r="L3" s="42">
        <f t="shared" si="1"/>
        <v>83.3537961453967</v>
      </c>
      <c r="M3" s="26">
        <f t="shared" si="2"/>
        <v>5625.4079177008471</v>
      </c>
      <c r="N3" s="30">
        <f t="shared" ref="N3:N13" si="7">E3/SQRT(K3/H3)</f>
        <v>118.19297728764801</v>
      </c>
      <c r="O3" s="30">
        <f t="shared" si="3"/>
        <v>7271.8156697486838</v>
      </c>
      <c r="P3" s="30">
        <f>U3*PI()^2*$W$6*1000*K3/E3^2</f>
        <v>4579.1568551192831</v>
      </c>
      <c r="Q3" s="26">
        <f t="shared" ref="Q3:Q13" si="8">H3*$W$5</f>
        <v>7271.8195494861493</v>
      </c>
      <c r="R3" s="146">
        <f t="shared" ref="R3:R13" si="9">MIN(ABS(P3/C3),ABS(Q3/C3),ABS(Q3/D3))</f>
        <v>9.2231409913920999</v>
      </c>
      <c r="S3" s="26">
        <f t="shared" ref="S3:S12" si="10">$W$7/(MAX(C4:D4)/H4)</f>
        <v>6.5065710627524904</v>
      </c>
      <c r="T3" s="19" t="s">
        <v>238</v>
      </c>
      <c r="U3" s="32">
        <v>2</v>
      </c>
      <c r="V3" s="178" t="s">
        <v>239</v>
      </c>
      <c r="W3" s="179"/>
      <c r="X3" s="180"/>
    </row>
    <row r="4" spans="1:25" ht="15" thickBot="1" x14ac:dyDescent="0.4">
      <c r="A4" s="182"/>
      <c r="B4" s="24" t="s">
        <v>207</v>
      </c>
      <c r="C4" s="20">
        <f>MAX(ABS('Geo Forces'!I8),ABS('Geo Forces'!I17))</f>
        <v>888.01533725867</v>
      </c>
      <c r="D4" s="20">
        <f>MAX(ABS('Geo Forces'!J8),ABS('Geo Forces'!J17))</f>
        <v>335.68203376654606</v>
      </c>
      <c r="E4" s="20">
        <v>11.0952</v>
      </c>
      <c r="F4" s="29">
        <v>0.375</v>
      </c>
      <c r="G4" s="29">
        <v>0.16600000000000001</v>
      </c>
      <c r="H4" s="7">
        <f t="shared" si="4"/>
        <v>0.10899441552364429</v>
      </c>
      <c r="I4" s="7">
        <f t="shared" si="5"/>
        <v>1.2093148391179382</v>
      </c>
      <c r="J4" s="31">
        <f t="shared" si="0"/>
        <v>0.34296168837384733</v>
      </c>
      <c r="K4" s="30">
        <f t="shared" si="6"/>
        <v>9.7055439733223091E-4</v>
      </c>
      <c r="L4" s="42">
        <f t="shared" si="1"/>
        <v>17.035639344769191</v>
      </c>
      <c r="M4" s="26">
        <f t="shared" si="2"/>
        <v>1149.7067306448421</v>
      </c>
      <c r="N4" s="30">
        <f t="shared" si="7"/>
        <v>117.578338199074</v>
      </c>
      <c r="O4" s="30">
        <f>H4*($W$5-($W$5*E4/(2*PI()*SQRT(K4/H4))^2/(U4*$W$6*1000)))</f>
        <v>7271.8156899244887</v>
      </c>
      <c r="P4" s="30">
        <f>U4*PI()^2*$W$6*1000*K4/E4^2</f>
        <v>4627.1569424430272</v>
      </c>
      <c r="Q4" s="26">
        <f t="shared" si="8"/>
        <v>7271.8195494861493</v>
      </c>
      <c r="R4" s="146">
        <f t="shared" si="9"/>
        <v>5.2106723254659091</v>
      </c>
      <c r="S4" s="26">
        <f t="shared" si="10"/>
        <v>23.18307589613196</v>
      </c>
      <c r="T4" s="19" t="s">
        <v>238</v>
      </c>
      <c r="U4" s="32">
        <v>2</v>
      </c>
      <c r="V4" s="33" t="s">
        <v>240</v>
      </c>
      <c r="W4" s="34">
        <v>0.28360000000000002</v>
      </c>
      <c r="X4" s="35" t="s">
        <v>241</v>
      </c>
    </row>
    <row r="5" spans="1:25" ht="15" thickBot="1" x14ac:dyDescent="0.4">
      <c r="A5" s="182"/>
      <c r="B5" s="24" t="s">
        <v>208</v>
      </c>
      <c r="C5" s="20">
        <f>MAX(ABS('Geo Forces'!I9),ABS('Geo Forces'!I18))</f>
        <v>247.51938813763212</v>
      </c>
      <c r="D5" s="20">
        <f>MAX(ABS('Geo Forces'!J9),ABS('Geo Forces'!J18))</f>
        <v>249.23072859592759</v>
      </c>
      <c r="E5" s="20">
        <v>9.9745000000000008</v>
      </c>
      <c r="F5" s="29">
        <v>0.375</v>
      </c>
      <c r="G5" s="29">
        <v>0.16600000000000001</v>
      </c>
      <c r="H5" s="7">
        <f t="shared" si="4"/>
        <v>0.10899441552364429</v>
      </c>
      <c r="I5" s="7">
        <f t="shared" si="5"/>
        <v>1.08716479764059</v>
      </c>
      <c r="J5" s="31">
        <f t="shared" si="0"/>
        <v>0.30831993661087137</v>
      </c>
      <c r="K5" s="30">
        <f t="shared" si="6"/>
        <v>9.7055439733223091E-4</v>
      </c>
      <c r="L5" s="42">
        <f t="shared" si="1"/>
        <v>32.267406416876582</v>
      </c>
      <c r="M5" s="26">
        <f t="shared" si="2"/>
        <v>2177.6731466979882</v>
      </c>
      <c r="N5" s="30">
        <f t="shared" si="7"/>
        <v>105.70202739623113</v>
      </c>
      <c r="O5" s="30">
        <f t="shared" si="3"/>
        <v>7271.8160797697137</v>
      </c>
      <c r="P5" s="30">
        <f t="shared" ref="P5:P13" si="11">U5*PI()^2*$W$6*1000*K5/E5^2</f>
        <v>5725.3525051145652</v>
      </c>
      <c r="Q5" s="26">
        <f t="shared" si="8"/>
        <v>7271.8195494861493</v>
      </c>
      <c r="R5" s="146">
        <f t="shared" si="9"/>
        <v>23.130925412319648</v>
      </c>
      <c r="S5" s="26">
        <f t="shared" si="10"/>
        <v>15.152368783576874</v>
      </c>
      <c r="T5" s="19" t="s">
        <v>238</v>
      </c>
      <c r="U5" s="32">
        <v>2</v>
      </c>
      <c r="V5" s="33" t="s">
        <v>242</v>
      </c>
      <c r="W5" s="34">
        <v>66717.358999999997</v>
      </c>
      <c r="X5" s="35" t="s">
        <v>243</v>
      </c>
    </row>
    <row r="6" spans="1:25" ht="15" thickBot="1" x14ac:dyDescent="0.4">
      <c r="A6" s="182"/>
      <c r="B6" s="24" t="s">
        <v>209</v>
      </c>
      <c r="C6" s="20">
        <f>MAX(ABS('Geo Forces'!I10),ABS('Geo Forces'!I19))</f>
        <v>210.91781969299919</v>
      </c>
      <c r="D6" s="20">
        <f>MAX(ABS('Geo Forces'!J10),ABS('Geo Forces'!J19))</f>
        <v>381.32221959580068</v>
      </c>
      <c r="E6" s="20">
        <v>10.076599999999999</v>
      </c>
      <c r="F6" s="29">
        <v>0.375</v>
      </c>
      <c r="G6" s="29">
        <v>0.16600000000000001</v>
      </c>
      <c r="H6" s="7">
        <f t="shared" si="4"/>
        <v>0.10899441552364429</v>
      </c>
      <c r="I6" s="7">
        <f t="shared" si="5"/>
        <v>1.0982931274655541</v>
      </c>
      <c r="J6" s="31">
        <f t="shared" si="0"/>
        <v>0.31147593094923115</v>
      </c>
      <c r="K6" s="30">
        <f t="shared" si="6"/>
        <v>9.7055439733223091E-4</v>
      </c>
      <c r="L6" s="42">
        <f t="shared" si="1"/>
        <v>34.95521952561063</v>
      </c>
      <c r="M6" s="26">
        <f t="shared" si="2"/>
        <v>2359.0691459491591</v>
      </c>
      <c r="N6" s="30">
        <f t="shared" si="7"/>
        <v>106.78400413663466</v>
      </c>
      <c r="O6" s="30">
        <f t="shared" si="3"/>
        <v>7271.8160442533435</v>
      </c>
      <c r="P6" s="30">
        <f t="shared" si="11"/>
        <v>5609.9173375659057</v>
      </c>
      <c r="Q6" s="26">
        <f t="shared" si="8"/>
        <v>7271.8195494861493</v>
      </c>
      <c r="R6" s="146">
        <f t="shared" si="9"/>
        <v>19.070012644933819</v>
      </c>
      <c r="S6" s="26">
        <f t="shared" si="10"/>
        <v>6.4780557310047611</v>
      </c>
      <c r="T6" s="19" t="s">
        <v>238</v>
      </c>
      <c r="U6" s="32">
        <v>2</v>
      </c>
      <c r="V6" s="33" t="s">
        <v>244</v>
      </c>
      <c r="W6" s="34">
        <v>29732.736199999999</v>
      </c>
      <c r="X6" s="35" t="s">
        <v>245</v>
      </c>
    </row>
    <row r="7" spans="1:25" ht="15" thickBot="1" x14ac:dyDescent="0.4">
      <c r="A7" s="183"/>
      <c r="B7" s="93" t="s">
        <v>210</v>
      </c>
      <c r="C7" s="21">
        <f>MAX(ABS('Geo Forces'!I11),ABS('Geo Forces'!I20))</f>
        <v>891.9242341546643</v>
      </c>
      <c r="D7" s="21">
        <f>MAX(ABS('Geo Forces'!J11),ABS('Geo Forces'!J20))</f>
        <v>9.7679879239617726</v>
      </c>
      <c r="E7" s="21">
        <v>13.303800000000001</v>
      </c>
      <c r="F7" s="29">
        <v>0.375</v>
      </c>
      <c r="G7" s="29">
        <v>0.16600000000000001</v>
      </c>
      <c r="H7" s="8">
        <f t="shared" si="4"/>
        <v>0.10899441552364429</v>
      </c>
      <c r="I7" s="8">
        <f t="shared" si="5"/>
        <v>1.4500399052434589</v>
      </c>
      <c r="J7" s="94">
        <f t="shared" si="0"/>
        <v>0.41123131712704497</v>
      </c>
      <c r="K7" s="95">
        <f t="shared" si="6"/>
        <v>9.7055439733223091E-4</v>
      </c>
      <c r="L7" s="96">
        <f t="shared" si="1"/>
        <v>16.998268638535301</v>
      </c>
      <c r="M7" s="97">
        <f t="shared" si="2"/>
        <v>811.18204129417722</v>
      </c>
      <c r="N7" s="95">
        <f t="shared" si="7"/>
        <v>140.9833708029455</v>
      </c>
      <c r="O7" s="95">
        <f t="shared" si="3"/>
        <v>7271.8102938014517</v>
      </c>
      <c r="P7" s="95">
        <f t="shared" si="11"/>
        <v>1609.1743074604681</v>
      </c>
      <c r="Q7" s="145">
        <f t="shared" si="8"/>
        <v>7271.8195494861493</v>
      </c>
      <c r="R7" s="145">
        <f t="shared" si="9"/>
        <v>1.8041603152375261</v>
      </c>
      <c r="S7" s="97">
        <f t="shared" si="10"/>
        <v>17.602731898355223</v>
      </c>
      <c r="T7" s="21" t="s">
        <v>237</v>
      </c>
      <c r="U7" s="98">
        <v>1</v>
      </c>
      <c r="V7" s="36" t="s">
        <v>234</v>
      </c>
      <c r="W7" s="37">
        <v>53011.292999999998</v>
      </c>
      <c r="X7" s="38" t="s">
        <v>243</v>
      </c>
      <c r="Y7" s="102" t="s">
        <v>246</v>
      </c>
    </row>
    <row r="8" spans="1:25" ht="15" thickBot="1" x14ac:dyDescent="0.4">
      <c r="A8" s="181" t="s">
        <v>217</v>
      </c>
      <c r="B8" s="25" t="s">
        <v>213</v>
      </c>
      <c r="C8" s="22">
        <f>MAX(ABS('Geo Forces'!I24),ABS('Geo Forces'!I33))</f>
        <v>80.547452384382751</v>
      </c>
      <c r="D8" s="22">
        <f>MAX(ABS('Geo Forces'!J24),ABS('Geo Forces'!J33))</f>
        <v>328.24080546426649</v>
      </c>
      <c r="E8" s="22">
        <v>9.6038999999999994</v>
      </c>
      <c r="F8" s="29">
        <v>0.375</v>
      </c>
      <c r="G8" s="29">
        <v>0.16600000000000001</v>
      </c>
      <c r="H8" s="39">
        <f t="shared" si="4"/>
        <v>0.10899441552364429</v>
      </c>
      <c r="I8" s="39">
        <f t="shared" si="5"/>
        <v>1.0467714672475275</v>
      </c>
      <c r="J8" s="99">
        <f t="shared" si="0"/>
        <v>0.29686438811139881</v>
      </c>
      <c r="K8" s="39">
        <f t="shared" si="6"/>
        <v>9.7055439733223091E-4</v>
      </c>
      <c r="L8" s="100">
        <f t="shared" si="1"/>
        <v>56.564345482082494</v>
      </c>
      <c r="M8" s="26">
        <f t="shared" si="2"/>
        <v>2699.3326325367725</v>
      </c>
      <c r="N8" s="39">
        <f t="shared" si="7"/>
        <v>101.77469556475654</v>
      </c>
      <c r="O8" s="39">
        <f t="shared" si="3"/>
        <v>7271.8128678861358</v>
      </c>
      <c r="P8" s="39">
        <f t="shared" si="11"/>
        <v>3087.8716907923435</v>
      </c>
      <c r="Q8" s="26">
        <f t="shared" si="8"/>
        <v>7271.8195494861493</v>
      </c>
      <c r="R8" s="146">
        <f t="shared" si="9"/>
        <v>22.153916967151076</v>
      </c>
      <c r="S8" s="26">
        <f t="shared" si="10"/>
        <v>7.1669414292872453</v>
      </c>
      <c r="T8" s="21" t="s">
        <v>237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206</v>
      </c>
      <c r="C9" s="22">
        <f>MAX(ABS('Geo Forces'!I25),ABS('Geo Forces'!I34))</f>
        <v>806.19256536358682</v>
      </c>
      <c r="D9" s="22">
        <f>MAX(ABS('Geo Forces'!J25),ABS('Geo Forces'!J34))</f>
        <v>430.0904290978927</v>
      </c>
      <c r="E9" s="20">
        <v>12.9062</v>
      </c>
      <c r="F9" s="29">
        <v>0.375</v>
      </c>
      <c r="G9" s="29">
        <v>0.16600000000000001</v>
      </c>
      <c r="H9" s="7">
        <f t="shared" si="4"/>
        <v>0.10899441552364429</v>
      </c>
      <c r="I9" s="7">
        <f t="shared" si="5"/>
        <v>1.406703725631258</v>
      </c>
      <c r="J9" s="31">
        <f t="shared" si="0"/>
        <v>0.39894117658902478</v>
      </c>
      <c r="K9" s="30">
        <f t="shared" si="6"/>
        <v>9.7055439733223091E-4</v>
      </c>
      <c r="L9" s="100">
        <f t="shared" si="1"/>
        <v>17.879249141003328</v>
      </c>
      <c r="M9" s="26">
        <f t="shared" si="2"/>
        <v>1206.6405410607172</v>
      </c>
      <c r="N9" s="30">
        <f t="shared" si="7"/>
        <v>136.76991387851402</v>
      </c>
      <c r="O9" s="30">
        <f t="shared" si="3"/>
        <v>7271.8150599524133</v>
      </c>
      <c r="P9" s="30">
        <f t="shared" si="11"/>
        <v>3419.6977185510177</v>
      </c>
      <c r="Q9" s="26">
        <f t="shared" si="8"/>
        <v>7271.8195494861493</v>
      </c>
      <c r="R9" s="146">
        <f t="shared" si="9"/>
        <v>4.2417877135951505</v>
      </c>
      <c r="S9" s="26">
        <f t="shared" si="10"/>
        <v>8.0701282888368908</v>
      </c>
      <c r="T9" s="19" t="s">
        <v>238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207</v>
      </c>
      <c r="C10" s="22">
        <f>MAX(ABS('Geo Forces'!I26),ABS('Geo Forces'!I35))</f>
        <v>266.55741049663993</v>
      </c>
      <c r="D10" s="22">
        <f>MAX(ABS('Geo Forces'!J26),ABS('Geo Forces'!J35))</f>
        <v>715.96568107598227</v>
      </c>
      <c r="E10" s="20">
        <v>9.5704999999999991</v>
      </c>
      <c r="F10" s="29">
        <v>0.375</v>
      </c>
      <c r="G10" s="29">
        <v>0.16600000000000001</v>
      </c>
      <c r="H10" s="7">
        <f t="shared" si="4"/>
        <v>0.10899441552364429</v>
      </c>
      <c r="I10" s="7">
        <f t="shared" si="5"/>
        <v>1.0431310537690377</v>
      </c>
      <c r="J10" s="31">
        <f t="shared" si="0"/>
        <v>0.29583196684889912</v>
      </c>
      <c r="K10" s="30">
        <f t="shared" si="6"/>
        <v>9.7055439733223091E-4</v>
      </c>
      <c r="L10" s="100">
        <f t="shared" si="1"/>
        <v>31.093763443597783</v>
      </c>
      <c r="M10" s="26">
        <f t="shared" si="2"/>
        <v>2098.4659506283565</v>
      </c>
      <c r="N10" s="30">
        <f t="shared" si="7"/>
        <v>101.42074822754323</v>
      </c>
      <c r="O10" s="30">
        <f t="shared" si="3"/>
        <v>7271.8162203046222</v>
      </c>
      <c r="P10" s="30">
        <f t="shared" si="11"/>
        <v>6218.9239381982752</v>
      </c>
      <c r="Q10" s="26">
        <f t="shared" si="8"/>
        <v>7271.8195494861493</v>
      </c>
      <c r="R10" s="146">
        <f t="shared" si="9"/>
        <v>10.156659378641953</v>
      </c>
      <c r="S10" s="26">
        <f t="shared" si="10"/>
        <v>14.387256173163571</v>
      </c>
      <c r="T10" s="19" t="s">
        <v>238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208</v>
      </c>
      <c r="C11" s="22">
        <f>MAX(ABS('Geo Forces'!I27),ABS('Geo Forces'!I36))</f>
        <v>116.21885388197305</v>
      </c>
      <c r="D11" s="22">
        <f>MAX(ABS('Geo Forces'!J27),ABS('Geo Forces'!J36))</f>
        <v>401.60089089573518</v>
      </c>
      <c r="E11" s="20">
        <v>9.7676999999999996</v>
      </c>
      <c r="F11" s="29">
        <v>0.375</v>
      </c>
      <c r="G11" s="29">
        <v>0.16600000000000001</v>
      </c>
      <c r="H11" s="7">
        <f t="shared" si="4"/>
        <v>0.10899441552364429</v>
      </c>
      <c r="I11" s="7">
        <f t="shared" si="5"/>
        <v>1.0646247525103003</v>
      </c>
      <c r="J11" s="31">
        <f t="shared" si="0"/>
        <v>0.3019275798119212</v>
      </c>
      <c r="K11" s="30">
        <f t="shared" si="6"/>
        <v>9.7055439733223091E-4</v>
      </c>
      <c r="L11" s="100">
        <f t="shared" si="1"/>
        <v>47.090182812087015</v>
      </c>
      <c r="M11" s="26">
        <f t="shared" si="2"/>
        <v>3178.037467843918</v>
      </c>
      <c r="N11" s="30">
        <f t="shared" si="7"/>
        <v>103.51052112869485</v>
      </c>
      <c r="O11" s="30">
        <f t="shared" si="3"/>
        <v>7271.8161517068893</v>
      </c>
      <c r="P11" s="30">
        <f t="shared" si="11"/>
        <v>5970.3511531098593</v>
      </c>
      <c r="Q11" s="26">
        <f t="shared" si="8"/>
        <v>7271.8195494861493</v>
      </c>
      <c r="R11" s="146">
        <f t="shared" si="9"/>
        <v>18.107080224017931</v>
      </c>
      <c r="S11" s="26">
        <f t="shared" si="10"/>
        <v>10.400726187141689</v>
      </c>
      <c r="T11" s="19" t="s">
        <v>238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209</v>
      </c>
      <c r="C12" s="22">
        <f>MAX(ABS('Geo Forces'!I28),ABS('Geo Forces'!I37))</f>
        <v>555.53187274854497</v>
      </c>
      <c r="D12" s="22">
        <f>MAX(ABS('Geo Forces'!J28),ABS('Geo Forces'!J37))</f>
        <v>373.83512651796269</v>
      </c>
      <c r="E12" s="20">
        <v>8.1851000000000003</v>
      </c>
      <c r="F12" s="29">
        <v>0.375</v>
      </c>
      <c r="G12" s="29">
        <v>0.16600000000000001</v>
      </c>
      <c r="H12" s="7">
        <f t="shared" si="4"/>
        <v>0.10899441552364429</v>
      </c>
      <c r="I12" s="7">
        <f t="shared" si="5"/>
        <v>0.89213019050258091</v>
      </c>
      <c r="J12" s="31">
        <f t="shared" si="0"/>
        <v>0.25300812202653195</v>
      </c>
      <c r="K12" s="30">
        <f t="shared" si="6"/>
        <v>9.7055439733223091E-4</v>
      </c>
      <c r="L12" s="100">
        <f t="shared" si="1"/>
        <v>21.538436794068858</v>
      </c>
      <c r="M12" s="26">
        <f t="shared" si="2"/>
        <v>1453.592979315622</v>
      </c>
      <c r="N12" s="30">
        <f t="shared" si="7"/>
        <v>86.739351791156594</v>
      </c>
      <c r="O12" s="30">
        <f t="shared" si="3"/>
        <v>7271.8167022280422</v>
      </c>
      <c r="P12" s="30">
        <f t="shared" si="11"/>
        <v>8502.3018818578912</v>
      </c>
      <c r="Q12" s="26">
        <f t="shared" si="8"/>
        <v>7271.8195494861493</v>
      </c>
      <c r="R12" s="146">
        <f t="shared" si="9"/>
        <v>13.089833196263166</v>
      </c>
      <c r="S12" s="26">
        <f t="shared" si="10"/>
        <v>4.9110123079669039</v>
      </c>
      <c r="T12" s="19" t="s">
        <v>238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210</v>
      </c>
      <c r="C13" s="21">
        <f>MAX(ABS('Geo Forces'!I29),ABS('Geo Forces'!I38))</f>
        <v>1176.5262504666061</v>
      </c>
      <c r="D13" s="21">
        <f>MAX(ABS('Geo Forces'!J29),ABS('Geo Forces'!J38))</f>
        <v>4.5451405800616982</v>
      </c>
      <c r="E13" s="21">
        <v>9.9464000000000006</v>
      </c>
      <c r="F13" s="159">
        <v>0.375</v>
      </c>
      <c r="G13" s="159">
        <v>0.16600000000000001</v>
      </c>
      <c r="H13" s="8">
        <f t="shared" si="4"/>
        <v>0.10899441552364429</v>
      </c>
      <c r="I13" s="8">
        <f t="shared" si="5"/>
        <v>1.0841020545643756</v>
      </c>
      <c r="J13" s="94">
        <f t="shared" si="0"/>
        <v>0.30745134267445695</v>
      </c>
      <c r="K13" s="95">
        <f t="shared" si="6"/>
        <v>9.7055439733223091E-4</v>
      </c>
      <c r="L13" s="80">
        <f t="shared" si="1"/>
        <v>14.800209392190622</v>
      </c>
      <c r="M13" s="145">
        <f t="shared" si="2"/>
        <v>706.28746501402179</v>
      </c>
      <c r="N13" s="95">
        <f t="shared" si="7"/>
        <v>105.40424535504269</v>
      </c>
      <c r="O13" s="95">
        <f t="shared" si="3"/>
        <v>7271.8126296029377</v>
      </c>
      <c r="P13" s="95">
        <f t="shared" si="11"/>
        <v>2878.8740390202788</v>
      </c>
      <c r="Q13" s="145">
        <f t="shared" si="8"/>
        <v>7271.8195494861493</v>
      </c>
      <c r="R13" s="145">
        <f t="shared" si="9"/>
        <v>2.4469271619553985</v>
      </c>
      <c r="S13" s="97" cm="1">
        <f t="array" ref="S13">$W$7/(MAX(C13:D13/H13))</f>
        <v>4.9110123079669039</v>
      </c>
      <c r="T13" s="21" t="s">
        <v>237</v>
      </c>
      <c r="U13" s="98">
        <v>1</v>
      </c>
      <c r="V13" s="3"/>
      <c r="W13" s="3"/>
      <c r="X13" s="3"/>
    </row>
    <row r="14" spans="1:25" x14ac:dyDescent="0.35">
      <c r="L14" t="s">
        <v>247</v>
      </c>
    </row>
    <row r="16" spans="1:25" x14ac:dyDescent="0.35">
      <c r="R16" s="41"/>
    </row>
    <row r="17" spans="15:15" x14ac:dyDescent="0.35">
      <c r="O17" s="161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topLeftCell="C1" workbookViewId="0">
      <selection activeCell="O17" sqref="O17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191</v>
      </c>
      <c r="B1" s="5" t="s">
        <v>192</v>
      </c>
      <c r="C1" s="5" t="s">
        <v>218</v>
      </c>
      <c r="D1" s="5" t="s">
        <v>219</v>
      </c>
      <c r="E1" s="5" t="s">
        <v>220</v>
      </c>
      <c r="F1" s="5" t="s">
        <v>221</v>
      </c>
      <c r="G1" s="5" t="s">
        <v>222</v>
      </c>
      <c r="H1" s="5" t="s">
        <v>223</v>
      </c>
      <c r="I1" s="5" t="s">
        <v>224</v>
      </c>
      <c r="J1" s="5" t="s">
        <v>225</v>
      </c>
      <c r="K1" s="5" t="s">
        <v>226</v>
      </c>
      <c r="L1" s="5" t="s">
        <v>227</v>
      </c>
      <c r="M1" s="160" t="s">
        <v>228</v>
      </c>
      <c r="N1" s="5" t="s">
        <v>229</v>
      </c>
      <c r="O1" s="5" t="s">
        <v>230</v>
      </c>
      <c r="P1" s="5" t="s">
        <v>231</v>
      </c>
      <c r="Q1" s="5" t="s">
        <v>232</v>
      </c>
      <c r="R1" s="5" t="s">
        <v>233</v>
      </c>
      <c r="S1" s="5" t="s">
        <v>234</v>
      </c>
      <c r="T1" s="5" t="s">
        <v>235</v>
      </c>
      <c r="U1" s="28" t="s">
        <v>236</v>
      </c>
    </row>
    <row r="2" spans="1:25" ht="15" thickBot="1" x14ac:dyDescent="0.4">
      <c r="A2" s="181" t="s">
        <v>216</v>
      </c>
      <c r="B2" s="23" t="s">
        <v>205</v>
      </c>
      <c r="C2" s="19">
        <f>MAX(ABS('Geo Forces'!I6),ABS('Geo Forces'!I15))</f>
        <v>208.37309891502312</v>
      </c>
      <c r="D2" s="19">
        <f>MAX(ABS('Geo Forces'!J6),ABS('Geo Forces'!J15))</f>
        <v>194.12612252055962</v>
      </c>
      <c r="E2" s="19">
        <v>10.1089</v>
      </c>
      <c r="F2" s="29">
        <v>0.58799999999999997</v>
      </c>
      <c r="G2" s="29">
        <v>4.5999999999999999E-2</v>
      </c>
      <c r="H2" s="7">
        <f>PI()*((F2/2)^2-(F2/2-G2)^2)</f>
        <v>7.8326188039300693E-2</v>
      </c>
      <c r="I2" s="7">
        <f>H2*E2</f>
        <v>0.79179160227048684</v>
      </c>
      <c r="J2" s="31">
        <f t="shared" ref="J2:J13" si="0">I2*$W$4</f>
        <v>4.2677567362379244E-2</v>
      </c>
      <c r="K2" s="30">
        <f>PI()*(F2^4-(F2-(2*G2))^4)/64</f>
        <v>2.8968940646335356E-3</v>
      </c>
      <c r="L2" s="42">
        <f t="shared" ref="L2:L8" si="1">0.282*SQRT($W$6*1000*H2/C2)</f>
        <v>24.143436383763305</v>
      </c>
      <c r="M2" s="147">
        <f t="shared" ref="M2:M13" si="2">SQRT(2*PI()^2*U2*$W$6*1000/C2)</f>
        <v>1359.1311021524837</v>
      </c>
      <c r="N2" s="30">
        <f>E2/SQRT(K2/H2)</f>
        <v>52.56432464349222</v>
      </c>
      <c r="O2" s="30">
        <f>H2*($W$5-($W$5*E2/(2*PI()*SQRT(K2/H2))^2/(U2*$W$6*1000)))</f>
        <v>4942.3807105095566</v>
      </c>
      <c r="P2" s="30">
        <f>U2*PI()^2*$W$6*1000*K2/E2^2</f>
        <v>5455.809150742808</v>
      </c>
      <c r="Q2" s="26">
        <f>H2*$W$5</f>
        <v>4942.3824652798739</v>
      </c>
      <c r="R2" s="146">
        <f>MIN(ABS(P2/C2),ABS(Q2/C2),ABS(Q2/D2))</f>
        <v>23.718908491615959</v>
      </c>
      <c r="S2" s="26">
        <f>$W$7/(MAX(C3:D3)/H3)</f>
        <v>5.7619666302138723</v>
      </c>
      <c r="T2" s="21" t="s">
        <v>237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206</v>
      </c>
      <c r="C3" s="20">
        <f>MAX(ABS('Geo Forces'!I7),ABS('Geo Forces'!I16))</f>
        <v>37.092540037867209</v>
      </c>
      <c r="D3" s="20">
        <f>MAX(ABS('Geo Forces'!J7),ABS('Geo Forces'!J16))</f>
        <v>788.43200556869874</v>
      </c>
      <c r="E3" s="20">
        <v>11.1532</v>
      </c>
      <c r="F3" s="29">
        <v>0.58799999999999997</v>
      </c>
      <c r="G3" s="29">
        <v>4.5999999999999999E-2</v>
      </c>
      <c r="H3" s="7">
        <f t="shared" ref="H3:H13" si="3">PI()*((F3/2)^2-(F3/2-G3)^2)</f>
        <v>7.8326188039300693E-2</v>
      </c>
      <c r="I3" s="7">
        <f t="shared" ref="I3:I13" si="4">H3*E3</f>
        <v>0.87358764043992854</v>
      </c>
      <c r="J3" s="31">
        <f t="shared" si="0"/>
        <v>4.7086373819712153E-2</v>
      </c>
      <c r="K3" s="30">
        <f t="shared" ref="K3:K13" si="5">PI()*(F3^4-(F3-(2*G3))^4)/64</f>
        <v>2.8968940646335356E-3</v>
      </c>
      <c r="L3" s="42">
        <f t="shared" si="1"/>
        <v>57.223790543358859</v>
      </c>
      <c r="M3" s="146">
        <f t="shared" si="2"/>
        <v>4555.6870932080501</v>
      </c>
      <c r="N3" s="30">
        <f t="shared" ref="N3:N13" si="6">E3/SQRT(K3/H3)</f>
        <v>57.994482645371647</v>
      </c>
      <c r="O3" s="30">
        <f t="shared" ref="O3:O13" si="7">H3*($W$5-($W$5*E3/(2*PI()*SQRT(K3/H3))^2/(U3*$W$6*1000)))</f>
        <v>4942.3814972564342</v>
      </c>
      <c r="P3" s="30">
        <f t="shared" ref="P3:P13" si="8">U3*PI()^2*$W$6*1000*K3/E3^2</f>
        <v>8963.9202947117374</v>
      </c>
      <c r="Q3" s="26">
        <f t="shared" ref="Q3:Q13" si="9">H3*$W$5</f>
        <v>4942.3824652798739</v>
      </c>
      <c r="R3" s="146">
        <f t="shared" ref="R3:R13" si="10">MIN(ABS(P3/C3),ABS(Q3/C3),ABS(Q3/D3))</f>
        <v>6.2686223166637136</v>
      </c>
      <c r="S3" s="26">
        <f t="shared" ref="S3:S12" si="11">$W$7/(MAX(C4:D4)/H4)</f>
        <v>5.1158113105383594</v>
      </c>
      <c r="T3" s="19" t="s">
        <v>238</v>
      </c>
      <c r="U3" s="32">
        <v>2</v>
      </c>
      <c r="V3" s="178" t="s">
        <v>239</v>
      </c>
      <c r="W3" s="179"/>
      <c r="X3" s="180"/>
    </row>
    <row r="4" spans="1:25" ht="15" thickBot="1" x14ac:dyDescent="0.4">
      <c r="A4" s="182"/>
      <c r="B4" s="24" t="s">
        <v>207</v>
      </c>
      <c r="C4" s="20">
        <f>MAX(ABS('Geo Forces'!I8),ABS('Geo Forces'!I17))</f>
        <v>888.01533725867</v>
      </c>
      <c r="D4" s="20">
        <f>MAX(ABS('Geo Forces'!J8),ABS('Geo Forces'!J17))</f>
        <v>335.68203376654606</v>
      </c>
      <c r="E4" s="20">
        <v>11.0952</v>
      </c>
      <c r="F4" s="29">
        <v>0.58799999999999997</v>
      </c>
      <c r="G4" s="29">
        <v>4.5999999999999999E-2</v>
      </c>
      <c r="H4" s="7">
        <f t="shared" si="3"/>
        <v>7.8326188039300693E-2</v>
      </c>
      <c r="I4" s="7">
        <f t="shared" si="4"/>
        <v>0.86904472153364909</v>
      </c>
      <c r="J4" s="31">
        <f t="shared" si="0"/>
        <v>4.6841510490663686E-2</v>
      </c>
      <c r="K4" s="30">
        <f t="shared" si="5"/>
        <v>2.8968940646335356E-3</v>
      </c>
      <c r="L4" s="42">
        <f t="shared" si="1"/>
        <v>11.695254478114281</v>
      </c>
      <c r="M4" s="146">
        <f t="shared" si="2"/>
        <v>931.07987729960519</v>
      </c>
      <c r="N4" s="30">
        <f t="shared" si="6"/>
        <v>57.692893864265635</v>
      </c>
      <c r="O4" s="30">
        <f t="shared" si="7"/>
        <v>4942.3815022904473</v>
      </c>
      <c r="P4" s="30">
        <f t="shared" si="8"/>
        <v>9057.8827796238293</v>
      </c>
      <c r="Q4" s="26">
        <f t="shared" si="9"/>
        <v>4942.3824652798739</v>
      </c>
      <c r="R4" s="146">
        <f t="shared" si="10"/>
        <v>5.5656498912925949</v>
      </c>
      <c r="S4" s="26">
        <f t="shared" si="11"/>
        <v>18.227764015587244</v>
      </c>
      <c r="T4" s="19" t="s">
        <v>238</v>
      </c>
      <c r="U4" s="32">
        <v>2</v>
      </c>
      <c r="V4" s="33" t="s">
        <v>240</v>
      </c>
      <c r="W4" s="144">
        <v>5.3900000000000003E-2</v>
      </c>
      <c r="X4" s="35" t="s">
        <v>241</v>
      </c>
    </row>
    <row r="5" spans="1:25" ht="15" thickBot="1" x14ac:dyDescent="0.4">
      <c r="A5" s="182"/>
      <c r="B5" s="24" t="s">
        <v>208</v>
      </c>
      <c r="C5" s="20">
        <f>MAX(ABS('Geo Forces'!I9),ABS('Geo Forces'!I18))</f>
        <v>247.51938813763212</v>
      </c>
      <c r="D5" s="20">
        <f>MAX(ABS('Geo Forces'!J9),ABS('Geo Forces'!J18))</f>
        <v>249.23072859592759</v>
      </c>
      <c r="E5" s="20">
        <v>9.9745000000000008</v>
      </c>
      <c r="F5" s="29">
        <v>0.58799999999999997</v>
      </c>
      <c r="G5" s="29">
        <v>4.5999999999999999E-2</v>
      </c>
      <c r="H5" s="7">
        <f t="shared" si="3"/>
        <v>7.8326188039300693E-2</v>
      </c>
      <c r="I5" s="7">
        <f t="shared" si="4"/>
        <v>0.78126456259800481</v>
      </c>
      <c r="J5" s="31">
        <f t="shared" si="0"/>
        <v>4.2110159924032463E-2</v>
      </c>
      <c r="K5" s="30">
        <f t="shared" si="5"/>
        <v>2.8968940646335356E-3</v>
      </c>
      <c r="L5" s="42">
        <f t="shared" si="1"/>
        <v>22.152120138067072</v>
      </c>
      <c r="M5" s="146">
        <f t="shared" si="2"/>
        <v>1763.5694322577237</v>
      </c>
      <c r="N5" s="30">
        <f t="shared" si="6"/>
        <v>51.865470640377609</v>
      </c>
      <c r="O5" s="30">
        <f t="shared" si="7"/>
        <v>4942.3815995597397</v>
      </c>
      <c r="P5" s="30">
        <f t="shared" si="8"/>
        <v>11207.653535082552</v>
      </c>
      <c r="Q5" s="26">
        <f t="shared" si="9"/>
        <v>4942.3824652798739</v>
      </c>
      <c r="R5" s="146">
        <f t="shared" si="10"/>
        <v>19.830550161785435</v>
      </c>
      <c r="S5" s="26">
        <f t="shared" si="11"/>
        <v>11.913596094911298</v>
      </c>
      <c r="T5" s="19" t="s">
        <v>238</v>
      </c>
      <c r="U5" s="32">
        <v>2</v>
      </c>
      <c r="V5" s="33" t="s">
        <v>242</v>
      </c>
      <c r="W5" s="142">
        <v>63100</v>
      </c>
      <c r="X5" s="35" t="s">
        <v>243</v>
      </c>
    </row>
    <row r="6" spans="1:25" ht="15" thickBot="1" x14ac:dyDescent="0.4">
      <c r="A6" s="182"/>
      <c r="B6" s="24" t="s">
        <v>209</v>
      </c>
      <c r="C6" s="20">
        <f>MAX(ABS('Geo Forces'!I10),ABS('Geo Forces'!I19))</f>
        <v>210.91781969299919</v>
      </c>
      <c r="D6" s="20">
        <f>MAX(ABS('Geo Forces'!J10),ABS('Geo Forces'!J19))</f>
        <v>381.32221959580068</v>
      </c>
      <c r="E6" s="20">
        <v>10.076599999999999</v>
      </c>
      <c r="F6" s="29">
        <v>0.58799999999999997</v>
      </c>
      <c r="G6" s="29">
        <v>4.5999999999999999E-2</v>
      </c>
      <c r="H6" s="7">
        <f t="shared" si="3"/>
        <v>7.8326188039300693E-2</v>
      </c>
      <c r="I6" s="7">
        <f t="shared" si="4"/>
        <v>0.78926166639681727</v>
      </c>
      <c r="J6" s="31">
        <f t="shared" si="0"/>
        <v>4.2541203818788453E-2</v>
      </c>
      <c r="K6" s="30">
        <f t="shared" si="5"/>
        <v>2.8968940646335356E-3</v>
      </c>
      <c r="L6" s="42">
        <f t="shared" si="1"/>
        <v>23.997349287386211</v>
      </c>
      <c r="M6" s="146">
        <f t="shared" si="2"/>
        <v>1910.4713857939016</v>
      </c>
      <c r="N6" s="30">
        <f t="shared" si="6"/>
        <v>52.396370891255593</v>
      </c>
      <c r="O6" s="30">
        <f t="shared" si="7"/>
        <v>4942.3815906981399</v>
      </c>
      <c r="P6" s="30">
        <f t="shared" si="8"/>
        <v>10981.683629737188</v>
      </c>
      <c r="Q6" s="26">
        <f t="shared" si="9"/>
        <v>4942.3824652798739</v>
      </c>
      <c r="R6" s="146">
        <f t="shared" si="10"/>
        <v>12.961170923946606</v>
      </c>
      <c r="S6" s="26">
        <f t="shared" si="11"/>
        <v>5.0933910441227841</v>
      </c>
      <c r="T6" s="19" t="s">
        <v>238</v>
      </c>
      <c r="U6" s="32">
        <v>2</v>
      </c>
      <c r="V6" s="33" t="s">
        <v>244</v>
      </c>
      <c r="W6" s="142">
        <v>19500</v>
      </c>
      <c r="X6" s="35" t="s">
        <v>245</v>
      </c>
    </row>
    <row r="7" spans="1:25" ht="15" thickBot="1" x14ac:dyDescent="0.4">
      <c r="A7" s="183"/>
      <c r="B7" s="93" t="s">
        <v>210</v>
      </c>
      <c r="C7" s="21">
        <f>MAX(ABS('Geo Forces'!I11),ABS('Geo Forces'!I20))</f>
        <v>891.9242341546643</v>
      </c>
      <c r="D7" s="21">
        <f>MAX(ABS('Geo Forces'!J11),ABS('Geo Forces'!J20))</f>
        <v>9.7679879239617726</v>
      </c>
      <c r="E7" s="21">
        <v>14.9847</v>
      </c>
      <c r="F7" s="29">
        <v>0.58799999999999997</v>
      </c>
      <c r="G7" s="29">
        <v>4.5999999999999999E-2</v>
      </c>
      <c r="H7" s="8">
        <f t="shared" si="3"/>
        <v>7.8326188039300693E-2</v>
      </c>
      <c r="I7" s="8">
        <f t="shared" si="4"/>
        <v>1.1736944299125092</v>
      </c>
      <c r="J7" s="94">
        <f t="shared" si="0"/>
        <v>6.3262129772284251E-2</v>
      </c>
      <c r="K7" s="95">
        <f t="shared" si="5"/>
        <v>2.8968940646335356E-3</v>
      </c>
      <c r="L7" s="96">
        <f t="shared" si="1"/>
        <v>11.669598856356449</v>
      </c>
      <c r="M7" s="145">
        <f t="shared" si="2"/>
        <v>656.92863696832546</v>
      </c>
      <c r="N7" s="95">
        <f t="shared" si="6"/>
        <v>77.917541521366118</v>
      </c>
      <c r="O7" s="95">
        <f t="shared" si="7"/>
        <v>4942.379864135657</v>
      </c>
      <c r="P7" s="95">
        <f t="shared" si="8"/>
        <v>2482.9665306264869</v>
      </c>
      <c r="Q7" s="145">
        <f t="shared" si="9"/>
        <v>4942.3824652798739</v>
      </c>
      <c r="R7" s="145">
        <f t="shared" si="10"/>
        <v>2.7838312219196051</v>
      </c>
      <c r="S7" s="97">
        <f t="shared" si="11"/>
        <v>13.840201555238993</v>
      </c>
      <c r="T7" s="21" t="s">
        <v>237</v>
      </c>
      <c r="U7" s="98">
        <v>1</v>
      </c>
      <c r="V7" s="36" t="s">
        <v>234</v>
      </c>
      <c r="W7" s="143">
        <v>58000</v>
      </c>
      <c r="X7" s="38" t="s">
        <v>243</v>
      </c>
      <c r="Y7" s="102" t="s">
        <v>246</v>
      </c>
    </row>
    <row r="8" spans="1:25" ht="15" thickBot="1" x14ac:dyDescent="0.4">
      <c r="A8" s="181" t="s">
        <v>217</v>
      </c>
      <c r="B8" s="25" t="s">
        <v>213</v>
      </c>
      <c r="C8" s="22">
        <f>MAX(ABS('Geo Forces'!I24),ABS('Geo Forces'!I33))</f>
        <v>80.547452384382751</v>
      </c>
      <c r="D8" s="22">
        <f>MAX(ABS('Geo Forces'!J24),ABS('Geo Forces'!J33))</f>
        <v>328.24080546426649</v>
      </c>
      <c r="E8" s="22">
        <v>9.6919000000000004</v>
      </c>
      <c r="F8" s="29">
        <v>0.58799999999999997</v>
      </c>
      <c r="G8" s="29">
        <v>4.5999999999999999E-2</v>
      </c>
      <c r="H8" s="39">
        <f t="shared" si="3"/>
        <v>7.8326188039300693E-2</v>
      </c>
      <c r="I8" s="39">
        <f t="shared" si="4"/>
        <v>0.75912958185809842</v>
      </c>
      <c r="J8" s="99">
        <f t="shared" si="0"/>
        <v>4.0917084462151511E-2</v>
      </c>
      <c r="K8" s="39">
        <f t="shared" si="5"/>
        <v>2.8968940646335356E-3</v>
      </c>
      <c r="L8" s="100">
        <f t="shared" si="1"/>
        <v>38.832379660822845</v>
      </c>
      <c r="M8" s="26">
        <f t="shared" si="2"/>
        <v>2186.0307757644541</v>
      </c>
      <c r="N8" s="39">
        <f t="shared" si="6"/>
        <v>50.396005303471426</v>
      </c>
      <c r="O8" s="39">
        <f t="shared" si="7"/>
        <v>4942.3807828951994</v>
      </c>
      <c r="P8" s="39">
        <f t="shared" si="8"/>
        <v>5935.3881013547743</v>
      </c>
      <c r="Q8" s="26">
        <f t="shared" si="9"/>
        <v>4942.3824652798739</v>
      </c>
      <c r="R8" s="146">
        <f t="shared" si="10"/>
        <v>15.05718479544104</v>
      </c>
      <c r="S8" s="26">
        <f t="shared" si="11"/>
        <v>5.6350295220480202</v>
      </c>
      <c r="T8" s="21" t="s">
        <v>237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206</v>
      </c>
      <c r="C9" s="22">
        <f>MAX(ABS('Geo Forces'!I25),ABS('Geo Forces'!I34))</f>
        <v>806.19256536358682</v>
      </c>
      <c r="D9" s="22">
        <f>MAX(ABS('Geo Forces'!J25),ABS('Geo Forces'!J34))</f>
        <v>430.0904290978927</v>
      </c>
      <c r="E9" s="20">
        <v>12.9062</v>
      </c>
      <c r="F9" s="29">
        <v>0.58799999999999997</v>
      </c>
      <c r="G9" s="29">
        <v>4.5999999999999999E-2</v>
      </c>
      <c r="H9" s="7">
        <f t="shared" si="3"/>
        <v>7.8326188039300693E-2</v>
      </c>
      <c r="I9" s="7">
        <f t="shared" si="4"/>
        <v>1.0108934480728227</v>
      </c>
      <c r="J9" s="31">
        <f t="shared" si="0"/>
        <v>5.4487156851125144E-2</v>
      </c>
      <c r="K9" s="30">
        <f t="shared" si="5"/>
        <v>2.8968940646335356E-3</v>
      </c>
      <c r="L9" s="100">
        <f t="shared" ref="L9:L13" si="12">0.282*SQRT($W$6*1000*H9/C9)</f>
        <v>12.274406868436385</v>
      </c>
      <c r="M9" s="26">
        <f t="shared" si="2"/>
        <v>977.18722259320009</v>
      </c>
      <c r="N9" s="30">
        <f t="shared" si="6"/>
        <v>67.109743563972273</v>
      </c>
      <c r="O9" s="30">
        <f t="shared" si="7"/>
        <v>4942.3813451077158</v>
      </c>
      <c r="P9" s="30">
        <f t="shared" si="8"/>
        <v>6694.2231399715592</v>
      </c>
      <c r="Q9" s="26">
        <f t="shared" si="9"/>
        <v>4942.3824652798739</v>
      </c>
      <c r="R9" s="146">
        <f t="shared" si="10"/>
        <v>6.1305234972625877</v>
      </c>
      <c r="S9" s="26">
        <f t="shared" si="11"/>
        <v>6.3451629405646326</v>
      </c>
      <c r="T9" s="19" t="s">
        <v>238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207</v>
      </c>
      <c r="C10" s="22">
        <f>MAX(ABS('Geo Forces'!I26),ABS('Geo Forces'!I35))</f>
        <v>266.55741049663993</v>
      </c>
      <c r="D10" s="22">
        <f>MAX(ABS('Geo Forces'!J26),ABS('Geo Forces'!J35))</f>
        <v>715.96568107598227</v>
      </c>
      <c r="E10" s="20">
        <v>9.5704999999999991</v>
      </c>
      <c r="F10" s="29">
        <v>0.58799999999999997</v>
      </c>
      <c r="G10" s="29">
        <v>4.5999999999999999E-2</v>
      </c>
      <c r="H10" s="7">
        <f t="shared" si="3"/>
        <v>7.8326188039300693E-2</v>
      </c>
      <c r="I10" s="7">
        <f t="shared" si="4"/>
        <v>0.74962078263012721</v>
      </c>
      <c r="J10" s="31">
        <f t="shared" si="0"/>
        <v>4.0404560183763857E-2</v>
      </c>
      <c r="K10" s="30">
        <f t="shared" si="5"/>
        <v>2.8968940646335356E-3</v>
      </c>
      <c r="L10" s="100">
        <f t="shared" si="12"/>
        <v>21.346394390934435</v>
      </c>
      <c r="M10" s="26">
        <f t="shared" si="2"/>
        <v>1699.4241816194199</v>
      </c>
      <c r="N10" s="30">
        <f t="shared" si="6"/>
        <v>49.764748785777115</v>
      </c>
      <c r="O10" s="30">
        <f t="shared" si="7"/>
        <v>4942.3816346242475</v>
      </c>
      <c r="P10" s="30">
        <f t="shared" si="8"/>
        <v>12173.843409308594</v>
      </c>
      <c r="Q10" s="26">
        <f t="shared" si="9"/>
        <v>4942.3824652798739</v>
      </c>
      <c r="R10" s="146">
        <f t="shared" si="10"/>
        <v>6.9030996818901444</v>
      </c>
      <c r="S10" s="26">
        <f t="shared" si="11"/>
        <v>11.312023975212959</v>
      </c>
      <c r="T10" s="19" t="s">
        <v>238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208</v>
      </c>
      <c r="C11" s="22">
        <f>MAX(ABS('Geo Forces'!I27),ABS('Geo Forces'!I36))</f>
        <v>116.21885388197305</v>
      </c>
      <c r="D11" s="22">
        <f>MAX(ABS('Geo Forces'!J27),ABS('Geo Forces'!J36))</f>
        <v>401.60089089573518</v>
      </c>
      <c r="E11" s="20">
        <v>9.7676999999999996</v>
      </c>
      <c r="F11" s="29">
        <v>0.58799999999999997</v>
      </c>
      <c r="G11" s="29">
        <v>4.5999999999999999E-2</v>
      </c>
      <c r="H11" s="7">
        <f t="shared" si="3"/>
        <v>7.8326188039300693E-2</v>
      </c>
      <c r="I11" s="7">
        <f t="shared" si="4"/>
        <v>0.76506670691147738</v>
      </c>
      <c r="J11" s="31">
        <f t="shared" si="0"/>
        <v>4.1237095502528631E-2</v>
      </c>
      <c r="K11" s="30">
        <f t="shared" si="5"/>
        <v>2.8968940646335356E-3</v>
      </c>
      <c r="L11" s="100">
        <f t="shared" si="12"/>
        <v>32.328206782411335</v>
      </c>
      <c r="M11" s="26">
        <f t="shared" si="2"/>
        <v>2573.7056735799306</v>
      </c>
      <c r="N11" s="30">
        <f t="shared" si="6"/>
        <v>50.790150641537551</v>
      </c>
      <c r="O11" s="30">
        <f t="shared" si="7"/>
        <v>4942.3816175086013</v>
      </c>
      <c r="P11" s="30">
        <f t="shared" si="8"/>
        <v>11687.25019936514</v>
      </c>
      <c r="Q11" s="26">
        <f t="shared" si="9"/>
        <v>4942.3824652798739</v>
      </c>
      <c r="R11" s="146">
        <f t="shared" si="10"/>
        <v>12.306701945447204</v>
      </c>
      <c r="S11" s="26">
        <f t="shared" si="11"/>
        <v>8.1776026347560062</v>
      </c>
      <c r="T11" s="19" t="s">
        <v>238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209</v>
      </c>
      <c r="C12" s="22">
        <f>MAX(ABS('Geo Forces'!I28),ABS('Geo Forces'!I37))</f>
        <v>555.53187274854497</v>
      </c>
      <c r="D12" s="22">
        <f>MAX(ABS('Geo Forces'!J28),ABS('Geo Forces'!J37))</f>
        <v>373.83512651796269</v>
      </c>
      <c r="E12" s="20">
        <v>8.1851000000000003</v>
      </c>
      <c r="F12" s="29">
        <v>0.58799999999999997</v>
      </c>
      <c r="G12" s="29">
        <v>4.5999999999999999E-2</v>
      </c>
      <c r="H12" s="7">
        <f t="shared" si="3"/>
        <v>7.8326188039300693E-2</v>
      </c>
      <c r="I12" s="7">
        <f t="shared" si="4"/>
        <v>0.64110768172048016</v>
      </c>
      <c r="J12" s="31">
        <f t="shared" si="0"/>
        <v>3.4555704044733883E-2</v>
      </c>
      <c r="K12" s="30">
        <f t="shared" si="5"/>
        <v>2.8968940646335356E-3</v>
      </c>
      <c r="L12" s="100">
        <f t="shared" si="12"/>
        <v>14.786501068112862</v>
      </c>
      <c r="M12" s="26">
        <f t="shared" si="2"/>
        <v>1177.1794812975147</v>
      </c>
      <c r="N12" s="30">
        <f t="shared" si="6"/>
        <v>42.560936762600107</v>
      </c>
      <c r="O12" s="30">
        <f t="shared" si="7"/>
        <v>4942.3817548677353</v>
      </c>
      <c r="P12" s="30">
        <f t="shared" si="8"/>
        <v>16643.665810518829</v>
      </c>
      <c r="Q12" s="26">
        <f t="shared" si="9"/>
        <v>4942.3824652798739</v>
      </c>
      <c r="R12" s="146">
        <f t="shared" si="10"/>
        <v>8.896667694019035</v>
      </c>
      <c r="S12" s="26">
        <f t="shared" si="11"/>
        <v>3.8612983811264177</v>
      </c>
      <c r="T12" s="19" t="s">
        <v>238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210</v>
      </c>
      <c r="C13" s="21">
        <f>MAX(ABS('Geo Forces'!I29),ABS('Geo Forces'!I38))</f>
        <v>1176.5262504666061</v>
      </c>
      <c r="D13" s="21">
        <f>MAX(ABS('Geo Forces'!J29),ABS('Geo Forces'!J38))</f>
        <v>4.5451405800616982</v>
      </c>
      <c r="E13" s="21">
        <v>6.726</v>
      </c>
      <c r="F13" s="159">
        <v>0.58799999999999997</v>
      </c>
      <c r="G13" s="159">
        <v>4.5999999999999999E-2</v>
      </c>
      <c r="H13" s="8">
        <f t="shared" si="3"/>
        <v>7.8326188039300693E-2</v>
      </c>
      <c r="I13" s="8">
        <f t="shared" si="4"/>
        <v>0.52682194075233646</v>
      </c>
      <c r="J13" s="94">
        <f t="shared" si="0"/>
        <v>2.8395702606550936E-2</v>
      </c>
      <c r="K13" s="95">
        <f t="shared" si="5"/>
        <v>2.8968940646335356E-3</v>
      </c>
      <c r="L13" s="100">
        <f t="shared" si="12"/>
        <v>10.160594015169412</v>
      </c>
      <c r="M13" s="100">
        <f t="shared" si="2"/>
        <v>571.98068753991492</v>
      </c>
      <c r="N13" s="95">
        <f t="shared" si="6"/>
        <v>34.973898995155622</v>
      </c>
      <c r="O13" s="95">
        <f t="shared" si="7"/>
        <v>4942.3812977359121</v>
      </c>
      <c r="P13" s="95">
        <f t="shared" si="8"/>
        <v>12324.044129261996</v>
      </c>
      <c r="Q13" s="145">
        <f t="shared" si="9"/>
        <v>4942.3824652798739</v>
      </c>
      <c r="R13" s="145">
        <f t="shared" si="10"/>
        <v>4.200826342225465</v>
      </c>
      <c r="S13" s="97" cm="1">
        <f t="array" ref="S13">$W$7/(MAX(C13:D13/H13))</f>
        <v>3.8612983811264177</v>
      </c>
      <c r="T13" s="21" t="s">
        <v>237</v>
      </c>
      <c r="U13" s="98">
        <v>1</v>
      </c>
      <c r="V13" s="3"/>
      <c r="W13" s="3"/>
      <c r="X13" s="3"/>
    </row>
    <row r="14" spans="1:25" x14ac:dyDescent="0.35">
      <c r="L14" t="s">
        <v>247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216</v>
      </c>
      <c r="C1" s="184"/>
      <c r="D1" s="184"/>
      <c r="E1" s="184"/>
      <c r="F1" s="185" t="s">
        <v>217</v>
      </c>
      <c r="G1" s="185"/>
      <c r="H1" s="185"/>
      <c r="I1" s="185"/>
      <c r="J1" s="158"/>
    </row>
    <row r="2" spans="1:18" x14ac:dyDescent="0.35">
      <c r="B2" t="s">
        <v>206</v>
      </c>
      <c r="C2" t="s">
        <v>207</v>
      </c>
      <c r="D2" t="s">
        <v>208</v>
      </c>
      <c r="E2" t="s">
        <v>209</v>
      </c>
      <c r="F2" t="s">
        <v>206</v>
      </c>
      <c r="G2" t="s">
        <v>207</v>
      </c>
      <c r="H2" t="s">
        <v>208</v>
      </c>
      <c r="I2" t="s">
        <v>209</v>
      </c>
      <c r="J2" t="s">
        <v>213</v>
      </c>
      <c r="L2" s="104" t="s">
        <v>248</v>
      </c>
      <c r="M2">
        <v>2860</v>
      </c>
      <c r="N2" t="s">
        <v>249</v>
      </c>
      <c r="O2" t="s">
        <v>250</v>
      </c>
    </row>
    <row r="3" spans="1:18" x14ac:dyDescent="0.35">
      <c r="A3" t="s">
        <v>248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251</v>
      </c>
      <c r="M3">
        <v>0.5</v>
      </c>
      <c r="N3" s="104" t="s">
        <v>252</v>
      </c>
      <c r="O3">
        <v>0.42</v>
      </c>
    </row>
    <row r="4" spans="1:18" x14ac:dyDescent="0.35">
      <c r="A4" t="s">
        <v>253</v>
      </c>
      <c r="B4">
        <f>IF('Steel A-Arm Tube Force Analysis'!D3&lt;$M$4,'Steel A-Arm Tube Force Analysis'!D3,$O$4)</f>
        <v>788.43200556869874</v>
      </c>
      <c r="C4">
        <f>IF('Steel A-Arm Tube Force Analysis'!D4&lt;$M$4,'Steel A-Arm Tube Force Analysis'!D4,$O$4)</f>
        <v>335.68203376654606</v>
      </c>
      <c r="D4">
        <f>IF('Steel A-Arm Tube Force Analysis'!D5&lt;$M$4,'Steel A-Arm Tube Force Analysis'!D5,$O$4)</f>
        <v>249.23072859592759</v>
      </c>
      <c r="E4">
        <f>IF('Steel A-Arm Tube Force Analysis'!D6&lt;$M$4,'Steel A-Arm Tube Force Analysis'!D6,$O$4)</f>
        <v>381.32221959580068</v>
      </c>
      <c r="F4">
        <f>IF('Steel A-Arm Tube Force Analysis'!D9&lt;$M$4,'Steel A-Arm Tube Force Analysis'!D9,$O$4)</f>
        <v>430.0904290978927</v>
      </c>
      <c r="G4">
        <f>IF('Steel A-Arm Tube Force Analysis'!D10&lt;$M$4,'Steel A-Arm Tube Force Analysis'!D10,$O$4)</f>
        <v>715.96568107598227</v>
      </c>
      <c r="H4">
        <f>IF('Steel A-Arm Tube Force Analysis'!D11&lt;$M$4,'Steel A-Arm Tube Force Analysis'!D11,$O$4)</f>
        <v>401.60089089573518</v>
      </c>
      <c r="I4">
        <f>IF('Steel A-Arm Tube Force Analysis'!D12&lt;$M$4,'Steel A-Arm Tube Force Analysis'!D12,$O$4)</f>
        <v>373.83512651796269</v>
      </c>
      <c r="J4">
        <f>IF('Steel A-Arm Tube Force Analysis'!D8&lt;$M$4,'Steel A-Arm Tube Force Analysis'!D8,$O$4)</f>
        <v>328.24080546426649</v>
      </c>
      <c r="L4" t="s">
        <v>254</v>
      </c>
      <c r="M4">
        <f>M3*$M$2</f>
        <v>1430</v>
      </c>
      <c r="O4">
        <f>O3*$M$2</f>
        <v>1201.2</v>
      </c>
    </row>
    <row r="5" spans="1:18" x14ac:dyDescent="0.35">
      <c r="A5" t="s">
        <v>255</v>
      </c>
      <c r="B5">
        <f>IF('Steel A-Arm Tube Force Analysis'!C3&lt;$M$4,'Steel A-Arm Tube Force Analysis'!C3,$O$4)</f>
        <v>37.092540037867209</v>
      </c>
      <c r="C5">
        <f>IF('Steel A-Arm Tube Force Analysis'!C4&lt;$M$4,'Steel A-Arm Tube Force Analysis'!C4,$O$4)</f>
        <v>888.01533725867</v>
      </c>
      <c r="D5">
        <f>IF('Steel A-Arm Tube Force Analysis'!C5&lt;$M$4,'Steel A-Arm Tube Force Analysis'!C5,$O$4)</f>
        <v>247.51938813763212</v>
      </c>
      <c r="E5">
        <f>IF('Steel A-Arm Tube Force Analysis'!C6&lt;$M$4,'Steel A-Arm Tube Force Analysis'!C6,$O$4)</f>
        <v>210.91781969299919</v>
      </c>
      <c r="F5">
        <f>IF('Steel A-Arm Tube Force Analysis'!C9&lt;$M$4,'Steel A-Arm Tube Force Analysis'!C9,$O$4)</f>
        <v>806.19256536358682</v>
      </c>
      <c r="G5">
        <f>IF('Steel A-Arm Tube Force Analysis'!C10&lt;$M$4,'Steel A-Arm Tube Force Analysis'!C10,$O$4)</f>
        <v>266.55741049663993</v>
      </c>
      <c r="H5">
        <f>IF('Steel A-Arm Tube Force Analysis'!C11&lt;$M$4,'Steel A-Arm Tube Force Analysis'!C11,$O$4)</f>
        <v>116.21885388197305</v>
      </c>
      <c r="I5">
        <f>IF('Steel A-Arm Tube Force Analysis'!C12&lt;$M$4,'Steel A-Arm Tube Force Analysis'!C12,$O$4)</f>
        <v>555.53187274854497</v>
      </c>
      <c r="J5">
        <f>IF('Steel A-Arm Tube Force Analysis'!C8&lt;$M$4,'Steel A-Arm Tube Force Analysis'!C8,$O$4)</f>
        <v>80.547452384382751</v>
      </c>
    </row>
    <row r="6" spans="1:18" x14ac:dyDescent="0.35">
      <c r="Q6" s="104"/>
      <c r="R6" s="109" t="s">
        <v>256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K44" sqref="K44"/>
    </sheetView>
  </sheetViews>
  <sheetFormatPr defaultRowHeight="14.5" x14ac:dyDescent="0.35"/>
  <sheetData>
    <row r="1" spans="1:16" x14ac:dyDescent="0.35">
      <c r="A1" s="46" t="s">
        <v>216</v>
      </c>
      <c r="D1" s="46" t="s">
        <v>217</v>
      </c>
      <c r="G1" s="105" t="s">
        <v>257</v>
      </c>
    </row>
    <row r="2" spans="1:16" x14ac:dyDescent="0.35">
      <c r="A2" s="104" t="s">
        <v>258</v>
      </c>
      <c r="B2">
        <v>2</v>
      </c>
      <c r="D2" s="104" t="s">
        <v>258</v>
      </c>
      <c r="E2">
        <v>2</v>
      </c>
      <c r="O2" s="104"/>
      <c r="P2" s="109" t="s">
        <v>256</v>
      </c>
    </row>
    <row r="3" spans="1:16" x14ac:dyDescent="0.35">
      <c r="A3" s="104" t="s">
        <v>259</v>
      </c>
      <c r="B3">
        <v>-0.13500000000000001</v>
      </c>
      <c r="D3" s="104" t="s">
        <v>259</v>
      </c>
      <c r="E3">
        <v>-0.23960000000000001</v>
      </c>
    </row>
    <row r="4" spans="1:16" x14ac:dyDescent="0.35">
      <c r="A4" s="104" t="s">
        <v>260</v>
      </c>
      <c r="B4">
        <v>2.0299999999999998</v>
      </c>
      <c r="D4" s="104" t="s">
        <v>260</v>
      </c>
      <c r="E4">
        <v>2.2869999999999999</v>
      </c>
    </row>
    <row r="5" spans="1:16" x14ac:dyDescent="0.35">
      <c r="A5" s="104" t="s">
        <v>261</v>
      </c>
      <c r="B5">
        <v>1.1100000000000001</v>
      </c>
      <c r="D5" s="104" t="s">
        <v>261</v>
      </c>
      <c r="E5">
        <v>1.1140000000000001</v>
      </c>
    </row>
    <row r="6" spans="1:16" x14ac:dyDescent="0.35">
      <c r="A6" s="104" t="s">
        <v>262</v>
      </c>
      <c r="B6">
        <v>3.78</v>
      </c>
      <c r="D6" s="104" t="s">
        <v>262</v>
      </c>
      <c r="E6">
        <v>2.5196999999999998</v>
      </c>
    </row>
    <row r="7" spans="1:16" x14ac:dyDescent="0.35">
      <c r="A7" s="104" t="s">
        <v>263</v>
      </c>
      <c r="B7">
        <v>8</v>
      </c>
      <c r="D7" s="104" t="s">
        <v>263</v>
      </c>
      <c r="E7">
        <v>8</v>
      </c>
    </row>
    <row r="8" spans="1:16" x14ac:dyDescent="0.35">
      <c r="A8" t="s">
        <v>264</v>
      </c>
      <c r="D8" t="s">
        <v>264</v>
      </c>
    </row>
    <row r="10" spans="1:16" x14ac:dyDescent="0.35">
      <c r="A10" s="105" t="s">
        <v>257</v>
      </c>
      <c r="D10" s="105" t="s">
        <v>257</v>
      </c>
    </row>
    <row r="11" spans="1:16" x14ac:dyDescent="0.35">
      <c r="A11" s="47" t="s">
        <v>265</v>
      </c>
      <c r="B11">
        <f>ABS('Geo Forces'!F13)</f>
        <v>470.89</v>
      </c>
      <c r="C11" s="109" t="s">
        <v>266</v>
      </c>
      <c r="D11" s="47" t="s">
        <v>265</v>
      </c>
      <c r="E11">
        <f>ABS('Geo Forces'!F31)</f>
        <v>571.80999999999995</v>
      </c>
      <c r="F11" s="109" t="s">
        <v>266</v>
      </c>
    </row>
    <row r="12" spans="1:16" x14ac:dyDescent="0.35">
      <c r="A12" t="s">
        <v>267</v>
      </c>
      <c r="B12">
        <f>ABS('Geo Forces'!F14)</f>
        <v>289.83999999999997</v>
      </c>
      <c r="D12" t="s">
        <v>267</v>
      </c>
      <c r="E12">
        <f>ABS('Geo Forces'!F32)</f>
        <v>350.18</v>
      </c>
    </row>
    <row r="14" spans="1:16" x14ac:dyDescent="0.35">
      <c r="A14" s="47" t="s">
        <v>268</v>
      </c>
      <c r="B14">
        <f>((B12*(B2+B3))-(B11*B7))/B2</f>
        <v>-1613.2842000000001</v>
      </c>
      <c r="D14" s="47" t="s">
        <v>268</v>
      </c>
      <c r="E14">
        <f>((E12*(E2+E3))-(E11*E7))/E2</f>
        <v>-1979.0115639999999</v>
      </c>
    </row>
    <row r="15" spans="1:16" x14ac:dyDescent="0.35">
      <c r="A15" s="47" t="s">
        <v>269</v>
      </c>
      <c r="B15">
        <f>B14-B12</f>
        <v>-1903.1242</v>
      </c>
      <c r="D15" s="47" t="s">
        <v>269</v>
      </c>
      <c r="E15">
        <f>E14-E12</f>
        <v>-2329.1915639999997</v>
      </c>
      <c r="G15" s="105" t="s">
        <v>270</v>
      </c>
    </row>
    <row r="17" spans="1:7" x14ac:dyDescent="0.35">
      <c r="A17" s="105" t="s">
        <v>270</v>
      </c>
      <c r="D17" s="105" t="s">
        <v>270</v>
      </c>
    </row>
    <row r="18" spans="1:7" x14ac:dyDescent="0.35">
      <c r="A18" t="s">
        <v>271</v>
      </c>
      <c r="B18">
        <f>ABS('Geo Forces'!E12)</f>
        <v>453.39370000000002</v>
      </c>
      <c r="D18" t="s">
        <v>271</v>
      </c>
      <c r="E18">
        <f>ABS('Geo Forces'!E30)</f>
        <v>201.41890000000001</v>
      </c>
    </row>
    <row r="19" spans="1:7" x14ac:dyDescent="0.35">
      <c r="A19" t="s">
        <v>267</v>
      </c>
      <c r="B19">
        <f>ABS('Geo Forces'!E14)</f>
        <v>278.60289999999998</v>
      </c>
      <c r="D19" t="s">
        <v>267</v>
      </c>
      <c r="E19">
        <f>ABS('Geo Forces'!E32)</f>
        <v>112.0312</v>
      </c>
    </row>
    <row r="21" spans="1:7" x14ac:dyDescent="0.35">
      <c r="A21" s="47" t="s">
        <v>272</v>
      </c>
      <c r="B21">
        <f>(B19*(B2+B3))/B2</f>
        <v>259.79720424999999</v>
      </c>
      <c r="D21" s="47" t="s">
        <v>272</v>
      </c>
      <c r="E21">
        <f>(E19*(E2+E3))/E2</f>
        <v>98.609862239999998</v>
      </c>
    </row>
    <row r="22" spans="1:7" x14ac:dyDescent="0.35">
      <c r="A22" s="47" t="s">
        <v>273</v>
      </c>
      <c r="B22">
        <f>(B18*(B2+B3))/B2</f>
        <v>422.78962525000003</v>
      </c>
      <c r="D22" s="47" t="s">
        <v>273</v>
      </c>
      <c r="E22">
        <f>(E18*(E2+E3))/E2</f>
        <v>177.28891578</v>
      </c>
    </row>
    <row r="23" spans="1:7" x14ac:dyDescent="0.35">
      <c r="A23" s="47" t="s">
        <v>274</v>
      </c>
      <c r="B23">
        <f>B21-B19</f>
        <v>-18.805695749999984</v>
      </c>
      <c r="D23" s="47" t="s">
        <v>274</v>
      </c>
      <c r="E23">
        <f>E21-E19</f>
        <v>-13.42133776</v>
      </c>
    </row>
    <row r="24" spans="1:7" x14ac:dyDescent="0.35">
      <c r="A24" s="47" t="s">
        <v>275</v>
      </c>
      <c r="B24">
        <f>B22-B18</f>
        <v>-30.604074749999995</v>
      </c>
      <c r="D24" s="47" t="s">
        <v>275</v>
      </c>
      <c r="E24">
        <f>E22-E18</f>
        <v>-24.129984220000011</v>
      </c>
    </row>
    <row r="25" spans="1:7" x14ac:dyDescent="0.35">
      <c r="A25" t="s">
        <v>276</v>
      </c>
      <c r="B25">
        <f>(B18*B7)/(B4+B5)</f>
        <v>1155.1431847133761</v>
      </c>
      <c r="D25" t="s">
        <v>276</v>
      </c>
      <c r="E25">
        <f>(E18*E7)/(E4+E5)</f>
        <v>473.7874742722729</v>
      </c>
    </row>
    <row r="26" spans="1:7" x14ac:dyDescent="0.35">
      <c r="A26" s="47" t="s">
        <v>277</v>
      </c>
      <c r="B26">
        <f>B25/2</f>
        <v>577.57159235668803</v>
      </c>
      <c r="D26" s="47" t="s">
        <v>277</v>
      </c>
      <c r="E26">
        <f>E25/2</f>
        <v>236.89373713613645</v>
      </c>
    </row>
    <row r="27" spans="1:7" x14ac:dyDescent="0.35">
      <c r="A27" s="47" t="s">
        <v>278</v>
      </c>
      <c r="B27">
        <f>(B25*B5)/B6</f>
        <v>339.20871297138825</v>
      </c>
      <c r="D27" s="47" t="s">
        <v>278</v>
      </c>
      <c r="E27">
        <f>(E25*E5)/E6</f>
        <v>209.46908216823911</v>
      </c>
    </row>
    <row r="29" spans="1:7" x14ac:dyDescent="0.35">
      <c r="D29" s="105" t="s">
        <v>279</v>
      </c>
      <c r="G29" s="105" t="s">
        <v>279</v>
      </c>
    </row>
    <row r="30" spans="1:7" x14ac:dyDescent="0.35">
      <c r="D30" t="s">
        <v>271</v>
      </c>
      <c r="E30">
        <f>ABS('Geo Forces'!D30)</f>
        <v>377.0566</v>
      </c>
    </row>
    <row r="31" spans="1:7" x14ac:dyDescent="0.35">
      <c r="D31" t="s">
        <v>267</v>
      </c>
      <c r="E31">
        <f>ABS('Geo Forces'!D32)</f>
        <v>277.8494</v>
      </c>
    </row>
    <row r="33" spans="4:5" x14ac:dyDescent="0.35">
      <c r="D33" s="47" t="s">
        <v>272</v>
      </c>
      <c r="E33">
        <f>(E31*(E2+E3))/E2</f>
        <v>244.56304187999999</v>
      </c>
    </row>
    <row r="34" spans="4:5" x14ac:dyDescent="0.35">
      <c r="D34" s="47" t="s">
        <v>273</v>
      </c>
      <c r="E34">
        <f>(E30*(E2+E3))/E2</f>
        <v>331.88521931999998</v>
      </c>
    </row>
    <row r="35" spans="4:5" x14ac:dyDescent="0.35">
      <c r="D35" s="47" t="s">
        <v>274</v>
      </c>
      <c r="E35">
        <f>E33-E31</f>
        <v>-33.286358120000017</v>
      </c>
    </row>
    <row r="36" spans="4:5" x14ac:dyDescent="0.35">
      <c r="D36" s="47" t="s">
        <v>275</v>
      </c>
      <c r="E36">
        <f>E34-E30</f>
        <v>-45.171380680000027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C10" sqref="C10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280</v>
      </c>
    </row>
    <row r="2" spans="1:7" x14ac:dyDescent="0.35">
      <c r="A2" s="154" t="s">
        <v>281</v>
      </c>
      <c r="B2" s="156" t="s">
        <v>216</v>
      </c>
      <c r="C2" s="157" t="s">
        <v>217</v>
      </c>
      <c r="D2" t="s">
        <v>282</v>
      </c>
      <c r="F2" t="s">
        <v>283</v>
      </c>
      <c r="G2">
        <v>4.4249999999999998</v>
      </c>
    </row>
    <row r="3" spans="1:7" x14ac:dyDescent="0.35">
      <c r="A3" t="s">
        <v>284</v>
      </c>
      <c r="B3">
        <f>-'Geo Forces'!H20</f>
        <v>891.9242341546643</v>
      </c>
      <c r="C3">
        <f>-'Geo Forces'!H38</f>
        <v>1176.5262504666061</v>
      </c>
      <c r="F3" t="s">
        <v>285</v>
      </c>
      <c r="G3">
        <f>G2-Parameters!K4</f>
        <v>3.4249999999999998</v>
      </c>
    </row>
    <row r="4" spans="1:7" x14ac:dyDescent="0.35">
      <c r="A4" t="s">
        <v>286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287</v>
      </c>
      <c r="G4">
        <v>2</v>
      </c>
    </row>
    <row r="5" spans="1:7" x14ac:dyDescent="0.35">
      <c r="A5" t="s">
        <v>288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289</v>
      </c>
    </row>
    <row r="7" spans="1:7" x14ac:dyDescent="0.35">
      <c r="A7" s="155" t="s">
        <v>290</v>
      </c>
      <c r="B7" s="156" t="s">
        <v>216</v>
      </c>
      <c r="C7" s="157" t="s">
        <v>217</v>
      </c>
      <c r="D7" t="s">
        <v>291</v>
      </c>
      <c r="F7" t="s">
        <v>292</v>
      </c>
    </row>
    <row r="8" spans="1:7" x14ac:dyDescent="0.35">
      <c r="A8" t="s">
        <v>284</v>
      </c>
      <c r="B8">
        <f>-'Geo Forces'!D20</f>
        <v>118.49705914894513</v>
      </c>
      <c r="C8">
        <f>-'Geo Forces'!E38</f>
        <v>183.25873103156002</v>
      </c>
    </row>
    <row r="9" spans="1:7" x14ac:dyDescent="0.35">
      <c r="A9" t="s">
        <v>286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288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2023-10-24T15:12:49Z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