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492" documentId="13_ncr:1_{25B62D78-2787-4D6A-9F3E-D571215EA930}" xr6:coauthVersionLast="47" xr6:coauthVersionMax="47" xr10:uidLastSave="{47C25DF9-BF10-48F5-AD8D-8C8AF1AC4385}"/>
  <bookViews>
    <workbookView xWindow="8715" yWindow="3075" windowWidth="19140" windowHeight="11145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9" l="1"/>
  <c r="J5" i="19"/>
  <c r="I5" i="19"/>
  <c r="H5" i="19"/>
  <c r="G5" i="19"/>
  <c r="F5" i="19"/>
  <c r="E5" i="19"/>
  <c r="D5" i="19"/>
  <c r="C5" i="19"/>
  <c r="B5" i="19"/>
  <c r="J4" i="19"/>
  <c r="I4" i="19"/>
  <c r="H4" i="19"/>
  <c r="G4" i="19"/>
  <c r="F4" i="19"/>
  <c r="E4" i="19"/>
  <c r="D4" i="19"/>
  <c r="C4" i="19"/>
  <c r="B4" i="19"/>
  <c r="C3" i="18"/>
  <c r="B3" i="18"/>
  <c r="B54" i="14"/>
  <c r="B36" i="14"/>
  <c r="B25" i="1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P2" i="15" s="1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2" i="15"/>
  <c r="O11" i="15"/>
  <c r="N9" i="15"/>
  <c r="O9" i="15"/>
  <c r="N5" i="15"/>
  <c r="I7" i="15"/>
  <c r="O13" i="15"/>
  <c r="N2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R3" i="3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C5" i="3"/>
  <c r="D4" i="3"/>
  <c r="D7" i="3"/>
  <c r="D5" i="3"/>
  <c r="C4" i="3"/>
  <c r="C6" i="3"/>
  <c r="C2" i="3"/>
  <c r="R4" i="15" l="1"/>
  <c r="M5" i="15"/>
  <c r="R5" i="15"/>
  <c r="L6" i="15"/>
  <c r="R6" i="15"/>
  <c r="M7" i="15"/>
  <c r="R7" i="15"/>
  <c r="L2" i="15"/>
  <c r="R2" i="15"/>
  <c r="L2" i="3"/>
  <c r="R2" i="3"/>
  <c r="R6" i="3"/>
  <c r="R4" i="3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D10" i="15"/>
  <c r="C9" i="3"/>
  <c r="C9" i="15"/>
  <c r="C11" i="3"/>
  <c r="C11" i="15"/>
  <c r="D13" i="3"/>
  <c r="D13" i="15"/>
  <c r="D8" i="3"/>
  <c r="D8" i="15"/>
  <c r="C13" i="3"/>
  <c r="C13" i="15"/>
  <c r="C8" i="3"/>
  <c r="R8" i="3" s="1"/>
  <c r="C8" i="15"/>
  <c r="C12" i="3"/>
  <c r="C12" i="15"/>
  <c r="D12" i="3"/>
  <c r="D12" i="15"/>
  <c r="D11" i="3"/>
  <c r="D11" i="15"/>
  <c r="C10" i="3"/>
  <c r="C10" i="15"/>
  <c r="D9" i="3"/>
  <c r="D9" i="15"/>
  <c r="R8" i="15" l="1"/>
  <c r="R13" i="15"/>
  <c r="R13" i="3"/>
  <c r="R11" i="15"/>
  <c r="R9" i="15"/>
  <c r="S8" i="3"/>
  <c r="R11" i="3"/>
  <c r="R10" i="15"/>
  <c r="R10" i="3"/>
  <c r="R12" i="15"/>
  <c r="R12" i="3"/>
  <c r="R9" i="3"/>
  <c r="S7" i="3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<sst xmlns="http://schemas.openxmlformats.org/spreadsheetml/2006/main" count="699" uniqueCount="292">
  <si>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</si>
  <si>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</si>
  <si>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</si>
  <si>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</si>
  <si>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</si>
  <si>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</si>
  <si>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</si>
  <si>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</si>
  <si>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</si>
  <si>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</si>
  <si>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</si>
  <si>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</si>
  <si>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</si>
  <si>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</si>
  <si>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</si>
  <si>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</si>
  <si>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</si>
  <si>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</si>
  <si>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</si>
  <si>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</si>
  <si>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</si>
  <si>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</si>
  <si>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</si>
  <si>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</si>
  <si>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</si>
  <si>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</si>
  <si>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</si>
  <si>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</si>
  <si>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</si>
  <si>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</si>
  <si>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</si>
  <si>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</si>
  <si>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</si>
  <si>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</si>
  <si>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</si>
  <si>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</si>
  <si>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</si>
  <si>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</si>
  <si>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</si>
  <si>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</si>
  <si>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</si>
  <si>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</si>
  <si>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</si>
  <si>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</si>
  <si>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</si>
  <si>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</si>
  <si>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</si>
  <si>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</si>
  <si>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</si>
  <si>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</si>
  <si>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</si>
  <si>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</si>
  <si>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</si>
  <si>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</si>
  <si>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</si>
  <si>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</si>
  <si>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</si>
  <si>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</si>
  <si>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</si>
  <si>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</si>
  <si>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</si>
  <si>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</si>
  <si>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</si>
  <si>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</si>
  <si>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</si>
  <si>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</si>
  <si>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</si>
  <si>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</si>
  <si>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</si>
  <si>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</si>
  <si>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</si>
  <si>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</si>
  <si>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</si>
  <si>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</si>
  <si>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</si>
  <si>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</si>
  <si>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</si>
  <si>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</si>
  <si>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</si>
  <si>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</si>
  <si>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</si>
  <si>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</si>
  <si>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</si>
  <si>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</si>
  <si>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</si>
  <si>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</si>
  <si>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</si>
  <si>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</si>
  <si>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</si>
  <si>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</si>
  <si>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</si>
  <si>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</si>
  <si>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</si>
  <si>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</si>
  <si>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</si>
  <si>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</si>
  <si>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</si>
  <si>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</si>
  <si>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</si>
  <si>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</si>
  <si>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</si>
  <si>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</si>
  <si>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</si>
  <si>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</si>
  <si>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</si>
  <si>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</si>
  <si>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</si>
  <si>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</si>
  <si>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</si>
  <si>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</si>
  <si>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</si>
  <si>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</si>
  <si>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</si>
  <si>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</si>
  <si>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</si>
  <si>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</si>
  <si>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</si>
  <si>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</si>
  <si>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</si>
  <si>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</si>
  <si>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</si>
  <si>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</si>
  <si>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</si>
  <si>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</si>
  <si>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</si>
  <si>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</si>
  <si>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</si>
  <si>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</si>
  <si>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</si>
  <si>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</si>
  <si>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</si>
  <si>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</si>
  <si>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</si>
  <si>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</si>
  <si>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</si>
  <si>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</si>
  <si>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</si>
  <si>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</si>
  <si>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</si>
  <si>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</si>
  <si>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</si>
  <si>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</si>
  <si>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</si>
  <si>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</si>
  <si>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</si>
  <si>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</si>
  <si>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</si>
  <si>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</si>
  <si>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</si>
  <si>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</si>
  <si>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</si>
  <si>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</si>
  <si>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</si>
  <si>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</si>
  <si>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</si>
  <si>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</si>
  <si>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</si>
  <si>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</si>
  <si>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</si>
  <si>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</si>
  <si>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</si>
  <si>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</si>
  <si>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</si>
  <si>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</si>
  <si>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</si>
  <si>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</si>
  <si>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</si>
  <si>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</si>
  <si>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</si>
  <si>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</si>
  <si>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</si>
  <si>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</si>
  <si>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</si>
  <si>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</si>
  <si>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</si>
  <si>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</si>
  <si>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</si>
  <si>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</si>
  <si>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</si>
  <si>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</si>
  <si>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</si>
  <si>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</si>
  <si>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</si>
  <si>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</si>
  <si>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</si>
  <si>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</si>
  <si>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(~4.0g)</t>
  </si>
  <si>
    <t>*maximum velocity analysis</t>
  </si>
  <si>
    <t>Max Cornering @ Tire Limits (~4.0g)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</si>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</sst>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tabSelected="1" topLeftCell="A12" workbookViewId="0">
      <selection activeCell="G20" sqref="G20"/>
    </sheetView>
  </sheetViews>
  <sheetFormatPr defaultRowHeight="15" x14ac:dyDescent="0.25"/>
  <cols>
    <col min="1" max="1" width="31.28515625" customWidth="1"/>
    <col min="3" max="3" width="19.5703125" customWidth="1"/>
    <col min="4" max="4" width="6.42578125" customWidth="1"/>
    <col min="5" max="5" width="28.42578125" customWidth="1"/>
    <col min="7" max="7" width="20" customWidth="1"/>
    <col min="10" max="10" width="18.42578125" customWidth="1"/>
  </cols>
  <sheetData>
    <row r="1" spans="1:12" ht="23.25" x14ac:dyDescent="0.35">
      <c r="A1" s="116" t="s">
        <v>0</v>
      </c>
    </row>
    <row r="3" spans="1:12" x14ac:dyDescent="0.25">
      <c r="A3" s="46" t="s">
        <v>1</v>
      </c>
      <c r="D3" s="112"/>
      <c r="E3" s="110" t="s">
        <v>2</v>
      </c>
    </row>
    <row r="4" spans="1:12" x14ac:dyDescent="0.2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25">
      <c r="A5" s="150" t="s">
        <v>7</v>
      </c>
      <c r="B5">
        <v>0.45</v>
      </c>
      <c r="E5" s="111" t="s">
        <v>8</v>
      </c>
      <c r="F5">
        <v>450</v>
      </c>
    </row>
    <row r="6" spans="1:12" x14ac:dyDescent="0.2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2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25">
      <c r="A8" s="150" t="s">
        <v>19</v>
      </c>
      <c r="B8">
        <v>44</v>
      </c>
      <c r="E8" s="111" t="s">
        <v>20</v>
      </c>
      <c r="F8">
        <v>1</v>
      </c>
    </row>
    <row r="9" spans="1:12" x14ac:dyDescent="0.25">
      <c r="A9" s="150" t="s">
        <v>21</v>
      </c>
      <c r="B9">
        <v>9.84</v>
      </c>
      <c r="E9" s="111" t="s">
        <v>22</v>
      </c>
      <c r="F9">
        <v>1</v>
      </c>
    </row>
    <row r="10" spans="1:12" x14ac:dyDescent="0.25">
      <c r="A10" s="150" t="s">
        <v>23</v>
      </c>
      <c r="B10">
        <v>8</v>
      </c>
      <c r="E10" s="111" t="s">
        <v>24</v>
      </c>
      <c r="F10">
        <v>1</v>
      </c>
    </row>
    <row r="11" spans="1:12" x14ac:dyDescent="0.25">
      <c r="A11" s="150" t="s">
        <v>25</v>
      </c>
      <c r="B11">
        <v>8</v>
      </c>
      <c r="E11" s="111" t="s">
        <v>26</v>
      </c>
      <c r="F11">
        <v>1</v>
      </c>
    </row>
    <row r="12" spans="1:12" x14ac:dyDescent="0.25">
      <c r="A12" s="150" t="s">
        <v>27</v>
      </c>
      <c r="B12">
        <v>8</v>
      </c>
      <c r="E12" s="111" t="s">
        <v>28</v>
      </c>
      <c r="F12">
        <v>12</v>
      </c>
    </row>
    <row r="13" spans="1:12" x14ac:dyDescent="0.2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2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2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25">
      <c r="A16" s="151" t="s">
        <v>36</v>
      </c>
      <c r="B16">
        <f>B6*B15</f>
        <v>33.550000000000004</v>
      </c>
      <c r="D16" s="46"/>
      <c r="E16" s="111" t="s">
        <v>37</v>
      </c>
      <c r="F16">
        <v>-0.12659999999999999</v>
      </c>
    </row>
    <row r="17" spans="1:7" x14ac:dyDescent="0.2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2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2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2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2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25">
      <c r="A22" s="151" t="s">
        <v>48</v>
      </c>
      <c r="B22">
        <f>B20+(((B21-B20)/B6)*B16)</f>
        <v>8.5067649999999997</v>
      </c>
      <c r="E22" s="111" t="s">
        <v>49</v>
      </c>
      <c r="F22">
        <v>12</v>
      </c>
    </row>
    <row r="24" spans="1:7" x14ac:dyDescent="0.25">
      <c r="A24" s="114" t="s">
        <v>50</v>
      </c>
      <c r="E24" s="117" t="s">
        <v>51</v>
      </c>
      <c r="F24" s="148"/>
      <c r="G24" s="148"/>
    </row>
    <row r="25" spans="1:7" x14ac:dyDescent="0.2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2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2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2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2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2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25">
      <c r="E31" s="149" t="s">
        <v>64</v>
      </c>
      <c r="F31">
        <v>1.45</v>
      </c>
    </row>
    <row r="32" spans="1:7" s="148" customFormat="1" x14ac:dyDescent="0.2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2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25">
      <c r="E34" s="149" t="s">
        <v>69</v>
      </c>
      <c r="F34">
        <v>2</v>
      </c>
    </row>
    <row r="35" spans="1:7" x14ac:dyDescent="0.25">
      <c r="E35" s="149" t="s">
        <v>70</v>
      </c>
      <c r="F35">
        <v>0.8125</v>
      </c>
    </row>
    <row r="36" spans="1:7" x14ac:dyDescent="0.25">
      <c r="E36" s="149" t="s">
        <v>71</v>
      </c>
      <c r="F36">
        <v>6.8</v>
      </c>
    </row>
    <row r="37" spans="1:7" x14ac:dyDescent="0.25">
      <c r="E37" s="149" t="s">
        <v>72</v>
      </c>
      <c r="F37">
        <v>6</v>
      </c>
    </row>
    <row r="38" spans="1:7" x14ac:dyDescent="0.25">
      <c r="E38" s="149" t="s">
        <v>73</v>
      </c>
      <c r="F38">
        <v>0.5</v>
      </c>
    </row>
    <row r="39" spans="1:7" x14ac:dyDescent="0.25">
      <c r="E39" s="152" t="s">
        <v>74</v>
      </c>
      <c r="F39">
        <f>(PI()*(F26/2)^2)*F28</f>
        <v>3.1415926535897931</v>
      </c>
      <c r="G39" t="s">
        <v>34</v>
      </c>
    </row>
    <row r="40" spans="1:7" x14ac:dyDescent="0.25">
      <c r="E40" s="152" t="s">
        <v>75</v>
      </c>
      <c r="F40">
        <f>(PI()*(F29/2)^2)</f>
        <v>0.6013204688511713</v>
      </c>
    </row>
    <row r="41" spans="1:7" x14ac:dyDescent="0.25">
      <c r="E41" s="152" t="s">
        <v>76</v>
      </c>
      <c r="F41">
        <f>(PI()*(F32/2)^2)*F34</f>
        <v>1.5707963267948966</v>
      </c>
    </row>
    <row r="42" spans="1:7" x14ac:dyDescent="0.2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5" x14ac:dyDescent="0.25"/>
  <cols>
    <col min="33" max="33" width="11.42578125" customWidth="1"/>
    <col min="34" max="34" width="13" customWidth="1"/>
    <col min="37" max="37" width="9.42578125" customWidth="1"/>
    <col min="43" max="43" width="15.42578125" customWidth="1"/>
    <col min="44" max="44" width="16.5703125" customWidth="1"/>
    <col min="45" max="45" width="10.85546875" customWidth="1"/>
  </cols>
  <sheetData>
    <row r="1" spans="1:50" ht="15.75" x14ac:dyDescent="0.25">
      <c r="L1" s="46" t="s">
        <v>78</v>
      </c>
      <c r="AF1" s="107"/>
    </row>
    <row r="2" spans="1:50" ht="15.75" x14ac:dyDescent="0.2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.75" thickBot="1" x14ac:dyDescent="0.3">
      <c r="AF3" s="119" t="s">
        <v>84</v>
      </c>
      <c r="AG3" s="120"/>
      <c r="AH3" s="121" t="s">
        <v>85</v>
      </c>
      <c r="AI3" s="120"/>
      <c r="AJ3" s="122"/>
    </row>
    <row r="4" spans="1:50" ht="15.75" thickBot="1" x14ac:dyDescent="0.3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2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.75" thickBot="1" x14ac:dyDescent="0.3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.75" thickBot="1" x14ac:dyDescent="0.3">
      <c r="AF7" s="132"/>
      <c r="AG7" s="133"/>
      <c r="AH7" s="133"/>
      <c r="AI7" s="133"/>
      <c r="AJ7" s="134"/>
    </row>
    <row r="8" spans="1:50" x14ac:dyDescent="0.25">
      <c r="AF8" s="135"/>
      <c r="AG8" s="136"/>
      <c r="AH8" s="136"/>
      <c r="AI8" s="136"/>
      <c r="AJ8" s="137"/>
    </row>
    <row r="9" spans="1:50" ht="21" x14ac:dyDescent="0.25">
      <c r="A9" s="101" t="s">
        <v>79</v>
      </c>
      <c r="AF9" s="138"/>
    </row>
    <row r="10" spans="1:50" ht="15.75" x14ac:dyDescent="0.25">
      <c r="AF10" s="118"/>
    </row>
    <row r="11" spans="1:50" ht="15.75" x14ac:dyDescent="0.25">
      <c r="AF11" s="118"/>
      <c r="AX11" s="46"/>
    </row>
    <row r="12" spans="1:50" x14ac:dyDescent="0.2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2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2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2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2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2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2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2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2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2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2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2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2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2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2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2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2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2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2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2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2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2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2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2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2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2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2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2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2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2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2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2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2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2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2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2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2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2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2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2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2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2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2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2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2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2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2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2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2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2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2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2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2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2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2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2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2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2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2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2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2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2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2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2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2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2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2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2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2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2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2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2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2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2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2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2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2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2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2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2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2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2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2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2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2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2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2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2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2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2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2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2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2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2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2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2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2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2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2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2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2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2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2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2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2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2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2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2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2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2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2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2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2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2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2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2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2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2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2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2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2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2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2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2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2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2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2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2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2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2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2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2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2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2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2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2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2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2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2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2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2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2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2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2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2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2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2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2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2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2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2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2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2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2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2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2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2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2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2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2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2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2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2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2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2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2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2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2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2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2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2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2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2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2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2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2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2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2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2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2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2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2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2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2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2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2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2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2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2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2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2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2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2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2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2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2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2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2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2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2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2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2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2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2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2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2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2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2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2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2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2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2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2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2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2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2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2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2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2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2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2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2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2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2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2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39" sqref="B39"/>
    </sheetView>
  </sheetViews>
  <sheetFormatPr defaultRowHeight="15" x14ac:dyDescent="0.25"/>
  <cols>
    <col min="1" max="1" width="50.7109375" customWidth="1"/>
    <col min="10" max="11" width="9.28515625" bestFit="1" customWidth="1"/>
  </cols>
  <sheetData>
    <row r="1" spans="1:7" x14ac:dyDescent="0.2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2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2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2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2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2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2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2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2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2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2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2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2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2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2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2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2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.75" thickBot="1" x14ac:dyDescent="0.3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2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2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2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2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2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2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2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2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2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2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2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2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2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2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2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2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2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.75" thickBot="1" x14ac:dyDescent="0.3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2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5" x14ac:dyDescent="0.25"/>
  <sheetData>
    <row r="1" spans="1:7" x14ac:dyDescent="0.25">
      <c r="A1" s="46" t="s">
        <v>119</v>
      </c>
      <c r="D1" s="46" t="s">
        <v>120</v>
      </c>
      <c r="F1" s="46"/>
      <c r="G1" s="46" t="s">
        <v>121</v>
      </c>
    </row>
    <row r="2" spans="1:7" x14ac:dyDescent="0.25">
      <c r="A2" t="s">
        <v>122</v>
      </c>
      <c r="D2" t="s">
        <v>122</v>
      </c>
      <c r="G2" t="s">
        <v>122</v>
      </c>
    </row>
    <row r="4" spans="1:7" x14ac:dyDescent="0.25">
      <c r="A4" t="s">
        <v>123</v>
      </c>
      <c r="D4" t="s">
        <v>123</v>
      </c>
      <c r="G4" t="s">
        <v>123</v>
      </c>
    </row>
    <row r="7" spans="1:7" x14ac:dyDescent="0.2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topLeftCell="A25" zoomScale="89" zoomScaleNormal="89" workbookViewId="0">
      <selection activeCell="B54" sqref="B54"/>
    </sheetView>
  </sheetViews>
  <sheetFormatPr defaultRowHeight="15" x14ac:dyDescent="0.25"/>
  <cols>
    <col min="1" max="1" width="26.140625" customWidth="1"/>
    <col min="2" max="2" width="25.7109375" customWidth="1"/>
    <col min="3" max="3" width="30.7109375" customWidth="1"/>
    <col min="4" max="4" width="24.5703125" customWidth="1"/>
    <col min="5" max="5" width="30.5703125" customWidth="1"/>
  </cols>
  <sheetData>
    <row r="1" spans="1:5" x14ac:dyDescent="0.2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2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2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2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2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2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2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2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2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2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2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2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2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2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2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2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2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2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2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2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2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2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2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2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2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2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2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2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2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2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2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2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2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2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2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2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2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2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2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2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2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2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2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2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2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2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2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2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25">
      <c r="D51" t="s">
        <v>139</v>
      </c>
      <c r="E51" t="s">
        <v>139</v>
      </c>
    </row>
    <row r="52" spans="1:5" x14ac:dyDescent="0.25">
      <c r="A52" t="s">
        <v>140</v>
      </c>
      <c r="B52">
        <v>1</v>
      </c>
      <c r="D52" s="109" t="s">
        <v>141</v>
      </c>
    </row>
    <row r="54" spans="1:5" x14ac:dyDescent="0.25">
      <c r="B54">
        <f>((B19*Parameters!$B$33*'Motor Data'!$B$52)/Parameters!$B$12)</f>
        <v>597.40309314000012</v>
      </c>
      <c r="D54" s="109"/>
    </row>
    <row r="55" spans="1:5" x14ac:dyDescent="0.25">
      <c r="A55" t="s">
        <v>142</v>
      </c>
    </row>
    <row r="56" spans="1:5" x14ac:dyDescent="0.25">
      <c r="A56" s="109" t="s">
        <v>143</v>
      </c>
    </row>
    <row r="58" spans="1:5" x14ac:dyDescent="0.25">
      <c r="A58" t="s">
        <v>144</v>
      </c>
    </row>
    <row r="59" spans="1:5" x14ac:dyDescent="0.25">
      <c r="A59" t="s">
        <v>145</v>
      </c>
    </row>
    <row r="60" spans="1:5" x14ac:dyDescent="0.25">
      <c r="A60" t="s">
        <v>146</v>
      </c>
    </row>
    <row r="74" spans="7:7" x14ac:dyDescent="0.2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topLeftCell="A6" workbookViewId="0">
      <selection activeCell="I33" sqref="I33"/>
    </sheetView>
  </sheetViews>
  <sheetFormatPr defaultRowHeight="15" x14ac:dyDescent="0.25"/>
  <cols>
    <col min="1" max="1" width="27" customWidth="1"/>
    <col min="3" max="4" width="10.7109375" customWidth="1"/>
    <col min="5" max="5" width="10.42578125" customWidth="1"/>
    <col min="6" max="6" width="10.7109375" customWidth="1"/>
    <col min="7" max="7" width="13.7109375" customWidth="1"/>
    <col min="8" max="9" width="12.42578125" customWidth="1"/>
    <col min="11" max="11" width="17" customWidth="1"/>
    <col min="15" max="15" width="6" customWidth="1"/>
    <col min="17" max="17" width="9.42578125" customWidth="1"/>
  </cols>
  <sheetData>
    <row r="1" spans="1:18" x14ac:dyDescent="0.2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2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75" x14ac:dyDescent="0.25">
      <c r="K3" t="s">
        <v>162</v>
      </c>
      <c r="Q3" s="107">
        <v>150</v>
      </c>
      <c r="R3">
        <v>26.27</v>
      </c>
    </row>
    <row r="4" spans="1:18" ht="15.75" x14ac:dyDescent="0.2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75" x14ac:dyDescent="0.2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75" x14ac:dyDescent="0.25">
      <c r="Q6" s="107">
        <v>225</v>
      </c>
      <c r="R6">
        <v>39.4</v>
      </c>
    </row>
    <row r="7" spans="1:18" ht="15.75" x14ac:dyDescent="0.2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75" x14ac:dyDescent="0.2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75" x14ac:dyDescent="0.25">
      <c r="Q9" s="107">
        <v>350</v>
      </c>
      <c r="R9">
        <v>61.29</v>
      </c>
    </row>
    <row r="10" spans="1:18" ht="15.75" x14ac:dyDescent="0.2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75" x14ac:dyDescent="0.2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75" x14ac:dyDescent="0.25">
      <c r="Q12" s="107">
        <v>500</v>
      </c>
      <c r="R12">
        <v>87.56</v>
      </c>
    </row>
    <row r="13" spans="1:18" ht="15.75" x14ac:dyDescent="0.2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75" x14ac:dyDescent="0.2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75" x14ac:dyDescent="0.25">
      <c r="Q15" s="107">
        <v>650</v>
      </c>
      <c r="R15">
        <v>113.8</v>
      </c>
    </row>
    <row r="16" spans="1:18" x14ac:dyDescent="0.2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2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2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2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2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2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2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2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2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2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2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2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2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2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2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O77" sqref="O77"/>
    </sheetView>
  </sheetViews>
  <sheetFormatPr defaultRowHeight="15" x14ac:dyDescent="0.25"/>
  <cols>
    <col min="1" max="1" width="29.5703125" customWidth="1"/>
    <col min="2" max="2" width="5.28515625" customWidth="1"/>
    <col min="6" max="6" width="9.42578125" bestFit="1" customWidth="1"/>
    <col min="8" max="8" width="27.5703125" customWidth="1"/>
    <col min="9" max="9" width="5.28515625" customWidth="1"/>
    <col min="17" max="17" width="12.28515625" customWidth="1"/>
    <col min="19" max="19" width="8.7109375" customWidth="1"/>
    <col min="20" max="20" width="9.7109375" customWidth="1"/>
  </cols>
  <sheetData>
    <row r="1" spans="1:17" ht="64.900000000000006" customHeight="1" x14ac:dyDescent="0.2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45" customHeight="1" x14ac:dyDescent="0.2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2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2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2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2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2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2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2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2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25">
      <c r="A11" s="3"/>
      <c r="B11" s="3"/>
      <c r="C11" s="3"/>
      <c r="H11" s="3"/>
      <c r="I11" s="3"/>
      <c r="J11" s="3"/>
    </row>
    <row r="12" spans="1:17" x14ac:dyDescent="0.2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2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2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2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25">
      <c r="A16" s="3"/>
      <c r="B16" s="3"/>
      <c r="C16" s="64"/>
      <c r="D16" s="65"/>
      <c r="E16" s="66"/>
      <c r="F16" s="67"/>
      <c r="H16" s="3"/>
      <c r="I16" s="3"/>
    </row>
    <row r="17" spans="1:13" x14ac:dyDescent="0.2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2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2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2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25">
      <c r="A22" s="163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2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2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2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25">
      <c r="A26" s="3"/>
      <c r="B26" s="3"/>
      <c r="C26" s="64"/>
      <c r="D26" s="65"/>
      <c r="E26" s="66"/>
      <c r="F26" s="67"/>
      <c r="H26" s="3"/>
      <c r="I26" s="3"/>
    </row>
    <row r="27" spans="1:13" x14ac:dyDescent="0.2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2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2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2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25">
      <c r="A32" s="163" t="s">
        <v>188</v>
      </c>
      <c r="B32" s="75"/>
      <c r="C32" s="59" t="s">
        <v>176</v>
      </c>
      <c r="D32" s="60"/>
      <c r="E32" s="61" t="s">
        <v>177</v>
      </c>
      <c r="F32" s="60"/>
      <c r="H32" s="165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2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25">
      <c r="A34" t="s">
        <v>187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2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2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2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2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2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2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topLeftCell="A42" zoomScale="73" zoomScaleNormal="25" workbookViewId="0">
      <selection activeCell="F20" sqref="F20"/>
    </sheetView>
  </sheetViews>
  <sheetFormatPr defaultRowHeight="15" x14ac:dyDescent="0.25"/>
  <cols>
    <col min="1" max="1" width="15" customWidth="1"/>
    <col min="2" max="2" width="18.7109375" customWidth="1"/>
    <col min="3" max="3" width="8.85546875" customWidth="1"/>
    <col min="4" max="4" width="27.42578125" customWidth="1"/>
    <col min="5" max="5" width="23.42578125" customWidth="1"/>
    <col min="6" max="6" width="29.28515625" customWidth="1"/>
    <col min="7" max="7" width="22.42578125" customWidth="1"/>
    <col min="8" max="8" width="20.7109375" customWidth="1"/>
    <col min="9" max="9" width="24.5703125" customWidth="1"/>
    <col min="10" max="10" width="23" customWidth="1"/>
  </cols>
  <sheetData>
    <row r="1" spans="1:10" ht="30" x14ac:dyDescent="0.25">
      <c r="A1" s="170" t="s">
        <v>190</v>
      </c>
      <c r="B1" s="172" t="s">
        <v>191</v>
      </c>
      <c r="C1" s="88" t="s">
        <v>192</v>
      </c>
      <c r="D1" s="5" t="s">
        <v>193</v>
      </c>
      <c r="E1" s="5" t="s">
        <v>194</v>
      </c>
      <c r="F1" s="5" t="s">
        <v>195</v>
      </c>
      <c r="G1" s="88" t="s">
        <v>189</v>
      </c>
      <c r="H1" s="88" t="s">
        <v>178</v>
      </c>
      <c r="I1" s="5" t="s">
        <v>196</v>
      </c>
      <c r="J1" s="5" t="s">
        <v>197</v>
      </c>
    </row>
    <row r="2" spans="1:10" ht="15.75" thickBot="1" x14ac:dyDescent="0.3">
      <c r="A2" s="171"/>
      <c r="B2" s="173"/>
      <c r="C2" s="89" t="s">
        <v>198</v>
      </c>
      <c r="D2" s="6" t="s">
        <v>198</v>
      </c>
      <c r="E2" s="6" t="s">
        <v>198</v>
      </c>
      <c r="F2" s="6" t="s">
        <v>198</v>
      </c>
      <c r="G2" s="89" t="s">
        <v>198</v>
      </c>
      <c r="H2" s="89" t="s">
        <v>198</v>
      </c>
      <c r="I2" s="6" t="s">
        <v>198</v>
      </c>
      <c r="J2" s="6" t="s">
        <v>198</v>
      </c>
    </row>
    <row r="3" spans="1:10" x14ac:dyDescent="0.25">
      <c r="A3" s="174" t="s">
        <v>199</v>
      </c>
      <c r="B3" s="14" t="s">
        <v>200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201</v>
      </c>
      <c r="J3" s="81" t="s">
        <v>201</v>
      </c>
    </row>
    <row r="4" spans="1:10" x14ac:dyDescent="0.25">
      <c r="A4" s="175"/>
      <c r="B4" s="15" t="s">
        <v>202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201</v>
      </c>
      <c r="J4" s="82" t="s">
        <v>201</v>
      </c>
    </row>
    <row r="5" spans="1:10" x14ac:dyDescent="0.25">
      <c r="A5" s="175"/>
      <c r="B5" s="18" t="s">
        <v>203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201</v>
      </c>
      <c r="J5" s="82" t="s">
        <v>201</v>
      </c>
    </row>
    <row r="6" spans="1:10" x14ac:dyDescent="0.25">
      <c r="A6" s="175"/>
      <c r="B6" s="16" t="s">
        <v>204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25">
      <c r="A7" s="175"/>
      <c r="B7" s="16" t="s">
        <v>205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25">
      <c r="A8" s="175"/>
      <c r="B8" s="16" t="s">
        <v>206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25">
      <c r="A9" s="175"/>
      <c r="B9" s="16" t="s">
        <v>207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25">
      <c r="A10" s="175"/>
      <c r="B10" s="16" t="s">
        <v>208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.75" thickBot="1" x14ac:dyDescent="0.3">
      <c r="A11" s="176"/>
      <c r="B11" s="17" t="s">
        <v>209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25">
      <c r="A12" s="177" t="s">
        <v>210</v>
      </c>
      <c r="B12" s="14" t="s">
        <v>200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201</v>
      </c>
      <c r="J12" s="85" t="s">
        <v>201</v>
      </c>
    </row>
    <row r="13" spans="1:10" x14ac:dyDescent="0.25">
      <c r="A13" s="175"/>
      <c r="B13" s="15" t="s">
        <v>202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201</v>
      </c>
      <c r="J13" s="82" t="s">
        <v>201</v>
      </c>
    </row>
    <row r="14" spans="1:10" x14ac:dyDescent="0.25">
      <c r="A14" s="175"/>
      <c r="B14" s="15" t="s">
        <v>200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201</v>
      </c>
      <c r="J14" s="82" t="s">
        <v>201</v>
      </c>
    </row>
    <row r="15" spans="1:10" x14ac:dyDescent="0.25">
      <c r="A15" s="175"/>
      <c r="B15" s="16" t="s">
        <v>204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25">
      <c r="A16" s="175"/>
      <c r="B16" s="16" t="s">
        <v>205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25">
      <c r="A17" s="175"/>
      <c r="B17" s="16" t="s">
        <v>206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25">
      <c r="A18" s="175"/>
      <c r="B18" s="16" t="s">
        <v>207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25">
      <c r="A19" s="175"/>
      <c r="B19" s="16" t="s">
        <v>208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.75" thickBot="1" x14ac:dyDescent="0.3">
      <c r="A20" s="176"/>
      <c r="B20" s="17" t="s">
        <v>209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25">
      <c r="A21" s="167" t="s">
        <v>211</v>
      </c>
      <c r="B21" s="14" t="s">
        <v>200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201</v>
      </c>
      <c r="J21" s="85" t="s">
        <v>201</v>
      </c>
    </row>
    <row r="22" spans="1:10" x14ac:dyDescent="0.25">
      <c r="A22" s="168"/>
      <c r="B22" s="15" t="s">
        <v>202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201</v>
      </c>
      <c r="J22" s="82" t="s">
        <v>201</v>
      </c>
    </row>
    <row r="23" spans="1:10" x14ac:dyDescent="0.25">
      <c r="A23" s="168"/>
      <c r="B23" s="15" t="s">
        <v>200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201</v>
      </c>
      <c r="J23" s="82" t="s">
        <v>201</v>
      </c>
    </row>
    <row r="24" spans="1:10" x14ac:dyDescent="0.25">
      <c r="A24" s="168"/>
      <c r="B24" s="16" t="s">
        <v>212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25">
      <c r="A25" s="168"/>
      <c r="B25" s="16" t="s">
        <v>205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25">
      <c r="A26" s="168"/>
      <c r="B26" s="16" t="s">
        <v>206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25">
      <c r="A27" s="168"/>
      <c r="B27" s="16" t="s">
        <v>207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25">
      <c r="A28" s="168"/>
      <c r="B28" s="16" t="s">
        <v>208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.75" thickBot="1" x14ac:dyDescent="0.3">
      <c r="A29" s="169"/>
      <c r="B29" s="17" t="s">
        <v>209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25">
      <c r="A30" s="167" t="s">
        <v>213</v>
      </c>
      <c r="B30" s="14" t="s">
        <v>200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25">
      <c r="A31" s="168"/>
      <c r="B31" s="15" t="s">
        <v>202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25">
      <c r="A32" s="168"/>
      <c r="B32" s="15" t="s">
        <v>200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25">
      <c r="A33" s="168"/>
      <c r="B33" s="16" t="s">
        <v>212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25">
      <c r="A34" s="168"/>
      <c r="B34" s="16" t="s">
        <v>205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25">
      <c r="A35" s="168"/>
      <c r="B35" s="16" t="s">
        <v>206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25">
      <c r="A36" s="168"/>
      <c r="B36" s="16" t="s">
        <v>207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25">
      <c r="A37" s="168"/>
      <c r="B37" s="16" t="s">
        <v>208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.75" thickBot="1" x14ac:dyDescent="0.3">
      <c r="A38" s="169"/>
      <c r="B38" s="17" t="s">
        <v>209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25">
      <c r="A39" t="s">
        <v>214</v>
      </c>
    </row>
    <row r="41" spans="1:10" x14ac:dyDescent="0.25">
      <c r="A41" s="46" t="s">
        <v>119</v>
      </c>
    </row>
    <row r="42" spans="1:10" x14ac:dyDescent="0.25">
      <c r="A42" t="s">
        <v>215</v>
      </c>
    </row>
    <row r="57" spans="1:1" x14ac:dyDescent="0.25">
      <c r="A57" t="s">
        <v>216</v>
      </c>
    </row>
    <row r="75" spans="1:1" x14ac:dyDescent="0.25">
      <c r="A75" s="46" t="s">
        <v>120</v>
      </c>
    </row>
    <row r="76" spans="1:1" x14ac:dyDescent="0.25">
      <c r="A76" t="s">
        <v>215</v>
      </c>
    </row>
    <row r="91" spans="1:1" x14ac:dyDescent="0.25">
      <c r="A91" t="s">
        <v>216</v>
      </c>
    </row>
    <row r="107" spans="1:1" x14ac:dyDescent="0.25">
      <c r="A107" s="46" t="s">
        <v>121</v>
      </c>
    </row>
    <row r="108" spans="1:1" x14ac:dyDescent="0.25">
      <c r="A108" t="s">
        <v>215</v>
      </c>
    </row>
    <row r="121" spans="1:1" x14ac:dyDescent="0.25">
      <c r="A121" t="s">
        <v>216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D3" sqref="D3"/>
    </sheetView>
  </sheetViews>
  <sheetFormatPr defaultRowHeight="15" x14ac:dyDescent="0.25"/>
  <cols>
    <col min="2" max="2" width="14.140625" customWidth="1"/>
    <col min="3" max="3" width="17" customWidth="1"/>
    <col min="4" max="4" width="15.5703125" customWidth="1"/>
    <col min="7" max="7" width="14.7109375" customWidth="1"/>
    <col min="14" max="14" width="11.42578125" bestFit="1" customWidth="1"/>
    <col min="15" max="15" width="19" customWidth="1"/>
    <col min="16" max="16" width="18.42578125" customWidth="1"/>
    <col min="18" max="18" width="12.42578125" customWidth="1"/>
    <col min="22" max="22" width="23.42578125" customWidth="1"/>
  </cols>
  <sheetData>
    <row r="1" spans="1:25" ht="43.9" customHeight="1" thickBot="1" x14ac:dyDescent="0.3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.75" thickBot="1" x14ac:dyDescent="0.3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236</v>
      </c>
      <c r="U2" s="98">
        <v>1</v>
      </c>
      <c r="V2" s="3"/>
      <c r="W2" s="3"/>
      <c r="X2" s="3"/>
    </row>
    <row r="3" spans="1:25" ht="15.75" thickBot="1" x14ac:dyDescent="0.3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.75" thickBot="1" x14ac:dyDescent="0.3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237</v>
      </c>
      <c r="U4" s="32">
        <v>2</v>
      </c>
      <c r="V4" s="33" t="s">
        <v>239</v>
      </c>
      <c r="W4" s="34">
        <v>0.28360000000000002</v>
      </c>
      <c r="X4" s="35" t="s">
        <v>240</v>
      </c>
    </row>
    <row r="5" spans="1:25" ht="15.75" thickBot="1" x14ac:dyDescent="0.3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237</v>
      </c>
      <c r="U5" s="32">
        <v>2</v>
      </c>
      <c r="V5" s="33" t="s">
        <v>241</v>
      </c>
      <c r="W5" s="34">
        <v>66717.358999999997</v>
      </c>
      <c r="X5" s="35" t="s">
        <v>242</v>
      </c>
    </row>
    <row r="6" spans="1:25" ht="15.75" thickBot="1" x14ac:dyDescent="0.3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237</v>
      </c>
      <c r="U6" s="32">
        <v>2</v>
      </c>
      <c r="V6" s="33" t="s">
        <v>243</v>
      </c>
      <c r="W6" s="34">
        <v>29732.736199999999</v>
      </c>
      <c r="X6" s="35" t="s">
        <v>244</v>
      </c>
    </row>
    <row r="7" spans="1:25" ht="15.75" thickBot="1" x14ac:dyDescent="0.3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236</v>
      </c>
      <c r="U7" s="98">
        <v>1</v>
      </c>
      <c r="V7" s="36" t="s">
        <v>233</v>
      </c>
      <c r="W7" s="37">
        <v>53011.292999999998</v>
      </c>
      <c r="X7" s="38" t="s">
        <v>242</v>
      </c>
      <c r="Y7" s="102" t="s">
        <v>245</v>
      </c>
    </row>
    <row r="8" spans="1:25" ht="15.75" thickBot="1" x14ac:dyDescent="0.3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236</v>
      </c>
      <c r="U8" s="98">
        <v>1</v>
      </c>
      <c r="V8" s="3"/>
      <c r="W8" s="3"/>
      <c r="X8" s="3"/>
    </row>
    <row r="9" spans="1:25" ht="15.75" thickBot="1" x14ac:dyDescent="0.3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237</v>
      </c>
      <c r="U9" s="40">
        <v>2</v>
      </c>
      <c r="V9" s="3"/>
      <c r="W9" s="3"/>
      <c r="X9" s="3"/>
    </row>
    <row r="10" spans="1:25" ht="15.75" thickBot="1" x14ac:dyDescent="0.3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237</v>
      </c>
      <c r="U10" s="40">
        <v>2</v>
      </c>
      <c r="V10" s="3"/>
      <c r="W10" s="3"/>
      <c r="X10" s="3"/>
    </row>
    <row r="11" spans="1:25" ht="15.75" thickBot="1" x14ac:dyDescent="0.3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237</v>
      </c>
      <c r="U11" s="40">
        <v>2</v>
      </c>
      <c r="V11" s="3"/>
      <c r="W11" s="3"/>
      <c r="X11" s="3"/>
    </row>
    <row r="12" spans="1:25" ht="15.75" thickBot="1" x14ac:dyDescent="0.3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237</v>
      </c>
      <c r="U12" s="40">
        <v>2</v>
      </c>
      <c r="V12" s="3"/>
      <c r="W12" s="3"/>
      <c r="X12" s="3"/>
    </row>
    <row r="13" spans="1:25" ht="15.75" thickBot="1" x14ac:dyDescent="0.3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236</v>
      </c>
      <c r="U13" s="98">
        <v>1</v>
      </c>
      <c r="V13" s="3"/>
      <c r="W13" s="3"/>
      <c r="X13" s="3"/>
    </row>
    <row r="14" spans="1:25" x14ac:dyDescent="0.25">
      <c r="L14" t="s">
        <v>246</v>
      </c>
    </row>
    <row r="16" spans="1:25" x14ac:dyDescent="0.25">
      <c r="R16" s="41"/>
    </row>
    <row r="17" spans="15:15" x14ac:dyDescent="0.2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H18" sqref="H18"/>
    </sheetView>
  </sheetViews>
  <sheetFormatPr defaultRowHeight="15" x14ac:dyDescent="0.25"/>
  <cols>
    <col min="2" max="2" width="14.140625" customWidth="1"/>
    <col min="3" max="3" width="17" customWidth="1"/>
    <col min="4" max="4" width="15.5703125" customWidth="1"/>
    <col min="7" max="7" width="14.7109375" customWidth="1"/>
    <col min="15" max="15" width="19" customWidth="1"/>
    <col min="16" max="16" width="18.42578125" customWidth="1"/>
    <col min="18" max="18" width="12.42578125" customWidth="1"/>
    <col min="22" max="22" width="23.42578125" customWidth="1"/>
  </cols>
  <sheetData>
    <row r="1" spans="1:25" ht="45.75" thickBot="1" x14ac:dyDescent="0.3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.75" thickBot="1" x14ac:dyDescent="0.3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0.98418978430382487</v>
      </c>
      <c r="J2" s="31">
        <f t="shared" ref="J2:J13" si="0">I2*$W$4</f>
        <v>5.304782937397616E-2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51.853767737647516</v>
      </c>
      <c r="O2" s="30">
        <f>H2*($W$5-($W$5*E2/(2*PI()*SQRT(K2/H2))^2/(U2*$W$6*1000)))</f>
        <v>6143.3344807538269</v>
      </c>
      <c r="P2" s="30">
        <f>U2*PI()^2*$W$6*1000*K2/E2^2</f>
        <v>6968.6503270864696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236</v>
      </c>
      <c r="U2" s="98">
        <v>1</v>
      </c>
      <c r="V2" s="3"/>
      <c r="W2" s="3"/>
      <c r="X2" s="3"/>
    </row>
    <row r="3" spans="1:25" ht="15.75" thickBot="1" x14ac:dyDescent="0.3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1.0858615182955038</v>
      </c>
      <c r="J3" s="31">
        <f t="shared" si="0"/>
        <v>5.8527935836127656E-2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57.210521652358835</v>
      </c>
      <c r="O3" s="30">
        <f t="shared" ref="O3:O13" si="7">H3*($W$5-($W$5*E3/(2*PI()*SQRT(K3/H3))^2/(U3*$W$6*1000)))</f>
        <v>6143.3354324130214</v>
      </c>
      <c r="P3" s="30">
        <f t="shared" ref="P3:P13" si="8">U3*PI()^2*$W$6*1000*K3/E3^2</f>
        <v>11449.525518174551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.75" thickBot="1" x14ac:dyDescent="0.3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1.0802147112749949</v>
      </c>
      <c r="J4" s="31">
        <f t="shared" si="0"/>
        <v>5.8223572937722227E-2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56.913009704591666</v>
      </c>
      <c r="O4" s="30">
        <f t="shared" si="7"/>
        <v>6143.3354385022294</v>
      </c>
      <c r="P4" s="30">
        <f t="shared" si="8"/>
        <v>11569.542858063967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237</v>
      </c>
      <c r="U4" s="32">
        <v>2</v>
      </c>
      <c r="V4" s="33" t="s">
        <v>239</v>
      </c>
      <c r="W4" s="144">
        <v>5.3900000000000003E-2</v>
      </c>
      <c r="X4" s="35" t="s">
        <v>240</v>
      </c>
    </row>
    <row r="5" spans="1:25" ht="15.75" thickBot="1" x14ac:dyDescent="0.3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0.97110476941492163</v>
      </c>
      <c r="J5" s="31">
        <f t="shared" si="0"/>
        <v>5.2342547071464282E-2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51.164360741442209</v>
      </c>
      <c r="O5" s="30">
        <f t="shared" si="7"/>
        <v>6143.335556160423</v>
      </c>
      <c r="P5" s="30">
        <f t="shared" si="8"/>
        <v>14315.42348993114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237</v>
      </c>
      <c r="U5" s="32">
        <v>2</v>
      </c>
      <c r="V5" s="33" t="s">
        <v>241</v>
      </c>
      <c r="W5" s="142">
        <v>63100</v>
      </c>
      <c r="X5" s="35" t="s">
        <v>242</v>
      </c>
    </row>
    <row r="6" spans="1:25" ht="15.75" thickBot="1" x14ac:dyDescent="0.3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0.98104509694585162</v>
      </c>
      <c r="J6" s="31">
        <f t="shared" si="0"/>
        <v>5.2878330725381409E-2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51.688084359839237</v>
      </c>
      <c r="O6" s="30">
        <f t="shared" si="7"/>
        <v>6143.3355454413168</v>
      </c>
      <c r="P6" s="30">
        <f t="shared" si="8"/>
        <v>14026.794395458091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237</v>
      </c>
      <c r="U6" s="32">
        <v>2</v>
      </c>
      <c r="V6" s="33" t="s">
        <v>243</v>
      </c>
      <c r="W6" s="142">
        <v>19500</v>
      </c>
      <c r="X6" s="35" t="s">
        <v>244</v>
      </c>
    </row>
    <row r="7" spans="1:25" ht="15.75" thickBot="1" x14ac:dyDescent="0.3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0.80560464434314594</v>
      </c>
      <c r="J7" s="94">
        <f t="shared" si="0"/>
        <v>4.3422090330095565E-2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42.444695913693685</v>
      </c>
      <c r="O7" s="95">
        <f t="shared" si="7"/>
        <v>6143.3348659067215</v>
      </c>
      <c r="P7" s="95">
        <f t="shared" si="8"/>
        <v>10400.697281121222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236</v>
      </c>
      <c r="U7" s="98">
        <v>1</v>
      </c>
      <c r="V7" s="36" t="s">
        <v>233</v>
      </c>
      <c r="W7" s="143">
        <v>58000</v>
      </c>
      <c r="X7" s="38" t="s">
        <v>242</v>
      </c>
      <c r="Y7" s="102" t="s">
        <v>245</v>
      </c>
    </row>
    <row r="8" spans="1:25" ht="15.75" thickBot="1" x14ac:dyDescent="0.3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0.93502361972870462</v>
      </c>
      <c r="J8" s="99">
        <f t="shared" si="0"/>
        <v>5.0397773103377182E-2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49.263361985536797</v>
      </c>
      <c r="O8" s="39">
        <f t="shared" si="7"/>
        <v>6143.3345867900325</v>
      </c>
      <c r="P8" s="39">
        <f t="shared" si="8"/>
        <v>7720.7806675263519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236</v>
      </c>
      <c r="U8" s="98">
        <v>1</v>
      </c>
      <c r="V8" s="3"/>
      <c r="W8" s="3"/>
      <c r="X8" s="3"/>
    </row>
    <row r="9" spans="1:25" ht="15.75" thickBot="1" x14ac:dyDescent="0.3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1.256531392553297</v>
      </c>
      <c r="J9" s="31">
        <f t="shared" si="0"/>
        <v>6.7727042058622719E-2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66.202563797804544</v>
      </c>
      <c r="O9" s="30">
        <f t="shared" si="7"/>
        <v>6143.3352483719636</v>
      </c>
      <c r="P9" s="30">
        <f t="shared" si="8"/>
        <v>8550.4640989139552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237</v>
      </c>
      <c r="U9" s="40">
        <v>2</v>
      </c>
      <c r="V9" s="3"/>
      <c r="W9" s="3"/>
      <c r="X9" s="3"/>
    </row>
    <row r="10" spans="1:25" ht="15.75" thickBot="1" x14ac:dyDescent="0.3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0.93177183775482542</v>
      </c>
      <c r="J10" s="31">
        <f t="shared" si="0"/>
        <v>5.0222502054985095E-2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49.092036139753631</v>
      </c>
      <c r="O10" s="30">
        <f t="shared" si="7"/>
        <v>6143.335598574904</v>
      </c>
      <c r="P10" s="30">
        <f t="shared" si="8"/>
        <v>15549.528129045257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237</v>
      </c>
      <c r="U10" s="40">
        <v>2</v>
      </c>
      <c r="V10" s="3"/>
      <c r="W10" s="3"/>
      <c r="X10" s="3"/>
    </row>
    <row r="11" spans="1:25" ht="15.75" thickBot="1" x14ac:dyDescent="0.3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0.93633796274209902</v>
      </c>
      <c r="J11" s="31">
        <f t="shared" si="0"/>
        <v>5.046861619179914E-2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49.332610456137779</v>
      </c>
      <c r="O11" s="30">
        <f t="shared" si="7"/>
        <v>6143.3355936510452</v>
      </c>
      <c r="P11" s="30">
        <f t="shared" si="8"/>
        <v>15398.240943052202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237</v>
      </c>
      <c r="U11" s="40">
        <v>2</v>
      </c>
      <c r="V11" s="3"/>
      <c r="W11" s="3"/>
      <c r="X11" s="3"/>
    </row>
    <row r="12" spans="1:25" ht="15.75" thickBot="1" x14ac:dyDescent="0.3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0.78329002073796283</v>
      </c>
      <c r="J12" s="31">
        <f t="shared" si="0"/>
        <v>4.2219332117776197E-2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41.269010768379282</v>
      </c>
      <c r="O12" s="30">
        <f t="shared" si="7"/>
        <v>6143.3357586895745</v>
      </c>
      <c r="P12" s="30">
        <f t="shared" si="8"/>
        <v>22003.470592276528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237</v>
      </c>
      <c r="U12" s="40">
        <v>2</v>
      </c>
      <c r="V12" s="3"/>
      <c r="W12" s="3"/>
      <c r="X12" s="3"/>
    </row>
    <row r="13" spans="1:25" ht="15.75" thickBot="1" x14ac:dyDescent="0.3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0.87228564655601681</v>
      </c>
      <c r="J13" s="94">
        <f t="shared" si="0"/>
        <v>4.7016196349369307E-2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45.957901655516714</v>
      </c>
      <c r="O13" s="95">
        <f t="shared" si="7"/>
        <v>6143.3347220964297</v>
      </c>
      <c r="P13" s="95">
        <f t="shared" si="8"/>
        <v>8871.3339139070704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236</v>
      </c>
      <c r="U13" s="98">
        <v>1</v>
      </c>
      <c r="V13" s="3"/>
      <c r="W13" s="3"/>
      <c r="X13" s="3"/>
    </row>
    <row r="14" spans="1:25" x14ac:dyDescent="0.25">
      <c r="L14" t="s">
        <v>246</v>
      </c>
    </row>
    <row r="16" spans="1:25" x14ac:dyDescent="0.2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topLeftCell="A16" workbookViewId="0">
      <selection activeCell="E29" sqref="E29"/>
    </sheetView>
  </sheetViews>
  <sheetFormatPr defaultRowHeight="15" x14ac:dyDescent="0.25"/>
  <cols>
    <col min="1" max="1" width="29.85546875" customWidth="1"/>
    <col min="12" max="12" width="17.28515625" customWidth="1"/>
    <col min="14" max="14" width="11.5703125" customWidth="1"/>
  </cols>
  <sheetData>
    <row r="1" spans="1:18" x14ac:dyDescent="0.25">
      <c r="B1" s="184" t="s">
        <v>215</v>
      </c>
      <c r="C1" s="184"/>
      <c r="D1" s="184"/>
      <c r="E1" s="184"/>
      <c r="F1" s="185" t="s">
        <v>216</v>
      </c>
      <c r="G1" s="185"/>
      <c r="H1" s="185"/>
      <c r="I1" s="185"/>
      <c r="J1" s="158"/>
    </row>
    <row r="2" spans="1:18" x14ac:dyDescent="0.25">
      <c r="B2" t="s">
        <v>205</v>
      </c>
      <c r="C2" t="s">
        <v>206</v>
      </c>
      <c r="D2" t="s">
        <v>207</v>
      </c>
      <c r="E2" t="s">
        <v>208</v>
      </c>
      <c r="F2" t="s">
        <v>205</v>
      </c>
      <c r="G2" t="s">
        <v>206</v>
      </c>
      <c r="H2" t="s">
        <v>207</v>
      </c>
      <c r="I2" t="s">
        <v>208</v>
      </c>
      <c r="J2" t="s">
        <v>212</v>
      </c>
      <c r="L2" s="104" t="s">
        <v>247</v>
      </c>
      <c r="M2">
        <v>2860</v>
      </c>
      <c r="N2" t="s">
        <v>248</v>
      </c>
      <c r="O2" t="s">
        <v>249</v>
      </c>
    </row>
    <row r="3" spans="1:18" x14ac:dyDescent="0.25">
      <c r="A3" t="s">
        <v>247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250</v>
      </c>
      <c r="M3">
        <v>0.5</v>
      </c>
      <c r="N3" s="104" t="s">
        <v>251</v>
      </c>
      <c r="O3">
        <v>0.42</v>
      </c>
    </row>
    <row r="4" spans="1:18" x14ac:dyDescent="0.25">
      <c r="A4" t="s">
        <v>252</v>
      </c>
      <c r="B4">
        <f>IF('Steel A-Arm Tube Force Analysis'!D3&lt;($M$4*2),'Steel A-Arm Tube Force Analysis'!D3,$O$4)</f>
        <v>2585.2980488982298</v>
      </c>
      <c r="C4">
        <f>IF('Steel A-Arm Tube Force Analysis'!D4&lt;($M$4*2),'Steel A-Arm Tube Force Analysis'!D4,$O$4)</f>
        <v>2082.27330116455</v>
      </c>
      <c r="D4">
        <f>IF('Steel A-Arm Tube Force Analysis'!D5&lt;($M$4*2),'Steel A-Arm Tube Force Analysis'!D5,$O$4)</f>
        <v>178.67920000000001</v>
      </c>
      <c r="E4">
        <f>IF('Steel A-Arm Tube Force Analysis'!D6&lt;($M$4*2),'Steel A-Arm Tube Force Analysis'!D6,$O$4)</f>
        <v>532.88669286934805</v>
      </c>
      <c r="F4">
        <f>IF('Steel A-Arm Tube Force Analysis'!D9&lt;($M$4*2),'Steel A-Arm Tube Force Analysis'!D9,$O$4)</f>
        <v>962.62070000000006</v>
      </c>
      <c r="G4">
        <f>IF('Steel A-Arm Tube Force Analysis'!D10&lt;($M$4*2),'Steel A-Arm Tube Force Analysis'!D10,$O$4)</f>
        <v>678.66769999999997</v>
      </c>
      <c r="H4">
        <f>IF('Steel A-Arm Tube Force Analysis'!D11&lt;($M$4*2),'Steel A-Arm Tube Force Analysis'!D11,$O$4)</f>
        <v>550.22977235628196</v>
      </c>
      <c r="I4">
        <f>IF('Steel A-Arm Tube Force Analysis'!D12&lt;($M$4*2),'Steel A-Arm Tube Force Analysis'!D12,$O$4)</f>
        <v>939.93660819694401</v>
      </c>
      <c r="J4">
        <f>IF('Steel A-Arm Tube Force Analysis'!D8&lt;($M$4*2),'Steel A-Arm Tube Force Analysis'!D8,$O$4)</f>
        <v>746.92421056148896</v>
      </c>
      <c r="L4" t="s">
        <v>253</v>
      </c>
      <c r="M4">
        <f>M3*$M$2</f>
        <v>1430</v>
      </c>
      <c r="O4">
        <f>O3*$M$2</f>
        <v>1201.2</v>
      </c>
    </row>
    <row r="5" spans="1:18" x14ac:dyDescent="0.25">
      <c r="A5" t="s">
        <v>254</v>
      </c>
      <c r="B5">
        <f>IF('Steel A-Arm Tube Force Analysis'!C3&lt;($M$4*2),'Steel A-Arm Tube Force Analysis'!C3,$O$4)</f>
        <v>108.4573</v>
      </c>
      <c r="C5">
        <f>IF('Steel A-Arm Tube Force Analysis'!C4&lt;($M$4*2),'Steel A-Arm Tube Force Analysis'!C4,$O$4)</f>
        <v>1060.3255974767301</v>
      </c>
      <c r="D5">
        <f>IF('Steel A-Arm Tube Force Analysis'!C5&lt;($M$4*2),'Steel A-Arm Tube Force Analysis'!C5,$O$4)</f>
        <v>1110.6606947287701</v>
      </c>
      <c r="E5">
        <f>IF('Steel A-Arm Tube Force Analysis'!C6&lt;($M$4*2),'Steel A-Arm Tube Force Analysis'!C6,$O$4)</f>
        <v>875.32568704031098</v>
      </c>
      <c r="F5">
        <f>IF('Steel A-Arm Tube Force Analysis'!C9&lt;($M$4*2),'Steel A-Arm Tube Force Analysis'!C9,$O$4)</f>
        <v>824.50890000000004</v>
      </c>
      <c r="G5">
        <f>IF('Steel A-Arm Tube Force Analysis'!C10&lt;($M$4*2),'Steel A-Arm Tube Force Analysis'!C10,$O$4)</f>
        <v>637.29790000000003</v>
      </c>
      <c r="H5">
        <f>IF('Steel A-Arm Tube Force Analysis'!C11&lt;($M$4*2),'Steel A-Arm Tube Force Analysis'!C11,$O$4)</f>
        <v>174.39449999999999</v>
      </c>
      <c r="I5">
        <f>IF('Steel A-Arm Tube Force Analysis'!C12&lt;($M$4*2),'Steel A-Arm Tube Force Analysis'!C12,$O$4)</f>
        <v>188.5873</v>
      </c>
      <c r="J5">
        <f>IF('Steel A-Arm Tube Force Analysis'!C8&lt;($M$4*2),'Steel A-Arm Tube Force Analysis'!C8,$O$4)</f>
        <v>169.97730000000001</v>
      </c>
    </row>
    <row r="6" spans="1:18" x14ac:dyDescent="0.25">
      <c r="Q6" s="104"/>
      <c r="R6" s="109" t="s">
        <v>255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P8" sqref="P8"/>
    </sheetView>
  </sheetViews>
  <sheetFormatPr defaultRowHeight="15" x14ac:dyDescent="0.25"/>
  <sheetData>
    <row r="1" spans="1:16" x14ac:dyDescent="0.25">
      <c r="A1" s="46" t="s">
        <v>215</v>
      </c>
      <c r="D1" s="46" t="s">
        <v>216</v>
      </c>
      <c r="G1" s="105" t="s">
        <v>256</v>
      </c>
    </row>
    <row r="2" spans="1:16" x14ac:dyDescent="0.25">
      <c r="A2" s="104" t="s">
        <v>257</v>
      </c>
      <c r="B2">
        <v>2</v>
      </c>
      <c r="D2" s="104" t="s">
        <v>257</v>
      </c>
      <c r="E2">
        <v>2</v>
      </c>
      <c r="O2" s="104"/>
      <c r="P2" s="109" t="s">
        <v>255</v>
      </c>
    </row>
    <row r="3" spans="1:16" x14ac:dyDescent="0.25">
      <c r="A3" s="104" t="s">
        <v>258</v>
      </c>
      <c r="B3">
        <v>-0.13500000000000001</v>
      </c>
      <c r="D3" s="104" t="s">
        <v>258</v>
      </c>
      <c r="E3">
        <v>-0.23960000000000001</v>
      </c>
    </row>
    <row r="4" spans="1:16" x14ac:dyDescent="0.25">
      <c r="A4" s="104" t="s">
        <v>259</v>
      </c>
      <c r="B4">
        <v>2.0299999999999998</v>
      </c>
      <c r="D4" s="104" t="s">
        <v>259</v>
      </c>
      <c r="E4">
        <v>2.2869999999999999</v>
      </c>
    </row>
    <row r="5" spans="1:16" x14ac:dyDescent="0.25">
      <c r="A5" s="104" t="s">
        <v>260</v>
      </c>
      <c r="B5">
        <v>1.1100000000000001</v>
      </c>
      <c r="D5" s="104" t="s">
        <v>260</v>
      </c>
      <c r="E5">
        <v>1.1140000000000001</v>
      </c>
    </row>
    <row r="6" spans="1:16" x14ac:dyDescent="0.25">
      <c r="A6" s="104" t="s">
        <v>261</v>
      </c>
      <c r="B6">
        <v>3.78</v>
      </c>
      <c r="D6" s="104" t="s">
        <v>261</v>
      </c>
      <c r="E6">
        <v>2.5196999999999998</v>
      </c>
    </row>
    <row r="7" spans="1:16" x14ac:dyDescent="0.25">
      <c r="A7" s="104" t="s">
        <v>262</v>
      </c>
      <c r="B7">
        <v>8</v>
      </c>
      <c r="D7" s="104" t="s">
        <v>262</v>
      </c>
      <c r="E7">
        <v>8</v>
      </c>
    </row>
    <row r="8" spans="1:16" x14ac:dyDescent="0.25">
      <c r="A8" t="s">
        <v>263</v>
      </c>
      <c r="D8" t="s">
        <v>263</v>
      </c>
    </row>
    <row r="10" spans="1:16" x14ac:dyDescent="0.25">
      <c r="A10" s="105" t="s">
        <v>256</v>
      </c>
      <c r="D10" s="105" t="s">
        <v>256</v>
      </c>
    </row>
    <row r="11" spans="1:16" x14ac:dyDescent="0.25">
      <c r="A11" s="47" t="s">
        <v>264</v>
      </c>
      <c r="B11">
        <f>ABS('Geo Forces'!F13)</f>
        <v>919.68399999999997</v>
      </c>
      <c r="C11" s="109" t="s">
        <v>265</v>
      </c>
      <c r="D11" s="47" t="s">
        <v>264</v>
      </c>
      <c r="E11">
        <f>ABS('Geo Forces'!F31)</f>
        <v>1184.8</v>
      </c>
      <c r="F11" s="109" t="s">
        <v>265</v>
      </c>
    </row>
    <row r="12" spans="1:16" x14ac:dyDescent="0.25">
      <c r="A12" t="s">
        <v>266</v>
      </c>
      <c r="B12">
        <f>ABS('Geo Forces'!F14)</f>
        <v>617.33489999999995</v>
      </c>
      <c r="D12" t="s">
        <v>266</v>
      </c>
      <c r="E12">
        <f>ABS('Geo Forces'!F32)</f>
        <v>822.6934</v>
      </c>
    </row>
    <row r="14" spans="1:16" x14ac:dyDescent="0.25">
      <c r="A14" s="47" t="s">
        <v>267</v>
      </c>
      <c r="B14">
        <f>((B12*(B2+B3))-(B11*B7))/B2</f>
        <v>-3103.07120575</v>
      </c>
      <c r="D14" s="47" t="s">
        <v>267</v>
      </c>
      <c r="E14">
        <f>((E12*(E2+E3))-(E11*E7))/E2</f>
        <v>-4015.06526932</v>
      </c>
    </row>
    <row r="15" spans="1:16" x14ac:dyDescent="0.25">
      <c r="A15" s="47" t="s">
        <v>268</v>
      </c>
      <c r="B15">
        <f>B14-B12</f>
        <v>-3720.4061057499998</v>
      </c>
      <c r="D15" s="47" t="s">
        <v>268</v>
      </c>
      <c r="E15">
        <f>E14-E12</f>
        <v>-4837.7586693200001</v>
      </c>
      <c r="G15" s="105" t="s">
        <v>269</v>
      </c>
    </row>
    <row r="17" spans="1:7" x14ac:dyDescent="0.25">
      <c r="A17" s="105" t="s">
        <v>269</v>
      </c>
      <c r="D17" s="105" t="s">
        <v>269</v>
      </c>
    </row>
    <row r="18" spans="1:7" x14ac:dyDescent="0.25">
      <c r="A18" t="s">
        <v>270</v>
      </c>
      <c r="B18">
        <f>ABS('Geo Forces'!E12)</f>
        <v>867.63459999999998</v>
      </c>
      <c r="D18" t="s">
        <v>270</v>
      </c>
      <c r="E18">
        <f>ABS('Geo Forces'!E30)</f>
        <v>464.62740000000002</v>
      </c>
    </row>
    <row r="19" spans="1:7" x14ac:dyDescent="0.25">
      <c r="A19" t="s">
        <v>266</v>
      </c>
      <c r="B19">
        <f>ABS('Geo Forces'!E14)</f>
        <v>577.98410000000001</v>
      </c>
      <c r="D19" t="s">
        <v>266</v>
      </c>
      <c r="E19">
        <f>ABS('Geo Forces'!E32)</f>
        <v>286.38189999999997</v>
      </c>
    </row>
    <row r="21" spans="1:7" x14ac:dyDescent="0.25">
      <c r="A21" s="47" t="s">
        <v>271</v>
      </c>
      <c r="B21">
        <f>(B19*(B2+B3))/B2</f>
        <v>538.97017325000002</v>
      </c>
      <c r="D21" s="47" t="s">
        <v>271</v>
      </c>
      <c r="E21">
        <f>(E19*(E2+E3))/E2</f>
        <v>252.07334837999997</v>
      </c>
    </row>
    <row r="22" spans="1:7" x14ac:dyDescent="0.25">
      <c r="A22" s="47" t="s">
        <v>272</v>
      </c>
      <c r="B22">
        <f>(B18*(B2+B3))/B2</f>
        <v>809.06926450000003</v>
      </c>
      <c r="D22" s="47" t="s">
        <v>272</v>
      </c>
      <c r="E22">
        <f>(E18*(E2+E3))/E2</f>
        <v>408.96503748000003</v>
      </c>
    </row>
    <row r="23" spans="1:7" x14ac:dyDescent="0.25">
      <c r="A23" s="47" t="s">
        <v>273</v>
      </c>
      <c r="B23">
        <f>B21-B19</f>
        <v>-39.013926749999996</v>
      </c>
      <c r="D23" s="47" t="s">
        <v>273</v>
      </c>
      <c r="E23">
        <f>E21-E19</f>
        <v>-34.308551620000003</v>
      </c>
    </row>
    <row r="24" spans="1:7" x14ac:dyDescent="0.25">
      <c r="A24" s="47" t="s">
        <v>274</v>
      </c>
      <c r="B24">
        <f>B22-B18</f>
        <v>-58.565335499999946</v>
      </c>
      <c r="D24" s="47" t="s">
        <v>274</v>
      </c>
      <c r="E24">
        <f>E22-E18</f>
        <v>-55.662362519999988</v>
      </c>
    </row>
    <row r="25" spans="1:7" x14ac:dyDescent="0.25">
      <c r="A25" t="s">
        <v>275</v>
      </c>
      <c r="B25">
        <f>(B18*B7)/(B4+B5)</f>
        <v>2210.5340127388536</v>
      </c>
      <c r="D25" t="s">
        <v>275</v>
      </c>
      <c r="E25">
        <f>(E18*E7)/(E4+E5)</f>
        <v>1092.9194942663923</v>
      </c>
    </row>
    <row r="26" spans="1:7" x14ac:dyDescent="0.25">
      <c r="A26" s="47" t="s">
        <v>276</v>
      </c>
      <c r="B26">
        <f>B25/2</f>
        <v>1105.2670063694268</v>
      </c>
      <c r="D26" s="47" t="s">
        <v>276</v>
      </c>
      <c r="E26">
        <f>E25/2</f>
        <v>546.45974713319617</v>
      </c>
    </row>
    <row r="27" spans="1:7" x14ac:dyDescent="0.25">
      <c r="A27" s="47" t="s">
        <v>277</v>
      </c>
      <c r="B27">
        <f>(B25*B5)/B6</f>
        <v>649.12506723283809</v>
      </c>
      <c r="D27" s="47" t="s">
        <v>277</v>
      </c>
      <c r="E27">
        <f>(E25*E5)/E6</f>
        <v>483.19733167153282</v>
      </c>
    </row>
    <row r="29" spans="1:7" x14ac:dyDescent="0.25">
      <c r="D29" s="105" t="s">
        <v>278</v>
      </c>
      <c r="G29" s="105" t="s">
        <v>278</v>
      </c>
    </row>
    <row r="30" spans="1:7" x14ac:dyDescent="0.25">
      <c r="D30" t="s">
        <v>270</v>
      </c>
      <c r="E30">
        <f>ABS('Geo Forces'!D30)</f>
        <v>378.70310000000001</v>
      </c>
    </row>
    <row r="31" spans="1:7" x14ac:dyDescent="0.25">
      <c r="D31" t="s">
        <v>266</v>
      </c>
      <c r="E31">
        <f>ABS('Geo Forces'!D32)</f>
        <v>227.87809999999999</v>
      </c>
    </row>
    <row r="33" spans="4:5" x14ac:dyDescent="0.25">
      <c r="D33" s="47" t="s">
        <v>271</v>
      </c>
      <c r="E33">
        <f>(E31*(E2+E3))/E2</f>
        <v>200.57830361999999</v>
      </c>
    </row>
    <row r="34" spans="4:5" x14ac:dyDescent="0.25">
      <c r="D34" s="47" t="s">
        <v>272</v>
      </c>
      <c r="E34">
        <f>(E30*(E2+E3))/E2</f>
        <v>333.33446862</v>
      </c>
    </row>
    <row r="35" spans="4:5" x14ac:dyDescent="0.25">
      <c r="D35" s="47" t="s">
        <v>273</v>
      </c>
      <c r="E35">
        <f>E33-E31</f>
        <v>-27.299796380000004</v>
      </c>
    </row>
    <row r="36" spans="4:5" x14ac:dyDescent="0.25">
      <c r="D36" s="47" t="s">
        <v>274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C4" sqref="C4"/>
    </sheetView>
  </sheetViews>
  <sheetFormatPr defaultRowHeight="15" x14ac:dyDescent="0.25"/>
  <cols>
    <col min="6" max="6" width="32.7109375" customWidth="1"/>
  </cols>
  <sheetData>
    <row r="1" spans="1:7" x14ac:dyDescent="0.25">
      <c r="A1" s="46" t="s">
        <v>279</v>
      </c>
    </row>
    <row r="2" spans="1:7" x14ac:dyDescent="0.25">
      <c r="A2" s="154" t="s">
        <v>280</v>
      </c>
      <c r="B2" s="156" t="s">
        <v>215</v>
      </c>
      <c r="C2" s="157" t="s">
        <v>216</v>
      </c>
      <c r="D2" t="s">
        <v>281</v>
      </c>
      <c r="F2" t="s">
        <v>282</v>
      </c>
      <c r="G2">
        <v>4.4249999999999998</v>
      </c>
    </row>
    <row r="3" spans="1:7" x14ac:dyDescent="0.25">
      <c r="A3" t="s">
        <v>283</v>
      </c>
      <c r="B3">
        <f>-MIN('Geo Forces'!F20,'Geo Forces'!H20)</f>
        <v>3238.0159787165499</v>
      </c>
      <c r="C3">
        <f>-MIN('Geo Forces'!F38,'Geo Forces'!H38)</f>
        <v>2684.8604093898598</v>
      </c>
      <c r="F3" t="s">
        <v>284</v>
      </c>
      <c r="G3">
        <f>G2-Parameters!K4</f>
        <v>3.4249999999999998</v>
      </c>
    </row>
    <row r="4" spans="1:7" x14ac:dyDescent="0.25">
      <c r="A4" t="s">
        <v>285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286</v>
      </c>
      <c r="G4">
        <v>2</v>
      </c>
    </row>
    <row r="5" spans="1:7" x14ac:dyDescent="0.25">
      <c r="A5" t="s">
        <v>287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25">
      <c r="F6" t="s">
        <v>288</v>
      </c>
    </row>
    <row r="7" spans="1:7" x14ac:dyDescent="0.25">
      <c r="A7" s="155" t="s">
        <v>289</v>
      </c>
      <c r="B7" s="156" t="s">
        <v>215</v>
      </c>
      <c r="C7" s="157" t="s">
        <v>216</v>
      </c>
      <c r="D7" t="s">
        <v>290</v>
      </c>
      <c r="F7" t="s">
        <v>291</v>
      </c>
    </row>
    <row r="8" spans="1:7" x14ac:dyDescent="0.25">
      <c r="A8" t="s">
        <v>283</v>
      </c>
      <c r="B8">
        <f>-'Geo Forces'!D20</f>
        <v>264.46089999999998</v>
      </c>
      <c r="C8">
        <f>-'Geo Forces'!E38</f>
        <v>631.51959999999997</v>
      </c>
    </row>
    <row r="9" spans="1:7" x14ac:dyDescent="0.25">
      <c r="A9" t="s">
        <v>285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25">
      <c r="A10" t="s">
        <v>287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A25" workbookViewId="0">
      <selection activeCell="F33" sqref="F33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2023-11-07T06:26:35Z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